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rsuspublicus-my.sharepoint.com/personal/michael_weinold_ch/Documents/Documents/University/MSc/Cambridge/Cost Model/LEDCOM/"/>
    </mc:Choice>
  </mc:AlternateContent>
  <xr:revisionPtr revIDLastSave="1163" documentId="8_{1A05E284-3AF0-4A85-996F-369CC4F5117C}" xr6:coauthVersionLast="47" xr6:coauthVersionMax="47" xr10:uidLastSave="{9180A2B6-CCC4-B347-A16D-AD0CF7D50BE4}"/>
  <bookViews>
    <workbookView xWindow="0" yWindow="760" windowWidth="34560" windowHeight="21580" tabRatio="684" xr2:uid="{00000000-000D-0000-FFFF-FFFF00000000}"/>
  </bookViews>
  <sheets>
    <sheet name="Process" sheetId="2" r:id="rId1"/>
    <sheet name="Global" sheetId="5" r:id="rId2"/>
    <sheet name="Package" sheetId="32" r:id="rId3"/>
    <sheet name="Epitaxy" sheetId="7" r:id="rId4"/>
    <sheet name="Wafer_Inspection" sheetId="22" r:id="rId5"/>
    <sheet name="Lithography_Mask" sheetId="11" r:id="rId6"/>
    <sheet name="Lithography_Stepper" sheetId="50" r:id="rId7"/>
    <sheet name="Dry_Depn" sheetId="51" r:id="rId8"/>
    <sheet name="Dry_Etch" sheetId="52" r:id="rId9"/>
    <sheet name="ITO_Deposition" sheetId="49" r:id="rId10"/>
    <sheet name="N_Metal" sheetId="19" r:id="rId11"/>
    <sheet name="P_Metal" sheetId="18" r:id="rId12"/>
    <sheet name="Contact_Metal" sheetId="20" r:id="rId13"/>
    <sheet name="Generic_Metal" sheetId="16" r:id="rId14"/>
    <sheet name="Bonding" sheetId="23" r:id="rId15"/>
    <sheet name="Backgrinding" sheetId="25" r:id="rId16"/>
    <sheet name="GaN_CMP" sheetId="43" r:id="rId17"/>
    <sheet name="LLO" sheetId="28" r:id="rId18"/>
    <sheet name="Dicing" sheetId="26" r:id="rId19"/>
    <sheet name="Wafer_Probe_Test" sheetId="27" r:id="rId20"/>
    <sheet name="Die_Attach" sheetId="33" r:id="rId21"/>
    <sheet name="Flip_Chip" sheetId="37" r:id="rId22"/>
    <sheet name="ESD_Attach" sheetId="35" r:id="rId23"/>
    <sheet name="Wire_Bonding" sheetId="36" r:id="rId24"/>
    <sheet name="Phosphor_Package" sheetId="31" r:id="rId25"/>
    <sheet name="Curing" sheetId="48" r:id="rId26"/>
    <sheet name="Encapsulation" sheetId="39" r:id="rId27"/>
    <sheet name="Lens_Molding" sheetId="40" r:id="rId28"/>
    <sheet name="Lens_Attach" sheetId="38" r:id="rId29"/>
    <sheet name="LED_Test" sheetId="42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CCT">[1]Configurations!$B$4:$B$6</definedName>
    <definedName name="DEDiameter">#REF!</definedName>
    <definedName name="DEGaN">#REF!</definedName>
    <definedName name="DESapphire">#REF!</definedName>
    <definedName name="DESiC">#REF!</definedName>
    <definedName name="DESilicon">#REF!</definedName>
    <definedName name="DESubs">#REF!</definedName>
    <definedName name="DESubstrate">#REF!</definedName>
    <definedName name="Diameter" localSheetId="15">[2]Configurations!#REF!</definedName>
    <definedName name="Diameter" localSheetId="14">[3]Configurations!#REF!</definedName>
    <definedName name="Diameter" localSheetId="18">[4]Configurations!#REF!</definedName>
    <definedName name="Diameter" localSheetId="7">#REF!</definedName>
    <definedName name="Diameter" localSheetId="8">#REF!</definedName>
    <definedName name="Diameter" localSheetId="26">[1]Configurations!#REF!</definedName>
    <definedName name="Diameter" localSheetId="16">[2]Configurations!#REF!</definedName>
    <definedName name="Diameter" localSheetId="27">[1]Configurations!#REF!</definedName>
    <definedName name="Diameter" localSheetId="17">[5]Configurations!#REF!</definedName>
    <definedName name="Diameter" localSheetId="24">[1]Configurations!#REF!</definedName>
    <definedName name="Diameter" localSheetId="4">[6]Configurations!#REF!</definedName>
    <definedName name="Diameter" localSheetId="19">[7]Configurations!#REF!</definedName>
    <definedName name="Diameter">#REF!</definedName>
    <definedName name="DryDepDiameter" localSheetId="7">#REF!</definedName>
    <definedName name="DryDepDiameter" localSheetId="8">#REF!</definedName>
    <definedName name="DryDepDiameter">#REF!</definedName>
    <definedName name="DryDepGaN" localSheetId="7">#REF!</definedName>
    <definedName name="DryDepGaN" localSheetId="8">#REF!</definedName>
    <definedName name="DryDepGaN">#REF!</definedName>
    <definedName name="DryDepSapphire">#REF!</definedName>
    <definedName name="DryDepSiC">#REF!</definedName>
    <definedName name="DryDepSilicon">#REF!</definedName>
    <definedName name="DryDepSubs">#REF!</definedName>
    <definedName name="DryDepSubstrate">#REF!</definedName>
    <definedName name="GaN" localSheetId="26">#REF!</definedName>
    <definedName name="GaN" localSheetId="27">#REF!</definedName>
    <definedName name="GaN" localSheetId="24">#REF!</definedName>
    <definedName name="GaN">#REF!</definedName>
    <definedName name="LDiameter">#REF!</definedName>
    <definedName name="LGaN">#REF!</definedName>
    <definedName name="LSapphire">#REF!</definedName>
    <definedName name="LSiC">#REF!</definedName>
    <definedName name="LSilicon">#REF!</definedName>
    <definedName name="LSubs">#REF!</definedName>
    <definedName name="MDiameter">#REF!</definedName>
    <definedName name="Metals">#REF!</definedName>
    <definedName name="MGaN">#REF!</definedName>
    <definedName name="MSapphire">#REF!</definedName>
    <definedName name="MSiC">#REF!</definedName>
    <definedName name="MSilicon">#REF!</definedName>
    <definedName name="MSubs">#REF!</definedName>
    <definedName name="MSubstrate">#REF!</definedName>
    <definedName name="Sapphire" localSheetId="26">#REF!</definedName>
    <definedName name="Sapphire" localSheetId="27">#REF!</definedName>
    <definedName name="Sapphire" localSheetId="24">#REF!</definedName>
    <definedName name="Sapphire">#REF!</definedName>
    <definedName name="SiC" localSheetId="26">#REF!</definedName>
    <definedName name="SiC" localSheetId="27">#REF!</definedName>
    <definedName name="SiC" localSheetId="24">#REF!</definedName>
    <definedName name="SiC">#REF!</definedName>
    <definedName name="Silicon" localSheetId="26">#REF!</definedName>
    <definedName name="Silicon" localSheetId="27">#REF!</definedName>
    <definedName name="Silicon" localSheetId="24">#REF!</definedName>
    <definedName name="Silicon">#REF!</definedName>
    <definedName name="Subs" localSheetId="15">[2]Configurations!#REF!</definedName>
    <definedName name="Subs" localSheetId="14">[3]Configurations!#REF!</definedName>
    <definedName name="Subs" localSheetId="18">[4]Configurations!#REF!</definedName>
    <definedName name="Subs" localSheetId="7">#REF!</definedName>
    <definedName name="Subs" localSheetId="8">#REF!</definedName>
    <definedName name="Subs" localSheetId="26">#REF!</definedName>
    <definedName name="Subs" localSheetId="16">[2]Configurations!#REF!</definedName>
    <definedName name="Subs" localSheetId="27">#REF!</definedName>
    <definedName name="Subs" localSheetId="17">[5]Configurations!#REF!</definedName>
    <definedName name="Subs" localSheetId="24">#REF!</definedName>
    <definedName name="Subs" localSheetId="4">[6]Configurations!#REF!</definedName>
    <definedName name="Subs" localSheetId="19">[7]Configurations!#REF!</definedName>
    <definedName name="Subs">#REF!</definedName>
    <definedName name="Substrate" localSheetId="15">[2]Configurations!$B$3:$B$6</definedName>
    <definedName name="Substrate" localSheetId="14">[3]Configurations!$B$5:$B$8</definedName>
    <definedName name="Substrate" localSheetId="18">[4]Configurations!$B$3:$B$6</definedName>
    <definedName name="Substrate" localSheetId="7">#REF!</definedName>
    <definedName name="Substrate" localSheetId="8">#REF!</definedName>
    <definedName name="Substrate" localSheetId="26">[1]Configurations!#REF!</definedName>
    <definedName name="Substrate" localSheetId="16">[2]Configurations!$B$3:$B$6</definedName>
    <definedName name="Substrate" localSheetId="27">[1]Configurations!#REF!</definedName>
    <definedName name="Substrate" localSheetId="17">[5]Configurations!$B$3:$B$6</definedName>
    <definedName name="Substrate" localSheetId="24">[1]Configurations!#REF!</definedName>
    <definedName name="Substrate" localSheetId="4">[6]Configurations!$B$3:$B$6</definedName>
    <definedName name="Substrate" localSheetId="19">[7]Configurations!$B$3:$B$6</definedName>
    <definedName name="Substr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4" i="7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4" i="2"/>
  <c r="D34" i="7"/>
  <c r="G24" i="36"/>
  <c r="D20" i="33"/>
  <c r="D3" i="5" l="1"/>
  <c r="D4" i="5"/>
  <c r="D5" i="5"/>
  <c r="D6" i="5"/>
  <c r="D7" i="5"/>
  <c r="D8" i="5"/>
  <c r="D9" i="5"/>
  <c r="D10" i="5"/>
  <c r="D11" i="5"/>
  <c r="D12" i="5"/>
  <c r="D13" i="5"/>
  <c r="D14" i="5"/>
  <c r="D15" i="5"/>
  <c r="D2" i="5"/>
  <c r="C9" i="5" l="1"/>
  <c r="C10" i="5"/>
  <c r="C11" i="5"/>
  <c r="C12" i="5"/>
  <c r="C13" i="5"/>
  <c r="D7" i="42"/>
  <c r="D7" i="48"/>
  <c r="D7" i="31"/>
  <c r="D7" i="36"/>
  <c r="D7" i="33"/>
  <c r="D8" i="27"/>
  <c r="D8" i="28"/>
  <c r="D8" i="43"/>
  <c r="D8" i="25"/>
  <c r="D8" i="23"/>
  <c r="D19" i="20"/>
  <c r="D19" i="18"/>
  <c r="D19" i="19"/>
  <c r="D15" i="49"/>
  <c r="D13" i="52"/>
  <c r="D19" i="51"/>
  <c r="D8" i="50"/>
  <c r="D9" i="11"/>
  <c r="D8" i="11"/>
  <c r="D8" i="22"/>
  <c r="D9" i="7"/>
  <c r="D10" i="42"/>
  <c r="D10" i="48"/>
  <c r="D23" i="31"/>
  <c r="D10" i="33"/>
  <c r="D11" i="27"/>
  <c r="D14" i="26"/>
  <c r="D11" i="28"/>
  <c r="D13" i="43"/>
  <c r="D14" i="25"/>
  <c r="D11" i="23"/>
  <c r="D28" i="16"/>
  <c r="D28" i="20"/>
  <c r="D28" i="18"/>
  <c r="D28" i="19"/>
  <c r="D20" i="49"/>
  <c r="D19" i="52"/>
  <c r="D24" i="51"/>
  <c r="D19" i="50"/>
  <c r="D19" i="11"/>
  <c r="D11" i="22"/>
  <c r="D27" i="7"/>
  <c r="D12" i="42"/>
  <c r="D12" i="48"/>
  <c r="D25" i="31"/>
  <c r="D13" i="36"/>
  <c r="D12" i="33"/>
  <c r="D13" i="27"/>
  <c r="D16" i="26"/>
  <c r="D13" i="28"/>
  <c r="D15" i="43"/>
  <c r="D16" i="25"/>
  <c r="D29" i="7"/>
  <c r="D13" i="22"/>
  <c r="D21" i="11"/>
  <c r="D21" i="50"/>
  <c r="D26" i="51"/>
  <c r="D21" i="52"/>
  <c r="D22" i="49"/>
  <c r="D30" i="19"/>
  <c r="D30" i="18"/>
  <c r="D30" i="20"/>
  <c r="D30" i="16"/>
  <c r="D13" i="23"/>
  <c r="D20" i="2" l="1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17" i="42" l="1"/>
  <c r="D18" i="38"/>
  <c r="D24" i="40"/>
  <c r="D24" i="39"/>
  <c r="D17" i="48"/>
  <c r="D30" i="31"/>
  <c r="D18" i="36"/>
  <c r="D18" i="35"/>
  <c r="D18" i="37"/>
  <c r="D17" i="33"/>
  <c r="D18" i="27"/>
  <c r="D21" i="26"/>
  <c r="D20" i="43"/>
  <c r="D21" i="25"/>
  <c r="D17" i="28"/>
  <c r="D18" i="23"/>
  <c r="D34" i="16"/>
  <c r="D35" i="20"/>
  <c r="D35" i="18"/>
  <c r="D35" i="19"/>
  <c r="D27" i="49"/>
  <c r="D26" i="52"/>
  <c r="D31" i="51"/>
  <c r="D27" i="11"/>
  <c r="D27" i="50"/>
  <c r="D18" i="22"/>
  <c r="D38" i="20" l="1"/>
  <c r="D40" i="18"/>
  <c r="D39" i="18"/>
  <c r="D38" i="18"/>
  <c r="D39" i="19"/>
  <c r="D38" i="19"/>
  <c r="D30" i="49"/>
  <c r="D23" i="43" l="1"/>
  <c r="D22" i="23"/>
  <c r="D21" i="23"/>
  <c r="D25" i="42" l="1"/>
  <c r="D26" i="42"/>
  <c r="D27" i="48"/>
  <c r="D26" i="48"/>
  <c r="D25" i="48"/>
  <c r="D40" i="31"/>
  <c r="D39" i="31"/>
  <c r="D38" i="31"/>
  <c r="D28" i="36"/>
  <c r="D27" i="36"/>
  <c r="D26" i="36"/>
  <c r="F21" i="33"/>
  <c r="H21" i="33" s="1"/>
  <c r="I21" i="33" s="1"/>
  <c r="D25" i="33" s="1"/>
  <c r="D47" i="7"/>
  <c r="D27" i="33"/>
  <c r="D26" i="33"/>
  <c r="D29" i="48" l="1"/>
  <c r="F44" i="2" s="1"/>
  <c r="D28" i="27"/>
  <c r="D26" i="27"/>
  <c r="D27" i="27"/>
  <c r="D30" i="43"/>
  <c r="D29" i="43"/>
  <c r="D28" i="43"/>
  <c r="D31" i="25"/>
  <c r="D30" i="25"/>
  <c r="D29" i="25"/>
  <c r="D29" i="23"/>
  <c r="D28" i="23"/>
  <c r="D44" i="20"/>
  <c r="D43" i="20"/>
  <c r="D44" i="18"/>
  <c r="D43" i="18"/>
  <c r="D44" i="19"/>
  <c r="D43" i="19"/>
  <c r="D36" i="49"/>
  <c r="D35" i="49"/>
  <c r="D36" i="52"/>
  <c r="D35" i="52"/>
  <c r="D41" i="51"/>
  <c r="D40" i="51"/>
  <c r="D39" i="51"/>
  <c r="D37" i="11"/>
  <c r="D36" i="11"/>
  <c r="D16" i="11"/>
  <c r="D14" i="11"/>
  <c r="D35" i="50"/>
  <c r="D37" i="50"/>
  <c r="D36" i="50"/>
  <c r="D15" i="50"/>
  <c r="D14" i="50"/>
  <c r="D9" i="50"/>
  <c r="D16" i="50" s="1"/>
  <c r="D28" i="22"/>
  <c r="D26" i="22"/>
  <c r="D46" i="7"/>
  <c r="D27" i="22"/>
  <c r="D44" i="7"/>
  <c r="D4" i="52" l="1"/>
  <c r="D5" i="52"/>
  <c r="D12" i="52" s="1"/>
  <c r="D23" i="52"/>
  <c r="D37" i="52" s="1"/>
  <c r="D14" i="52"/>
  <c r="D16" i="52" s="1"/>
  <c r="D34" i="52" s="1"/>
  <c r="G10" i="52"/>
  <c r="H10" i="52" s="1"/>
  <c r="I10" i="52" s="1"/>
  <c r="D5" i="51"/>
  <c r="D18" i="51" s="1"/>
  <c r="D4" i="51"/>
  <c r="H37" i="51"/>
  <c r="H38" i="51" s="1"/>
  <c r="H39" i="51" s="1"/>
  <c r="G37" i="51"/>
  <c r="G38" i="51" s="1"/>
  <c r="G39" i="51" s="1"/>
  <c r="D28" i="51"/>
  <c r="D42" i="51" s="1"/>
  <c r="D43" i="51" s="1"/>
  <c r="D44" i="51" s="1"/>
  <c r="F6" i="2" s="1"/>
  <c r="D21" i="51"/>
  <c r="D16" i="51"/>
  <c r="D13" i="51"/>
  <c r="D14" i="51" s="1"/>
  <c r="D12" i="51"/>
  <c r="D38" i="52" l="1"/>
  <c r="D39" i="52" s="1"/>
  <c r="F9" i="2" s="1"/>
  <c r="D23" i="50" l="1"/>
  <c r="D24" i="50" l="1"/>
  <c r="D38" i="50" s="1"/>
  <c r="D39" i="50" s="1"/>
  <c r="D40" i="50" s="1"/>
  <c r="F7" i="2" s="1"/>
  <c r="D5" i="49" l="1"/>
  <c r="D14" i="49" s="1"/>
  <c r="B30" i="49"/>
  <c r="D24" i="49"/>
  <c r="D37" i="49" s="1"/>
  <c r="D17" i="49" l="1"/>
  <c r="D34" i="49" s="1"/>
  <c r="D38" i="49" s="1"/>
  <c r="D39" i="49" s="1"/>
  <c r="F10" i="2" s="1"/>
  <c r="D15" i="48" l="1"/>
  <c r="G21" i="36" l="1"/>
  <c r="G23" i="36" l="1"/>
  <c r="G25" i="36" s="1"/>
  <c r="B5" i="32" l="1"/>
  <c r="D14" i="48" l="1"/>
  <c r="D28" i="48" s="1"/>
  <c r="H29" i="2" l="1"/>
  <c r="F24" i="20" l="1"/>
  <c r="G24" i="20" s="1"/>
  <c r="H24" i="20" s="1"/>
  <c r="I24" i="20" s="1"/>
  <c r="F9" i="26"/>
  <c r="D11" i="26"/>
  <c r="D8" i="26" s="1"/>
  <c r="G9" i="26" l="1"/>
  <c r="I9" i="26" s="1"/>
  <c r="J9" i="26" s="1"/>
  <c r="K9" i="26" s="1"/>
  <c r="D29" i="26"/>
  <c r="G15" i="31"/>
  <c r="G16" i="31" s="1"/>
  <c r="D31" i="26" l="1"/>
  <c r="D30" i="26"/>
  <c r="D24" i="7"/>
  <c r="D25" i="28"/>
  <c r="D26" i="38"/>
  <c r="D10" i="25"/>
  <c r="D14" i="42"/>
  <c r="D28" i="42" s="1"/>
  <c r="D15" i="38"/>
  <c r="D16" i="38" s="1"/>
  <c r="D28" i="38" s="1"/>
  <c r="D27" i="38"/>
  <c r="D13" i="40"/>
  <c r="D15" i="40" s="1"/>
  <c r="D32" i="40" s="1"/>
  <c r="D21" i="40"/>
  <c r="D22" i="40" s="1"/>
  <c r="D34" i="40" s="1"/>
  <c r="D33" i="40"/>
  <c r="D13" i="39"/>
  <c r="D15" i="39" s="1"/>
  <c r="D32" i="39" s="1"/>
  <c r="D21" i="39"/>
  <c r="D22" i="39" s="1"/>
  <c r="D34" i="39" s="1"/>
  <c r="D33" i="39"/>
  <c r="D15" i="36"/>
  <c r="D29" i="36" s="1"/>
  <c r="D30" i="36" s="1"/>
  <c r="F42" i="2" s="1"/>
  <c r="D15" i="37"/>
  <c r="D16" i="37" s="1"/>
  <c r="D28" i="37" s="1"/>
  <c r="D26" i="37"/>
  <c r="D27" i="37"/>
  <c r="D15" i="35"/>
  <c r="D16" i="35" s="1"/>
  <c r="D28" i="35" s="1"/>
  <c r="D26" i="35"/>
  <c r="D27" i="35"/>
  <c r="D14" i="33"/>
  <c r="D28" i="33" s="1"/>
  <c r="D29" i="33" s="1"/>
  <c r="F39" i="2" s="1"/>
  <c r="D13" i="31"/>
  <c r="D15" i="31" s="1"/>
  <c r="D20" i="31"/>
  <c r="D27" i="31"/>
  <c r="D41" i="31" s="1"/>
  <c r="D42" i="31" s="1"/>
  <c r="F43" i="2" s="1"/>
  <c r="D4" i="28"/>
  <c r="D5" i="28"/>
  <c r="D14" i="28"/>
  <c r="D15" i="28" s="1"/>
  <c r="D27" i="28" s="1"/>
  <c r="D26" i="28"/>
  <c r="D4" i="27"/>
  <c r="D5" i="27"/>
  <c r="D15" i="27"/>
  <c r="D29" i="27" s="1"/>
  <c r="D30" i="27" s="1"/>
  <c r="F20" i="2" s="1"/>
  <c r="D4" i="26"/>
  <c r="D5" i="26"/>
  <c r="D18" i="26"/>
  <c r="D32" i="26" s="1"/>
  <c r="D4" i="43"/>
  <c r="D5" i="43"/>
  <c r="D17" i="43"/>
  <c r="D31" i="43" s="1"/>
  <c r="D32" i="43" s="1"/>
  <c r="F18" i="2" s="1"/>
  <c r="D4" i="25"/>
  <c r="D5" i="25"/>
  <c r="D18" i="25"/>
  <c r="D35" i="25" s="1"/>
  <c r="D4" i="23"/>
  <c r="D5" i="23"/>
  <c r="D27" i="23" s="1"/>
  <c r="D15" i="23"/>
  <c r="D30" i="23" s="1"/>
  <c r="D4" i="22"/>
  <c r="D5" i="22"/>
  <c r="D15" i="22"/>
  <c r="D29" i="22" s="1"/>
  <c r="D4" i="16"/>
  <c r="D5" i="16"/>
  <c r="D18" i="16" s="1"/>
  <c r="D19" i="16"/>
  <c r="D42" i="16" s="1"/>
  <c r="D31" i="16"/>
  <c r="D32" i="16" s="1"/>
  <c r="B37" i="16"/>
  <c r="B38" i="16"/>
  <c r="B39" i="16"/>
  <c r="D4" i="20"/>
  <c r="D5" i="20"/>
  <c r="D18" i="20" s="1"/>
  <c r="D32" i="20"/>
  <c r="D45" i="20" s="1"/>
  <c r="B38" i="20"/>
  <c r="B39" i="20"/>
  <c r="B40" i="20"/>
  <c r="D4" i="19"/>
  <c r="D5" i="19"/>
  <c r="D18" i="19" s="1"/>
  <c r="D25" i="19" s="1"/>
  <c r="D32" i="19"/>
  <c r="D45" i="19" s="1"/>
  <c r="B38" i="19"/>
  <c r="B39" i="19"/>
  <c r="B40" i="19"/>
  <c r="D4" i="18"/>
  <c r="D5" i="18"/>
  <c r="D18" i="18" s="1"/>
  <c r="D24" i="18" s="1"/>
  <c r="D32" i="18"/>
  <c r="D45" i="18" s="1"/>
  <c r="B38" i="18"/>
  <c r="B39" i="18"/>
  <c r="B40" i="18"/>
  <c r="D4" i="11"/>
  <c r="D5" i="11"/>
  <c r="D15" i="11" s="1"/>
  <c r="D35" i="11" s="1"/>
  <c r="D23" i="11"/>
  <c r="D24" i="11" s="1"/>
  <c r="D38" i="11" s="1"/>
  <c r="D4" i="7"/>
  <c r="D5" i="7"/>
  <c r="D15" i="7" s="1"/>
  <c r="D16" i="7"/>
  <c r="D21" i="7" s="1"/>
  <c r="D19" i="7"/>
  <c r="D18" i="7" s="1"/>
  <c r="D22" i="7"/>
  <c r="I22" i="7"/>
  <c r="D23" i="7"/>
  <c r="I23" i="7"/>
  <c r="D31" i="7"/>
  <c r="D2" i="32"/>
  <c r="F2" i="32" s="1"/>
  <c r="B3" i="32"/>
  <c r="D3" i="32" s="1"/>
  <c r="F3" i="32" s="1"/>
  <c r="D4" i="32"/>
  <c r="F4" i="32" s="1"/>
  <c r="F5" i="32"/>
  <c r="E4" i="2"/>
  <c r="N6" i="2"/>
  <c r="N8" i="2" s="1"/>
  <c r="N9" i="2" s="1"/>
  <c r="N10" i="2"/>
  <c r="N11" i="2" s="1"/>
  <c r="E39" i="2"/>
  <c r="E40" i="2" s="1"/>
  <c r="E41" i="2" s="1"/>
  <c r="E42" i="2" s="1"/>
  <c r="E43" i="2" s="1"/>
  <c r="E44" i="2" s="1"/>
  <c r="E45" i="2" s="1"/>
  <c r="E46" i="2" s="1"/>
  <c r="E47" i="2" s="1"/>
  <c r="E48" i="2" s="1"/>
  <c r="N39" i="2"/>
  <c r="N40" i="2" s="1"/>
  <c r="D34" i="25" l="1"/>
  <c r="D33" i="25"/>
  <c r="D32" i="25"/>
  <c r="D31" i="23"/>
  <c r="F15" i="2" s="1"/>
  <c r="D39" i="11"/>
  <c r="D40" i="11" s="1"/>
  <c r="E5" i="2"/>
  <c r="E6" i="2" s="1"/>
  <c r="D33" i="26"/>
  <c r="F19" i="2" s="1"/>
  <c r="D48" i="7"/>
  <c r="D15" i="42"/>
  <c r="D27" i="42" s="1"/>
  <c r="D29" i="42" s="1"/>
  <c r="F48" i="2" s="1"/>
  <c r="D24" i="20"/>
  <c r="D23" i="20"/>
  <c r="D43" i="16"/>
  <c r="H39" i="2"/>
  <c r="E7" i="2"/>
  <c r="E8" i="2" s="1"/>
  <c r="E9" i="2" s="1"/>
  <c r="E10" i="2" s="1"/>
  <c r="E11" i="2" s="1"/>
  <c r="E12" i="2" s="1"/>
  <c r="E13" i="2" s="1"/>
  <c r="E14" i="2" s="1"/>
  <c r="E15" i="2" s="1"/>
  <c r="D17" i="31"/>
  <c r="D19" i="31" s="1"/>
  <c r="D28" i="28"/>
  <c r="F16" i="2" s="1"/>
  <c r="D29" i="35"/>
  <c r="F41" i="2" s="1"/>
  <c r="D29" i="37"/>
  <c r="F40" i="2" s="1"/>
  <c r="D29" i="38"/>
  <c r="F47" i="2" s="1"/>
  <c r="D25" i="18"/>
  <c r="D25" i="20"/>
  <c r="D20" i="7"/>
  <c r="D45" i="7" s="1"/>
  <c r="D35" i="39"/>
  <c r="F45" i="2" s="1"/>
  <c r="D23" i="16"/>
  <c r="D25" i="16"/>
  <c r="D24" i="16"/>
  <c r="F6" i="32"/>
  <c r="H36" i="2" s="1"/>
  <c r="D35" i="40"/>
  <c r="F46" i="2" s="1"/>
  <c r="N12" i="2"/>
  <c r="D23" i="19"/>
  <c r="D24" i="19"/>
  <c r="D23" i="18"/>
  <c r="D36" i="25" l="1"/>
  <c r="F17" i="2" s="1"/>
  <c r="D49" i="7"/>
  <c r="D50" i="7" s="1"/>
  <c r="D51" i="7" s="1"/>
  <c r="F4" i="2" s="1"/>
  <c r="H44" i="2" a="1"/>
  <c r="H44" i="2" s="1"/>
  <c r="H41" i="2" a="1"/>
  <c r="H41" i="2" s="1"/>
  <c r="H40" i="2" a="1"/>
  <c r="H40" i="2" s="1"/>
  <c r="H45" i="2" a="1"/>
  <c r="H45" i="2" s="1"/>
  <c r="H42" i="2" a="1"/>
  <c r="H42" i="2" s="1"/>
  <c r="H48" i="2" a="1"/>
  <c r="H48" i="2" s="1"/>
  <c r="H47" i="2" a="1"/>
  <c r="H47" i="2" s="1"/>
  <c r="H46" i="2" a="1"/>
  <c r="H46" i="2" s="1"/>
  <c r="H43" i="2" a="1"/>
  <c r="H43" i="2" s="1"/>
  <c r="O40" i="2"/>
  <c r="D42" i="18"/>
  <c r="D46" i="18" s="1"/>
  <c r="D47" i="18" s="1"/>
  <c r="F12" i="2" s="1"/>
  <c r="D42" i="20"/>
  <c r="D46" i="20" s="1"/>
  <c r="D47" i="20" s="1"/>
  <c r="F13" i="2" s="1"/>
  <c r="D42" i="19"/>
  <c r="D46" i="19" s="1"/>
  <c r="D47" i="19" s="1"/>
  <c r="F11" i="2" s="1"/>
  <c r="D30" i="22"/>
  <c r="D31" i="22" s="1"/>
  <c r="F5" i="2" s="1"/>
  <c r="E16" i="2"/>
  <c r="E17" i="2" s="1"/>
  <c r="E18" i="2" s="1"/>
  <c r="E19" i="2" s="1"/>
  <c r="E20" i="2" s="1"/>
  <c r="F8" i="2"/>
  <c r="H51" i="2"/>
  <c r="O9" i="2"/>
  <c r="O39" i="2"/>
  <c r="O10" i="2"/>
  <c r="D41" i="16"/>
  <c r="D44" i="16" s="1"/>
  <c r="F14" i="2" s="1"/>
  <c r="O6" i="2"/>
  <c r="N13" i="2"/>
  <c r="H20" i="2" l="1" a="1"/>
  <c r="H20" i="2" s="1"/>
  <c r="H19" i="2" a="1"/>
  <c r="H19" i="2" s="1"/>
  <c r="H6" i="2" a="1"/>
  <c r="H6" i="2" s="1"/>
  <c r="H9" i="2" a="1"/>
  <c r="H9" i="2" s="1"/>
  <c r="H7" i="2" a="1"/>
  <c r="H7" i="2" s="1"/>
  <c r="H8" i="2" a="1"/>
  <c r="H8" i="2" s="1"/>
  <c r="H13" i="2" a="1"/>
  <c r="H13" i="2" s="1"/>
  <c r="H15" i="2" a="1"/>
  <c r="H15" i="2" s="1"/>
  <c r="H18" i="2" a="1"/>
  <c r="H18" i="2" s="1"/>
  <c r="H17" i="2" a="1"/>
  <c r="H17" i="2" s="1"/>
  <c r="H10" i="2" a="1"/>
  <c r="H10" i="2" s="1"/>
  <c r="H11" i="2" a="1"/>
  <c r="H11" i="2" s="1"/>
  <c r="H5" i="2" a="1"/>
  <c r="H5" i="2" s="1"/>
  <c r="H12" i="2" a="1"/>
  <c r="H12" i="2" s="1"/>
  <c r="H14" i="2" a="1"/>
  <c r="H14" i="2" s="1"/>
  <c r="H16" i="2" a="1"/>
  <c r="H16" i="2" s="1"/>
  <c r="H49" i="2"/>
  <c r="H4" i="2"/>
  <c r="O8" i="2"/>
  <c r="O22" i="2" s="1"/>
  <c r="O12" i="2"/>
  <c r="O11" i="2"/>
  <c r="N14" i="2"/>
  <c r="O13" i="2"/>
  <c r="D45" i="16"/>
  <c r="H21" i="2" l="1"/>
  <c r="H30" i="2" s="1"/>
  <c r="N41" i="2"/>
  <c r="O4" i="2"/>
  <c r="O14" i="2"/>
  <c r="N15" i="2"/>
  <c r="N42" i="2" l="1"/>
  <c r="O41" i="2"/>
  <c r="O15" i="2"/>
  <c r="N16" i="2" l="1"/>
  <c r="N43" i="2"/>
  <c r="O42" i="2"/>
  <c r="H31" i="2" l="1"/>
  <c r="O43" i="2"/>
  <c r="N45" i="2"/>
  <c r="O16" i="2"/>
  <c r="N17" i="2"/>
  <c r="F35" i="2" l="1"/>
  <c r="H35" i="2" s="1"/>
  <c r="H50" i="2" s="1"/>
  <c r="O17" i="2"/>
  <c r="N18" i="2"/>
  <c r="O45" i="2"/>
  <c r="N46" i="2"/>
  <c r="H52" i="2" l="1"/>
  <c r="O35" i="2"/>
  <c r="N47" i="2"/>
  <c r="O46" i="2"/>
  <c r="N19" i="2"/>
  <c r="O18" i="2"/>
  <c r="N20" i="2" l="1"/>
  <c r="O19" i="2"/>
  <c r="N48" i="2"/>
  <c r="O47" i="2"/>
  <c r="O48" i="2" l="1"/>
  <c r="O50" i="2" s="1"/>
  <c r="O49" i="2" s="1"/>
  <c r="O52" i="2"/>
  <c r="N5" i="2"/>
  <c r="O20" i="2"/>
  <c r="O5" i="2" l="1"/>
  <c r="O21" i="2"/>
  <c r="O23" i="2"/>
  <c r="O2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Stephen Bland</author>
    <author>tc={A11F23AC-BD4A-487D-A6AA-C5F633ABAE4A}</author>
  </authors>
  <commentList>
    <comment ref="F3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Stephen Bland:</t>
        </r>
        <r>
          <rPr>
            <sz val="8"/>
            <color indexed="81"/>
            <rFont val="Tahoma"/>
            <family val="2"/>
          </rPr>
          <t xml:space="preserve">
Base cost not including yield</t>
        </r>
      </text>
    </comment>
    <comment ref="H3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Stephen Bland:</t>
        </r>
        <r>
          <rPr>
            <sz val="8"/>
            <color indexed="81"/>
            <rFont val="Tahoma"/>
            <family val="2"/>
          </rPr>
          <t xml:space="preserve">
Revised May2012.  Tracks cum yield and depleting quantities due to yield to determine cumulative cost per unit.</t>
        </r>
      </text>
    </comment>
    <comment ref="C4" authorId="0" shapeId="0" xr:uid="{52511A67-0D62-453A-877A-9DAE160D73B3}">
      <text>
        <r>
          <rPr>
            <b/>
            <sz val="8"/>
            <color indexed="81"/>
            <rFont val="Tahoma"/>
            <family val="2"/>
          </rPr>
          <t>Stephen Bland:</t>
        </r>
        <r>
          <rPr>
            <sz val="8"/>
            <color indexed="81"/>
            <rFont val="Tahoma"/>
            <family val="2"/>
          </rPr>
          <t xml:space="preserve">
PL yield for 4 nm bin</t>
        </r>
      </text>
    </comment>
    <comment ref="C7" authorId="1" shapeId="0" xr:uid="{A11F23AC-BD4A-487D-A6AA-C5F633ABAE4A}">
      <text>
        <t>[Threaded comment]
Your version of Excel allows you to read this threaded comment; however, any edits to it will get removed if the file is opened in a newer version of Excel. Learn more: https://go.microsoft.com/fwlink/?linkid=870924
Comment:
    Small defects in PSS pattern do not affect devices</t>
      </text>
    </comment>
    <comment ref="F38" authorId="0" shapeId="0" xr:uid="{00000000-0006-0000-0100-000009000000}">
      <text>
        <r>
          <rPr>
            <b/>
            <sz val="8"/>
            <color indexed="81"/>
            <rFont val="Tahoma"/>
            <family val="2"/>
          </rPr>
          <t>Stephen Bland:</t>
        </r>
        <r>
          <rPr>
            <sz val="8"/>
            <color indexed="81"/>
            <rFont val="Tahoma"/>
            <family val="2"/>
          </rPr>
          <t xml:space="preserve">
Base cost not including yield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tc={C50D5DAC-0E36-492E-B003-49910AFF9AEB}</author>
  </authors>
  <commentList>
    <comment ref="F23" authorId="0" shapeId="0" xr:uid="{C50D5DAC-0E36-492E-B003-49910AFF9AEB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Assumes two contact pads of 20um side length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<sst xmlns="http://schemas.openxmlformats.org/spreadsheetml/2006/main" count="2056" uniqueCount="477">
  <si>
    <t>Epitaxy</t>
  </si>
  <si>
    <t>Substrate Type</t>
  </si>
  <si>
    <t>Factory Overhead</t>
  </si>
  <si>
    <t>Cleanroom Overhead</t>
  </si>
  <si>
    <t>Step</t>
  </si>
  <si>
    <t>Cost</t>
  </si>
  <si>
    <t>Type</t>
  </si>
  <si>
    <t>Category</t>
  </si>
  <si>
    <t>Packaging</t>
  </si>
  <si>
    <t>Phosphor</t>
  </si>
  <si>
    <t>Die</t>
  </si>
  <si>
    <t>Wafer Processing</t>
  </si>
  <si>
    <t>Repeats</t>
  </si>
  <si>
    <t>Total Cost</t>
  </si>
  <si>
    <t>Cost/Die</t>
  </si>
  <si>
    <t>ESD Attach</t>
  </si>
  <si>
    <t>Encapsulation</t>
  </si>
  <si>
    <t>Total</t>
  </si>
  <si>
    <t>Substrate</t>
  </si>
  <si>
    <t>Yield</t>
  </si>
  <si>
    <t>Labor</t>
  </si>
  <si>
    <t>Backgrinding</t>
  </si>
  <si>
    <t>Item</t>
  </si>
  <si>
    <t>Units</t>
  </si>
  <si>
    <t>Value</t>
  </si>
  <si>
    <t>Comments</t>
  </si>
  <si>
    <t>Input</t>
  </si>
  <si>
    <t>Sapphire</t>
  </si>
  <si>
    <t>Select Substrate Type</t>
  </si>
  <si>
    <t>Substrate Diameter</t>
  </si>
  <si>
    <t>mm</t>
  </si>
  <si>
    <t>Select Substrate Diameter</t>
  </si>
  <si>
    <t>Parameters</t>
  </si>
  <si>
    <t>Cycle Time</t>
  </si>
  <si>
    <t>hr</t>
  </si>
  <si>
    <t>Thickness</t>
  </si>
  <si>
    <t>um</t>
  </si>
  <si>
    <t>Average Growth rate</t>
  </si>
  <si>
    <t>um/hr</t>
  </si>
  <si>
    <t>NH3 flow rate</t>
  </si>
  <si>
    <t>slm</t>
  </si>
  <si>
    <t>Depends on size of reactor, V/III ratio and growth rate.</t>
  </si>
  <si>
    <t>Reagent efficiency</t>
  </si>
  <si>
    <t>%</t>
  </si>
  <si>
    <t>Amount of Ga on the wafers vs total supplied</t>
  </si>
  <si>
    <t>Calculated</t>
  </si>
  <si>
    <t>Substrates/run</t>
  </si>
  <si>
    <t>Total Substrate Area</t>
  </si>
  <si>
    <t>cm2</t>
  </si>
  <si>
    <t>Growth time</t>
  </si>
  <si>
    <t>Variable also? Or assume fixed heat-up/cool-down and wafer load/unload</t>
  </si>
  <si>
    <t>TMG Flow</t>
  </si>
  <si>
    <t>sccm</t>
  </si>
  <si>
    <t>gm/hr</t>
  </si>
  <si>
    <t>TMG</t>
  </si>
  <si>
    <t>gm/um</t>
  </si>
  <si>
    <t>Amount of TMG for a specific reactor area and efficiency (4.5 gm/um)</t>
  </si>
  <si>
    <t>TMG Total</t>
  </si>
  <si>
    <t>gm</t>
  </si>
  <si>
    <t>1000 l = 1 m3</t>
  </si>
  <si>
    <t>NH3 Total</t>
  </si>
  <si>
    <t>liters</t>
  </si>
  <si>
    <t>1 hr extra for heat-up and cool-down</t>
  </si>
  <si>
    <t>$/m3</t>
  </si>
  <si>
    <t>$/liter</t>
  </si>
  <si>
    <t>H2 Total</t>
  </si>
  <si>
    <t>10 slm on average (~1/5th of NH3)</t>
  </si>
  <si>
    <t>Biggest Pd diffusers are in 100-200 slm range</t>
  </si>
  <si>
    <t>N2 Total</t>
  </si>
  <si>
    <t>10 slm on average</t>
  </si>
  <si>
    <t>V/III ratio</t>
  </si>
  <si>
    <t>Highlight if gets too low, &lt;1500</t>
  </si>
  <si>
    <t>Overheads</t>
  </si>
  <si>
    <t>Cost of class 10 in 2005</t>
  </si>
  <si>
    <t>Man</t>
  </si>
  <si>
    <t>Effort per reactor</t>
  </si>
  <si>
    <t>Labor Rate</t>
  </si>
  <si>
    <t>$/hr</t>
  </si>
  <si>
    <t>Equipment</t>
  </si>
  <si>
    <t>Installed Equipment Cost</t>
  </si>
  <si>
    <t>$</t>
  </si>
  <si>
    <t>Maintenance Cost</t>
  </si>
  <si>
    <t>$/yr</t>
  </si>
  <si>
    <t>Equipment Overhead</t>
  </si>
  <si>
    <t>Equipment Footprint</t>
  </si>
  <si>
    <t>m2</t>
  </si>
  <si>
    <t>Utilization</t>
  </si>
  <si>
    <t>Average Power</t>
  </si>
  <si>
    <t>kW</t>
  </si>
  <si>
    <t>$/gm</t>
  </si>
  <si>
    <t>$/litre</t>
  </si>
  <si>
    <t>$/kWh</t>
  </si>
  <si>
    <t>Output</t>
  </si>
  <si>
    <t>Substrate Costs</t>
  </si>
  <si>
    <t>Materials Costs</t>
  </si>
  <si>
    <t>Labor Costs</t>
  </si>
  <si>
    <t>Overhead Costs</t>
  </si>
  <si>
    <t>Total Cost (no yield)</t>
  </si>
  <si>
    <t>$/cm2</t>
  </si>
  <si>
    <t>Die Size</t>
  </si>
  <si>
    <t>Die/Wafer</t>
  </si>
  <si>
    <t>Electricity Price</t>
  </si>
  <si>
    <t>Depn rate</t>
  </si>
  <si>
    <t>SiH4 Flow</t>
  </si>
  <si>
    <t>(0.6 slm = 600 sccm)</t>
  </si>
  <si>
    <t>SiH4 Total</t>
  </si>
  <si>
    <t>Typ 10x SiH4 (4.5 slm = 4500 sccm)</t>
  </si>
  <si>
    <t>N2 flow rate</t>
  </si>
  <si>
    <t>SiH4</t>
  </si>
  <si>
    <t>NH3</t>
  </si>
  <si>
    <t>N2</t>
  </si>
  <si>
    <t>Mol  Wt</t>
  </si>
  <si>
    <t>g/mol</t>
  </si>
  <si>
    <t>Density</t>
  </si>
  <si>
    <t>kg/m3</t>
  </si>
  <si>
    <t>gas</t>
  </si>
  <si>
    <t>15 C</t>
  </si>
  <si>
    <t>mol/l</t>
  </si>
  <si>
    <t>m3/kg</t>
  </si>
  <si>
    <t>cm3/kg</t>
  </si>
  <si>
    <t>litres/kg</t>
  </si>
  <si>
    <t>Cost/wafer</t>
  </si>
  <si>
    <t>Cycle Time (stepper)</t>
  </si>
  <si>
    <t>wfr/hr</t>
  </si>
  <si>
    <t>cc/wfr</t>
  </si>
  <si>
    <t>4 ml for 4"</t>
  </si>
  <si>
    <t>Litho time/wafer</t>
  </si>
  <si>
    <t>Number of wafer tracks</t>
  </si>
  <si>
    <t>Wafer Track Cost</t>
  </si>
  <si>
    <t>Stepper and track</t>
  </si>
  <si>
    <t>Area of lithography fab</t>
  </si>
  <si>
    <t>$/cc</t>
  </si>
  <si>
    <t>Ultratech Sapphire</t>
  </si>
  <si>
    <t>Resist Usage</t>
  </si>
  <si>
    <t>Dry_Depn</t>
  </si>
  <si>
    <t>Dry_Etch</t>
  </si>
  <si>
    <t>Wafer_Inspection</t>
  </si>
  <si>
    <t>Wafer_Probe_Test</t>
  </si>
  <si>
    <t>Die_Attach</t>
  </si>
  <si>
    <t>Flip_Chip</t>
  </si>
  <si>
    <t>Lens_Attach</t>
  </si>
  <si>
    <t>Wire_Bonding</t>
  </si>
  <si>
    <t>LED_Test</t>
  </si>
  <si>
    <t>wph</t>
  </si>
  <si>
    <t>Contact_Metal</t>
  </si>
  <si>
    <t>N_Metal</t>
  </si>
  <si>
    <t>P_Metal</t>
  </si>
  <si>
    <t>Etch Depth</t>
  </si>
  <si>
    <t>Etch rate</t>
  </si>
  <si>
    <t>Etch time</t>
  </si>
  <si>
    <t>CF4 Flow</t>
  </si>
  <si>
    <t>CF4 Total</t>
  </si>
  <si>
    <t>CCT</t>
  </si>
  <si>
    <t>Warm</t>
  </si>
  <si>
    <t>Wafers/run</t>
  </si>
  <si>
    <t>Wafer area</t>
  </si>
  <si>
    <t>cm3</t>
  </si>
  <si>
    <t>g/cm3</t>
  </si>
  <si>
    <t>Approx value quoted for YAG:Ce and Eu-Silicates (3.1 g/cm3 for nitrides)</t>
  </si>
  <si>
    <t>Weight</t>
  </si>
  <si>
    <t>g</t>
  </si>
  <si>
    <t>YAG:Ce</t>
  </si>
  <si>
    <t>Wastage factor</t>
  </si>
  <si>
    <t>$/g</t>
  </si>
  <si>
    <t>Red</t>
  </si>
  <si>
    <t>Silicone</t>
  </si>
  <si>
    <t>30 min pump down + metal dep +load/unload</t>
  </si>
  <si>
    <t>Au</t>
  </si>
  <si>
    <t>A/sec</t>
  </si>
  <si>
    <t>typ 100-200 A/sec at 5-10 kW and 10".  Increase throw to 34" -&gt; x10 redn</t>
  </si>
  <si>
    <t>Ni</t>
  </si>
  <si>
    <t>Pt</t>
  </si>
  <si>
    <t>Ti</t>
  </si>
  <si>
    <t>None</t>
  </si>
  <si>
    <t>Metal 1</t>
  </si>
  <si>
    <t>Metal 2</t>
  </si>
  <si>
    <t>Metal 3</t>
  </si>
  <si>
    <t>Thickness 1</t>
  </si>
  <si>
    <t>Thickness 2</t>
  </si>
  <si>
    <t>Thickness 3</t>
  </si>
  <si>
    <t>Metal 1 Weight</t>
  </si>
  <si>
    <t>Metal 2 Weight</t>
  </si>
  <si>
    <t>Metal 3 Weight</t>
  </si>
  <si>
    <t>Metal 1 Density</t>
  </si>
  <si>
    <t>Metal 2 Density</t>
  </si>
  <si>
    <t>Metal 3 Density</t>
  </si>
  <si>
    <t>Metal</t>
  </si>
  <si>
    <t>Throughput</t>
  </si>
  <si>
    <t>176 bonds/hr (2" equiv) for EVB 560HBL using multisubstrate bonding</t>
  </si>
  <si>
    <t>Wax</t>
  </si>
  <si>
    <t>Slurry Delivery</t>
  </si>
  <si>
    <t>$/l</t>
  </si>
  <si>
    <t>uph</t>
  </si>
  <si>
    <t>Package</t>
  </si>
  <si>
    <t>Dispensed volume per unit (multiplied by loading factor)</t>
  </si>
  <si>
    <t>Amount of material wasted during dispensing</t>
  </si>
  <si>
    <t>Price</t>
  </si>
  <si>
    <t>Ceramic Submount</t>
  </si>
  <si>
    <t>SMD</t>
  </si>
  <si>
    <t>Lead Frame</t>
  </si>
  <si>
    <t>Qty</t>
  </si>
  <si>
    <t>Diameter</t>
  </si>
  <si>
    <t>1mm = 1000 um</t>
  </si>
  <si>
    <t>ESD Die</t>
  </si>
  <si>
    <t>Lens</t>
  </si>
  <si>
    <t>AD838</t>
  </si>
  <si>
    <t>AD819-11TS</t>
  </si>
  <si>
    <t>AD868LA</t>
  </si>
  <si>
    <t>Underfill</t>
  </si>
  <si>
    <t>$/mm</t>
  </si>
  <si>
    <t>Wire bond length</t>
  </si>
  <si>
    <t>Phosphor_Package</t>
  </si>
  <si>
    <t>Encapsulant volume</t>
  </si>
  <si>
    <t>2 to 3 g/cm3</t>
  </si>
  <si>
    <t>1.5 kg for ~$1000</t>
  </si>
  <si>
    <t>DS500</t>
  </si>
  <si>
    <t>Silicone Density</t>
  </si>
  <si>
    <t>Phosphor Volume</t>
  </si>
  <si>
    <t>Silicone Weight</t>
  </si>
  <si>
    <t>Lens_Molding</t>
  </si>
  <si>
    <t>Height</t>
  </si>
  <si>
    <t xml:space="preserve">Dispensed volume per unit </t>
  </si>
  <si>
    <t>between $0.0006 and $0.0008 per mm2</t>
  </si>
  <si>
    <t>3um &amp; 6 um diamond slurry</t>
  </si>
  <si>
    <t>Approx 1 liter per wafer</t>
  </si>
  <si>
    <t>l/wafer</t>
  </si>
  <si>
    <t>Throughput (fine)</t>
  </si>
  <si>
    <t>Throughput (coarse)</t>
  </si>
  <si>
    <t>Materials Costs (coarse)</t>
  </si>
  <si>
    <t>Labor Costs (coarse)</t>
  </si>
  <si>
    <t>Overhead Costs (coarse)</t>
  </si>
  <si>
    <t>Materials Costs (fine)</t>
  </si>
  <si>
    <t>Labor Costs (fine)</t>
  </si>
  <si>
    <t>Overhead Costs (fine)</t>
  </si>
  <si>
    <t>GaN_CMP</t>
  </si>
  <si>
    <t>CMP Slurry Delivery</t>
  </si>
  <si>
    <t>Colloidal Silica</t>
  </si>
  <si>
    <t>$3.5 for 100mm</t>
  </si>
  <si>
    <t>$2 for 100mm</t>
  </si>
  <si>
    <t>Generic_Metal</t>
  </si>
  <si>
    <t>In case a different metal layer is required</t>
  </si>
  <si>
    <t>Note: Only Modify Yellow Cells</t>
  </si>
  <si>
    <t>Return to Process Steps</t>
  </si>
  <si>
    <t>Overall Cost/Processed Wafer</t>
  </si>
  <si>
    <t>Wafers</t>
  </si>
  <si>
    <t>Epiwafer Cost</t>
  </si>
  <si>
    <t>Processing Cost</t>
  </si>
  <si>
    <t>Packaging Cost</t>
  </si>
  <si>
    <t>Die Cost</t>
  </si>
  <si>
    <t>Cost/Processed Wafer</t>
  </si>
  <si>
    <t>Packaging Materials</t>
  </si>
  <si>
    <t>Ceramic Package</t>
  </si>
  <si>
    <t>5mmx5mmx1.8mm ~ $0.03</t>
  </si>
  <si>
    <t>Silicone+Phosphor Volume</t>
  </si>
  <si>
    <t>Phosphor Loading (wt%)</t>
  </si>
  <si>
    <t>Enter Die Size</t>
  </si>
  <si>
    <t>Scribe Channel (um)</t>
  </si>
  <si>
    <t>Die Cost ($/mm2)</t>
  </si>
  <si>
    <t>NH3_HP</t>
  </si>
  <si>
    <t>H2</t>
  </si>
  <si>
    <t>N2_HP</t>
  </si>
  <si>
    <t>Raw Materials Costs</t>
  </si>
  <si>
    <t>SiH</t>
  </si>
  <si>
    <t>NH3_LP</t>
  </si>
  <si>
    <t>N2_LP</t>
  </si>
  <si>
    <t>Photoresist</t>
  </si>
  <si>
    <t>CF4</t>
  </si>
  <si>
    <t>Slurry_Silica</t>
  </si>
  <si>
    <t>Slurry_Diamond</t>
  </si>
  <si>
    <t>Carrier</t>
  </si>
  <si>
    <t>Au_Wire</t>
  </si>
  <si>
    <t>Temescal FC-3800</t>
  </si>
  <si>
    <t>Factory depreciation, labor, and fixed operating costs (utilities, maintenance), other indirect costs</t>
  </si>
  <si>
    <t>EPITAXY</t>
  </si>
  <si>
    <t>DRY DEPOSITION</t>
  </si>
  <si>
    <t>LITHOGRAPHY</t>
  </si>
  <si>
    <t>WAFER INSPECTION</t>
  </si>
  <si>
    <t>WAFER BONDING</t>
  </si>
  <si>
    <t>BACKGRINDING</t>
  </si>
  <si>
    <t>GAN CMP</t>
  </si>
  <si>
    <t>WAFER DICING</t>
  </si>
  <si>
    <t>WAFER PROBE TEST</t>
  </si>
  <si>
    <t>PHOSPHOR (PACKAGE LEVEL)</t>
  </si>
  <si>
    <t>DIE ATTACH</t>
  </si>
  <si>
    <t>ESD ATTACH</t>
  </si>
  <si>
    <t>ENCAPSULATION</t>
  </si>
  <si>
    <t>LENS MOLDING</t>
  </si>
  <si>
    <t>LENS ATTACH</t>
  </si>
  <si>
    <t>Edge Exclusion (mm)</t>
  </si>
  <si>
    <t>Module</t>
  </si>
  <si>
    <t>Veeco 465i</t>
  </si>
  <si>
    <t>Yield Savings/Inspection</t>
  </si>
  <si>
    <t>Candela 6220</t>
  </si>
  <si>
    <t>JPSA Auto LLO</t>
  </si>
  <si>
    <t>JPSA ChromaDice IX-210</t>
  </si>
  <si>
    <t>Generic GaN CMP</t>
  </si>
  <si>
    <t>approx 14% of coarse throughput</t>
  </si>
  <si>
    <t>Generic Backgrinder</t>
  </si>
  <si>
    <t>Needed?</t>
  </si>
  <si>
    <t>This number is carried to the Process Worksheet</t>
  </si>
  <si>
    <t>includes wastage factor</t>
  </si>
  <si>
    <t>LED Package Cost</t>
  </si>
  <si>
    <t>Amount of extra area deposited with metal and wastage from soak</t>
  </si>
  <si>
    <t>Cum Yield</t>
  </si>
  <si>
    <t>Wafer Fabrication Process</t>
  </si>
  <si>
    <t>Die Packaging Process</t>
  </si>
  <si>
    <t>DRY ETCH</t>
  </si>
  <si>
    <t>N-TYPE METAL</t>
  </si>
  <si>
    <t>P-TYPE METAL</t>
  </si>
  <si>
    <t>CONTACT METAL</t>
  </si>
  <si>
    <t>GENERIC METAL</t>
  </si>
  <si>
    <t>Wafer Bonding</t>
  </si>
  <si>
    <t>WAFER LEVEL LASER LIFT-OFF (LLO)</t>
  </si>
  <si>
    <t>Wafer LLO</t>
  </si>
  <si>
    <t>Wafer Dicing</t>
  </si>
  <si>
    <t>FLIP CHIP</t>
  </si>
  <si>
    <t>WIRE BONDING</t>
  </si>
  <si>
    <t>Mask/Reticle</t>
  </si>
  <si>
    <t>Consumable materials (cost/run)</t>
  </si>
  <si>
    <t>Epitaxy Consumables</t>
  </si>
  <si>
    <t>Mix selected depending on CCT</t>
  </si>
  <si>
    <t>Material</t>
  </si>
  <si>
    <t>Die Cost (yielded)</t>
  </si>
  <si>
    <t>Package Cost (yielded)</t>
  </si>
  <si>
    <t>Cost/Pkg</t>
  </si>
  <si>
    <t>No of Die</t>
  </si>
  <si>
    <t>Cascade Microtech Blue Ray</t>
  </si>
  <si>
    <t>LED TEST/SORT</t>
  </si>
  <si>
    <t>Typically starts around 10% for dam &amp; fill; increases for conformal</t>
  </si>
  <si>
    <t xml:space="preserve">       </t>
  </si>
  <si>
    <t xml:space="preserve">Larger diameter for dam &amp; fill; reduced to chip or package area for conformal (note: 1 mm2 = 1.14 mm dia) </t>
  </si>
  <si>
    <t>5630 package</t>
  </si>
  <si>
    <r>
      <t>$/m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/yr</t>
    </r>
  </si>
  <si>
    <r>
      <t>mm</t>
    </r>
    <r>
      <rPr>
        <vertAlign val="superscript"/>
        <sz val="11"/>
        <rFont val="Calibri"/>
        <family val="2"/>
        <scheme val="minor"/>
      </rPr>
      <t>2</t>
    </r>
  </si>
  <si>
    <t xml:space="preserve"> </t>
  </si>
  <si>
    <t>US (West) average industry electricity cost</t>
  </si>
  <si>
    <t>Cleanroom technician</t>
  </si>
  <si>
    <r>
      <t>Area (mm</t>
    </r>
    <r>
      <rPr>
        <b/>
        <vertAlign val="superscript"/>
        <sz val="11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>)</t>
    </r>
  </si>
  <si>
    <r>
      <t>Price ($/mm</t>
    </r>
    <r>
      <rPr>
        <b/>
        <vertAlign val="superscript"/>
        <sz val="11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>)</t>
    </r>
  </si>
  <si>
    <t>For equation, compare article on Analytical Die Count Estimation</t>
  </si>
  <si>
    <t>Curing</t>
  </si>
  <si>
    <t>Testing</t>
  </si>
  <si>
    <t>Classical</t>
  </si>
  <si>
    <t>TFFC</t>
  </si>
  <si>
    <t>Yes</t>
  </si>
  <si>
    <t>No</t>
  </si>
  <si>
    <t>Classical Chip</t>
  </si>
  <si>
    <r>
      <t>m</t>
    </r>
    <r>
      <rPr>
        <i/>
        <vertAlign val="superscript"/>
        <sz val="11"/>
        <rFont val="Calibri"/>
        <family val="2"/>
        <scheme val="minor"/>
      </rPr>
      <t>2</t>
    </r>
  </si>
  <si>
    <t>Calculated from:</t>
  </si>
  <si>
    <t>board width = 400mm</t>
  </si>
  <si>
    <t>package dimensions = 5.6x3mm</t>
  </si>
  <si>
    <t>conveyor speed = heated length / curing time</t>
  </si>
  <si>
    <t>througput = conveyor speed * ( board width / package width)</t>
  </si>
  <si>
    <r>
      <t>curing parameters = XXX</t>
    </r>
    <r>
      <rPr>
        <sz val="11"/>
        <rFont val="Calibri"/>
        <family val="2"/>
      </rPr>
      <t>°C for XXmin (dependent on silicone properties)</t>
    </r>
  </si>
  <si>
    <t>CURING (PACKAGE LEVEL)</t>
  </si>
  <si>
    <t>In cleanroom?</t>
  </si>
  <si>
    <r>
      <t>600m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exhaust requirement</t>
    </r>
  </si>
  <si>
    <t>Nordson Dima Curano II</t>
  </si>
  <si>
    <t>Infrared (convection) curing oven for EU market (identical to version for US market); equipment list contains UV curing ovens as well</t>
  </si>
  <si>
    <t>200 to 500 um for dam &amp; fill; much thinner for conformal; phosphor plate (e.g. Lumiramic) is typ 50-300 um</t>
  </si>
  <si>
    <t>dimensions 4.5x2.6x0.4</t>
  </si>
  <si>
    <t>volume [mm3]</t>
  </si>
  <si>
    <t>volume [cm3]</t>
  </si>
  <si>
    <t>Only warm white relevant to model</t>
  </si>
  <si>
    <t>Au density</t>
  </si>
  <si>
    <t>[kg/m3]</t>
  </si>
  <si>
    <t>[kg/mm3]</t>
  </si>
  <si>
    <t>[$/kg]</t>
  </si>
  <si>
    <t>Price per wire</t>
  </si>
  <si>
    <t>Wire volume</t>
  </si>
  <si>
    <t>[mm3]</t>
  </si>
  <si>
    <t>Au price (approximate)</t>
  </si>
  <si>
    <t>Maximum length for single bond often limited at 5mm for bonding equipment</t>
  </si>
  <si>
    <t>25 wires/second (2mm), 2 wires/package, time for movement etc.</t>
  </si>
  <si>
    <t>ASM Pacific AD819-11B</t>
  </si>
  <si>
    <t>ASM Pacific iHawk Xtreme</t>
  </si>
  <si>
    <t>Nordson Asymtek S-920N</t>
  </si>
  <si>
    <t>ASM Pacific AS899</t>
  </si>
  <si>
    <t>JPSA IX-210 ChromaDice (claim $2/wafer) plus die separator (DDS2300)</t>
  </si>
  <si>
    <t>die/wafer</t>
  </si>
  <si>
    <t>total cutting length [mm]</t>
  </si>
  <si>
    <t>feed speed [mm/s]</t>
  </si>
  <si>
    <t>total cutting time [s]</t>
  </si>
  <si>
    <t>total cutting time [h]</t>
  </si>
  <si>
    <t>throughput</t>
  </si>
  <si>
    <t>Cutting Speed</t>
  </si>
  <si>
    <t>mm/s</t>
  </si>
  <si>
    <t>Blue Tape</t>
  </si>
  <si>
    <t>Required:</t>
  </si>
  <si>
    <t>Vacuum, Clean Air</t>
  </si>
  <si>
    <t>LEDCOMv2 data</t>
  </si>
  <si>
    <t>Cooling Water, Compressed Air, possibly Nitrogen</t>
  </si>
  <si>
    <t>ITO_Deposition</t>
  </si>
  <si>
    <t>ITO Deposition</t>
  </si>
  <si>
    <t>ITO</t>
  </si>
  <si>
    <t>Metal Density</t>
  </si>
  <si>
    <t>Metal Weight</t>
  </si>
  <si>
    <t>Cooling Water, probably Air Exhaust, possibly Vacuum</t>
  </si>
  <si>
    <t>Ferrotec Temescal FC-3800</t>
  </si>
  <si>
    <t>Ferrotec Temescal FC-2800</t>
  </si>
  <si>
    <t>Process</t>
  </si>
  <si>
    <t>Metal Organic Chemical Vapour Deposition (MOCVD)</t>
  </si>
  <si>
    <t>Automated Optical Inspection (AOI)</t>
  </si>
  <si>
    <t>Electron-Beam (E-Beam) Evaporation</t>
  </si>
  <si>
    <t>Wafer Probing Station</t>
  </si>
  <si>
    <t>Total gold area [cm2]</t>
  </si>
  <si>
    <t>Total gold volume [cm3]</t>
  </si>
  <si>
    <t>Total gold weight [g]</t>
  </si>
  <si>
    <t>Total gold price [$]</t>
  </si>
  <si>
    <t>Lithography_Mask</t>
  </si>
  <si>
    <t>Lithography_Stepper</t>
  </si>
  <si>
    <t>For PSS etching of wafer</t>
  </si>
  <si>
    <t>UV Lithography, Resist Processing</t>
  </si>
  <si>
    <t>Laser Lift-Off</t>
  </si>
  <si>
    <t>Always check if patterned or unpatterened</t>
  </si>
  <si>
    <t>PE-CVD</t>
  </si>
  <si>
    <t>Reactive-Ion Etching (RIE)</t>
  </si>
  <si>
    <t>nm/min</t>
  </si>
  <si>
    <t>Oxford Instruments PlasmaPro 800Plus</t>
  </si>
  <si>
    <t>A/min</t>
  </si>
  <si>
    <t>nm/hr</t>
  </si>
  <si>
    <t>Reported rates go from &gt;3000A/min (Nichia, https://worldwide.espacenet.com/patent/search?q=pn%3DJP2003142414A) to &lt;500A/min (https://doi.org/10.1016/S0042-207X(02)00651-6)</t>
  </si>
  <si>
    <t>Oxford Instruments PlasmaPro System133</t>
  </si>
  <si>
    <t>Ultratech Sapphire 100</t>
  </si>
  <si>
    <t>Wax Bonding and Thermal Debonding</t>
  </si>
  <si>
    <t>EV Group EVG 560HBL</t>
  </si>
  <si>
    <t>1200um wafer thickness, according to https://web.archive.org/web/20200725122505/https://www.ledsmagazine.com/manufacturing-services-testing/research-development/article/16695702/led-wafer-and-automation-standards-are-on-the-fast-track-ready-for-more-industry-feedback-magazine</t>
  </si>
  <si>
    <t>Diamond Wheel Grinding</t>
  </si>
  <si>
    <t>Lapping, Polishing (with Diamond Slurry)</t>
  </si>
  <si>
    <t>Laser Ablation</t>
  </si>
  <si>
    <t>For structural etching of wafer</t>
  </si>
  <si>
    <t>Deposition of SiO2 as hard mask</t>
  </si>
  <si>
    <t>Required to thin sapphire substrate to cutting thickness (100um)</t>
  </si>
  <si>
    <t>Equipment Depreciation</t>
  </si>
  <si>
    <t xml:space="preserve"> /hr</t>
  </si>
  <si>
    <t>Includes maintainance and assumes scrap value of 20% after disassembly</t>
  </si>
  <si>
    <t>Equipment Lifetime</t>
  </si>
  <si>
    <t>years</t>
  </si>
  <si>
    <t xml:space="preserve"> /run</t>
  </si>
  <si>
    <t>Includes electricity, cleanroom costs, fab "consumables" (air, water, …)</t>
  </si>
  <si>
    <t>Cost/Wafer</t>
  </si>
  <si>
    <t>All consumables covered explicitly</t>
  </si>
  <si>
    <t>Includes:</t>
  </si>
  <si>
    <t>Cleaning, consumables</t>
  </si>
  <si>
    <t>Cycle Time (wafer track)</t>
  </si>
  <si>
    <t>Resist Thickness</t>
  </si>
  <si>
    <t>Resist Wasteage</t>
  </si>
  <si>
    <t>Mask Durability</t>
  </si>
  <si>
    <t>cycles</t>
  </si>
  <si>
    <t xml:space="preserve">https://en.wikipedia.org/wiki/Photolithography#Basic_procedure </t>
  </si>
  <si>
    <t xml:space="preserve"> /wafer</t>
  </si>
  <si>
    <t>Includes generic separation equipment</t>
  </si>
  <si>
    <t>Ag</t>
  </si>
  <si>
    <t>$/kg</t>
  </si>
  <si>
    <t xml:space="preserve"> /die</t>
  </si>
  <si>
    <t>Volume [mm3]</t>
  </si>
  <si>
    <t>Density Ag [g/mm3]</t>
  </si>
  <si>
    <t>Weight [g]</t>
  </si>
  <si>
    <t>Weight [kg]</t>
  </si>
  <si>
    <t>For Ag-based solutions, Ag content is between 70-90%, assume Ag price instead of solution price</t>
  </si>
  <si>
    <t>"65-70 for market leaders"</t>
  </si>
  <si>
    <t>Ag Price</t>
  </si>
  <si>
    <t>Au Price</t>
  </si>
  <si>
    <t>Ti Price</t>
  </si>
  <si>
    <t>Pt Price</t>
  </si>
  <si>
    <t>Ni Price</t>
  </si>
  <si>
    <t>ITO Price</t>
  </si>
  <si>
    <t>Overall Utilization</t>
  </si>
  <si>
    <t>Yielded Cost</t>
  </si>
  <si>
    <t>Adjusted Yield</t>
  </si>
  <si>
    <t>Value (2012)</t>
  </si>
  <si>
    <t>Aver. (2012,2020)</t>
  </si>
  <si>
    <t>Value (2020)</t>
  </si>
  <si>
    <t>Equipment Discount</t>
  </si>
  <si>
    <t>Labour Increase</t>
  </si>
  <si>
    <t>Cycle Time (inverse UPH)</t>
  </si>
  <si>
    <t>Yielded cost (total)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</si>
</sst>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_-* #,##0.00_-;\-* #,##0.00_-;_-* &quot;-&quot;??_-;_-@_-"/>
    <numFmt numFmtId="165" formatCode="&quot;$&quot;#,##0.00_);\(&quot;$&quot;#,##0.00\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&quot;$&quot;#,##0.00"/>
    <numFmt numFmtId="169" formatCode="&quot;$&quot;#,##0.0"/>
    <numFmt numFmtId="170" formatCode="&quot;$&quot;#,##0.000"/>
    <numFmt numFmtId="171" formatCode="#,##0.0"/>
    <numFmt numFmtId="172" formatCode="#,##0\ &quot;Units per year&quot;"/>
    <numFmt numFmtId="173" formatCode="0.0%"/>
    <numFmt numFmtId="174" formatCode="&quot;$&quot;#,##0"/>
    <numFmt numFmtId="175" formatCode="0.0000"/>
    <numFmt numFmtId="176" formatCode="0.0"/>
    <numFmt numFmtId="177" formatCode="0.00000"/>
    <numFmt numFmtId="178" formatCode="&quot;$&quot;#,##0.0000"/>
    <numFmt numFmtId="179" formatCode="_(&quot;$&quot;* #,##0.0_);_(&quot;$&quot;* \(#,##0.0\);_(&quot;$&quot;* &quot;-&quot;??_);_(@_)"/>
    <numFmt numFmtId="180" formatCode="_(&quot;$&quot;* #,##0_);_(&quot;$&quot;* \(#,##0\);_(&quot;$&quot;* &quot;-&quot;??_);_(@_)"/>
    <numFmt numFmtId="181" formatCode="_(* #,##0_);_(* \(#,##0\);_(* &quot;-&quot;??_);_(@_)"/>
    <numFmt numFmtId="182" formatCode="_(&quot;$&quot;* #,##0.000_);_(&quot;$&quot;* \(#,##0.000\);_(&quot;$&quot;* &quot;-&quot;??_);_(@_)"/>
    <numFmt numFmtId="183" formatCode="#,##0.0000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8"/>
      <name val="AvantGarde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Palatino"/>
      <family val="1"/>
    </font>
    <font>
      <sz val="11"/>
      <color indexed="62"/>
      <name val="Calibri"/>
      <family val="2"/>
    </font>
    <font>
      <u/>
      <sz val="9.9"/>
      <color indexed="12"/>
      <name val="Calibri"/>
      <family val="2"/>
    </font>
    <font>
      <sz val="10"/>
      <name val="Lucida Fax"/>
      <family val="1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8"/>
      <name val="AvantGarde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b/>
      <i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i/>
      <sz val="10"/>
      <color indexed="10"/>
      <name val="Arial"/>
      <family val="2"/>
    </font>
    <font>
      <b/>
      <sz val="14"/>
      <name val="Calibri"/>
      <family val="2"/>
    </font>
    <font>
      <sz val="11"/>
      <name val="Calibri"/>
      <family val="2"/>
      <scheme val="minor"/>
    </font>
    <font>
      <u/>
      <sz val="11"/>
      <color indexed="1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i/>
      <sz val="11"/>
      <color indexed="10"/>
      <name val="Calibri"/>
      <family val="2"/>
      <scheme val="minor"/>
    </font>
    <font>
      <i/>
      <sz val="11"/>
      <color indexed="1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indexed="14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sz val="11"/>
      <name val="Calibri"/>
      <family val="2"/>
    </font>
    <font>
      <sz val="28"/>
      <name val="Calibri"/>
      <family val="2"/>
      <scheme val="minor"/>
    </font>
    <font>
      <u/>
      <sz val="11"/>
      <color indexed="12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darkUp"/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6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0" borderId="0" applyNumberFormat="0" applyFill="0" applyBorder="0" applyAlignment="0" applyProtection="0"/>
    <xf numFmtId="11" fontId="8" fillId="20" borderId="0"/>
    <xf numFmtId="0" fontId="9" fillId="21" borderId="1" applyNumberFormat="0" applyAlignment="0" applyProtection="0"/>
    <xf numFmtId="0" fontId="10" fillId="0" borderId="2" applyNumberFormat="0" applyFill="0" applyAlignment="0" applyProtection="0"/>
    <xf numFmtId="167" fontId="1" fillId="0" borderId="0" applyFont="0" applyFill="0" applyBorder="0" applyAlignment="0" applyProtection="0"/>
    <xf numFmtId="171" fontId="11" fillId="0" borderId="0">
      <alignment horizontal="right"/>
    </xf>
    <xf numFmtId="0" fontId="5" fillId="23" borderId="4" applyNumberFormat="0" applyFont="0" applyAlignment="0" applyProtection="0"/>
    <xf numFmtId="166" fontId="1" fillId="0" borderId="0" applyFont="0" applyFill="0" applyBorder="0" applyAlignment="0" applyProtection="0"/>
    <xf numFmtId="0" fontId="12" fillId="7" borderId="1" applyNumberFormat="0" applyAlignment="0" applyProtection="0"/>
    <xf numFmtId="166" fontId="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1" fontId="14" fillId="0" borderId="8" applyNumberFormat="0" applyFont="0"/>
    <xf numFmtId="0" fontId="15" fillId="3" borderId="0" applyNumberFormat="0" applyBorder="0" applyAlignment="0" applyProtection="0"/>
    <xf numFmtId="0" fontId="16" fillId="24" borderId="0" applyNumberFormat="0" applyBorder="0" applyAlignment="0" applyProtection="0"/>
    <xf numFmtId="0" fontId="4" fillId="0" borderId="0"/>
    <xf numFmtId="172" fontId="17" fillId="1" borderId="0" applyNumberFormat="0">
      <alignment horizontal="left"/>
    </xf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21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22" borderId="3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</cellStyleXfs>
  <cellXfs count="29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/>
    <xf numFmtId="9" fontId="1" fillId="0" borderId="0" xfId="41"/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2" fillId="25" borderId="8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3" fillId="0" borderId="8" xfId="0" applyFont="1" applyBorder="1" applyAlignment="1">
      <alignment horizontal="center"/>
    </xf>
    <xf numFmtId="0" fontId="2" fillId="0" borderId="11" xfId="0" applyFont="1" applyBorder="1"/>
    <xf numFmtId="0" fontId="3" fillId="0" borderId="8" xfId="0" applyFont="1" applyBorder="1"/>
    <xf numFmtId="0" fontId="0" fillId="0" borderId="8" xfId="0" applyBorder="1"/>
    <xf numFmtId="0" fontId="27" fillId="0" borderId="0" xfId="0" applyFont="1"/>
    <xf numFmtId="0" fontId="2" fillId="0" borderId="8" xfId="0" applyFont="1" applyBorder="1"/>
    <xf numFmtId="174" fontId="3" fillId="0" borderId="8" xfId="0" applyNumberFormat="1" applyFont="1" applyBorder="1" applyAlignment="1">
      <alignment horizontal="center"/>
    </xf>
    <xf numFmtId="9" fontId="3" fillId="0" borderId="8" xfId="0" applyNumberFormat="1" applyFont="1" applyBorder="1" applyAlignment="1">
      <alignment horizontal="center"/>
    </xf>
    <xf numFmtId="1" fontId="3" fillId="0" borderId="8" xfId="41" applyNumberFormat="1" applyFont="1" applyFill="1" applyBorder="1" applyAlignment="1">
      <alignment horizontal="center"/>
    </xf>
    <xf numFmtId="168" fontId="3" fillId="0" borderId="8" xfId="0" applyNumberFormat="1" applyFont="1" applyBorder="1" applyAlignment="1">
      <alignment horizontal="center"/>
    </xf>
    <xf numFmtId="170" fontId="3" fillId="0" borderId="8" xfId="0" applyNumberFormat="1" applyFont="1" applyBorder="1" applyAlignment="1">
      <alignment horizontal="center"/>
    </xf>
    <xf numFmtId="178" fontId="3" fillId="0" borderId="8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75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0" fontId="4" fillId="0" borderId="8" xfId="0" applyFont="1" applyBorder="1"/>
    <xf numFmtId="0" fontId="2" fillId="0" borderId="0" xfId="0" applyFont="1"/>
    <xf numFmtId="177" fontId="3" fillId="0" borderId="8" xfId="0" applyNumberFormat="1" applyFont="1" applyBorder="1" applyAlignment="1">
      <alignment horizontal="center"/>
    </xf>
    <xf numFmtId="178" fontId="28" fillId="0" borderId="8" xfId="0" applyNumberFormat="1" applyFont="1" applyBorder="1" applyAlignment="1">
      <alignment horizontal="center"/>
    </xf>
    <xf numFmtId="177" fontId="0" fillId="0" borderId="0" xfId="0" applyNumberFormat="1"/>
    <xf numFmtId="9" fontId="2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3" fillId="0" borderId="0" xfId="35" applyBorder="1" applyAlignment="1" applyProtection="1">
      <alignment horizontal="center"/>
    </xf>
    <xf numFmtId="0" fontId="31" fillId="0" borderId="8" xfId="0" applyFont="1" applyBorder="1"/>
    <xf numFmtId="178" fontId="31" fillId="0" borderId="8" xfId="0" applyNumberFormat="1" applyFont="1" applyBorder="1" applyAlignment="1">
      <alignment horizontal="center"/>
    </xf>
    <xf numFmtId="170" fontId="31" fillId="0" borderId="8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Continuous"/>
    </xf>
    <xf numFmtId="0" fontId="0" fillId="0" borderId="12" xfId="0" applyBorder="1" applyAlignment="1">
      <alignment horizontal="centerContinuous"/>
    </xf>
    <xf numFmtId="0" fontId="0" fillId="0" borderId="17" xfId="0" applyBorder="1" applyAlignment="1">
      <alignment horizontal="centerContinuous"/>
    </xf>
    <xf numFmtId="0" fontId="13" fillId="0" borderId="12" xfId="35" applyBorder="1" applyAlignment="1" applyProtection="1">
      <alignment horizontal="centerContinuous"/>
    </xf>
    <xf numFmtId="0" fontId="13" fillId="0" borderId="17" xfId="35" applyBorder="1" applyAlignment="1" applyProtection="1">
      <alignment horizontal="centerContinuous"/>
    </xf>
    <xf numFmtId="0" fontId="32" fillId="0" borderId="11" xfId="35" applyFont="1" applyBorder="1" applyAlignment="1" applyProtection="1">
      <alignment horizontal="centerContinuous"/>
    </xf>
    <xf numFmtId="0" fontId="2" fillId="0" borderId="0" xfId="0" applyFont="1" applyAlignment="1">
      <alignment horizontal="left"/>
    </xf>
    <xf numFmtId="0" fontId="2" fillId="29" borderId="8" xfId="0" applyFont="1" applyFill="1" applyBorder="1" applyAlignment="1">
      <alignment horizontal="center"/>
    </xf>
    <xf numFmtId="9" fontId="2" fillId="29" borderId="8" xfId="0" applyNumberFormat="1" applyFont="1" applyFill="1" applyBorder="1" applyAlignment="1">
      <alignment horizontal="center"/>
    </xf>
    <xf numFmtId="0" fontId="2" fillId="0" borderId="19" xfId="0" applyFont="1" applyBorder="1"/>
    <xf numFmtId="0" fontId="0" fillId="0" borderId="12" xfId="0" applyBorder="1" applyAlignment="1">
      <alignment horizontal="center"/>
    </xf>
    <xf numFmtId="1" fontId="2" fillId="29" borderId="8" xfId="0" applyNumberFormat="1" applyFont="1" applyFill="1" applyBorder="1" applyAlignment="1">
      <alignment horizontal="center"/>
    </xf>
    <xf numFmtId="0" fontId="2" fillId="0" borderId="12" xfId="0" applyFont="1" applyBorder="1"/>
    <xf numFmtId="0" fontId="2" fillId="0" borderId="12" xfId="0" applyFont="1" applyBorder="1" applyAlignment="1">
      <alignment horizontal="center"/>
    </xf>
    <xf numFmtId="4" fontId="2" fillId="29" borderId="8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Continuous"/>
    </xf>
    <xf numFmtId="0" fontId="32" fillId="0" borderId="0" xfId="35" applyFont="1" applyBorder="1" applyAlignment="1" applyProtection="1">
      <alignment horizontal="centerContinuous"/>
    </xf>
    <xf numFmtId="0" fontId="13" fillId="0" borderId="0" xfId="35" applyBorder="1" applyAlignment="1" applyProtection="1">
      <alignment horizontal="centerContinuous"/>
    </xf>
    <xf numFmtId="0" fontId="33" fillId="0" borderId="0" xfId="0" applyFont="1"/>
    <xf numFmtId="0" fontId="35" fillId="0" borderId="8" xfId="0" applyFont="1" applyBorder="1" applyAlignment="1">
      <alignment horizontal="left"/>
    </xf>
    <xf numFmtId="0" fontId="35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right"/>
    </xf>
    <xf numFmtId="0" fontId="35" fillId="0" borderId="0" xfId="0" applyFont="1"/>
    <xf numFmtId="0" fontId="36" fillId="0" borderId="0" xfId="0" applyFont="1"/>
    <xf numFmtId="0" fontId="35" fillId="0" borderId="8" xfId="0" applyFont="1" applyBorder="1" applyAlignment="1">
      <alignment horizontal="center"/>
    </xf>
    <xf numFmtId="0" fontId="34" fillId="0" borderId="0" xfId="35" applyFont="1" applyBorder="1" applyAlignment="1" applyProtection="1">
      <alignment horizontal="center"/>
    </xf>
    <xf numFmtId="0" fontId="35" fillId="0" borderId="11" xfId="0" applyFont="1" applyBorder="1" applyAlignment="1">
      <alignment horizontal="centerContinuous"/>
    </xf>
    <xf numFmtId="0" fontId="33" fillId="0" borderId="12" xfId="0" applyFont="1" applyBorder="1" applyAlignment="1">
      <alignment horizontal="centerContinuous"/>
    </xf>
    <xf numFmtId="0" fontId="33" fillId="0" borderId="17" xfId="0" applyFont="1" applyBorder="1" applyAlignment="1">
      <alignment horizontal="centerContinuous"/>
    </xf>
    <xf numFmtId="0" fontId="35" fillId="0" borderId="8" xfId="0" applyFont="1" applyBorder="1"/>
    <xf numFmtId="0" fontId="33" fillId="0" borderId="8" xfId="0" applyFont="1" applyBorder="1" applyAlignment="1">
      <alignment horizontal="center"/>
    </xf>
    <xf numFmtId="0" fontId="35" fillId="0" borderId="0" xfId="0" applyFont="1" applyAlignment="1">
      <alignment horizontal="left"/>
    </xf>
    <xf numFmtId="9" fontId="35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1" fontId="36" fillId="0" borderId="0" xfId="0" applyNumberFormat="1" applyFont="1" applyAlignment="1">
      <alignment horizontal="center"/>
    </xf>
    <xf numFmtId="0" fontId="37" fillId="0" borderId="0" xfId="0" applyFont="1"/>
    <xf numFmtId="0" fontId="35" fillId="0" borderId="19" xfId="0" applyFont="1" applyBorder="1"/>
    <xf numFmtId="0" fontId="35" fillId="0" borderId="12" xfId="0" applyFont="1" applyBorder="1" applyAlignment="1">
      <alignment horizontal="centerContinuous"/>
    </xf>
    <xf numFmtId="0" fontId="35" fillId="0" borderId="0" xfId="0" applyFont="1" applyAlignment="1">
      <alignment horizontal="right"/>
    </xf>
    <xf numFmtId="0" fontId="36" fillId="0" borderId="8" xfId="0" applyFont="1" applyBorder="1"/>
    <xf numFmtId="0" fontId="36" fillId="0" borderId="8" xfId="0" applyFont="1" applyBorder="1" applyAlignment="1">
      <alignment horizontal="center"/>
    </xf>
    <xf numFmtId="174" fontId="36" fillId="0" borderId="8" xfId="0" applyNumberFormat="1" applyFont="1" applyBorder="1" applyAlignment="1">
      <alignment horizontal="center"/>
    </xf>
    <xf numFmtId="9" fontId="36" fillId="0" borderId="8" xfId="0" applyNumberFormat="1" applyFont="1" applyBorder="1" applyAlignment="1">
      <alignment horizontal="center"/>
    </xf>
    <xf numFmtId="1" fontId="36" fillId="0" borderId="8" xfId="41" applyNumberFormat="1" applyFont="1" applyFill="1" applyBorder="1" applyAlignment="1">
      <alignment horizontal="center"/>
    </xf>
    <xf numFmtId="168" fontId="36" fillId="0" borderId="8" xfId="0" applyNumberFormat="1" applyFont="1" applyBorder="1" applyAlignment="1">
      <alignment horizontal="center"/>
    </xf>
    <xf numFmtId="0" fontId="35" fillId="0" borderId="11" xfId="0" applyFont="1" applyBorder="1"/>
    <xf numFmtId="0" fontId="33" fillId="0" borderId="8" xfId="0" applyFont="1" applyBorder="1"/>
    <xf numFmtId="168" fontId="33" fillId="0" borderId="8" xfId="0" applyNumberFormat="1" applyFont="1" applyBorder="1" applyAlignment="1">
      <alignment horizontal="center"/>
    </xf>
    <xf numFmtId="9" fontId="33" fillId="0" borderId="0" xfId="41" applyFont="1"/>
    <xf numFmtId="0" fontId="38" fillId="0" borderId="8" xfId="0" applyFont="1" applyBorder="1"/>
    <xf numFmtId="0" fontId="38" fillId="0" borderId="8" xfId="0" applyFont="1" applyBorder="1" applyAlignment="1">
      <alignment horizontal="center"/>
    </xf>
    <xf numFmtId="168" fontId="38" fillId="0" borderId="8" xfId="0" applyNumberFormat="1" applyFont="1" applyBorder="1" applyAlignment="1">
      <alignment horizontal="center"/>
    </xf>
    <xf numFmtId="174" fontId="36" fillId="0" borderId="0" xfId="0" applyNumberFormat="1" applyFont="1"/>
    <xf numFmtId="174" fontId="35" fillId="0" borderId="0" xfId="0" applyNumberFormat="1" applyFont="1" applyAlignment="1">
      <alignment horizontal="center"/>
    </xf>
    <xf numFmtId="165" fontId="33" fillId="0" borderId="0" xfId="0" applyNumberFormat="1" applyFont="1" applyAlignment="1">
      <alignment horizontal="center"/>
    </xf>
    <xf numFmtId="0" fontId="35" fillId="0" borderId="11" xfId="35" applyFont="1" applyBorder="1" applyAlignment="1" applyProtection="1">
      <alignment horizontal="centerContinuous"/>
    </xf>
    <xf numFmtId="0" fontId="34" fillId="0" borderId="12" xfId="35" applyFont="1" applyBorder="1" applyAlignment="1" applyProtection="1">
      <alignment horizontal="centerContinuous"/>
    </xf>
    <xf numFmtId="0" fontId="34" fillId="0" borderId="17" xfId="35" applyFont="1" applyBorder="1" applyAlignment="1" applyProtection="1">
      <alignment horizontal="centerContinuous"/>
    </xf>
    <xf numFmtId="1" fontId="36" fillId="0" borderId="8" xfId="0" applyNumberFormat="1" applyFont="1" applyBorder="1" applyAlignment="1">
      <alignment horizontal="center"/>
    </xf>
    <xf numFmtId="176" fontId="36" fillId="0" borderId="8" xfId="0" applyNumberFormat="1" applyFont="1" applyBorder="1" applyAlignment="1">
      <alignment horizontal="center"/>
    </xf>
    <xf numFmtId="2" fontId="36" fillId="0" borderId="8" xfId="0" applyNumberFormat="1" applyFont="1" applyBorder="1" applyAlignment="1">
      <alignment horizontal="center"/>
    </xf>
    <xf numFmtId="168" fontId="36" fillId="0" borderId="8" xfId="0" quotePrefix="1" applyNumberFormat="1" applyFont="1" applyBorder="1" applyAlignment="1">
      <alignment horizontal="center"/>
    </xf>
    <xf numFmtId="178" fontId="36" fillId="0" borderId="8" xfId="0" applyNumberFormat="1" applyFont="1" applyBorder="1" applyAlignment="1">
      <alignment horizontal="center"/>
    </xf>
    <xf numFmtId="168" fontId="40" fillId="0" borderId="8" xfId="0" applyNumberFormat="1" applyFont="1" applyBorder="1" applyAlignment="1">
      <alignment horizontal="center"/>
    </xf>
    <xf numFmtId="0" fontId="39" fillId="0" borderId="8" xfId="0" applyFont="1" applyBorder="1" applyAlignment="1">
      <alignment horizontal="center"/>
    </xf>
    <xf numFmtId="0" fontId="33" fillId="0" borderId="0" xfId="0" applyFont="1" applyAlignment="1">
      <alignment horizontal="left"/>
    </xf>
    <xf numFmtId="181" fontId="33" fillId="0" borderId="0" xfId="29" applyNumberFormat="1" applyFont="1" applyAlignment="1">
      <alignment horizontal="center"/>
    </xf>
    <xf numFmtId="180" fontId="33" fillId="0" borderId="0" xfId="32" applyNumberFormat="1" applyFont="1"/>
    <xf numFmtId="169" fontId="33" fillId="28" borderId="8" xfId="0" applyNumberFormat="1" applyFont="1" applyFill="1" applyBorder="1" applyAlignment="1">
      <alignment horizontal="center"/>
    </xf>
    <xf numFmtId="181" fontId="33" fillId="0" borderId="0" xfId="0" applyNumberFormat="1" applyFont="1" applyAlignment="1">
      <alignment horizontal="center"/>
    </xf>
    <xf numFmtId="168" fontId="33" fillId="28" borderId="8" xfId="0" applyNumberFormat="1" applyFont="1" applyFill="1" applyBorder="1" applyAlignment="1">
      <alignment horizontal="center"/>
    </xf>
    <xf numFmtId="168" fontId="33" fillId="0" borderId="0" xfId="0" applyNumberFormat="1" applyFont="1" applyAlignment="1">
      <alignment horizontal="center"/>
    </xf>
    <xf numFmtId="179" fontId="33" fillId="0" borderId="0" xfId="32" applyNumberFormat="1" applyFont="1"/>
    <xf numFmtId="180" fontId="33" fillId="0" borderId="8" xfId="0" applyNumberFormat="1" applyFont="1" applyBorder="1"/>
    <xf numFmtId="9" fontId="33" fillId="0" borderId="0" xfId="41" applyFont="1" applyFill="1" applyBorder="1" applyAlignment="1">
      <alignment horizontal="center"/>
    </xf>
    <xf numFmtId="0" fontId="42" fillId="0" borderId="0" xfId="0" applyFont="1"/>
    <xf numFmtId="168" fontId="36" fillId="0" borderId="0" xfId="0" applyNumberFormat="1" applyFont="1" applyAlignment="1">
      <alignment horizontal="center"/>
    </xf>
    <xf numFmtId="0" fontId="36" fillId="0" borderId="0" xfId="0" applyFont="1" applyAlignment="1">
      <alignment horizontal="right"/>
    </xf>
    <xf numFmtId="0" fontId="43" fillId="0" borderId="0" xfId="0" applyFont="1"/>
    <xf numFmtId="3" fontId="33" fillId="27" borderId="18" xfId="0" applyNumberFormat="1" applyFont="1" applyFill="1" applyBorder="1" applyAlignment="1">
      <alignment horizontal="center"/>
    </xf>
    <xf numFmtId="170" fontId="35" fillId="0" borderId="13" xfId="0" applyNumberFormat="1" applyFont="1" applyBorder="1" applyAlignment="1">
      <alignment horizontal="center"/>
    </xf>
    <xf numFmtId="170" fontId="36" fillId="0" borderId="0" xfId="0" applyNumberFormat="1" applyFont="1" applyAlignment="1">
      <alignment horizontal="center"/>
    </xf>
    <xf numFmtId="170" fontId="33" fillId="26" borderId="8" xfId="0" applyNumberFormat="1" applyFont="1" applyFill="1" applyBorder="1" applyAlignment="1">
      <alignment horizontal="center"/>
    </xf>
    <xf numFmtId="181" fontId="33" fillId="0" borderId="0" xfId="29" applyNumberFormat="1" applyFont="1"/>
    <xf numFmtId="170" fontId="33" fillId="26" borderId="16" xfId="0" applyNumberFormat="1" applyFont="1" applyFill="1" applyBorder="1" applyAlignment="1">
      <alignment horizontal="center"/>
    </xf>
    <xf numFmtId="181" fontId="33" fillId="0" borderId="0" xfId="0" applyNumberFormat="1" applyFont="1"/>
    <xf numFmtId="170" fontId="33" fillId="30" borderId="8" xfId="0" applyNumberFormat="1" applyFont="1" applyFill="1" applyBorder="1" applyAlignment="1">
      <alignment horizontal="center"/>
    </xf>
    <xf numFmtId="182" fontId="33" fillId="0" borderId="0" xfId="32" applyNumberFormat="1" applyFont="1"/>
    <xf numFmtId="0" fontId="34" fillId="0" borderId="0" xfId="35" applyFont="1" applyFill="1" applyBorder="1" applyAlignment="1" applyProtection="1"/>
    <xf numFmtId="9" fontId="33" fillId="0" borderId="0" xfId="0" applyNumberFormat="1" applyFont="1" applyAlignment="1">
      <alignment horizontal="center"/>
    </xf>
    <xf numFmtId="170" fontId="33" fillId="0" borderId="0" xfId="0" applyNumberFormat="1" applyFont="1" applyAlignment="1">
      <alignment horizontal="center"/>
    </xf>
    <xf numFmtId="170" fontId="33" fillId="26" borderId="14" xfId="0" applyNumberFormat="1" applyFont="1" applyFill="1" applyBorder="1" applyAlignment="1">
      <alignment horizontal="center"/>
    </xf>
    <xf numFmtId="180" fontId="33" fillId="0" borderId="0" xfId="0" applyNumberFormat="1" applyFont="1"/>
    <xf numFmtId="0" fontId="33" fillId="32" borderId="0" xfId="0" applyFont="1" applyFill="1"/>
    <xf numFmtId="0" fontId="33" fillId="33" borderId="0" xfId="0" applyFont="1" applyFill="1"/>
    <xf numFmtId="168" fontId="35" fillId="0" borderId="8" xfId="0" applyNumberFormat="1" applyFont="1" applyBorder="1" applyAlignment="1">
      <alignment horizontal="center"/>
    </xf>
    <xf numFmtId="0" fontId="13" fillId="0" borderId="0" xfId="35" applyAlignment="1" applyProtection="1">
      <alignment horizontal="left"/>
    </xf>
    <xf numFmtId="170" fontId="33" fillId="0" borderId="0" xfId="0" applyNumberFormat="1" applyFont="1"/>
    <xf numFmtId="170" fontId="35" fillId="30" borderId="0" xfId="0" applyNumberFormat="1" applyFont="1" applyFill="1"/>
    <xf numFmtId="0" fontId="35" fillId="0" borderId="17" xfId="0" applyFont="1" applyBorder="1" applyAlignment="1">
      <alignment horizontal="center"/>
    </xf>
    <xf numFmtId="9" fontId="35" fillId="35" borderId="8" xfId="41" applyFont="1" applyFill="1" applyBorder="1" applyAlignment="1" applyProtection="1">
      <alignment horizontal="center"/>
      <protection locked="0"/>
    </xf>
    <xf numFmtId="0" fontId="35" fillId="35" borderId="8" xfId="0" applyFont="1" applyFill="1" applyBorder="1" applyAlignment="1" applyProtection="1">
      <alignment horizontal="center"/>
      <protection locked="0"/>
    </xf>
    <xf numFmtId="173" fontId="35" fillId="35" borderId="8" xfId="41" applyNumberFormat="1" applyFont="1" applyFill="1" applyBorder="1" applyAlignment="1" applyProtection="1">
      <alignment horizontal="center"/>
      <protection locked="0"/>
    </xf>
    <xf numFmtId="0" fontId="35" fillId="35" borderId="20" xfId="0" applyFont="1" applyFill="1" applyBorder="1" applyAlignment="1" applyProtection="1">
      <alignment horizontal="center"/>
      <protection locked="0"/>
    </xf>
    <xf numFmtId="0" fontId="35" fillId="35" borderId="16" xfId="0" applyFont="1" applyFill="1" applyBorder="1" applyAlignment="1" applyProtection="1">
      <alignment horizontal="center"/>
      <protection locked="0"/>
    </xf>
    <xf numFmtId="9" fontId="35" fillId="35" borderId="16" xfId="0" applyNumberFormat="1" applyFont="1" applyFill="1" applyBorder="1" applyAlignment="1" applyProtection="1">
      <alignment horizontal="center"/>
      <protection locked="0"/>
    </xf>
    <xf numFmtId="9" fontId="35" fillId="35" borderId="8" xfId="0" applyNumberFormat="1" applyFont="1" applyFill="1" applyBorder="1" applyAlignment="1" applyProtection="1">
      <alignment horizontal="center"/>
      <protection locked="0"/>
    </xf>
    <xf numFmtId="170" fontId="33" fillId="36" borderId="16" xfId="0" applyNumberFormat="1" applyFont="1" applyFill="1" applyBorder="1" applyAlignment="1">
      <alignment horizontal="center"/>
    </xf>
    <xf numFmtId="0" fontId="35" fillId="0" borderId="16" xfId="0" applyFont="1" applyBorder="1" applyAlignment="1">
      <alignment horizontal="center"/>
    </xf>
    <xf numFmtId="0" fontId="34" fillId="0" borderId="16" xfId="35" applyFont="1" applyFill="1" applyBorder="1" applyAlignment="1" applyProtection="1"/>
    <xf numFmtId="9" fontId="33" fillId="0" borderId="16" xfId="0" applyNumberFormat="1" applyFont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33" fillId="35" borderId="0" xfId="0" applyFont="1" applyFill="1" applyAlignment="1">
      <alignment horizontal="center"/>
    </xf>
    <xf numFmtId="1" fontId="33" fillId="35" borderId="0" xfId="0" applyNumberFormat="1" applyFont="1" applyFill="1" applyAlignment="1">
      <alignment horizontal="center"/>
    </xf>
    <xf numFmtId="0" fontId="33" fillId="35" borderId="0" xfId="0" applyFont="1" applyFill="1" applyAlignment="1">
      <alignment horizontal="left"/>
    </xf>
    <xf numFmtId="174" fontId="33" fillId="35" borderId="0" xfId="0" applyNumberFormat="1" applyFont="1" applyFill="1" applyAlignment="1">
      <alignment horizontal="left"/>
    </xf>
    <xf numFmtId="168" fontId="33" fillId="35" borderId="0" xfId="0" applyNumberFormat="1" applyFont="1" applyFill="1" applyAlignment="1">
      <alignment horizontal="left"/>
    </xf>
    <xf numFmtId="169" fontId="35" fillId="0" borderId="0" xfId="0" applyNumberFormat="1" applyFont="1" applyAlignment="1">
      <alignment horizontal="center"/>
    </xf>
    <xf numFmtId="9" fontId="33" fillId="0" borderId="16" xfId="41" applyFont="1" applyFill="1" applyBorder="1" applyAlignment="1">
      <alignment horizontal="center"/>
    </xf>
    <xf numFmtId="170" fontId="33" fillId="0" borderId="16" xfId="0" applyNumberFormat="1" applyFont="1" applyBorder="1" applyAlignment="1">
      <alignment horizontal="center"/>
    </xf>
    <xf numFmtId="0" fontId="34" fillId="0" borderId="8" xfId="35" applyFont="1" applyFill="1" applyBorder="1" applyAlignment="1" applyProtection="1"/>
    <xf numFmtId="9" fontId="33" fillId="0" borderId="8" xfId="41" applyFont="1" applyFill="1" applyBorder="1" applyAlignment="1">
      <alignment horizontal="center"/>
    </xf>
    <xf numFmtId="170" fontId="33" fillId="0" borderId="8" xfId="0" applyNumberFormat="1" applyFont="1" applyBorder="1" applyAlignment="1">
      <alignment horizontal="center"/>
    </xf>
    <xf numFmtId="170" fontId="33" fillId="37" borderId="8" xfId="0" applyNumberFormat="1" applyFont="1" applyFill="1" applyBorder="1" applyAlignment="1">
      <alignment horizontal="center"/>
    </xf>
    <xf numFmtId="0" fontId="33" fillId="37" borderId="8" xfId="0" applyFont="1" applyFill="1" applyBorder="1" applyAlignment="1">
      <alignment horizontal="center"/>
    </xf>
    <xf numFmtId="170" fontId="36" fillId="0" borderId="8" xfId="0" applyNumberFormat="1" applyFont="1" applyBorder="1" applyAlignment="1">
      <alignment horizontal="center"/>
    </xf>
    <xf numFmtId="170" fontId="38" fillId="0" borderId="8" xfId="0" applyNumberFormat="1" applyFont="1" applyBorder="1" applyAlignment="1">
      <alignment horizontal="center"/>
    </xf>
    <xf numFmtId="0" fontId="35" fillId="35" borderId="8" xfId="0" applyFont="1" applyFill="1" applyBorder="1" applyAlignment="1">
      <alignment horizontal="center"/>
    </xf>
    <xf numFmtId="1" fontId="35" fillId="35" borderId="8" xfId="0" applyNumberFormat="1" applyFont="1" applyFill="1" applyBorder="1" applyAlignment="1">
      <alignment horizontal="center"/>
    </xf>
    <xf numFmtId="4" fontId="35" fillId="35" borderId="8" xfId="0" applyNumberFormat="1" applyFont="1" applyFill="1" applyBorder="1" applyAlignment="1">
      <alignment horizontal="center"/>
    </xf>
    <xf numFmtId="0" fontId="35" fillId="35" borderId="8" xfId="0" applyFont="1" applyFill="1" applyBorder="1" applyAlignment="1">
      <alignment horizontal="left"/>
    </xf>
    <xf numFmtId="177" fontId="36" fillId="0" borderId="8" xfId="0" applyNumberFormat="1" applyFont="1" applyBorder="1" applyAlignment="1">
      <alignment horizontal="center"/>
    </xf>
    <xf numFmtId="175" fontId="36" fillId="0" borderId="8" xfId="0" applyNumberFormat="1" applyFont="1" applyBorder="1" applyAlignment="1">
      <alignment horizontal="center"/>
    </xf>
    <xf numFmtId="0" fontId="41" fillId="0" borderId="0" xfId="0" applyFont="1"/>
    <xf numFmtId="175" fontId="33" fillId="0" borderId="0" xfId="41" applyNumberFormat="1" applyFont="1"/>
    <xf numFmtId="9" fontId="35" fillId="35" borderId="8" xfId="0" applyNumberFormat="1" applyFont="1" applyFill="1" applyBorder="1" applyAlignment="1">
      <alignment horizontal="center"/>
    </xf>
    <xf numFmtId="9" fontId="36" fillId="35" borderId="8" xfId="41" applyFont="1" applyFill="1" applyBorder="1" applyAlignment="1">
      <alignment horizontal="center"/>
    </xf>
    <xf numFmtId="178" fontId="38" fillId="0" borderId="8" xfId="0" applyNumberFormat="1" applyFont="1" applyBorder="1" applyAlignment="1">
      <alignment horizontal="center"/>
    </xf>
    <xf numFmtId="0" fontId="36" fillId="0" borderId="17" xfId="0" applyFont="1" applyBorder="1"/>
    <xf numFmtId="3" fontId="33" fillId="0" borderId="0" xfId="0" applyNumberFormat="1" applyFont="1"/>
    <xf numFmtId="1" fontId="35" fillId="0" borderId="8" xfId="0" applyNumberFormat="1" applyFont="1" applyBorder="1" applyAlignment="1">
      <alignment horizontal="center"/>
    </xf>
    <xf numFmtId="1" fontId="33" fillId="0" borderId="17" xfId="0" applyNumberFormat="1" applyFont="1" applyBorder="1" applyAlignment="1">
      <alignment horizontal="centerContinuous"/>
    </xf>
    <xf numFmtId="1" fontId="35" fillId="35" borderId="8" xfId="0" applyNumberFormat="1" applyFont="1" applyFill="1" applyBorder="1" applyAlignment="1">
      <alignment horizontal="left"/>
    </xf>
    <xf numFmtId="1" fontId="33" fillId="0" borderId="0" xfId="0" applyNumberFormat="1" applyFont="1"/>
    <xf numFmtId="1" fontId="33" fillId="0" borderId="0" xfId="0" applyNumberFormat="1" applyFont="1" applyAlignment="1">
      <alignment horizontal="center"/>
    </xf>
    <xf numFmtId="2" fontId="35" fillId="35" borderId="8" xfId="0" applyNumberFormat="1" applyFont="1" applyFill="1" applyBorder="1" applyAlignment="1">
      <alignment horizontal="center"/>
    </xf>
    <xf numFmtId="173" fontId="35" fillId="35" borderId="8" xfId="0" applyNumberFormat="1" applyFont="1" applyFill="1" applyBorder="1" applyAlignment="1">
      <alignment horizontal="center"/>
    </xf>
    <xf numFmtId="0" fontId="35" fillId="0" borderId="8" xfId="52" applyFont="1" applyBorder="1" applyAlignment="1">
      <alignment horizontal="center"/>
    </xf>
    <xf numFmtId="0" fontId="35" fillId="0" borderId="0" xfId="52" applyFont="1" applyAlignment="1">
      <alignment horizontal="center"/>
    </xf>
    <xf numFmtId="0" fontId="33" fillId="0" borderId="0" xfId="52" applyFont="1"/>
    <xf numFmtId="0" fontId="35" fillId="0" borderId="8" xfId="52" applyFont="1" applyBorder="1"/>
    <xf numFmtId="0" fontId="33" fillId="0" borderId="8" xfId="52" applyFont="1" applyBorder="1" applyAlignment="1">
      <alignment horizontal="center"/>
    </xf>
    <xf numFmtId="0" fontId="33" fillId="0" borderId="0" xfId="52" applyFont="1" applyAlignment="1">
      <alignment horizontal="right"/>
    </xf>
    <xf numFmtId="0" fontId="35" fillId="0" borderId="8" xfId="52" applyFont="1" applyBorder="1" applyAlignment="1">
      <alignment horizontal="left"/>
    </xf>
    <xf numFmtId="0" fontId="35" fillId="35" borderId="8" xfId="52" applyFont="1" applyFill="1" applyBorder="1" applyAlignment="1">
      <alignment horizontal="left"/>
    </xf>
    <xf numFmtId="0" fontId="35" fillId="0" borderId="11" xfId="52" applyFont="1" applyBorder="1" applyAlignment="1">
      <alignment horizontal="centerContinuous"/>
    </xf>
    <xf numFmtId="0" fontId="33" fillId="0" borderId="12" xfId="52" applyFont="1" applyBorder="1" applyAlignment="1">
      <alignment horizontal="centerContinuous"/>
    </xf>
    <xf numFmtId="0" fontId="33" fillId="0" borderId="17" xfId="52" applyFont="1" applyBorder="1" applyAlignment="1">
      <alignment horizontal="centerContinuous"/>
    </xf>
    <xf numFmtId="0" fontId="35" fillId="35" borderId="8" xfId="52" applyFont="1" applyFill="1" applyBorder="1" applyAlignment="1">
      <alignment horizontal="center"/>
    </xf>
    <xf numFmtId="0" fontId="33" fillId="31" borderId="0" xfId="52" applyFont="1" applyFill="1"/>
    <xf numFmtId="9" fontId="35" fillId="35" borderId="8" xfId="52" applyNumberFormat="1" applyFont="1" applyFill="1" applyBorder="1" applyAlignment="1">
      <alignment horizontal="center"/>
    </xf>
    <xf numFmtId="0" fontId="36" fillId="0" borderId="8" xfId="52" applyFont="1" applyBorder="1" applyAlignment="1">
      <alignment horizontal="center"/>
    </xf>
    <xf numFmtId="0" fontId="35" fillId="0" borderId="11" xfId="52" applyFont="1" applyBorder="1"/>
    <xf numFmtId="0" fontId="36" fillId="0" borderId="8" xfId="52" applyFont="1" applyBorder="1"/>
    <xf numFmtId="1" fontId="36" fillId="0" borderId="8" xfId="52" applyNumberFormat="1" applyFont="1" applyBorder="1" applyAlignment="1">
      <alignment horizontal="center"/>
    </xf>
    <xf numFmtId="0" fontId="35" fillId="0" borderId="0" xfId="52" applyFont="1"/>
    <xf numFmtId="2" fontId="36" fillId="0" borderId="8" xfId="52" applyNumberFormat="1" applyFont="1" applyBorder="1" applyAlignment="1">
      <alignment horizontal="center"/>
    </xf>
    <xf numFmtId="0" fontId="35" fillId="0" borderId="19" xfId="52" applyFont="1" applyBorder="1"/>
    <xf numFmtId="0" fontId="35" fillId="0" borderId="12" xfId="52" applyFont="1" applyBorder="1" applyAlignment="1">
      <alignment horizontal="centerContinuous"/>
    </xf>
    <xf numFmtId="4" fontId="35" fillId="35" borderId="8" xfId="52" applyNumberFormat="1" applyFont="1" applyFill="1" applyBorder="1" applyAlignment="1">
      <alignment horizontal="center"/>
    </xf>
    <xf numFmtId="0" fontId="35" fillId="0" borderId="0" xfId="52" applyFont="1" applyAlignment="1">
      <alignment horizontal="right"/>
    </xf>
    <xf numFmtId="174" fontId="36" fillId="0" borderId="8" xfId="52" applyNumberFormat="1" applyFont="1" applyBorder="1" applyAlignment="1">
      <alignment horizontal="center"/>
    </xf>
    <xf numFmtId="9" fontId="36" fillId="0" borderId="8" xfId="52" applyNumberFormat="1" applyFont="1" applyBorder="1" applyAlignment="1">
      <alignment horizontal="center"/>
    </xf>
    <xf numFmtId="1" fontId="36" fillId="0" borderId="8" xfId="41" applyNumberFormat="1" applyFont="1" applyBorder="1" applyAlignment="1">
      <alignment horizontal="center"/>
    </xf>
    <xf numFmtId="168" fontId="36" fillId="0" borderId="8" xfId="52" applyNumberFormat="1" applyFont="1" applyBorder="1" applyAlignment="1">
      <alignment horizontal="center"/>
    </xf>
    <xf numFmtId="0" fontId="33" fillId="0" borderId="0" xfId="52" applyFont="1" applyAlignment="1">
      <alignment horizontal="center"/>
    </xf>
    <xf numFmtId="0" fontId="38" fillId="0" borderId="8" xfId="52" applyFont="1" applyBorder="1"/>
    <xf numFmtId="0" fontId="38" fillId="0" borderId="8" xfId="52" applyFont="1" applyBorder="1" applyAlignment="1">
      <alignment horizontal="center"/>
    </xf>
    <xf numFmtId="0" fontId="50" fillId="0" borderId="8" xfId="35" applyFont="1" applyFill="1" applyBorder="1" applyAlignment="1" applyProtection="1"/>
    <xf numFmtId="174" fontId="40" fillId="0" borderId="8" xfId="0" applyNumberFormat="1" applyFont="1" applyBorder="1" applyAlignment="1">
      <alignment horizontal="center"/>
    </xf>
    <xf numFmtId="0" fontId="33" fillId="31" borderId="0" xfId="0" applyFont="1" applyFill="1"/>
    <xf numFmtId="0" fontId="33" fillId="0" borderId="8" xfId="52" applyFont="1" applyBorder="1"/>
    <xf numFmtId="0" fontId="37" fillId="0" borderId="0" xfId="52" applyFont="1"/>
    <xf numFmtId="0" fontId="35" fillId="0" borderId="0" xfId="52" applyFont="1" applyAlignment="1">
      <alignment horizontal="left"/>
    </xf>
    <xf numFmtId="0" fontId="36" fillId="0" borderId="0" xfId="52" applyFont="1"/>
    <xf numFmtId="0" fontId="36" fillId="0" borderId="0" xfId="52" applyFont="1" applyAlignment="1">
      <alignment horizontal="center"/>
    </xf>
    <xf numFmtId="2" fontId="36" fillId="0" borderId="0" xfId="52" applyNumberFormat="1" applyFont="1" applyAlignment="1">
      <alignment horizontal="center"/>
    </xf>
    <xf numFmtId="1" fontId="36" fillId="0" borderId="0" xfId="52" applyNumberFormat="1" applyFont="1" applyAlignment="1">
      <alignment horizontal="center"/>
    </xf>
    <xf numFmtId="170" fontId="36" fillId="0" borderId="8" xfId="52" applyNumberFormat="1" applyFont="1" applyBorder="1" applyAlignment="1">
      <alignment horizontal="center"/>
    </xf>
    <xf numFmtId="0" fontId="33" fillId="0" borderId="0" xfId="52" applyFont="1" applyAlignment="1">
      <alignment horizontal="left"/>
    </xf>
    <xf numFmtId="168" fontId="33" fillId="0" borderId="0" xfId="52" applyNumberFormat="1" applyFont="1" applyAlignment="1">
      <alignment horizontal="center"/>
    </xf>
    <xf numFmtId="0" fontId="36" fillId="0" borderId="8" xfId="0" applyFont="1" applyBorder="1" applyAlignment="1">
      <alignment horizontal="left"/>
    </xf>
    <xf numFmtId="170" fontId="36" fillId="0" borderId="8" xfId="0" quotePrefix="1" applyNumberFormat="1" applyFont="1" applyBorder="1" applyAlignment="1">
      <alignment horizontal="center"/>
    </xf>
    <xf numFmtId="169" fontId="36" fillId="0" borderId="8" xfId="0" applyNumberFormat="1" applyFont="1" applyBorder="1" applyAlignment="1">
      <alignment horizontal="center"/>
    </xf>
    <xf numFmtId="0" fontId="40" fillId="0" borderId="8" xfId="0" applyFont="1" applyBorder="1"/>
    <xf numFmtId="0" fontId="50" fillId="0" borderId="0" xfId="35" applyFont="1" applyAlignment="1" applyProtection="1"/>
    <xf numFmtId="176" fontId="36" fillId="0" borderId="0" xfId="0" applyNumberFormat="1" applyFont="1" applyAlignment="1">
      <alignment horizontal="center"/>
    </xf>
    <xf numFmtId="174" fontId="36" fillId="33" borderId="8" xfId="0" applyNumberFormat="1" applyFont="1" applyFill="1" applyBorder="1" applyAlignment="1">
      <alignment horizontal="center"/>
    </xf>
    <xf numFmtId="174" fontId="36" fillId="33" borderId="8" xfId="52" applyNumberFormat="1" applyFont="1" applyFill="1" applyBorder="1" applyAlignment="1">
      <alignment horizontal="center"/>
    </xf>
    <xf numFmtId="0" fontId="34" fillId="37" borderId="8" xfId="35" applyFont="1" applyFill="1" applyBorder="1" applyAlignment="1" applyProtection="1"/>
    <xf numFmtId="9" fontId="35" fillId="37" borderId="8" xfId="41" applyFont="1" applyFill="1" applyBorder="1" applyAlignment="1" applyProtection="1">
      <alignment horizontal="center"/>
      <protection locked="0"/>
    </xf>
    <xf numFmtId="9" fontId="33" fillId="37" borderId="8" xfId="41" applyFont="1" applyFill="1" applyBorder="1" applyAlignment="1">
      <alignment horizontal="center"/>
    </xf>
    <xf numFmtId="169" fontId="33" fillId="37" borderId="8" xfId="0" applyNumberFormat="1" applyFont="1" applyFill="1" applyBorder="1" applyAlignment="1">
      <alignment horizontal="center"/>
    </xf>
    <xf numFmtId="0" fontId="35" fillId="37" borderId="8" xfId="0" applyFont="1" applyFill="1" applyBorder="1" applyAlignment="1" applyProtection="1">
      <alignment horizontal="center"/>
      <protection locked="0"/>
    </xf>
    <xf numFmtId="1" fontId="40" fillId="0" borderId="8" xfId="0" applyNumberFormat="1" applyFont="1" applyBorder="1" applyAlignment="1">
      <alignment horizontal="center"/>
    </xf>
    <xf numFmtId="174" fontId="39" fillId="0" borderId="0" xfId="0" applyNumberFormat="1" applyFont="1"/>
    <xf numFmtId="168" fontId="36" fillId="33" borderId="8" xfId="0" applyNumberFormat="1" applyFont="1" applyFill="1" applyBorder="1" applyAlignment="1">
      <alignment horizontal="center"/>
    </xf>
    <xf numFmtId="175" fontId="38" fillId="0" borderId="8" xfId="0" applyNumberFormat="1" applyFont="1" applyBorder="1" applyAlignment="1">
      <alignment horizontal="center"/>
    </xf>
    <xf numFmtId="0" fontId="13" fillId="0" borderId="0" xfId="35" applyFill="1" applyBorder="1" applyAlignment="1" applyProtection="1">
      <alignment horizontal="right"/>
    </xf>
    <xf numFmtId="0" fontId="35" fillId="37" borderId="16" xfId="0" applyFont="1" applyFill="1" applyBorder="1" applyAlignment="1">
      <alignment horizontal="center"/>
    </xf>
    <xf numFmtId="10" fontId="33" fillId="35" borderId="0" xfId="0" applyNumberFormat="1" applyFont="1" applyFill="1" applyAlignment="1">
      <alignment horizontal="left"/>
    </xf>
    <xf numFmtId="169" fontId="33" fillId="0" borderId="16" xfId="0" applyNumberFormat="1" applyFont="1" applyBorder="1" applyAlignment="1">
      <alignment horizontal="center"/>
    </xf>
    <xf numFmtId="169" fontId="35" fillId="0" borderId="13" xfId="0" applyNumberFormat="1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175" fontId="33" fillId="0" borderId="16" xfId="0" applyNumberFormat="1" applyFont="1" applyBorder="1" applyAlignment="1">
      <alignment horizontal="center"/>
    </xf>
    <xf numFmtId="10" fontId="35" fillId="35" borderId="16" xfId="0" applyNumberFormat="1" applyFont="1" applyFill="1" applyBorder="1" applyAlignment="1" applyProtection="1">
      <alignment horizontal="center"/>
      <protection locked="0"/>
    </xf>
    <xf numFmtId="183" fontId="33" fillId="0" borderId="13" xfId="0" applyNumberFormat="1" applyFont="1" applyBorder="1" applyAlignment="1">
      <alignment horizontal="center"/>
    </xf>
    <xf numFmtId="3" fontId="33" fillId="27" borderId="0" xfId="0" applyNumberFormat="1" applyFont="1" applyFill="1" applyAlignment="1">
      <alignment horizontal="center"/>
    </xf>
    <xf numFmtId="170" fontId="35" fillId="0" borderId="0" xfId="0" applyNumberFormat="1" applyFont="1" applyAlignment="1">
      <alignment horizontal="center"/>
    </xf>
    <xf numFmtId="170" fontId="33" fillId="30" borderId="0" xfId="0" applyNumberFormat="1" applyFont="1" applyFill="1" applyAlignment="1">
      <alignment horizontal="center"/>
    </xf>
    <xf numFmtId="170" fontId="33" fillId="26" borderId="0" xfId="0" applyNumberFormat="1" applyFont="1" applyFill="1" applyAlignment="1">
      <alignment horizontal="center"/>
    </xf>
    <xf numFmtId="183" fontId="33" fillId="0" borderId="0" xfId="0" applyNumberFormat="1" applyFont="1" applyAlignment="1">
      <alignment horizontal="center"/>
    </xf>
    <xf numFmtId="183" fontId="33" fillId="0" borderId="16" xfId="0" applyNumberFormat="1" applyFont="1" applyBorder="1" applyAlignment="1">
      <alignment horizontal="center"/>
    </xf>
    <xf numFmtId="0" fontId="49" fillId="0" borderId="21" xfId="0" applyFont="1" applyBorder="1" applyAlignment="1">
      <alignment horizontal="center" vertical="center"/>
    </xf>
    <xf numFmtId="0" fontId="49" fillId="0" borderId="20" xfId="0" applyFont="1" applyBorder="1" applyAlignment="1">
      <alignment horizontal="center" vertical="center"/>
    </xf>
    <xf numFmtId="0" fontId="45" fillId="34" borderId="11" xfId="0" applyFont="1" applyFill="1" applyBorder="1" applyAlignment="1">
      <alignment horizontal="center"/>
    </xf>
    <xf numFmtId="0" fontId="45" fillId="34" borderId="12" xfId="0" applyFont="1" applyFill="1" applyBorder="1" applyAlignment="1">
      <alignment horizontal="center"/>
    </xf>
    <xf numFmtId="0" fontId="45" fillId="34" borderId="17" xfId="0" applyFont="1" applyFill="1" applyBorder="1" applyAlignment="1">
      <alignment horizontal="center"/>
    </xf>
    <xf numFmtId="0" fontId="35" fillId="0" borderId="11" xfId="0" applyFont="1" applyBorder="1" applyAlignment="1">
      <alignment horizontal="right"/>
    </xf>
    <xf numFmtId="0" fontId="35" fillId="0" borderId="12" xfId="0" applyFont="1" applyBorder="1" applyAlignment="1">
      <alignment horizontal="right"/>
    </xf>
    <xf numFmtId="0" fontId="35" fillId="0" borderId="17" xfId="0" applyFont="1" applyBorder="1" applyAlignment="1">
      <alignment horizontal="right"/>
    </xf>
    <xf numFmtId="0" fontId="33" fillId="0" borderId="11" xfId="0" applyFont="1" applyBorder="1" applyAlignment="1">
      <alignment horizontal="right"/>
    </xf>
    <xf numFmtId="0" fontId="33" fillId="0" borderId="12" xfId="0" applyFont="1" applyBorder="1" applyAlignment="1">
      <alignment horizontal="right"/>
    </xf>
    <xf numFmtId="0" fontId="33" fillId="0" borderId="17" xfId="0" applyFont="1" applyBorder="1" applyAlignment="1">
      <alignment horizontal="right"/>
    </xf>
    <xf numFmtId="0" fontId="34" fillId="0" borderId="11" xfId="35" applyFont="1" applyFill="1" applyBorder="1" applyAlignment="1" applyProtection="1">
      <alignment horizontal="right"/>
    </xf>
    <xf numFmtId="0" fontId="34" fillId="0" borderId="12" xfId="35" applyFont="1" applyFill="1" applyBorder="1" applyAlignment="1" applyProtection="1">
      <alignment horizontal="right"/>
    </xf>
    <xf numFmtId="0" fontId="34" fillId="0" borderId="17" xfId="35" applyFont="1" applyFill="1" applyBorder="1" applyAlignment="1" applyProtection="1">
      <alignment horizontal="right"/>
    </xf>
    <xf numFmtId="0" fontId="35" fillId="35" borderId="11" xfId="0" applyFont="1" applyFill="1" applyBorder="1" applyAlignment="1">
      <alignment horizontal="center"/>
    </xf>
    <xf numFmtId="0" fontId="35" fillId="35" borderId="12" xfId="0" applyFont="1" applyFill="1" applyBorder="1" applyAlignment="1">
      <alignment horizontal="center"/>
    </xf>
    <xf numFmtId="0" fontId="35" fillId="35" borderId="17" xfId="0" applyFont="1" applyFill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34" fillId="0" borderId="15" xfId="35" applyFont="1" applyBorder="1" applyAlignment="1" applyProtection="1">
      <alignment horizontal="center"/>
    </xf>
    <xf numFmtId="0" fontId="35" fillId="0" borderId="11" xfId="35" applyFont="1" applyBorder="1" applyAlignment="1" applyProtection="1">
      <alignment horizontal="center"/>
    </xf>
    <xf numFmtId="0" fontId="35" fillId="0" borderId="12" xfId="35" applyFont="1" applyBorder="1" applyAlignment="1" applyProtection="1">
      <alignment horizontal="center"/>
    </xf>
    <xf numFmtId="0" fontId="35" fillId="0" borderId="17" xfId="35" applyFont="1" applyBorder="1" applyAlignment="1" applyProtection="1">
      <alignment horizontal="center"/>
    </xf>
    <xf numFmtId="0" fontId="35" fillId="0" borderId="11" xfId="52" applyFont="1" applyBorder="1" applyAlignment="1">
      <alignment horizontal="center"/>
    </xf>
    <xf numFmtId="0" fontId="33" fillId="0" borderId="12" xfId="52" applyFont="1" applyBorder="1" applyAlignment="1">
      <alignment horizontal="center"/>
    </xf>
    <xf numFmtId="0" fontId="33" fillId="0" borderId="17" xfId="52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5" fillId="0" borderId="17" xfId="0" applyFont="1" applyBorder="1" applyAlignment="1">
      <alignment horizontal="center"/>
    </xf>
    <xf numFmtId="0" fontId="35" fillId="0" borderId="8" xfId="35" applyFont="1" applyBorder="1" applyAlignment="1" applyProtection="1">
      <alignment horizontal="center"/>
    </xf>
    <xf numFmtId="0" fontId="35" fillId="0" borderId="8" xfId="0" applyFont="1" applyBorder="1" applyAlignment="1">
      <alignment horizontal="center"/>
    </xf>
    <xf numFmtId="0" fontId="34" fillId="0" borderId="12" xfId="35" applyFont="1" applyBorder="1" applyAlignment="1" applyProtection="1">
      <alignment horizontal="center"/>
    </xf>
  </cellXfs>
  <cellStyles count="56">
    <cellStyle name="20 % - Accent1" xfId="1" xr:uid="{00000000-0005-0000-0000-000000000000}"/>
    <cellStyle name="20 % - Accent2" xfId="2" xr:uid="{00000000-0005-0000-0000-000001000000}"/>
    <cellStyle name="20 % - Accent3" xfId="3" xr:uid="{00000000-0005-0000-0000-000002000000}"/>
    <cellStyle name="20 % - Accent4" xfId="4" xr:uid="{00000000-0005-0000-0000-000003000000}"/>
    <cellStyle name="20 % - Accent5" xfId="5" xr:uid="{00000000-0005-0000-0000-000004000000}"/>
    <cellStyle name="20 % - Accent6" xfId="6" xr:uid="{00000000-0005-0000-0000-000005000000}"/>
    <cellStyle name="40 % - Accent1" xfId="7" xr:uid="{00000000-0005-0000-0000-000006000000}"/>
    <cellStyle name="40 % - Accent2" xfId="8" xr:uid="{00000000-0005-0000-0000-000007000000}"/>
    <cellStyle name="40 % - Accent3" xfId="9" xr:uid="{00000000-0005-0000-0000-000008000000}"/>
    <cellStyle name="40 % - Accent4" xfId="10" xr:uid="{00000000-0005-0000-0000-000009000000}"/>
    <cellStyle name="40 % - Accent5" xfId="11" xr:uid="{00000000-0005-0000-0000-00000A000000}"/>
    <cellStyle name="40 % - Accent6" xfId="12" xr:uid="{00000000-0005-0000-0000-00000B000000}"/>
    <cellStyle name="60 % - Accent1" xfId="13" xr:uid="{00000000-0005-0000-0000-00000C000000}"/>
    <cellStyle name="60 % - Accent2" xfId="14" xr:uid="{00000000-0005-0000-0000-00000D000000}"/>
    <cellStyle name="60 % - Accent3" xfId="15" xr:uid="{00000000-0005-0000-0000-00000E000000}"/>
    <cellStyle name="60 % - Accent4" xfId="16" xr:uid="{00000000-0005-0000-0000-00000F000000}"/>
    <cellStyle name="60 % - Accent5" xfId="17" xr:uid="{00000000-0005-0000-0000-000010000000}"/>
    <cellStyle name="60 % - Accent6" xfId="18" xr:uid="{00000000-0005-0000-0000-000011000000}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xr:uid="{00000000-0005-0000-0000-000018000000}"/>
    <cellStyle name="Black" xfId="26" xr:uid="{00000000-0005-0000-0000-000019000000}"/>
    <cellStyle name="Calcul" xfId="27" xr:uid="{00000000-0005-0000-0000-00001A000000}"/>
    <cellStyle name="Cellule liée" xfId="28" xr:uid="{00000000-0005-0000-0000-00001B000000}"/>
    <cellStyle name="Comma" xfId="29" builtinId="3"/>
    <cellStyle name="Comma (.0)" xfId="30" xr:uid="{00000000-0005-0000-0000-00001D000000}"/>
    <cellStyle name="Comma 2" xfId="53" xr:uid="{C66C2745-FD58-4082-A9C9-AB8511F01A02}"/>
    <cellStyle name="Commentaire" xfId="31" xr:uid="{00000000-0005-0000-0000-00001E000000}"/>
    <cellStyle name="Currency" xfId="32" builtinId="4"/>
    <cellStyle name="Entrée" xfId="33" xr:uid="{00000000-0005-0000-0000-000020000000}"/>
    <cellStyle name="Euro" xfId="34" xr:uid="{00000000-0005-0000-0000-000021000000}"/>
    <cellStyle name="Euro 2" xfId="54" xr:uid="{D5CA2573-0E7A-44A5-AE48-71F05177BD6E}"/>
    <cellStyle name="Hyperlink" xfId="35" builtinId="8"/>
    <cellStyle name="Input" xfId="36" builtinId="20" customBuiltin="1"/>
    <cellStyle name="Insatisfaisant" xfId="37" xr:uid="{00000000-0005-0000-0000-000024000000}"/>
    <cellStyle name="Neutre" xfId="38" xr:uid="{00000000-0005-0000-0000-000025000000}"/>
    <cellStyle name="Normal" xfId="0" builtinId="0"/>
    <cellStyle name="Normal 2" xfId="39" xr:uid="{00000000-0005-0000-0000-000027000000}"/>
    <cellStyle name="Normal 2 2" xfId="55" xr:uid="{D7482AF5-95B1-4ED7-B667-DF1BA389C6F5}"/>
    <cellStyle name="Normal 3" xfId="52" xr:uid="{34751DB2-8B70-45CC-BAC0-A29A8E842179}"/>
    <cellStyle name="Pattern" xfId="40" xr:uid="{00000000-0005-0000-0000-000028000000}"/>
    <cellStyle name="Per cent" xfId="41" builtinId="5"/>
    <cellStyle name="Satisfaisant" xfId="42" xr:uid="{00000000-0005-0000-0000-00002A000000}"/>
    <cellStyle name="Sortie" xfId="43" xr:uid="{00000000-0005-0000-0000-00002B000000}"/>
    <cellStyle name="Texte explicatif" xfId="44" xr:uid="{00000000-0005-0000-0000-00002C000000}"/>
    <cellStyle name="Titre" xfId="45" xr:uid="{00000000-0005-0000-0000-00002D000000}"/>
    <cellStyle name="Titre 1" xfId="46" xr:uid="{00000000-0005-0000-0000-00002E000000}"/>
    <cellStyle name="Titre 2" xfId="47" xr:uid="{00000000-0005-0000-0000-00002F000000}"/>
    <cellStyle name="Titre 3" xfId="48" xr:uid="{00000000-0005-0000-0000-000030000000}"/>
    <cellStyle name="Titre 4" xfId="49" xr:uid="{00000000-0005-0000-0000-000031000000}"/>
    <cellStyle name="Total" xfId="50" builtinId="25" customBuiltin="1"/>
    <cellStyle name="Vérification" xfId="51" xr:uid="{00000000-0005-0000-0000-000033000000}"/>
  </cellStyles>
  <dxfs count="7">
    <dxf>
      <font>
        <b/>
        <i val="0"/>
        <condense val="0"/>
        <extend val="0"/>
        <color indexed="10"/>
      </font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sheetMetadata" Target="metadata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styles" Target="styles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microsoft.com/office/2017/10/relationships/person" Target="persons/perso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Phosphor_Di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Backgrindi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Bondin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Dici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LL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Wafer%20Inspec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ichael_weinold_ch/Documents/Documents/University/Cambridge/Cost%20Model/LEDCOM2020/archive/Wafer%20Probe%20Test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ursuspublicus-my.sharepoint.com/personal/michael_weinold_ch/Documents/Documents/University/MSc/Cambridge/Cost%20Model/LEDCOM/LEDCOM2020.xlsx" TargetMode="External"/><Relationship Id="rId1" Type="http://schemas.openxmlformats.org/officeDocument/2006/relationships/externalLinkPath" Target="LEDCOM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hosphor DLP"/>
      <sheetName val="Configurations"/>
      <sheetName val="Phosphor Prices"/>
    </sheetNames>
    <sheetDataSet>
      <sheetData sheetId="0" refreshError="1"/>
      <sheetData sheetId="1">
        <row r="4">
          <cell r="B4" t="str">
            <v>Warm</v>
          </cell>
        </row>
        <row r="5">
          <cell r="B5" t="str">
            <v>Neutral</v>
          </cell>
        </row>
        <row r="6">
          <cell r="B6" t="str">
            <v>Cool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Grinding"/>
      <sheetName val="Configurations"/>
    </sheetNames>
    <sheetDataSet>
      <sheetData sheetId="0" refreshError="1"/>
      <sheetData sheetId="1">
        <row r="3">
          <cell r="B3" t="str">
            <v>Sapphire</v>
          </cell>
        </row>
        <row r="4">
          <cell r="B4" t="str">
            <v>SiC</v>
          </cell>
        </row>
        <row r="5">
          <cell r="B5" t="str">
            <v>Silicon</v>
          </cell>
        </row>
        <row r="6">
          <cell r="B6" t="str">
            <v>GaN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nding"/>
      <sheetName val="Configurations"/>
    </sheetNames>
    <sheetDataSet>
      <sheetData sheetId="0" refreshError="1"/>
      <sheetData sheetId="1">
        <row r="5">
          <cell r="B5" t="str">
            <v>Sapphire</v>
          </cell>
        </row>
        <row r="6">
          <cell r="B6" t="str">
            <v>SiC</v>
          </cell>
        </row>
        <row r="7">
          <cell r="B7" t="str">
            <v>Silicon</v>
          </cell>
        </row>
        <row r="8">
          <cell r="B8" t="str">
            <v>GaN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cing"/>
      <sheetName val="Configurations"/>
    </sheetNames>
    <sheetDataSet>
      <sheetData sheetId="0" refreshError="1"/>
      <sheetData sheetId="1">
        <row r="3">
          <cell r="B3" t="str">
            <v>Sapphire</v>
          </cell>
        </row>
        <row r="4">
          <cell r="B4" t="str">
            <v>SiC</v>
          </cell>
        </row>
        <row r="5">
          <cell r="B5" t="str">
            <v>Silicon</v>
          </cell>
        </row>
        <row r="6">
          <cell r="B6" t="str">
            <v>GaN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LO"/>
      <sheetName val="Configurations"/>
    </sheetNames>
    <sheetDataSet>
      <sheetData sheetId="0" refreshError="1"/>
      <sheetData sheetId="1">
        <row r="3">
          <cell r="B3" t="str">
            <v>Sapphire</v>
          </cell>
        </row>
        <row r="4">
          <cell r="B4" t="str">
            <v>SiC</v>
          </cell>
        </row>
        <row r="5">
          <cell r="B5" t="str">
            <v>Silicon</v>
          </cell>
        </row>
        <row r="6">
          <cell r="B6" t="str">
            <v>GaN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fer Inspection"/>
      <sheetName val="Configurations"/>
    </sheetNames>
    <sheetDataSet>
      <sheetData sheetId="0" refreshError="1"/>
      <sheetData sheetId="1">
        <row r="3">
          <cell r="B3" t="str">
            <v>Sapphire</v>
          </cell>
        </row>
        <row r="4">
          <cell r="B4" t="str">
            <v>SiC</v>
          </cell>
        </row>
        <row r="5">
          <cell r="B5" t="str">
            <v>Silicon</v>
          </cell>
        </row>
        <row r="6">
          <cell r="B6" t="str">
            <v>GaN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fer_Probe_Test"/>
      <sheetName val="Configurations"/>
    </sheetNames>
    <sheetDataSet>
      <sheetData sheetId="0" refreshError="1"/>
      <sheetData sheetId="1">
        <row r="3">
          <cell r="B3" t="str">
            <v>Sapphire</v>
          </cell>
        </row>
        <row r="4">
          <cell r="B4" t="str">
            <v>SiC</v>
          </cell>
        </row>
        <row r="5">
          <cell r="B5" t="str">
            <v>Silicon</v>
          </cell>
        </row>
        <row r="6">
          <cell r="B6" t="str">
            <v>GaN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cess"/>
      <sheetName val="Global"/>
      <sheetName val="Chip"/>
      <sheetName val="Package"/>
      <sheetName val="Epitaxy"/>
      <sheetName val="Wafer_Inspection"/>
      <sheetName val="Dry_Depn"/>
      <sheetName val="Lithography_Stepper"/>
      <sheetName val="Lithography_Mask"/>
      <sheetName val="Dry_Etch"/>
      <sheetName val="ITO_Deposition"/>
      <sheetName val="N_Metal"/>
      <sheetName val="P_Metal"/>
      <sheetName val="Contact_Metal"/>
      <sheetName val="Generic_Metal"/>
      <sheetName val="Bonding"/>
      <sheetName val="Debonding"/>
      <sheetName val="LLO"/>
      <sheetName val="Backgrinding"/>
      <sheetName val="GaN_CMP"/>
      <sheetName val="Dicing"/>
      <sheetName val="Wafer_Probe_Test"/>
      <sheetName val="Die_Attach"/>
      <sheetName val="Flip_Chip"/>
      <sheetName val="ESD_Attach"/>
      <sheetName val="Wire_Bonding"/>
      <sheetName val="Phosphor_Package"/>
      <sheetName val="Curing"/>
      <sheetName val="Encapsulation"/>
      <sheetName val="Lens_Molding"/>
      <sheetName val="Lens_Attach"/>
      <sheetName val="LED_Test"/>
    </sheetNames>
    <sheetDataSet>
      <sheetData sheetId="0"/>
      <sheetData sheetId="1">
        <row r="2">
          <cell r="C2" t="str">
            <v>Sapphire</v>
          </cell>
        </row>
        <row r="3">
          <cell r="C3">
            <v>200</v>
          </cell>
        </row>
        <row r="4">
          <cell r="C4">
            <v>1</v>
          </cell>
        </row>
        <row r="5">
          <cell r="C5">
            <v>3000</v>
          </cell>
        </row>
        <row r="6">
          <cell r="C6">
            <v>2500</v>
          </cell>
        </row>
        <row r="7">
          <cell r="C7">
            <v>30</v>
          </cell>
        </row>
        <row r="8">
          <cell r="C8">
            <v>0.06</v>
          </cell>
        </row>
        <row r="9">
          <cell r="C9">
            <v>0.8297581258800002</v>
          </cell>
        </row>
        <row r="10">
          <cell r="C10">
            <v>48.161748600000003</v>
          </cell>
        </row>
        <row r="11">
          <cell r="C11">
            <v>9.1999999999999998E-3</v>
          </cell>
        </row>
        <row r="12">
          <cell r="C12">
            <v>29.241061650000002</v>
          </cell>
        </row>
        <row r="13">
          <cell r="C13">
            <v>1.498E-2</v>
          </cell>
        </row>
        <row r="14">
          <cell r="C14">
            <v>7.5</v>
          </cell>
        </row>
        <row r="15">
          <cell r="C15">
            <v>0.85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ichael Weinold" id="{C9F129B2-07BC-441F-B360-A2CE8646B5F3}" userId="Michael Weinold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7" dT="2020-07-15T06:58:03.04" personId="{C9F129B2-07BC-441F-B360-A2CE8646B5F3}" id="{A11F23AC-BD4A-487D-A6AA-C5F633ABAE4A}">
    <text>Small defects in PSS pattern do not affect devices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23" dT="2020-07-14T11:46:23.39" personId="{C9F129B2-07BC-441F-B360-A2CE8646B5F3}" id="{C50D5DAC-0E36-492E-B003-49910AFF9AEB}">
    <text>Assumes two contact pads of 20um side length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dsmagazine.com/manufacturing-services-testing/research-development/article/16695387/semiconductor-industry-moves-toward-automated-led-production-on-6inch-wafers-magazine" TargetMode="External"/><Relationship Id="rId1" Type="http://schemas.openxmlformats.org/officeDocument/2006/relationships/hyperlink" Target="https://en.wikipedia.org/wiki/Wafer_(electronics)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Relationship Id="rId4" Type="http://schemas.microsoft.com/office/2017/10/relationships/threadedComment" Target="../threadedComments/threadedComment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n.wikipedia.org/wiki/Photolithography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n.wikipedia.org/wiki/Photolithography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T81"/>
  <sheetViews>
    <sheetView tabSelected="1" workbookViewId="0">
      <selection activeCell="J19" sqref="J19"/>
    </sheetView>
  </sheetViews>
  <sheetFormatPr baseColWidth="10" defaultColWidth="8.6640625" defaultRowHeight="15"/>
  <cols>
    <col min="1" max="1" width="5" style="59" bestFit="1" customWidth="1"/>
    <col min="2" max="2" width="17.33203125" style="56" customWidth="1"/>
    <col min="3" max="3" width="7.6640625" style="56" customWidth="1"/>
    <col min="4" max="4" width="10.1640625" style="59" customWidth="1"/>
    <col min="5" max="5" width="10.33203125" style="59" bestFit="1" customWidth="1"/>
    <col min="6" max="6" width="8.6640625" style="110" customWidth="1"/>
    <col min="7" max="7" width="8.83203125" style="59" customWidth="1"/>
    <col min="8" max="8" width="10.83203125" style="110" bestFit="1" customWidth="1"/>
    <col min="9" max="11" width="10.83203125" style="110" customWidth="1"/>
    <col min="12" max="12" width="19.1640625" style="59" customWidth="1"/>
    <col min="13" max="13" width="20.6640625" style="56" customWidth="1"/>
    <col min="14" max="14" width="25.5" style="56" hidden="1" customWidth="1"/>
    <col min="15" max="15" width="10.33203125" style="56" hidden="1" customWidth="1"/>
    <col min="16" max="16" width="20.6640625" style="56" customWidth="1"/>
    <col min="17" max="16384" width="8.6640625" style="56"/>
  </cols>
  <sheetData>
    <row r="1" spans="1:16">
      <c r="A1" s="276" t="s">
        <v>241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8"/>
      <c r="M1" s="262">
        <v>2012</v>
      </c>
      <c r="N1" s="59" t="s">
        <v>244</v>
      </c>
      <c r="O1" s="59" t="s">
        <v>5</v>
      </c>
    </row>
    <row r="2" spans="1:16">
      <c r="A2" s="264" t="s">
        <v>304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6"/>
      <c r="M2" s="263"/>
    </row>
    <row r="3" spans="1:16">
      <c r="A3" s="63" t="s">
        <v>4</v>
      </c>
      <c r="B3" s="63" t="s">
        <v>289</v>
      </c>
      <c r="C3" s="63" t="s">
        <v>19</v>
      </c>
      <c r="D3" s="63" t="s">
        <v>469</v>
      </c>
      <c r="E3" s="63" t="s">
        <v>303</v>
      </c>
      <c r="F3" s="134" t="s">
        <v>5</v>
      </c>
      <c r="G3" s="63" t="s">
        <v>12</v>
      </c>
      <c r="H3" s="134" t="s">
        <v>468</v>
      </c>
      <c r="I3" s="134" t="s">
        <v>476</v>
      </c>
      <c r="J3" s="63" t="s">
        <v>346</v>
      </c>
      <c r="K3" s="63" t="s">
        <v>343</v>
      </c>
      <c r="L3" s="63" t="s">
        <v>6</v>
      </c>
      <c r="M3" s="63" t="s">
        <v>25</v>
      </c>
      <c r="P3" s="63" t="s">
        <v>400</v>
      </c>
    </row>
    <row r="4" spans="1:16">
      <c r="A4" s="147">
        <v>2</v>
      </c>
      <c r="B4" s="148" t="s">
        <v>0</v>
      </c>
      <c r="C4" s="144">
        <v>0.9</v>
      </c>
      <c r="D4" s="254">
        <f>IF(C4=100%,100%,C4+(($D$24*$G$5)/12))</f>
        <v>0.90249999999999997</v>
      </c>
      <c r="E4" s="149">
        <f>D4^G4</f>
        <v>0.90249999999999997</v>
      </c>
      <c r="F4" s="107">
        <f>Epitaxy!D51</f>
        <v>108.84848285994646</v>
      </c>
      <c r="G4" s="140">
        <v>1</v>
      </c>
      <c r="H4" s="250">
        <f>F4/D4</f>
        <v>120.60773724093791</v>
      </c>
      <c r="I4" s="261">
        <f>(H4/$H$29)/$E$48</f>
        <v>9.6357548420460872E-3</v>
      </c>
      <c r="J4" s="146" t="s">
        <v>344</v>
      </c>
      <c r="K4" s="146" t="s">
        <v>344</v>
      </c>
      <c r="L4" s="150" t="s">
        <v>0</v>
      </c>
      <c r="M4" s="132"/>
      <c r="N4" s="105">
        <v>1000</v>
      </c>
      <c r="O4" s="106">
        <f>N4*H4</f>
        <v>120607.7372409379</v>
      </c>
      <c r="P4" s="56" t="s">
        <v>401</v>
      </c>
    </row>
    <row r="5" spans="1:16">
      <c r="A5" s="147">
        <v>3</v>
      </c>
      <c r="B5" s="217" t="s">
        <v>136</v>
      </c>
      <c r="C5" s="139">
        <v>1</v>
      </c>
      <c r="D5" s="254">
        <f t="shared" ref="D5:D20" si="0">IF(C5=100%,100%,C5+(($D$24*$G$5)/12))</f>
        <v>1</v>
      </c>
      <c r="E5" s="160">
        <f>E4*D5^G5</f>
        <v>0.90249999999999997</v>
      </c>
      <c r="F5" s="107">
        <f>Wafer_Inspection!D31</f>
        <v>1.323439878234399</v>
      </c>
      <c r="G5" s="140">
        <v>6</v>
      </c>
      <c r="H5" s="250" cm="1">
        <f t="array" ref="H5">SUM($F$4:F5*$G$4:G5)/PRODUCT($D$4:D5^$G$4:G5)-SUM($F$4:F4*$G$4:G4)/PRODUCT($D$4:D4^$G$4:G4)</f>
        <v>8.7984922652702409</v>
      </c>
      <c r="I5" s="261">
        <f t="shared" ref="I5:I20" si="1">(H5/$H$29)/$E$48</f>
        <v>7.0294092557609026E-4</v>
      </c>
      <c r="J5" s="146" t="s">
        <v>344</v>
      </c>
      <c r="K5" s="146" t="s">
        <v>344</v>
      </c>
      <c r="L5" s="69" t="s">
        <v>341</v>
      </c>
      <c r="M5" s="132"/>
      <c r="N5" s="108" t="e">
        <f>N20*D5^G5</f>
        <v>#REF!</v>
      </c>
      <c r="O5" s="106" t="e">
        <f>N5*F5*G5</f>
        <v>#REF!</v>
      </c>
      <c r="P5" s="56" t="s">
        <v>402</v>
      </c>
    </row>
    <row r="6" spans="1:16">
      <c r="A6" s="147">
        <v>4</v>
      </c>
      <c r="B6" s="217" t="s">
        <v>134</v>
      </c>
      <c r="C6" s="139">
        <v>1</v>
      </c>
      <c r="D6" s="254">
        <f t="shared" si="0"/>
        <v>1</v>
      </c>
      <c r="E6" s="160">
        <f>E5*D6^G6</f>
        <v>0.90249999999999997</v>
      </c>
      <c r="F6" s="109">
        <f>Dry_Depn!D44</f>
        <v>2.4241598934550983</v>
      </c>
      <c r="G6" s="140">
        <v>3</v>
      </c>
      <c r="H6" s="250" cm="1">
        <f t="array" ref="H6">SUM($F$4:F6*$G$4:G6)/PRODUCT($D$4:D6^$G$4:G6)-SUM($F$4:F5*$G$4:G5)/PRODUCT($D$4:D5^$G$4:G5)</f>
        <v>8.0581492303216464</v>
      </c>
      <c r="I6" s="261">
        <f t="shared" si="1"/>
        <v>6.4379244848021446E-4</v>
      </c>
      <c r="J6" s="146" t="s">
        <v>344</v>
      </c>
      <c r="K6" s="146" t="s">
        <v>344</v>
      </c>
      <c r="L6" s="69" t="s">
        <v>11</v>
      </c>
      <c r="M6" s="132" t="s">
        <v>431</v>
      </c>
      <c r="N6" s="108">
        <f>N4*D6^G6</f>
        <v>1000</v>
      </c>
      <c r="O6" s="106">
        <f>N6*F6*G6</f>
        <v>7272.4796803652953</v>
      </c>
      <c r="P6" s="56" t="s">
        <v>415</v>
      </c>
    </row>
    <row r="7" spans="1:16">
      <c r="A7" s="147">
        <v>5</v>
      </c>
      <c r="B7" s="217" t="s">
        <v>410</v>
      </c>
      <c r="C7" s="139">
        <v>0.98</v>
      </c>
      <c r="D7" s="254">
        <f t="shared" si="0"/>
        <v>0.98249999999999993</v>
      </c>
      <c r="E7" s="160">
        <f>E6*D7^G7</f>
        <v>0.88670624999999992</v>
      </c>
      <c r="F7" s="109">
        <f>Lithography_Stepper!D40</f>
        <v>0.88153299209467395</v>
      </c>
      <c r="G7" s="140">
        <v>1</v>
      </c>
      <c r="H7" s="250" cm="1">
        <f t="array" ref="H7">SUM($F$4:F7*$G$4:G7)/PRODUCT($D$4:D7^$G$4:G7)-SUM($F$4:F6*$G$4:G6)/PRODUCT($D$4:D6^$G$4:G6)</f>
        <v>3.44264069838772</v>
      </c>
      <c r="I7" s="261">
        <f t="shared" si="1"/>
        <v>2.7504406050372915E-4</v>
      </c>
      <c r="J7" s="146" t="s">
        <v>344</v>
      </c>
      <c r="K7" s="146" t="s">
        <v>345</v>
      </c>
      <c r="L7" s="69" t="s">
        <v>11</v>
      </c>
      <c r="M7" s="132" t="s">
        <v>411</v>
      </c>
      <c r="N7" s="108"/>
      <c r="O7" s="106"/>
      <c r="P7" s="56" t="s">
        <v>412</v>
      </c>
    </row>
    <row r="8" spans="1:16">
      <c r="A8" s="147">
        <v>6</v>
      </c>
      <c r="B8" s="217" t="s">
        <v>409</v>
      </c>
      <c r="C8" s="139">
        <v>0.96</v>
      </c>
      <c r="D8" s="254">
        <f t="shared" si="0"/>
        <v>0.96249999999999991</v>
      </c>
      <c r="E8" s="160">
        <f t="shared" ref="E8:E20" si="2">E7*D8^G8</f>
        <v>0.70499201608578399</v>
      </c>
      <c r="F8" s="107">
        <f>Lithography_Mask!D40</f>
        <v>3.3694818603589143</v>
      </c>
      <c r="G8" s="140">
        <v>6</v>
      </c>
      <c r="H8" s="250" cm="1">
        <f t="array" ref="H8">SUM($F$4:F8*$G$4:G8)/PRODUCT($D$4:D8^$G$4:G8)-SUM($F$4:F7*$G$4:G7)/PRODUCT($D$4:D7^$G$4:G7)</f>
        <v>64.996058404056356</v>
      </c>
      <c r="I8" s="261">
        <f t="shared" si="1"/>
        <v>5.1927521302357702E-3</v>
      </c>
      <c r="J8" s="146" t="s">
        <v>344</v>
      </c>
      <c r="K8" s="146" t="s">
        <v>344</v>
      </c>
      <c r="L8" s="69" t="s">
        <v>11</v>
      </c>
      <c r="M8" s="132" t="s">
        <v>430</v>
      </c>
      <c r="N8" s="108">
        <f>N6*D8^G8</f>
        <v>795.06828342056235</v>
      </c>
      <c r="O8" s="106">
        <f t="shared" ref="O8:O20" si="3">N8*F8*G8</f>
        <v>16073.808952393709</v>
      </c>
      <c r="P8" s="56" t="s">
        <v>412</v>
      </c>
    </row>
    <row r="9" spans="1:16">
      <c r="A9" s="147">
        <v>7</v>
      </c>
      <c r="B9" s="217" t="s">
        <v>135</v>
      </c>
      <c r="C9" s="139">
        <v>0.98</v>
      </c>
      <c r="D9" s="254">
        <f t="shared" si="0"/>
        <v>0.98249999999999993</v>
      </c>
      <c r="E9" s="160">
        <f t="shared" si="2"/>
        <v>0.69265465580428276</v>
      </c>
      <c r="F9" s="107">
        <f>Dry_Etch!D39</f>
        <v>4.2894162861491631</v>
      </c>
      <c r="G9" s="140">
        <v>1</v>
      </c>
      <c r="H9" s="250" cm="1">
        <f t="array" ref="H9">SUM($F$4:F9*$G$4:G9)/PRODUCT($D$4:D9^$G$4:G9)-SUM($F$4:F8*$G$4:G8)/PRODUCT($D$4:D8^$G$4:G8)</f>
        <v>9.8602047691257724</v>
      </c>
      <c r="I9" s="261">
        <f t="shared" si="1"/>
        <v>7.8776468260794254E-4</v>
      </c>
      <c r="J9" s="146" t="s">
        <v>344</v>
      </c>
      <c r="K9" s="146" t="s">
        <v>344</v>
      </c>
      <c r="L9" s="69" t="s">
        <v>11</v>
      </c>
      <c r="M9" s="132"/>
      <c r="N9" s="108">
        <f>N8*D9^G9</f>
        <v>781.15458846070248</v>
      </c>
      <c r="O9" s="106">
        <f t="shared" si="3"/>
        <v>3350.6972137434846</v>
      </c>
      <c r="P9" s="56" t="s">
        <v>416</v>
      </c>
    </row>
    <row r="10" spans="1:16">
      <c r="A10" s="147">
        <v>8</v>
      </c>
      <c r="B10" s="217" t="s">
        <v>392</v>
      </c>
      <c r="C10" s="139">
        <v>1</v>
      </c>
      <c r="D10" s="254">
        <f t="shared" si="0"/>
        <v>1</v>
      </c>
      <c r="E10" s="160">
        <f t="shared" si="2"/>
        <v>0.69265465580428276</v>
      </c>
      <c r="F10" s="107">
        <f>ITO_Deposition!D39</f>
        <v>3.8551926884031418</v>
      </c>
      <c r="G10" s="140">
        <v>1</v>
      </c>
      <c r="H10" s="250" cm="1">
        <f t="array" ref="H10">SUM($F$4:F10*$G$4:G10)/PRODUCT($D$4:D10^$G$4:G10)-SUM($F$4:F9*$G$4:G9)/PRODUCT($D$4:D9^$G$4:G9)</f>
        <v>5.5658222407047333</v>
      </c>
      <c r="I10" s="261">
        <f t="shared" si="1"/>
        <v>4.4467212330416306E-4</v>
      </c>
      <c r="J10" s="146" t="s">
        <v>344</v>
      </c>
      <c r="K10" s="146" t="s">
        <v>344</v>
      </c>
      <c r="L10" s="69" t="s">
        <v>11</v>
      </c>
      <c r="M10" s="132"/>
      <c r="N10" s="108" t="e">
        <f>#REF!*D10^G10</f>
        <v>#REF!</v>
      </c>
      <c r="O10" s="106" t="e">
        <f t="shared" si="3"/>
        <v>#REF!</v>
      </c>
      <c r="P10" s="56" t="s">
        <v>403</v>
      </c>
    </row>
    <row r="11" spans="1:16">
      <c r="A11" s="147">
        <v>9</v>
      </c>
      <c r="B11" s="159" t="s">
        <v>145</v>
      </c>
      <c r="C11" s="139">
        <v>0.98</v>
      </c>
      <c r="D11" s="254">
        <f t="shared" si="0"/>
        <v>0.98249999999999993</v>
      </c>
      <c r="E11" s="160">
        <f t="shared" si="2"/>
        <v>0.68053319932770773</v>
      </c>
      <c r="F11" s="107">
        <f>N_Metal!D47</f>
        <v>6.8012199070902595</v>
      </c>
      <c r="G11" s="140">
        <v>1</v>
      </c>
      <c r="H11" s="250" cm="1">
        <f t="array" ref="H11">SUM($F$4:F11*$G$4:G11)/PRODUCT($D$4:D11^$G$4:G11)-SUM($F$4:F10*$G$4:G10)/PRODUCT($D$4:D10^$G$4:G10)</f>
        <v>13.936206239289362</v>
      </c>
      <c r="I11" s="261">
        <f t="shared" si="1"/>
        <v>1.1134100499847921E-3</v>
      </c>
      <c r="J11" s="146" t="s">
        <v>344</v>
      </c>
      <c r="K11" s="146" t="s">
        <v>344</v>
      </c>
      <c r="L11" s="69" t="s">
        <v>11</v>
      </c>
      <c r="M11" s="132"/>
      <c r="N11" s="108" t="e">
        <f>N10*D11^G11</f>
        <v>#REF!</v>
      </c>
      <c r="O11" s="106" t="e">
        <f t="shared" si="3"/>
        <v>#REF!</v>
      </c>
      <c r="P11" s="56" t="s">
        <v>403</v>
      </c>
    </row>
    <row r="12" spans="1:16">
      <c r="A12" s="147">
        <v>10</v>
      </c>
      <c r="B12" s="159" t="s">
        <v>146</v>
      </c>
      <c r="C12" s="139">
        <v>0.98</v>
      </c>
      <c r="D12" s="254">
        <f t="shared" si="0"/>
        <v>0.98249999999999993</v>
      </c>
      <c r="E12" s="160">
        <f t="shared" si="2"/>
        <v>0.66862386833947285</v>
      </c>
      <c r="F12" s="107">
        <f>P_Metal!D47</f>
        <v>7.2956713883862907</v>
      </c>
      <c r="G12" s="140">
        <v>1</v>
      </c>
      <c r="H12" s="250" cm="1">
        <f t="array" ref="H12">SUM($F$4:F12*$G$4:G12)/PRODUCT($D$4:D12^$G$4:G12)-SUM($F$4:F11*$G$4:G11)/PRODUCT($D$4:D11^$G$4:G11)</f>
        <v>15.101949431242474</v>
      </c>
      <c r="I12" s="261">
        <f t="shared" si="1"/>
        <v>1.206545166051224E-3</v>
      </c>
      <c r="J12" s="146" t="s">
        <v>344</v>
      </c>
      <c r="K12" s="146" t="s">
        <v>344</v>
      </c>
      <c r="L12" s="69" t="s">
        <v>11</v>
      </c>
      <c r="M12" s="132"/>
      <c r="N12" s="108" t="e">
        <f>N11*D12^G12</f>
        <v>#REF!</v>
      </c>
      <c r="O12" s="106" t="e">
        <f t="shared" si="3"/>
        <v>#REF!</v>
      </c>
      <c r="P12" s="56" t="s">
        <v>403</v>
      </c>
    </row>
    <row r="13" spans="1:16">
      <c r="A13" s="147">
        <v>11</v>
      </c>
      <c r="B13" s="159" t="s">
        <v>144</v>
      </c>
      <c r="C13" s="139">
        <v>0.98</v>
      </c>
      <c r="D13" s="254">
        <f t="shared" si="0"/>
        <v>0.98249999999999993</v>
      </c>
      <c r="E13" s="160">
        <f t="shared" si="2"/>
        <v>0.65692295064353201</v>
      </c>
      <c r="F13" s="107">
        <f>Contact_Metal!D47</f>
        <v>24.100565470937383</v>
      </c>
      <c r="G13" s="140">
        <v>1</v>
      </c>
      <c r="H13" s="250" cm="1">
        <f t="array" ref="H13">SUM($F$4:F13*$G$4:G13)/PRODUCT($D$4:D13^$G$4:G13)-SUM($F$4:F12*$G$4:G12)/PRODUCT($D$4:D12^$G$4:G12)</f>
        <v>41.14651825385792</v>
      </c>
      <c r="I13" s="261">
        <f t="shared" si="1"/>
        <v>3.287332733105722E-3</v>
      </c>
      <c r="J13" s="146" t="s">
        <v>344</v>
      </c>
      <c r="K13" s="146" t="s">
        <v>344</v>
      </c>
      <c r="L13" s="69" t="s">
        <v>11</v>
      </c>
      <c r="M13" s="132"/>
      <c r="N13" s="108" t="e">
        <f>N12*D13^G13</f>
        <v>#REF!</v>
      </c>
      <c r="O13" s="106" t="e">
        <f t="shared" si="3"/>
        <v>#REF!</v>
      </c>
      <c r="P13" s="56" t="s">
        <v>403</v>
      </c>
    </row>
    <row r="14" spans="1:16">
      <c r="A14" s="248">
        <v>12</v>
      </c>
      <c r="B14" s="238" t="s">
        <v>239</v>
      </c>
      <c r="C14" s="239">
        <v>1</v>
      </c>
      <c r="D14" s="254">
        <f t="shared" si="0"/>
        <v>1</v>
      </c>
      <c r="E14" s="240">
        <f t="shared" si="2"/>
        <v>0.65692295064353201</v>
      </c>
      <c r="F14" s="241">
        <f>Generic_Metal!D44</f>
        <v>0</v>
      </c>
      <c r="G14" s="242">
        <v>0</v>
      </c>
      <c r="H14" s="250" cm="1">
        <f t="array" ref="H14">SUM($F$4:F14*$G$4:G14)/PRODUCT($D$4:D14^$G$4:G14)-SUM($F$4:F13*$G$4:G13)/PRODUCT($D$4:D13^$G$4:G13)</f>
        <v>0</v>
      </c>
      <c r="I14" s="261">
        <f t="shared" si="1"/>
        <v>0</v>
      </c>
      <c r="J14" s="158" t="s">
        <v>345</v>
      </c>
      <c r="K14" s="158" t="s">
        <v>345</v>
      </c>
      <c r="L14" s="163" t="s">
        <v>11</v>
      </c>
      <c r="M14" s="132" t="s">
        <v>240</v>
      </c>
      <c r="N14" s="108" t="e">
        <f>N13*D14^G14</f>
        <v>#REF!</v>
      </c>
      <c r="O14" s="106" t="e">
        <f t="shared" si="3"/>
        <v>#REF!</v>
      </c>
      <c r="P14" s="56" t="s">
        <v>403</v>
      </c>
    </row>
    <row r="15" spans="1:16">
      <c r="A15" s="147">
        <v>13</v>
      </c>
      <c r="B15" s="159" t="s">
        <v>311</v>
      </c>
      <c r="C15" s="139">
        <v>0.98</v>
      </c>
      <c r="D15" s="254">
        <f t="shared" si="0"/>
        <v>0.98249999999999993</v>
      </c>
      <c r="E15" s="160">
        <f t="shared" si="2"/>
        <v>0.6341318300246428</v>
      </c>
      <c r="F15" s="107">
        <f>Bonding!D31</f>
        <v>16.676841410380412</v>
      </c>
      <c r="G15" s="140">
        <v>2</v>
      </c>
      <c r="H15" s="250" cm="1">
        <f t="array" ref="H15">SUM($F$4:F15*$G$4:G15)/PRODUCT($D$4:D15^$G$4:G15)-SUM($F$4:F14*$G$4:G14)/PRODUCT($D$4:D14^$G$4:G14)</f>
        <v>63.074595251423546</v>
      </c>
      <c r="I15" s="261">
        <f t="shared" si="1"/>
        <v>5.0392400231326594E-3</v>
      </c>
      <c r="J15" s="146" t="s">
        <v>344</v>
      </c>
      <c r="K15" s="146" t="s">
        <v>344</v>
      </c>
      <c r="L15" s="69" t="s">
        <v>11</v>
      </c>
      <c r="M15" s="132"/>
      <c r="N15" s="108" t="e">
        <f>N14*D15^G15</f>
        <v>#REF!</v>
      </c>
      <c r="O15" s="106" t="e">
        <f t="shared" si="3"/>
        <v>#REF!</v>
      </c>
      <c r="P15" s="56" t="s">
        <v>424</v>
      </c>
    </row>
    <row r="16" spans="1:16">
      <c r="A16" s="147">
        <v>14</v>
      </c>
      <c r="B16" s="159" t="s">
        <v>313</v>
      </c>
      <c r="C16" s="139">
        <v>1</v>
      </c>
      <c r="D16" s="254">
        <f t="shared" si="0"/>
        <v>1</v>
      </c>
      <c r="E16" s="160">
        <f t="shared" si="2"/>
        <v>0.6341318300246428</v>
      </c>
      <c r="F16" s="107">
        <f>LLO!D28</f>
        <v>1.2939161966156327</v>
      </c>
      <c r="G16" s="140">
        <v>0</v>
      </c>
      <c r="H16" s="250" cm="1">
        <f t="array" ref="H16">SUM($F$4:F16*$G$4:G16)/PRODUCT($D$4:D16^$G$4:G16)-SUM($F$4:F15*$G$4:G15)/PRODUCT($D$4:D15^$G$4:G15)</f>
        <v>0</v>
      </c>
      <c r="I16" s="261">
        <f t="shared" si="1"/>
        <v>0</v>
      </c>
      <c r="J16" s="146" t="s">
        <v>345</v>
      </c>
      <c r="K16" s="146" t="s">
        <v>344</v>
      </c>
      <c r="L16" s="69" t="s">
        <v>11</v>
      </c>
      <c r="M16" s="132"/>
      <c r="N16" s="108" t="e">
        <f>#REF!*D16^G16</f>
        <v>#REF!</v>
      </c>
      <c r="O16" s="106" t="e">
        <f t="shared" si="3"/>
        <v>#REF!</v>
      </c>
      <c r="P16" s="56" t="s">
        <v>413</v>
      </c>
    </row>
    <row r="17" spans="1:16">
      <c r="A17" s="147">
        <v>15</v>
      </c>
      <c r="B17" s="159" t="s">
        <v>21</v>
      </c>
      <c r="C17" s="139">
        <v>0.98</v>
      </c>
      <c r="D17" s="254">
        <f t="shared" si="0"/>
        <v>0.98249999999999993</v>
      </c>
      <c r="E17" s="160">
        <f t="shared" si="2"/>
        <v>0.62303452299921147</v>
      </c>
      <c r="F17" s="107">
        <f>Backgrinding!D36</f>
        <v>37.172664347321877</v>
      </c>
      <c r="G17" s="140">
        <v>1</v>
      </c>
      <c r="H17" s="250" cm="1">
        <f t="array" ref="H17">SUM($F$4:F17*$G$4:G17)/PRODUCT($D$4:D17^$G$4:G17)-SUM($F$4:F16*$G$4:G16)/PRODUCT($D$4:D16^$G$4:G16)</f>
        <v>65.979715222897141</v>
      </c>
      <c r="I17" s="261">
        <f t="shared" si="1"/>
        <v>5.2713397579608641E-3</v>
      </c>
      <c r="J17" s="146" t="s">
        <v>344</v>
      </c>
      <c r="K17" s="146" t="s">
        <v>344</v>
      </c>
      <c r="L17" s="69" t="s">
        <v>11</v>
      </c>
      <c r="M17" s="133" t="s">
        <v>432</v>
      </c>
      <c r="N17" s="108" t="e">
        <f>N16*D17^G17</f>
        <v>#REF!</v>
      </c>
      <c r="O17" s="106" t="e">
        <f t="shared" si="3"/>
        <v>#REF!</v>
      </c>
      <c r="P17" s="56" t="s">
        <v>427</v>
      </c>
    </row>
    <row r="18" spans="1:16">
      <c r="A18" s="147">
        <v>16</v>
      </c>
      <c r="B18" s="159" t="s">
        <v>234</v>
      </c>
      <c r="C18" s="139">
        <v>0.98</v>
      </c>
      <c r="D18" s="254">
        <f t="shared" si="0"/>
        <v>0.98249999999999993</v>
      </c>
      <c r="E18" s="160">
        <f t="shared" si="2"/>
        <v>0.61213141884672517</v>
      </c>
      <c r="F18" s="107">
        <f>GaN_CMP!D32</f>
        <v>10.181522704211059</v>
      </c>
      <c r="G18" s="140">
        <v>1</v>
      </c>
      <c r="H18" s="250" cm="1">
        <f t="array" ref="H18">SUM($F$4:F18*$G$4:G18)/PRODUCT($D$4:D18^$G$4:G18)-SUM($F$4:F17*$G$4:G17)/PRODUCT($D$4:D17^$G$4:G17)</f>
        <v>24.123937981014592</v>
      </c>
      <c r="I18" s="261">
        <f t="shared" si="1"/>
        <v>1.9273419560588484E-3</v>
      </c>
      <c r="J18" s="146" t="s">
        <v>344</v>
      </c>
      <c r="K18" s="146" t="s">
        <v>344</v>
      </c>
      <c r="L18" s="69" t="s">
        <v>11</v>
      </c>
      <c r="M18" s="133" t="s">
        <v>432</v>
      </c>
      <c r="N18" s="108" t="e">
        <f>N17*D18^G18</f>
        <v>#REF!</v>
      </c>
      <c r="O18" s="106" t="e">
        <f t="shared" si="3"/>
        <v>#REF!</v>
      </c>
      <c r="P18" s="56" t="s">
        <v>428</v>
      </c>
    </row>
    <row r="19" spans="1:16">
      <c r="A19" s="147">
        <v>17</v>
      </c>
      <c r="B19" s="159" t="s">
        <v>314</v>
      </c>
      <c r="C19" s="139">
        <v>0.98</v>
      </c>
      <c r="D19" s="254">
        <f t="shared" si="0"/>
        <v>0.98249999999999993</v>
      </c>
      <c r="E19" s="160">
        <f t="shared" si="2"/>
        <v>0.60141911901690748</v>
      </c>
      <c r="F19" s="107">
        <f>Dicing!D33</f>
        <v>4.1452956044884619</v>
      </c>
      <c r="G19" s="140">
        <v>1</v>
      </c>
      <c r="H19" s="250" cm="1">
        <f t="array" ref="H19">SUM($F$4:F19*$G$4:G19)/PRODUCT($D$4:D19^$G$4:G19)-SUM($F$4:F18*$G$4:G18)/PRODUCT($D$4:D18^$G$4:G18)</f>
        <v>14.813246952728605</v>
      </c>
      <c r="I19" s="261">
        <f t="shared" si="1"/>
        <v>1.1834797610540853E-3</v>
      </c>
      <c r="J19" s="146" t="s">
        <v>344</v>
      </c>
      <c r="K19" s="146" t="s">
        <v>344</v>
      </c>
      <c r="L19" s="69" t="s">
        <v>11</v>
      </c>
      <c r="M19" s="132"/>
      <c r="N19" s="108" t="e">
        <f>N18*D19^G19</f>
        <v>#REF!</v>
      </c>
      <c r="O19" s="106" t="e">
        <f t="shared" si="3"/>
        <v>#REF!</v>
      </c>
      <c r="P19" s="56" t="s">
        <v>429</v>
      </c>
    </row>
    <row r="20" spans="1:16" ht="16" thickBot="1">
      <c r="A20" s="147">
        <v>18</v>
      </c>
      <c r="B20" s="159" t="s">
        <v>137</v>
      </c>
      <c r="C20" s="139">
        <v>1</v>
      </c>
      <c r="D20" s="254">
        <f t="shared" si="0"/>
        <v>1</v>
      </c>
      <c r="E20" s="160">
        <f t="shared" si="2"/>
        <v>0.60141911901690748</v>
      </c>
      <c r="F20" s="107">
        <f>Wafer_Probe_Test!D30</f>
        <v>7.7028581092508039</v>
      </c>
      <c r="G20" s="140">
        <v>1</v>
      </c>
      <c r="H20" s="250" cm="1">
        <f t="array" ref="H20">SUM($F$4:F20*$G$4:G20)/PRODUCT($D$4:D20^$G$4:G20)-SUM($F$4:F19*$G$4:G19)/PRODUCT($D$4:D19^$G$4:G19)</f>
        <v>12.807803852065888</v>
      </c>
      <c r="I20" s="261">
        <f t="shared" si="1"/>
        <v>1.0232582154905926E-3</v>
      </c>
      <c r="J20" s="146" t="s">
        <v>344</v>
      </c>
      <c r="K20" s="146" t="s">
        <v>344</v>
      </c>
      <c r="L20" s="69" t="s">
        <v>341</v>
      </c>
      <c r="M20" s="132"/>
      <c r="N20" s="108" t="e">
        <f>N19*D20^G20</f>
        <v>#REF!</v>
      </c>
      <c r="O20" s="106" t="e">
        <f t="shared" si="3"/>
        <v>#REF!</v>
      </c>
      <c r="P20" s="56" t="s">
        <v>404</v>
      </c>
    </row>
    <row r="21" spans="1:16" ht="16" thickBot="1">
      <c r="E21" s="247" t="s">
        <v>460</v>
      </c>
      <c r="G21" s="77" t="s">
        <v>249</v>
      </c>
      <c r="H21" s="251">
        <f>SUM(H4:H20)</f>
        <v>472.3130780333239</v>
      </c>
      <c r="I21" s="156"/>
      <c r="J21" s="156"/>
      <c r="K21" s="156"/>
      <c r="N21" s="60" t="s">
        <v>246</v>
      </c>
      <c r="O21" s="111" t="e">
        <f>O22/N5</f>
        <v>#REF!</v>
      </c>
    </row>
    <row r="22" spans="1:16">
      <c r="H22" s="59"/>
      <c r="I22" s="59"/>
      <c r="K22" s="116"/>
      <c r="O22" s="112" t="e">
        <f>SUM(O6:O20)</f>
        <v>#REF!</v>
      </c>
    </row>
    <row r="23" spans="1:16">
      <c r="H23" s="59"/>
      <c r="I23" s="59"/>
      <c r="J23" s="59"/>
      <c r="K23" s="116"/>
      <c r="N23" s="60" t="s">
        <v>245</v>
      </c>
      <c r="O23" s="111" t="e">
        <f>O4/N5</f>
        <v>#REF!</v>
      </c>
    </row>
    <row r="24" spans="1:16">
      <c r="A24" s="279" t="s">
        <v>291</v>
      </c>
      <c r="B24" s="280"/>
      <c r="C24" s="252"/>
      <c r="D24" s="141">
        <v>5.0000000000000001E-3</v>
      </c>
      <c r="E24" s="113"/>
      <c r="G24" s="60"/>
      <c r="H24" s="60"/>
      <c r="I24" s="60"/>
      <c r="J24" s="60"/>
      <c r="K24" s="247"/>
      <c r="M24" s="114"/>
      <c r="N24" s="60" t="s">
        <v>243</v>
      </c>
      <c r="O24" s="111" t="e">
        <f>SUM(O23:O23)</f>
        <v>#REF!</v>
      </c>
    </row>
    <row r="25" spans="1:16">
      <c r="G25" s="60"/>
      <c r="H25" s="60"/>
      <c r="I25" s="60"/>
      <c r="J25" s="60"/>
      <c r="K25" s="116"/>
      <c r="L25" s="60"/>
    </row>
    <row r="26" spans="1:16">
      <c r="F26" s="115"/>
      <c r="G26" s="60"/>
      <c r="H26" s="60"/>
      <c r="I26" s="60"/>
      <c r="J26" s="60"/>
      <c r="K26" s="116"/>
      <c r="L26" s="60"/>
      <c r="M26" s="117"/>
    </row>
    <row r="27" spans="1:16">
      <c r="F27" s="115"/>
      <c r="G27" s="116"/>
      <c r="H27" s="60"/>
      <c r="I27" s="60"/>
      <c r="J27" s="60"/>
      <c r="K27" s="116"/>
      <c r="L27" s="60"/>
    </row>
    <row r="28" spans="1:16">
      <c r="A28" s="279" t="s">
        <v>256</v>
      </c>
      <c r="B28" s="280"/>
      <c r="C28" s="252"/>
      <c r="D28" s="140">
        <v>75</v>
      </c>
      <c r="G28" s="60"/>
      <c r="H28" s="60"/>
      <c r="I28" s="60"/>
      <c r="J28" s="116"/>
      <c r="K28" s="116"/>
    </row>
    <row r="29" spans="1:16" ht="16" thickBot="1">
      <c r="A29" s="279" t="s">
        <v>288</v>
      </c>
      <c r="B29" s="280"/>
      <c r="C29" s="252"/>
      <c r="D29" s="140">
        <v>5</v>
      </c>
      <c r="G29" s="77" t="s">
        <v>100</v>
      </c>
      <c r="H29" s="118">
        <f>(((PI()/4)*(((Global!C3-2*Process!D29))/(SQRT(Global!C4)+Process!D28/1000))^2)-((PI()/SQRT(2))*(Global!C3-2*Process!D29))/(SQRT(Global!C4)+Process!D28/1000))</f>
        <v>13031.456624331917</v>
      </c>
      <c r="I29" s="256"/>
      <c r="J29" s="135" t="s">
        <v>339</v>
      </c>
      <c r="K29" s="116"/>
    </row>
    <row r="30" spans="1:16" ht="16" thickBot="1">
      <c r="G30" s="77" t="s">
        <v>14</v>
      </c>
      <c r="H30" s="119">
        <f>H21/H29</f>
        <v>3.6244073985669117E-2</v>
      </c>
      <c r="I30" s="257"/>
      <c r="J30" s="59"/>
      <c r="K30" s="116"/>
    </row>
    <row r="31" spans="1:16">
      <c r="F31" s="115"/>
      <c r="G31" s="116" t="s">
        <v>257</v>
      </c>
      <c r="H31" s="120">
        <f>H30/Global!C4</f>
        <v>3.6244073985669117E-2</v>
      </c>
      <c r="I31" s="120"/>
      <c r="J31" s="120"/>
      <c r="K31" s="120"/>
      <c r="L31" s="116"/>
    </row>
    <row r="33" spans="1:16">
      <c r="A33" s="264" t="s">
        <v>250</v>
      </c>
      <c r="B33" s="265"/>
      <c r="C33" s="265"/>
      <c r="D33" s="265"/>
      <c r="E33" s="265"/>
      <c r="F33" s="265"/>
      <c r="G33" s="265"/>
      <c r="H33" s="265"/>
      <c r="I33" s="265"/>
      <c r="J33" s="265"/>
      <c r="K33" s="265"/>
      <c r="L33" s="266"/>
    </row>
    <row r="34" spans="1:16">
      <c r="A34" s="267" t="s">
        <v>321</v>
      </c>
      <c r="B34" s="268"/>
      <c r="C34" s="268"/>
      <c r="D34" s="268"/>
      <c r="E34" s="269"/>
      <c r="F34" s="134" t="s">
        <v>14</v>
      </c>
      <c r="G34" s="63" t="s">
        <v>325</v>
      </c>
      <c r="H34" s="134" t="s">
        <v>324</v>
      </c>
      <c r="I34" s="134"/>
      <c r="J34" s="63" t="s">
        <v>342</v>
      </c>
      <c r="K34" s="63" t="s">
        <v>343</v>
      </c>
      <c r="L34" s="63" t="s">
        <v>6</v>
      </c>
      <c r="M34" s="138" t="s">
        <v>25</v>
      </c>
    </row>
    <row r="35" spans="1:16">
      <c r="A35" s="270" t="s">
        <v>10</v>
      </c>
      <c r="B35" s="271"/>
      <c r="C35" s="271"/>
      <c r="D35" s="271"/>
      <c r="E35" s="272"/>
      <c r="F35" s="158">
        <f>H30</f>
        <v>3.6244073985669117E-2</v>
      </c>
      <c r="G35" s="142">
        <v>1</v>
      </c>
      <c r="H35" s="158">
        <f>F35*G35</f>
        <v>3.6244073985669117E-2</v>
      </c>
      <c r="I35" s="158"/>
      <c r="J35" s="163"/>
      <c r="K35" s="163"/>
      <c r="L35" s="150" t="s">
        <v>8</v>
      </c>
      <c r="N35" s="122">
        <v>100000</v>
      </c>
      <c r="O35" s="106">
        <f>N35*H35</f>
        <v>3624.4073985669115</v>
      </c>
    </row>
    <row r="36" spans="1:16">
      <c r="A36" s="273" t="s">
        <v>193</v>
      </c>
      <c r="B36" s="274"/>
      <c r="C36" s="274"/>
      <c r="D36" s="274"/>
      <c r="E36" s="275"/>
      <c r="F36" s="162"/>
      <c r="G36" s="163"/>
      <c r="H36" s="161">
        <f>Package!F6</f>
        <v>1.3599999999999999E-2</v>
      </c>
      <c r="I36" s="158"/>
      <c r="J36" s="123" t="s">
        <v>344</v>
      </c>
      <c r="K36" s="123" t="s">
        <v>344</v>
      </c>
      <c r="L36" s="69" t="s">
        <v>8</v>
      </c>
      <c r="O36" s="106"/>
      <c r="P36" s="59"/>
    </row>
    <row r="37" spans="1:16" ht="14.5" customHeight="1">
      <c r="A37" s="264" t="s">
        <v>305</v>
      </c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6"/>
      <c r="M37" s="62"/>
      <c r="N37" s="122"/>
      <c r="O37" s="106"/>
      <c r="P37" s="59"/>
    </row>
    <row r="38" spans="1:16" ht="14.5" customHeight="1">
      <c r="A38" s="63" t="s">
        <v>4</v>
      </c>
      <c r="B38" s="63" t="s">
        <v>289</v>
      </c>
      <c r="C38" s="63"/>
      <c r="D38" s="63" t="s">
        <v>19</v>
      </c>
      <c r="E38" s="63" t="s">
        <v>303</v>
      </c>
      <c r="F38" s="134" t="s">
        <v>5</v>
      </c>
      <c r="G38" s="63" t="s">
        <v>12</v>
      </c>
      <c r="H38" s="134" t="s">
        <v>468</v>
      </c>
      <c r="I38" s="134"/>
      <c r="J38" s="63" t="s">
        <v>346</v>
      </c>
      <c r="K38" s="63" t="s">
        <v>343</v>
      </c>
      <c r="L38" s="63" t="s">
        <v>6</v>
      </c>
      <c r="M38" s="63" t="s">
        <v>25</v>
      </c>
      <c r="N38" s="122"/>
      <c r="O38" s="106"/>
      <c r="P38" s="59"/>
    </row>
    <row r="39" spans="1:16">
      <c r="A39" s="147">
        <v>1</v>
      </c>
      <c r="B39" s="148" t="s">
        <v>138</v>
      </c>
      <c r="C39" s="148"/>
      <c r="D39" s="144">
        <v>0.99</v>
      </c>
      <c r="E39" s="157">
        <f>D39^G39</f>
        <v>0.99</v>
      </c>
      <c r="F39" s="158">
        <f>Die_Attach!D29</f>
        <v>4.2931397312628069E-3</v>
      </c>
      <c r="G39" s="143">
        <v>1</v>
      </c>
      <c r="H39" s="158">
        <f>(F39*G39)/D39^G39</f>
        <v>4.3365047790533406E-3</v>
      </c>
      <c r="I39" s="158"/>
      <c r="J39" s="123" t="s">
        <v>344</v>
      </c>
      <c r="K39" s="123" t="s">
        <v>344</v>
      </c>
      <c r="L39" s="150" t="s">
        <v>8</v>
      </c>
      <c r="M39" s="132"/>
      <c r="N39" s="124">
        <f>N35*D39^G39</f>
        <v>99000</v>
      </c>
      <c r="O39" s="106">
        <f>N39*F39*G39</f>
        <v>425.02083339501786</v>
      </c>
      <c r="P39" s="59"/>
    </row>
    <row r="40" spans="1:16">
      <c r="A40" s="63">
        <v>2</v>
      </c>
      <c r="B40" s="159" t="s">
        <v>139</v>
      </c>
      <c r="C40" s="159"/>
      <c r="D40" s="145">
        <v>1</v>
      </c>
      <c r="E40" s="160">
        <f>E39*D40^G40</f>
        <v>0.99</v>
      </c>
      <c r="F40" s="161">
        <f>Flip_Chip!D29</f>
        <v>1.9423230593607305E-2</v>
      </c>
      <c r="G40" s="140">
        <v>0</v>
      </c>
      <c r="H40" s="253" cm="1">
        <f t="array" ref="H40">SUM($F$39:F40*$G$39:G40)/PRODUCT($D$39:D40^$G$39:G40)-SUM($F$39:F39*$G$39:G39)/PRODUCT($D$39:D39^$G$39:G39)</f>
        <v>0</v>
      </c>
      <c r="I40" s="253"/>
      <c r="J40" s="146" t="s">
        <v>345</v>
      </c>
      <c r="K40" s="146" t="s">
        <v>344</v>
      </c>
      <c r="L40" s="69" t="s">
        <v>8</v>
      </c>
      <c r="M40" s="133"/>
      <c r="N40" s="124">
        <f>N39*D40^G40</f>
        <v>99000</v>
      </c>
      <c r="O40" s="106">
        <f>N40*F40*G40</f>
        <v>0</v>
      </c>
      <c r="P40" s="59"/>
    </row>
    <row r="41" spans="1:16">
      <c r="A41" s="63">
        <v>4</v>
      </c>
      <c r="B41" s="159" t="s">
        <v>15</v>
      </c>
      <c r="C41" s="159"/>
      <c r="D41" s="145">
        <v>1</v>
      </c>
      <c r="E41" s="160">
        <f t="shared" ref="E41:E48" si="4">E40*D41^G41</f>
        <v>0.99</v>
      </c>
      <c r="F41" s="161">
        <f>ESD_Attach!D29</f>
        <v>7.548801370463383E-3</v>
      </c>
      <c r="G41" s="140">
        <v>0</v>
      </c>
      <c r="H41" s="253" cm="1">
        <f t="array" ref="H41">SUM($F$39:F41*$G$39:G41)/PRODUCT($D$39:D41^$G$39:G41)-SUM($F$39:F40*$G$39:G40)/PRODUCT($D$39:D40^$G$39:G40)</f>
        <v>0</v>
      </c>
      <c r="I41" s="253"/>
      <c r="J41" s="146" t="s">
        <v>345</v>
      </c>
      <c r="K41" s="146" t="s">
        <v>344</v>
      </c>
      <c r="L41" s="69" t="s">
        <v>8</v>
      </c>
      <c r="M41" s="133"/>
      <c r="N41" s="124" t="e">
        <f>#REF!*D41^G41</f>
        <v>#REF!</v>
      </c>
      <c r="O41" s="106" t="e">
        <f>N41*F41*G41</f>
        <v>#REF!</v>
      </c>
      <c r="P41" s="59"/>
    </row>
    <row r="42" spans="1:16">
      <c r="A42" s="147">
        <v>5</v>
      </c>
      <c r="B42" s="159" t="s">
        <v>141</v>
      </c>
      <c r="C42" s="159"/>
      <c r="D42" s="145">
        <v>0.98</v>
      </c>
      <c r="E42" s="160">
        <f t="shared" si="4"/>
        <v>0.97019999999999995</v>
      </c>
      <c r="F42" s="161">
        <f>Wire_Bonding!D30</f>
        <v>4.0522770326170063E-2</v>
      </c>
      <c r="G42" s="140">
        <v>1</v>
      </c>
      <c r="H42" s="253" cm="1">
        <f t="array" ref="H42">SUM($F$39:F42*$G$39:G42)/PRODUCT($D$39:D42^$G$39:G42)-SUM($F$39:F41*$G$39:G41)/PRODUCT($D$39:D41^$G$39:G41)</f>
        <v>4.1855940136874173E-2</v>
      </c>
      <c r="I42" s="253"/>
      <c r="J42" s="123" t="s">
        <v>344</v>
      </c>
      <c r="K42" s="123" t="s">
        <v>344</v>
      </c>
      <c r="L42" s="69" t="s">
        <v>8</v>
      </c>
      <c r="M42" s="132"/>
      <c r="N42" s="124" t="e">
        <f>N41*D42^G42</f>
        <v>#REF!</v>
      </c>
      <c r="O42" s="106" t="e">
        <f>N42*F42*G42</f>
        <v>#REF!</v>
      </c>
      <c r="P42" s="59"/>
    </row>
    <row r="43" spans="1:16">
      <c r="A43" s="63">
        <v>6</v>
      </c>
      <c r="B43" s="159" t="s">
        <v>211</v>
      </c>
      <c r="C43" s="159"/>
      <c r="D43" s="145">
        <v>0.99</v>
      </c>
      <c r="E43" s="160">
        <f t="shared" si="4"/>
        <v>0.96049799999999996</v>
      </c>
      <c r="F43" s="161">
        <f>Phosphor_Package!D42</f>
        <v>9.4299447206916305E-3</v>
      </c>
      <c r="G43" s="140">
        <v>1</v>
      </c>
      <c r="H43" s="253" cm="1">
        <f t="array" ref="H43">SUM($F$39:F43*$G$39:G43)/PRODUCT($D$39:D43^$G$39:G43)-SUM($F$39:F42*$G$39:G42)/PRODUCT($D$39:D42^$G$39:G42)</f>
        <v>1.0284356470566275E-2</v>
      </c>
      <c r="I43" s="253"/>
      <c r="J43" s="123" t="s">
        <v>344</v>
      </c>
      <c r="K43" s="123" t="s">
        <v>344</v>
      </c>
      <c r="L43" s="69" t="s">
        <v>9</v>
      </c>
      <c r="M43" s="132"/>
      <c r="N43" s="124" t="e">
        <f>N42*D43^G43</f>
        <v>#REF!</v>
      </c>
      <c r="O43" s="106" t="e">
        <f>N43*F43*G43</f>
        <v>#REF!</v>
      </c>
      <c r="P43" s="59"/>
    </row>
    <row r="44" spans="1:16">
      <c r="A44" s="147">
        <v>7</v>
      </c>
      <c r="B44" s="159" t="s">
        <v>340</v>
      </c>
      <c r="C44" s="159"/>
      <c r="D44" s="145">
        <v>1</v>
      </c>
      <c r="E44" s="160">
        <f t="shared" si="4"/>
        <v>0.96049799999999996</v>
      </c>
      <c r="F44" s="161">
        <f>Curing!D29</f>
        <v>1.4046803652968038E-3</v>
      </c>
      <c r="G44" s="140">
        <v>1</v>
      </c>
      <c r="H44" s="253" cm="1">
        <f t="array" ref="H44">SUM($F$39:F44*$G$39:G44)/PRODUCT($D$39:D44^$G$39:G44)-SUM($F$39:F43*$G$39:G43)/PRODUCT($D$39:D43^$G$39:G43)</f>
        <v>1.4624500678781238E-3</v>
      </c>
      <c r="I44" s="253"/>
      <c r="J44" s="123" t="s">
        <v>344</v>
      </c>
      <c r="K44" s="123" t="s">
        <v>344</v>
      </c>
      <c r="L44" s="69" t="s">
        <v>9</v>
      </c>
      <c r="M44" s="132"/>
      <c r="N44" s="124"/>
      <c r="O44" s="106"/>
      <c r="P44" s="59"/>
    </row>
    <row r="45" spans="1:16">
      <c r="A45" s="63">
        <v>8</v>
      </c>
      <c r="B45" s="159" t="s">
        <v>16</v>
      </c>
      <c r="C45" s="159"/>
      <c r="D45" s="145">
        <v>1</v>
      </c>
      <c r="E45" s="160">
        <f t="shared" si="4"/>
        <v>0.96049799999999996</v>
      </c>
      <c r="F45" s="161">
        <f>Encapsulation!D35</f>
        <v>5.9597260597877184E-2</v>
      </c>
      <c r="G45" s="140">
        <v>0</v>
      </c>
      <c r="H45" s="253" cm="1">
        <f t="array" ref="H45">SUM($F$39:F45*$G$39:G45)/PRODUCT($D$39:D45^$G$39:G45)-SUM($F$39:F44*$G$39:G44)/PRODUCT($D$39:D44^$G$39:G44)</f>
        <v>0</v>
      </c>
      <c r="I45" s="253"/>
      <c r="J45" s="123" t="s">
        <v>345</v>
      </c>
      <c r="K45" s="123" t="s">
        <v>344</v>
      </c>
      <c r="L45" s="69" t="s">
        <v>8</v>
      </c>
      <c r="M45" s="133"/>
      <c r="N45" s="124" t="e">
        <f>N43*D45^G45</f>
        <v>#REF!</v>
      </c>
      <c r="O45" s="106" t="e">
        <f>N45*F45*G45</f>
        <v>#REF!</v>
      </c>
      <c r="P45" s="59"/>
    </row>
    <row r="46" spans="1:16">
      <c r="A46" s="147">
        <v>9</v>
      </c>
      <c r="B46" s="159" t="s">
        <v>219</v>
      </c>
      <c r="C46" s="159"/>
      <c r="D46" s="145">
        <v>1</v>
      </c>
      <c r="E46" s="160">
        <f t="shared" si="4"/>
        <v>0.96049799999999996</v>
      </c>
      <c r="F46" s="161">
        <f>Lens_Molding!D35</f>
        <v>4.352133211737276E-2</v>
      </c>
      <c r="G46" s="140">
        <v>0</v>
      </c>
      <c r="H46" s="253" cm="1">
        <f t="array" ref="H46">SUM($F$39:F46*$G$39:G46)/PRODUCT($D$39:D46^$G$39:G46)-SUM($F$39:F45*$G$39:G45)/PRODUCT($D$39:D45^$G$39:G45)</f>
        <v>0</v>
      </c>
      <c r="I46" s="253"/>
      <c r="J46" s="146" t="s">
        <v>345</v>
      </c>
      <c r="K46" s="146" t="s">
        <v>344</v>
      </c>
      <c r="L46" s="69" t="s">
        <v>8</v>
      </c>
      <c r="M46" s="133"/>
      <c r="N46" s="124" t="e">
        <f>N45*D46^G46</f>
        <v>#REF!</v>
      </c>
      <c r="O46" s="106" t="e">
        <f>N46*F46*G46</f>
        <v>#REF!</v>
      </c>
      <c r="P46" s="59"/>
    </row>
    <row r="47" spans="1:16">
      <c r="A47" s="63">
        <v>10</v>
      </c>
      <c r="B47" s="159" t="s">
        <v>140</v>
      </c>
      <c r="C47" s="159"/>
      <c r="D47" s="145">
        <v>1</v>
      </c>
      <c r="E47" s="160">
        <f t="shared" si="4"/>
        <v>0.96049799999999996</v>
      </c>
      <c r="F47" s="161">
        <f>Lens_Attach!D29</f>
        <v>8.0995596868884537E-2</v>
      </c>
      <c r="G47" s="140">
        <v>0</v>
      </c>
      <c r="H47" s="253" cm="1">
        <f t="array" ref="H47">SUM($F$39:F47*$G$39:G47)/PRODUCT($D$39:D47^$G$39:G47)-SUM($F$39:F46*$G$39:G46)/PRODUCT($D$39:D46^$G$39:G46)</f>
        <v>0</v>
      </c>
      <c r="I47" s="253"/>
      <c r="J47" s="146" t="s">
        <v>345</v>
      </c>
      <c r="K47" s="146" t="s">
        <v>344</v>
      </c>
      <c r="L47" s="69" t="s">
        <v>8</v>
      </c>
      <c r="M47" s="133"/>
      <c r="N47" s="124" t="e">
        <f>N46*D47^G47</f>
        <v>#REF!</v>
      </c>
      <c r="O47" s="106" t="e">
        <f>N47*F47*G47</f>
        <v>#REF!</v>
      </c>
      <c r="P47" s="59"/>
    </row>
    <row r="48" spans="1:16">
      <c r="A48" s="147">
        <v>11</v>
      </c>
      <c r="B48" s="159" t="s">
        <v>142</v>
      </c>
      <c r="C48" s="159"/>
      <c r="D48" s="145">
        <v>1</v>
      </c>
      <c r="E48" s="160">
        <f t="shared" si="4"/>
        <v>0.96049799999999996</v>
      </c>
      <c r="F48" s="161">
        <f>LED_Test!D29</f>
        <v>1.8674245306950787E-3</v>
      </c>
      <c r="G48" s="140">
        <v>1</v>
      </c>
      <c r="H48" s="253" cm="1">
        <f t="array" ref="H48">SUM($F$39:F48*$G$39:G48)/PRODUCT($D$39:D48^$G$39:G48)-SUM($F$39:F47*$G$39:G47)/PRODUCT($D$39:D47^$G$39:G47)</f>
        <v>1.9442253192563444E-3</v>
      </c>
      <c r="I48" s="253"/>
      <c r="J48" s="121" t="s">
        <v>344</v>
      </c>
      <c r="K48" s="121" t="s">
        <v>344</v>
      </c>
      <c r="L48" s="69" t="s">
        <v>341</v>
      </c>
      <c r="M48" s="132"/>
      <c r="N48" s="124" t="e">
        <f>N47*D48^G48</f>
        <v>#REF!</v>
      </c>
      <c r="O48" s="106" t="e">
        <f>N48*F48*G48</f>
        <v>#REF!</v>
      </c>
      <c r="P48" s="59"/>
    </row>
    <row r="49" spans="1:15">
      <c r="G49" s="77" t="s">
        <v>247</v>
      </c>
      <c r="H49" s="125">
        <f>SUM(H39:H48)</f>
        <v>5.9883476773628257E-2</v>
      </c>
      <c r="I49" s="258"/>
      <c r="J49" s="59"/>
      <c r="K49" s="59"/>
      <c r="N49" s="60" t="s">
        <v>247</v>
      </c>
      <c r="O49" s="126" t="e">
        <f>O50/N48</f>
        <v>#REF!</v>
      </c>
    </row>
    <row r="50" spans="1:15">
      <c r="A50" s="58"/>
      <c r="B50" s="127"/>
      <c r="C50" s="127"/>
      <c r="D50" s="128"/>
      <c r="E50" s="113"/>
      <c r="F50" s="129"/>
      <c r="G50" s="77" t="s">
        <v>322</v>
      </c>
      <c r="H50" s="123">
        <f>H35/E48</f>
        <v>3.7734668875592785E-2</v>
      </c>
      <c r="I50" s="259"/>
      <c r="J50" s="59"/>
      <c r="K50" s="59"/>
      <c r="N50" s="124"/>
      <c r="O50" s="112" t="e">
        <f>SUM(O39:O48)</f>
        <v>#REF!</v>
      </c>
    </row>
    <row r="51" spans="1:15" ht="16" thickBot="1">
      <c r="A51" s="58"/>
      <c r="B51" s="127"/>
      <c r="C51" s="127"/>
      <c r="D51" s="128"/>
      <c r="E51" s="113"/>
      <c r="F51" s="129"/>
      <c r="G51" s="77" t="s">
        <v>323</v>
      </c>
      <c r="H51" s="130">
        <f>H36/E48</f>
        <v>1.4159321518628878E-2</v>
      </c>
      <c r="I51" s="259"/>
      <c r="J51" s="59"/>
      <c r="K51" s="59"/>
      <c r="N51" s="124"/>
      <c r="O51" s="131"/>
    </row>
    <row r="52" spans="1:15" ht="16" thickBot="1">
      <c r="D52" s="113"/>
      <c r="G52" s="77" t="s">
        <v>301</v>
      </c>
      <c r="H52" s="255">
        <f>SUM(H49:H51)</f>
        <v>0.11177746716784992</v>
      </c>
      <c r="I52" s="260"/>
      <c r="J52" s="59"/>
      <c r="K52" s="128"/>
      <c r="N52" s="60" t="s">
        <v>248</v>
      </c>
      <c r="O52" s="126" t="e">
        <f>O35/N48</f>
        <v>#REF!</v>
      </c>
    </row>
    <row r="53" spans="1:15">
      <c r="J53" s="59"/>
      <c r="K53" s="59"/>
    </row>
    <row r="54" spans="1:15">
      <c r="J54" s="59"/>
      <c r="K54" s="59"/>
    </row>
    <row r="55" spans="1:15">
      <c r="J55" s="59"/>
      <c r="K55" s="59"/>
    </row>
    <row r="81" spans="6:20">
      <c r="F81" s="59"/>
      <c r="H81" s="59"/>
      <c r="I81" s="59"/>
      <c r="J81" s="59"/>
      <c r="K81" s="59"/>
      <c r="M81" s="59"/>
      <c r="N81" s="59"/>
      <c r="O81" s="59"/>
      <c r="P81" s="59"/>
      <c r="Q81" s="59"/>
      <c r="R81" s="59"/>
      <c r="S81" s="59"/>
      <c r="T81" s="59"/>
    </row>
  </sheetData>
  <mergeCells count="11">
    <mergeCell ref="M1:M2"/>
    <mergeCell ref="A37:L37"/>
    <mergeCell ref="A34:E34"/>
    <mergeCell ref="A35:E35"/>
    <mergeCell ref="A36:E36"/>
    <mergeCell ref="A1:L1"/>
    <mergeCell ref="A2:L2"/>
    <mergeCell ref="A24:B24"/>
    <mergeCell ref="A28:B28"/>
    <mergeCell ref="A29:B29"/>
    <mergeCell ref="A33:L33"/>
  </mergeCells>
  <conditionalFormatting sqref="F4:F20">
    <cfRule type="colorScale" priority="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:F48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:K20 J39:K48">
    <cfRule type="cellIs" dxfId="6" priority="24" operator="equal">
      <formula>"No"</formula>
    </cfRule>
    <cfRule type="cellIs" dxfId="5" priority="23" operator="equal">
      <formula>"???"</formula>
    </cfRule>
    <cfRule type="cellIs" dxfId="4" priority="25" operator="equal">
      <formula>"Yes"</formula>
    </cfRule>
  </conditionalFormatting>
  <conditionalFormatting sqref="J36:K36">
    <cfRule type="cellIs" dxfId="3" priority="16" operator="equal">
      <formula>"Yes"</formula>
    </cfRule>
    <cfRule type="cellIs" dxfId="2" priority="15" operator="equal">
      <formula>"No"</formula>
    </cfRule>
    <cfRule type="cellIs" dxfId="1" priority="14" operator="equal">
      <formula>"???"</formula>
    </cfRule>
  </conditionalFormatting>
  <dataValidations disablePrompts="1" count="1">
    <dataValidation type="list" allowBlank="1" showInputMessage="1" showErrorMessage="1" sqref="G5:G20" xr:uid="{00000000-0002-0000-0100-000000000000}">
      <formula1>"0,1,2,3,4,5,6,7,8,9,10"</formula1>
    </dataValidation>
  </dataValidations>
  <hyperlinks>
    <hyperlink ref="B46" location="Lens_Molding!A1" display="Lens_Molding!A1" xr:uid="{00000000-0004-0000-0100-000000000000}"/>
    <hyperlink ref="A36" location="Package!A1" display="Package!A1" xr:uid="{00000000-0004-0000-0100-000001000000}"/>
    <hyperlink ref="B39" location="Die_Attach!A1" display="Die_Attach!A1" xr:uid="{00000000-0004-0000-0100-000002000000}"/>
    <hyperlink ref="B40" location="Flip_Chip!A1" display="Flip_Chip!A1" xr:uid="{00000000-0004-0000-0100-000003000000}"/>
    <hyperlink ref="B41" location="ESD_Attach!A1" display="ESD_Attach!A1" xr:uid="{00000000-0004-0000-0100-000005000000}"/>
    <hyperlink ref="B42" location="Wire_Bonding!A1" display="Wire_Bonding!A1" xr:uid="{00000000-0004-0000-0100-000006000000}"/>
    <hyperlink ref="B43" location="Phosphor_Package!A1" display="Phosphor_Package!A1" xr:uid="{00000000-0004-0000-0100-000007000000}"/>
    <hyperlink ref="B45" location="Encapsulation!A1" display="Encapsulation!A1" xr:uid="{00000000-0004-0000-0100-000008000000}"/>
    <hyperlink ref="B47" location="Lens_Attach!A1" display="Lens_Attach!A1" xr:uid="{00000000-0004-0000-0100-000009000000}"/>
    <hyperlink ref="B48" location="LED_Test!A1" display="LED_Test!A1" xr:uid="{00000000-0004-0000-0100-00000A000000}"/>
    <hyperlink ref="B4" location="Epitaxy!A1" display="Epitaxy!A1" xr:uid="{00000000-0004-0000-0100-00000B000000}"/>
    <hyperlink ref="B6" location="Dry_Depn!A1" display="Dry_Depn!A1" xr:uid="{00000000-0004-0000-0100-00000C000000}"/>
    <hyperlink ref="B8" location="Lithography_Mask!A1" display="Lithography_Mask" xr:uid="{00000000-0004-0000-0100-00000D000000}"/>
    <hyperlink ref="B9" location="Dry_Etch!A1" display="Dry_Etch!A1" xr:uid="{00000000-0004-0000-0100-00000E000000}"/>
    <hyperlink ref="B10" location="ITO_Deposition!A1" display="ITO_Deposition" xr:uid="{00000000-0004-0000-0100-00000F000000}"/>
    <hyperlink ref="B11" location="N_Metal!A1" display="N_Metal!A1" xr:uid="{00000000-0004-0000-0100-000010000000}"/>
    <hyperlink ref="B12" location="P_Metal!A1" display="P_Metal!A1" xr:uid="{00000000-0004-0000-0100-000011000000}"/>
    <hyperlink ref="B13" location="Contact_Metal!A1" display="Contact_Metal!A1" xr:uid="{00000000-0004-0000-0100-000012000000}"/>
    <hyperlink ref="B14" location="Generic_Metal!A1" display="Generic_Metal!A1" xr:uid="{00000000-0004-0000-0100-000013000000}"/>
    <hyperlink ref="B5" location="Wafer_Inspection!A1" display="Wafer_Inspection!A1" xr:uid="{00000000-0004-0000-0100-000014000000}"/>
    <hyperlink ref="B15" location="Bonding!A1" display="Bonding!A1" xr:uid="{00000000-0004-0000-0100-000015000000}"/>
    <hyperlink ref="B16" location="LLO!A1" display="Wafer LLO" xr:uid="{00000000-0004-0000-0100-000017000000}"/>
    <hyperlink ref="B17" location="Backgrinding!A1" display="Backgrinding!A1" xr:uid="{00000000-0004-0000-0100-000018000000}"/>
    <hyperlink ref="B18" location="GaN_CMP!A1" display="GaN_CMP!A1" xr:uid="{00000000-0004-0000-0100-000019000000}"/>
    <hyperlink ref="B19" location="Dicing!A1" display="Dicing!A1" xr:uid="{00000000-0004-0000-0100-00001A000000}"/>
    <hyperlink ref="B20" location="Wafer_Probe_Test!A1" display="Wafer_Probe_Test!A1" xr:uid="{00000000-0004-0000-0100-00001B000000}"/>
    <hyperlink ref="J29" r:id="rId1" location="Analytical_die_count_estimation" display="See Analytical Die Count Estimation" xr:uid="{D98D4E93-BA20-4FD8-BF5E-63947B702DCB}"/>
    <hyperlink ref="B44" location="Curing!A1" display="Curing" xr:uid="{9CD8A665-0C51-40B6-B9C8-AC45F2B3B5CF}"/>
    <hyperlink ref="B7" location="Lithography_Stepper!A1" display="Lithography_Stepper" xr:uid="{8CC160D0-89EE-444F-A9BD-87FC1DB01779}"/>
    <hyperlink ref="E21" r:id="rId2" xr:uid="{97B3D0F3-E166-4D2F-ABC8-18DF65EDB8BC}"/>
  </hyperlinks>
  <pageMargins left="0.75" right="0.75" top="1" bottom="1" header="0.5" footer="0.5"/>
  <pageSetup orientation="portrait" r:id="rId3"/>
  <headerFooter alignWithMargins="0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04E4F-8E14-4E94-AD91-6FFF633EC90E}">
  <dimension ref="A1:F39"/>
  <sheetViews>
    <sheetView workbookViewId="0">
      <selection activeCell="D16" sqref="D16"/>
    </sheetView>
  </sheetViews>
  <sheetFormatPr baseColWidth="10" defaultColWidth="8.6640625" defaultRowHeight="15"/>
  <cols>
    <col min="1" max="1" width="17.5" style="188" customWidth="1"/>
    <col min="2" max="2" width="21.6640625" style="188" bestFit="1" customWidth="1"/>
    <col min="3" max="3" width="7.33203125" style="214" bestFit="1" customWidth="1"/>
    <col min="4" max="4" width="17.5" style="214" bestFit="1" customWidth="1"/>
    <col min="5" max="5" width="20.6640625" style="188" customWidth="1"/>
    <col min="6" max="16384" width="8.6640625" style="188"/>
  </cols>
  <sheetData>
    <row r="1" spans="1:5" s="187" customFormat="1">
      <c r="A1" s="186" t="s">
        <v>7</v>
      </c>
      <c r="B1" s="186" t="s">
        <v>22</v>
      </c>
      <c r="C1" s="186" t="s">
        <v>23</v>
      </c>
      <c r="D1" s="186" t="s">
        <v>24</v>
      </c>
      <c r="E1" s="186" t="s">
        <v>25</v>
      </c>
    </row>
    <row r="2" spans="1:5" s="187" customFormat="1">
      <c r="A2" s="283" t="s">
        <v>242</v>
      </c>
      <c r="B2" s="283"/>
      <c r="C2" s="283"/>
      <c r="D2" s="283"/>
    </row>
    <row r="3" spans="1:5" s="187" customFormat="1">
      <c r="B3" s="284" t="s">
        <v>393</v>
      </c>
      <c r="C3" s="285"/>
      <c r="D3" s="286"/>
    </row>
    <row r="4" spans="1:5">
      <c r="B4" s="189" t="s">
        <v>1</v>
      </c>
      <c r="C4" s="190"/>
      <c r="D4" s="186" t="s">
        <v>27</v>
      </c>
    </row>
    <row r="5" spans="1:5">
      <c r="A5" s="191"/>
      <c r="B5" s="189" t="s">
        <v>29</v>
      </c>
      <c r="C5" s="190" t="s">
        <v>30</v>
      </c>
      <c r="D5" s="186">
        <f>Global!C3</f>
        <v>150</v>
      </c>
    </row>
    <row r="6" spans="1:5">
      <c r="A6" s="192" t="s">
        <v>26</v>
      </c>
      <c r="B6" s="189" t="s">
        <v>78</v>
      </c>
      <c r="C6" s="190"/>
      <c r="D6" s="193" t="s">
        <v>399</v>
      </c>
    </row>
    <row r="7" spans="1:5">
      <c r="A7" s="191"/>
      <c r="B7" s="194" t="s">
        <v>32</v>
      </c>
      <c r="C7" s="195"/>
      <c r="D7" s="196"/>
    </row>
    <row r="8" spans="1:5">
      <c r="B8" s="189" t="s">
        <v>186</v>
      </c>
      <c r="C8" s="190"/>
      <c r="D8" s="197" t="s">
        <v>394</v>
      </c>
    </row>
    <row r="9" spans="1:5">
      <c r="B9" s="189" t="s">
        <v>177</v>
      </c>
      <c r="C9" s="190" t="s">
        <v>36</v>
      </c>
      <c r="D9" s="197">
        <v>0.08</v>
      </c>
      <c r="E9" s="198"/>
    </row>
    <row r="10" spans="1:5">
      <c r="B10" s="189" t="s">
        <v>102</v>
      </c>
      <c r="C10" s="190" t="s">
        <v>168</v>
      </c>
      <c r="D10" s="197">
        <v>15</v>
      </c>
      <c r="E10" s="198" t="s">
        <v>169</v>
      </c>
    </row>
    <row r="11" spans="1:5">
      <c r="A11" s="191"/>
      <c r="B11" s="189" t="s">
        <v>162</v>
      </c>
      <c r="C11" s="190" t="s">
        <v>43</v>
      </c>
      <c r="D11" s="199">
        <v>0.25</v>
      </c>
      <c r="E11" s="188" t="s">
        <v>302</v>
      </c>
    </row>
    <row r="12" spans="1:5">
      <c r="A12" s="191"/>
      <c r="B12" s="189" t="s">
        <v>154</v>
      </c>
      <c r="C12" s="200"/>
      <c r="D12" s="197">
        <v>12</v>
      </c>
    </row>
    <row r="14" spans="1:5">
      <c r="A14" s="201" t="s">
        <v>45</v>
      </c>
      <c r="B14" s="202" t="s">
        <v>155</v>
      </c>
      <c r="C14" s="200" t="s">
        <v>48</v>
      </c>
      <c r="D14" s="203">
        <f>D12*PI()*(D5*0.1/2)^2</f>
        <v>2120.5750411731105</v>
      </c>
    </row>
    <row r="15" spans="1:5">
      <c r="A15" s="204"/>
      <c r="B15" s="202" t="s">
        <v>33</v>
      </c>
      <c r="C15" s="200" t="s">
        <v>34</v>
      </c>
      <c r="D15" s="205">
        <f>(0.5+((10000/(D10*60*60))*(D9))+0.5)*Global!C18</f>
        <v>1.0148148148148148</v>
      </c>
      <c r="E15" s="188" t="s">
        <v>166</v>
      </c>
    </row>
    <row r="16" spans="1:5">
      <c r="A16" s="204"/>
      <c r="B16" s="202" t="s">
        <v>395</v>
      </c>
      <c r="C16" s="200" t="s">
        <v>157</v>
      </c>
      <c r="D16" s="205">
        <v>7</v>
      </c>
    </row>
    <row r="17" spans="1:6">
      <c r="B17" s="202" t="s">
        <v>396</v>
      </c>
      <c r="C17" s="200" t="s">
        <v>160</v>
      </c>
      <c r="D17" s="205">
        <f>D14*D9*0.0001*(1+D11)*D16</f>
        <v>0.14844025288211776</v>
      </c>
      <c r="E17" s="188" t="s">
        <v>300</v>
      </c>
    </row>
    <row r="19" spans="1:6">
      <c r="A19" s="206"/>
      <c r="B19" s="207" t="s">
        <v>72</v>
      </c>
      <c r="C19" s="195"/>
      <c r="D19" s="196"/>
    </row>
    <row r="20" spans="1:6">
      <c r="B20" s="189" t="s">
        <v>20</v>
      </c>
      <c r="C20" s="190" t="s">
        <v>74</v>
      </c>
      <c r="D20" s="208">
        <f>0.2*Global!C17</f>
        <v>0.2</v>
      </c>
    </row>
    <row r="21" spans="1:6">
      <c r="A21" s="209"/>
      <c r="B21" s="194" t="s">
        <v>78</v>
      </c>
      <c r="C21" s="195"/>
      <c r="D21" s="196"/>
    </row>
    <row r="22" spans="1:6">
      <c r="B22" s="202" t="s">
        <v>79</v>
      </c>
      <c r="C22" s="200" t="s">
        <v>80</v>
      </c>
      <c r="D22" s="210">
        <f>750000*1.15*Global!C16</f>
        <v>862499.99999999988</v>
      </c>
    </row>
    <row r="23" spans="1:6" s="56" customFormat="1">
      <c r="B23" s="78" t="s">
        <v>436</v>
      </c>
      <c r="C23" s="79" t="s">
        <v>437</v>
      </c>
      <c r="D23" s="79">
        <v>5</v>
      </c>
    </row>
    <row r="24" spans="1:6">
      <c r="A24" s="191"/>
      <c r="B24" s="202" t="s">
        <v>81</v>
      </c>
      <c r="C24" s="200" t="s">
        <v>82</v>
      </c>
      <c r="D24" s="210">
        <f>D22*0.01</f>
        <v>8624.9999999999982</v>
      </c>
    </row>
    <row r="25" spans="1:6">
      <c r="A25" s="191"/>
      <c r="B25" s="202" t="s">
        <v>83</v>
      </c>
      <c r="C25" s="200" t="s">
        <v>77</v>
      </c>
      <c r="D25" s="237">
        <v>1</v>
      </c>
      <c r="E25" s="198" t="s">
        <v>388</v>
      </c>
      <c r="F25" s="188" t="s">
        <v>397</v>
      </c>
    </row>
    <row r="26" spans="1:6">
      <c r="A26" s="191"/>
      <c r="B26" s="202" t="s">
        <v>84</v>
      </c>
      <c r="C26" s="200" t="s">
        <v>85</v>
      </c>
      <c r="D26" s="200">
        <v>5</v>
      </c>
    </row>
    <row r="27" spans="1:6">
      <c r="A27" s="191"/>
      <c r="B27" s="202" t="s">
        <v>86</v>
      </c>
      <c r="C27" s="200" t="s">
        <v>43</v>
      </c>
      <c r="D27" s="211">
        <f>Global!C15</f>
        <v>0.8</v>
      </c>
    </row>
    <row r="28" spans="1:6">
      <c r="A28" s="191"/>
      <c r="B28" s="202" t="s">
        <v>87</v>
      </c>
      <c r="C28" s="200" t="s">
        <v>88</v>
      </c>
      <c r="D28" s="212">
        <v>15</v>
      </c>
    </row>
    <row r="29" spans="1:6">
      <c r="A29" s="191"/>
      <c r="B29" s="194" t="s">
        <v>261</v>
      </c>
      <c r="C29" s="195"/>
      <c r="D29" s="196"/>
    </row>
    <row r="30" spans="1:6">
      <c r="A30" s="191"/>
      <c r="B30" s="202" t="str">
        <f>D8</f>
        <v>ITO</v>
      </c>
      <c r="C30" s="200" t="s">
        <v>163</v>
      </c>
      <c r="D30" s="213">
        <f>Global!C14</f>
        <v>7.5</v>
      </c>
    </row>
    <row r="31" spans="1:6">
      <c r="A31" s="191"/>
      <c r="B31" s="202" t="s">
        <v>173</v>
      </c>
      <c r="C31" s="200" t="s">
        <v>163</v>
      </c>
      <c r="D31" s="213">
        <v>0</v>
      </c>
    </row>
    <row r="32" spans="1:6">
      <c r="A32" s="191"/>
      <c r="B32" s="202" t="s">
        <v>173</v>
      </c>
      <c r="C32" s="200" t="s">
        <v>163</v>
      </c>
      <c r="D32" s="213">
        <v>0</v>
      </c>
    </row>
    <row r="34" spans="1:5">
      <c r="A34" s="84" t="s">
        <v>92</v>
      </c>
      <c r="B34" s="78" t="s">
        <v>94</v>
      </c>
      <c r="C34" s="79" t="s">
        <v>438</v>
      </c>
      <c r="D34" s="80">
        <f>(D17*D30)</f>
        <v>1.1133018966158832</v>
      </c>
      <c r="E34" s="56"/>
    </row>
    <row r="35" spans="1:5">
      <c r="A35" s="61"/>
      <c r="B35" s="78" t="s">
        <v>95</v>
      </c>
      <c r="C35" s="79" t="s">
        <v>434</v>
      </c>
      <c r="D35" s="80">
        <f>D20*Global!C7</f>
        <v>6</v>
      </c>
      <c r="E35" s="56"/>
    </row>
    <row r="36" spans="1:5">
      <c r="A36" s="56"/>
      <c r="B36" s="78" t="s">
        <v>96</v>
      </c>
      <c r="C36" s="79" t="s">
        <v>434</v>
      </c>
      <c r="D36" s="83">
        <f>((D28*Global!C8)+(Global!C6*D26)/(24*365)+D25)/D27</f>
        <v>18.390410958904109</v>
      </c>
      <c r="E36" s="56" t="s">
        <v>439</v>
      </c>
    </row>
    <row r="37" spans="1:5">
      <c r="A37" s="56"/>
      <c r="B37" s="78" t="s">
        <v>433</v>
      </c>
      <c r="C37" s="79" t="s">
        <v>434</v>
      </c>
      <c r="D37" s="83">
        <f>(0.8*D22/(D23*12*30*24)+D24/(365*24))/D27</f>
        <v>21.196014079147638</v>
      </c>
      <c r="E37" s="56" t="s">
        <v>435</v>
      </c>
    </row>
    <row r="38" spans="1:5">
      <c r="A38" s="56"/>
      <c r="B38" s="78" t="s">
        <v>97</v>
      </c>
      <c r="C38" s="79" t="s">
        <v>434</v>
      </c>
      <c r="D38" s="218">
        <f>SUM(D35:D37)+(D34/D14)</f>
        <v>45.586950038051747</v>
      </c>
      <c r="E38" s="56"/>
    </row>
    <row r="39" spans="1:5">
      <c r="A39" s="56"/>
      <c r="B39" s="88" t="s">
        <v>440</v>
      </c>
      <c r="C39" s="89"/>
      <c r="D39" s="90">
        <f>D38/(D12/D15)</f>
        <v>3.8551926884031418</v>
      </c>
      <c r="E39" s="56"/>
    </row>
  </sheetData>
  <mergeCells count="2">
    <mergeCell ref="A2:D2"/>
    <mergeCell ref="B3:D3"/>
  </mergeCells>
  <hyperlinks>
    <hyperlink ref="A2" location="Process!A1" display="Process!A1" xr:uid="{31CC1E09-E09D-4C61-9DF5-22A8C3A57D1D}"/>
  </hyperlinks>
  <pageMargins left="0.75" right="0.7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2"/>
  <dimension ref="A1:E47"/>
  <sheetViews>
    <sheetView workbookViewId="0">
      <selection activeCell="D20" sqref="D20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7.5" style="59" bestFit="1" customWidth="1"/>
    <col min="5" max="5" width="20.6640625" style="56" customWidth="1"/>
    <col min="6" max="16384" width="8.6640625" style="56"/>
  </cols>
  <sheetData>
    <row r="1" spans="1:5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5" s="58" customFormat="1">
      <c r="A2" s="283" t="s">
        <v>242</v>
      </c>
      <c r="B2" s="283"/>
      <c r="C2" s="283"/>
      <c r="D2" s="283"/>
    </row>
    <row r="3" spans="1:5" s="58" customFormat="1">
      <c r="B3" s="94" t="s">
        <v>307</v>
      </c>
      <c r="C3" s="95"/>
      <c r="D3" s="96"/>
    </row>
    <row r="4" spans="1:5">
      <c r="B4" s="78" t="s">
        <v>1</v>
      </c>
      <c r="C4" s="79"/>
      <c r="D4" s="79" t="str">
        <f>Global!C2</f>
        <v>Sapphire</v>
      </c>
    </row>
    <row r="5" spans="1:5">
      <c r="A5" s="60"/>
      <c r="B5" s="78" t="s">
        <v>29</v>
      </c>
      <c r="C5" s="79" t="s">
        <v>30</v>
      </c>
      <c r="D5" s="79">
        <f>Global!C3</f>
        <v>150</v>
      </c>
    </row>
    <row r="6" spans="1:5">
      <c r="A6" s="57" t="s">
        <v>26</v>
      </c>
      <c r="B6" s="68" t="s">
        <v>78</v>
      </c>
      <c r="C6" s="69"/>
      <c r="D6" s="169" t="s">
        <v>398</v>
      </c>
    </row>
    <row r="7" spans="1:5">
      <c r="A7" s="60"/>
      <c r="B7" s="65" t="s">
        <v>32</v>
      </c>
      <c r="C7" s="66"/>
      <c r="D7" s="67"/>
    </row>
    <row r="8" spans="1:5">
      <c r="B8" s="68" t="s">
        <v>174</v>
      </c>
      <c r="C8" s="69"/>
      <c r="D8" s="166" t="s">
        <v>172</v>
      </c>
    </row>
    <row r="9" spans="1:5">
      <c r="B9" s="68" t="s">
        <v>177</v>
      </c>
      <c r="C9" s="69" t="s">
        <v>36</v>
      </c>
      <c r="D9" s="166">
        <v>0.02</v>
      </c>
    </row>
    <row r="10" spans="1:5">
      <c r="B10" s="68" t="s">
        <v>175</v>
      </c>
      <c r="C10" s="69"/>
      <c r="D10" s="166" t="s">
        <v>167</v>
      </c>
    </row>
    <row r="11" spans="1:5">
      <c r="B11" s="68" t="s">
        <v>178</v>
      </c>
      <c r="C11" s="69" t="s">
        <v>36</v>
      </c>
      <c r="D11" s="166">
        <v>0.08</v>
      </c>
    </row>
    <row r="12" spans="1:5">
      <c r="B12" s="68" t="s">
        <v>176</v>
      </c>
      <c r="C12" s="69"/>
      <c r="D12" s="166" t="s">
        <v>173</v>
      </c>
    </row>
    <row r="13" spans="1:5">
      <c r="B13" s="68" t="s">
        <v>179</v>
      </c>
      <c r="C13" s="69" t="s">
        <v>36</v>
      </c>
      <c r="D13" s="166">
        <v>0</v>
      </c>
    </row>
    <row r="14" spans="1:5">
      <c r="B14" s="68" t="s">
        <v>102</v>
      </c>
      <c r="C14" s="69" t="s">
        <v>168</v>
      </c>
      <c r="D14" s="166">
        <v>15</v>
      </c>
      <c r="E14" s="219" t="s">
        <v>169</v>
      </c>
    </row>
    <row r="15" spans="1:5">
      <c r="A15" s="60"/>
      <c r="B15" s="68" t="s">
        <v>162</v>
      </c>
      <c r="C15" s="69" t="s">
        <v>43</v>
      </c>
      <c r="D15" s="174">
        <v>0.25</v>
      </c>
      <c r="E15" s="219" t="s">
        <v>302</v>
      </c>
    </row>
    <row r="16" spans="1:5">
      <c r="B16" s="68" t="s">
        <v>154</v>
      </c>
      <c r="C16" s="79"/>
      <c r="D16" s="166">
        <v>14</v>
      </c>
    </row>
    <row r="17" spans="1:5">
      <c r="C17" s="56"/>
      <c r="D17" s="56"/>
    </row>
    <row r="18" spans="1:5">
      <c r="A18" s="84" t="s">
        <v>45</v>
      </c>
      <c r="B18" s="78" t="s">
        <v>155</v>
      </c>
      <c r="C18" s="79" t="s">
        <v>48</v>
      </c>
      <c r="D18" s="97">
        <f>D16*PI()*(D5*0.1/2)^2</f>
        <v>2474.0042147019622</v>
      </c>
    </row>
    <row r="19" spans="1:5">
      <c r="A19" s="61"/>
      <c r="B19" s="78" t="s">
        <v>33</v>
      </c>
      <c r="C19" s="79" t="s">
        <v>34</v>
      </c>
      <c r="D19" s="99">
        <f>(0.5+((10000/(D14*60*60))*(D9+D11+D13))+0.5)*Global!C18</f>
        <v>1.0185185185185186</v>
      </c>
      <c r="E19" s="56" t="s">
        <v>166</v>
      </c>
    </row>
    <row r="20" spans="1:5">
      <c r="A20" s="61"/>
      <c r="B20" s="78" t="s">
        <v>183</v>
      </c>
      <c r="C20" s="79" t="s">
        <v>157</v>
      </c>
      <c r="D20" s="99">
        <v>4.5</v>
      </c>
    </row>
    <row r="21" spans="1:5">
      <c r="A21" s="61"/>
      <c r="B21" s="78" t="s">
        <v>184</v>
      </c>
      <c r="C21" s="79" t="s">
        <v>157</v>
      </c>
      <c r="D21" s="99">
        <v>19.319999694824219</v>
      </c>
    </row>
    <row r="22" spans="1:5">
      <c r="A22" s="61"/>
      <c r="B22" s="78" t="s">
        <v>185</v>
      </c>
      <c r="C22" s="79" t="s">
        <v>157</v>
      </c>
      <c r="D22" s="99">
        <v>0</v>
      </c>
    </row>
    <row r="23" spans="1:5">
      <c r="B23" s="78" t="s">
        <v>180</v>
      </c>
      <c r="C23" s="79" t="s">
        <v>160</v>
      </c>
      <c r="D23" s="99">
        <f>D18*D9*0.0001*(1+D15)*D20</f>
        <v>2.783254741539708E-2</v>
      </c>
      <c r="E23" s="56" t="s">
        <v>300</v>
      </c>
    </row>
    <row r="24" spans="1:5">
      <c r="B24" s="78" t="s">
        <v>181</v>
      </c>
      <c r="C24" s="79" t="s">
        <v>160</v>
      </c>
      <c r="D24" s="99">
        <f>D18*D11*0.0001*(1+D15)*D21</f>
        <v>0.4779776067303575</v>
      </c>
      <c r="E24" s="56" t="s">
        <v>300</v>
      </c>
    </row>
    <row r="25" spans="1:5">
      <c r="B25" s="78" t="s">
        <v>182</v>
      </c>
      <c r="C25" s="79" t="s">
        <v>160</v>
      </c>
      <c r="D25" s="99">
        <f>D18*D13*0.0001*(1+D15)*D22</f>
        <v>0</v>
      </c>
      <c r="E25" s="56" t="s">
        <v>300</v>
      </c>
    </row>
    <row r="27" spans="1:5">
      <c r="A27" s="75"/>
      <c r="B27" s="76" t="s">
        <v>72</v>
      </c>
      <c r="C27" s="66"/>
      <c r="D27" s="67"/>
    </row>
    <row r="28" spans="1:5">
      <c r="B28" s="68" t="s">
        <v>20</v>
      </c>
      <c r="C28" s="69" t="s">
        <v>74</v>
      </c>
      <c r="D28" s="168">
        <f>0.2*Global!C17</f>
        <v>0.2</v>
      </c>
    </row>
    <row r="29" spans="1:5">
      <c r="A29" s="77"/>
      <c r="B29" s="65" t="s">
        <v>78</v>
      </c>
      <c r="C29" s="66"/>
      <c r="D29" s="67"/>
    </row>
    <row r="30" spans="1:5">
      <c r="B30" s="78" t="s">
        <v>79</v>
      </c>
      <c r="C30" s="79" t="s">
        <v>80</v>
      </c>
      <c r="D30" s="80">
        <f>1000000*1.12*Global!C16</f>
        <v>1120000</v>
      </c>
    </row>
    <row r="31" spans="1:5">
      <c r="B31" s="78" t="s">
        <v>436</v>
      </c>
      <c r="C31" s="79" t="s">
        <v>437</v>
      </c>
      <c r="D31" s="79">
        <v>5</v>
      </c>
    </row>
    <row r="32" spans="1:5">
      <c r="A32" s="60"/>
      <c r="B32" s="78" t="s">
        <v>81</v>
      </c>
      <c r="C32" s="79" t="s">
        <v>82</v>
      </c>
      <c r="D32" s="80">
        <f>D30*0.01</f>
        <v>11200</v>
      </c>
    </row>
    <row r="33" spans="1:5">
      <c r="A33" s="60"/>
      <c r="B33" s="78" t="s">
        <v>83</v>
      </c>
      <c r="C33" s="79" t="s">
        <v>77</v>
      </c>
      <c r="D33" s="236">
        <v>5</v>
      </c>
    </row>
    <row r="34" spans="1:5">
      <c r="A34" s="60"/>
      <c r="B34" s="78" t="s">
        <v>84</v>
      </c>
      <c r="C34" s="79" t="s">
        <v>85</v>
      </c>
      <c r="D34" s="79">
        <v>10</v>
      </c>
    </row>
    <row r="35" spans="1:5">
      <c r="A35" s="60"/>
      <c r="B35" s="78" t="s">
        <v>86</v>
      </c>
      <c r="C35" s="79" t="s">
        <v>43</v>
      </c>
      <c r="D35" s="81">
        <f>Global!C15</f>
        <v>0.8</v>
      </c>
    </row>
    <row r="36" spans="1:5">
      <c r="A36" s="60"/>
      <c r="B36" s="78" t="s">
        <v>87</v>
      </c>
      <c r="C36" s="79" t="s">
        <v>88</v>
      </c>
      <c r="D36" s="82">
        <v>20</v>
      </c>
    </row>
    <row r="37" spans="1:5">
      <c r="A37" s="60"/>
      <c r="B37" s="65" t="s">
        <v>261</v>
      </c>
      <c r="C37" s="66"/>
      <c r="D37" s="67"/>
    </row>
    <row r="38" spans="1:5">
      <c r="A38" s="60"/>
      <c r="B38" s="78" t="str">
        <f>D8</f>
        <v>Ti</v>
      </c>
      <c r="C38" s="79" t="s">
        <v>163</v>
      </c>
      <c r="D38" s="83">
        <f>Global!C11</f>
        <v>1.6207043467999997E-2</v>
      </c>
    </row>
    <row r="39" spans="1:5">
      <c r="A39" s="60"/>
      <c r="B39" s="78" t="str">
        <f>D10</f>
        <v>Au</v>
      </c>
      <c r="C39" s="79" t="s">
        <v>163</v>
      </c>
      <c r="D39" s="83">
        <f>Global!C10</f>
        <v>63.469982898000005</v>
      </c>
    </row>
    <row r="40" spans="1:5">
      <c r="A40" s="60"/>
      <c r="B40" s="78" t="str">
        <f>D12</f>
        <v>None</v>
      </c>
      <c r="C40" s="79" t="s">
        <v>163</v>
      </c>
      <c r="D40" s="83">
        <v>0</v>
      </c>
    </row>
    <row r="42" spans="1:5">
      <c r="A42" s="84" t="s">
        <v>92</v>
      </c>
      <c r="B42" s="78" t="s">
        <v>94</v>
      </c>
      <c r="C42" s="79" t="s">
        <v>438</v>
      </c>
      <c r="D42" s="80">
        <f>(D23*D38)+(D24*D39)+(D25*D40)</f>
        <v>30.33768160810855</v>
      </c>
    </row>
    <row r="43" spans="1:5">
      <c r="A43" s="61"/>
      <c r="B43" s="78" t="s">
        <v>95</v>
      </c>
      <c r="C43" s="79" t="s">
        <v>434</v>
      </c>
      <c r="D43" s="80">
        <f>D28*Global!C7</f>
        <v>6</v>
      </c>
    </row>
    <row r="44" spans="1:5">
      <c r="B44" s="78" t="s">
        <v>96</v>
      </c>
      <c r="C44" s="79" t="s">
        <v>434</v>
      </c>
      <c r="D44" s="83">
        <f>((D36*Global!C8)+(Global!C6*D34)/(24*365)+D33)/D35</f>
        <v>30.530821917808215</v>
      </c>
      <c r="E44" s="56" t="s">
        <v>439</v>
      </c>
    </row>
    <row r="45" spans="1:5">
      <c r="B45" s="78" t="s">
        <v>433</v>
      </c>
      <c r="C45" s="79" t="s">
        <v>434</v>
      </c>
      <c r="D45" s="83">
        <f>(0.8*D30/(D31*365*24)+D32/(365*24))/D35</f>
        <v>27.168949771689494</v>
      </c>
      <c r="E45" s="56" t="s">
        <v>435</v>
      </c>
    </row>
    <row r="46" spans="1:5">
      <c r="B46" s="78" t="s">
        <v>97</v>
      </c>
      <c r="C46" s="79" t="s">
        <v>434</v>
      </c>
      <c r="D46" s="218">
        <f>SUM(D43:D45)+D42/(D19)</f>
        <v>93.485859086549738</v>
      </c>
    </row>
    <row r="47" spans="1:5">
      <c r="B47" s="88" t="s">
        <v>121</v>
      </c>
      <c r="C47" s="89"/>
      <c r="D47" s="90">
        <f>D46/(D16/D19)</f>
        <v>6.8012199070902595</v>
      </c>
    </row>
  </sheetData>
  <mergeCells count="1">
    <mergeCell ref="A2:D2"/>
  </mergeCells>
  <hyperlinks>
    <hyperlink ref="A2" location="Process!A1" display="Process!A1" xr:uid="{00000000-0004-0000-0900-000000000000}"/>
  </hyperlinks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61"/>
  <dimension ref="A1:F47"/>
  <sheetViews>
    <sheetView zoomScaleNormal="100" workbookViewId="0">
      <selection activeCell="D20" sqref="D20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7.5" style="59" bestFit="1" customWidth="1"/>
    <col min="5" max="5" width="20.6640625" style="56" customWidth="1"/>
    <col min="6" max="6" width="5.33203125" style="56" bestFit="1" customWidth="1"/>
    <col min="7" max="16384" width="8.6640625" style="56"/>
  </cols>
  <sheetData>
    <row r="1" spans="1:5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5" s="58" customFormat="1">
      <c r="A2" s="283" t="s">
        <v>242</v>
      </c>
      <c r="B2" s="283"/>
      <c r="C2" s="283"/>
      <c r="D2" s="283"/>
    </row>
    <row r="3" spans="1:5" s="58" customFormat="1">
      <c r="B3" s="94" t="s">
        <v>308</v>
      </c>
      <c r="C3" s="95"/>
      <c r="D3" s="96"/>
    </row>
    <row r="4" spans="1:5">
      <c r="B4" s="78" t="s">
        <v>1</v>
      </c>
      <c r="C4" s="79"/>
      <c r="D4" s="79" t="str">
        <f>Global!C2</f>
        <v>Sapphire</v>
      </c>
    </row>
    <row r="5" spans="1:5">
      <c r="A5" s="60"/>
      <c r="B5" s="78" t="s">
        <v>29</v>
      </c>
      <c r="C5" s="79" t="s">
        <v>30</v>
      </c>
      <c r="D5" s="79">
        <f>Global!C3</f>
        <v>150</v>
      </c>
    </row>
    <row r="6" spans="1:5">
      <c r="A6" s="57" t="s">
        <v>26</v>
      </c>
      <c r="B6" s="68" t="s">
        <v>78</v>
      </c>
      <c r="C6" s="69"/>
      <c r="D6" s="169" t="s">
        <v>398</v>
      </c>
    </row>
    <row r="7" spans="1:5">
      <c r="A7" s="60"/>
      <c r="B7" s="65" t="s">
        <v>32</v>
      </c>
      <c r="C7" s="66"/>
      <c r="D7" s="67"/>
    </row>
    <row r="8" spans="1:5">
      <c r="B8" s="68" t="s">
        <v>174</v>
      </c>
      <c r="C8" s="69"/>
      <c r="D8" s="166" t="s">
        <v>171</v>
      </c>
    </row>
    <row r="9" spans="1:5">
      <c r="B9" s="68" t="s">
        <v>177</v>
      </c>
      <c r="C9" s="69" t="s">
        <v>36</v>
      </c>
      <c r="D9" s="166">
        <v>0.02</v>
      </c>
    </row>
    <row r="10" spans="1:5">
      <c r="B10" s="68" t="s">
        <v>175</v>
      </c>
      <c r="C10" s="69"/>
      <c r="D10" s="166" t="s">
        <v>170</v>
      </c>
    </row>
    <row r="11" spans="1:5">
      <c r="B11" s="68" t="s">
        <v>178</v>
      </c>
      <c r="C11" s="69" t="s">
        <v>36</v>
      </c>
      <c r="D11" s="166">
        <v>0.03</v>
      </c>
    </row>
    <row r="12" spans="1:5">
      <c r="B12" s="68" t="s">
        <v>176</v>
      </c>
      <c r="C12" s="69"/>
      <c r="D12" s="166" t="s">
        <v>167</v>
      </c>
    </row>
    <row r="13" spans="1:5">
      <c r="B13" s="68" t="s">
        <v>179</v>
      </c>
      <c r="C13" s="69" t="s">
        <v>36</v>
      </c>
      <c r="D13" s="166">
        <v>0.08</v>
      </c>
    </row>
    <row r="14" spans="1:5">
      <c r="B14" s="68" t="s">
        <v>102</v>
      </c>
      <c r="C14" s="69" t="s">
        <v>168</v>
      </c>
      <c r="D14" s="166">
        <v>15</v>
      </c>
      <c r="E14" s="219" t="s">
        <v>169</v>
      </c>
    </row>
    <row r="15" spans="1:5">
      <c r="A15" s="60"/>
      <c r="B15" s="68" t="s">
        <v>162</v>
      </c>
      <c r="C15" s="69" t="s">
        <v>43</v>
      </c>
      <c r="D15" s="174">
        <v>0.25</v>
      </c>
      <c r="E15" s="219" t="s">
        <v>302</v>
      </c>
    </row>
    <row r="16" spans="1:5">
      <c r="B16" s="68" t="s">
        <v>154</v>
      </c>
      <c r="C16" s="79"/>
      <c r="D16" s="166">
        <v>12</v>
      </c>
    </row>
    <row r="17" spans="1:5">
      <c r="C17" s="56"/>
      <c r="D17" s="56"/>
    </row>
    <row r="18" spans="1:5">
      <c r="A18" s="84" t="s">
        <v>45</v>
      </c>
      <c r="B18" s="78" t="s">
        <v>155</v>
      </c>
      <c r="C18" s="79" t="s">
        <v>48</v>
      </c>
      <c r="D18" s="97">
        <f>D16*PI()*(D5*0.1/2)^2</f>
        <v>2120.5750411731105</v>
      </c>
    </row>
    <row r="19" spans="1:5">
      <c r="A19" s="61"/>
      <c r="B19" s="78" t="s">
        <v>33</v>
      </c>
      <c r="C19" s="79" t="s">
        <v>34</v>
      </c>
      <c r="D19" s="99">
        <f>(0.5+((10000/(D14*60*60))*(D9+D11+D13))+0.5)*Global!C18</f>
        <v>1.0240740740740741</v>
      </c>
      <c r="E19" s="56" t="s">
        <v>166</v>
      </c>
    </row>
    <row r="20" spans="1:5">
      <c r="A20" s="61"/>
      <c r="B20" s="78" t="s">
        <v>183</v>
      </c>
      <c r="C20" s="79" t="s">
        <v>157</v>
      </c>
      <c r="D20" s="99">
        <v>21.399999618530273</v>
      </c>
    </row>
    <row r="21" spans="1:5">
      <c r="A21" s="61"/>
      <c r="B21" s="78" t="s">
        <v>184</v>
      </c>
      <c r="C21" s="79" t="s">
        <v>157</v>
      </c>
      <c r="D21" s="99">
        <v>8.8000001907348633</v>
      </c>
    </row>
    <row r="22" spans="1:5">
      <c r="A22" s="61"/>
      <c r="B22" s="78" t="s">
        <v>185</v>
      </c>
      <c r="C22" s="79" t="s">
        <v>157</v>
      </c>
      <c r="D22" s="99">
        <v>19.319999694824219</v>
      </c>
    </row>
    <row r="23" spans="1:5">
      <c r="B23" s="78" t="s">
        <v>180</v>
      </c>
      <c r="C23" s="79" t="s">
        <v>160</v>
      </c>
      <c r="D23" s="99">
        <f>D18*D9*0.0001*(1+D15)*D20</f>
        <v>0.11345076268042349</v>
      </c>
      <c r="E23" s="56" t="s">
        <v>300</v>
      </c>
    </row>
    <row r="24" spans="1:5">
      <c r="B24" s="78" t="s">
        <v>181</v>
      </c>
      <c r="C24" s="79" t="s">
        <v>160</v>
      </c>
      <c r="D24" s="99">
        <f>D18*D11*0.0001*(1+D15)*D21</f>
        <v>6.99789778754661E-2</v>
      </c>
      <c r="E24" s="56" t="s">
        <v>300</v>
      </c>
    </row>
    <row r="25" spans="1:5">
      <c r="B25" s="78" t="s">
        <v>182</v>
      </c>
      <c r="C25" s="79" t="s">
        <v>160</v>
      </c>
      <c r="D25" s="99">
        <f>D18*D13*0.0001*(1+D15)*D22</f>
        <v>0.40969509148316358</v>
      </c>
      <c r="E25" s="56" t="s">
        <v>300</v>
      </c>
    </row>
    <row r="27" spans="1:5">
      <c r="A27" s="75"/>
      <c r="B27" s="76" t="s">
        <v>72</v>
      </c>
      <c r="C27" s="66"/>
      <c r="D27" s="67"/>
    </row>
    <row r="28" spans="1:5">
      <c r="B28" s="68" t="s">
        <v>20</v>
      </c>
      <c r="C28" s="69" t="s">
        <v>74</v>
      </c>
      <c r="D28" s="168">
        <f>0.1*Global!C17</f>
        <v>0.1</v>
      </c>
    </row>
    <row r="29" spans="1:5">
      <c r="A29" s="77"/>
      <c r="B29" s="65" t="s">
        <v>78</v>
      </c>
      <c r="C29" s="66"/>
      <c r="D29" s="67"/>
    </row>
    <row r="30" spans="1:5">
      <c r="B30" s="78" t="s">
        <v>79</v>
      </c>
      <c r="C30" s="79" t="s">
        <v>80</v>
      </c>
      <c r="D30" s="80">
        <f>1000000*1.12*Global!C16</f>
        <v>1120000</v>
      </c>
    </row>
    <row r="31" spans="1:5">
      <c r="B31" s="78" t="s">
        <v>436</v>
      </c>
      <c r="C31" s="79" t="s">
        <v>437</v>
      </c>
      <c r="D31" s="79">
        <v>5</v>
      </c>
    </row>
    <row r="32" spans="1:5">
      <c r="A32" s="60"/>
      <c r="B32" s="78" t="s">
        <v>81</v>
      </c>
      <c r="C32" s="79" t="s">
        <v>82</v>
      </c>
      <c r="D32" s="80">
        <f>D30*0.01</f>
        <v>11200</v>
      </c>
    </row>
    <row r="33" spans="1:6">
      <c r="A33" s="60"/>
      <c r="B33" s="78" t="s">
        <v>83</v>
      </c>
      <c r="C33" s="79" t="s">
        <v>77</v>
      </c>
      <c r="D33" s="236">
        <v>5</v>
      </c>
    </row>
    <row r="34" spans="1:6">
      <c r="A34" s="60"/>
      <c r="B34" s="78" t="s">
        <v>84</v>
      </c>
      <c r="C34" s="79" t="s">
        <v>85</v>
      </c>
      <c r="D34" s="79">
        <v>5</v>
      </c>
    </row>
    <row r="35" spans="1:6">
      <c r="A35" s="60"/>
      <c r="B35" s="78" t="s">
        <v>86</v>
      </c>
      <c r="C35" s="79" t="s">
        <v>43</v>
      </c>
      <c r="D35" s="81">
        <f>Global!C15</f>
        <v>0.8</v>
      </c>
    </row>
    <row r="36" spans="1:6">
      <c r="A36" s="60"/>
      <c r="B36" s="78" t="s">
        <v>87</v>
      </c>
      <c r="C36" s="79" t="s">
        <v>88</v>
      </c>
      <c r="D36" s="82">
        <v>15</v>
      </c>
    </row>
    <row r="37" spans="1:6">
      <c r="A37" s="60"/>
      <c r="B37" s="65" t="s">
        <v>261</v>
      </c>
      <c r="C37" s="66"/>
      <c r="D37" s="67"/>
    </row>
    <row r="38" spans="1:6">
      <c r="A38" s="60"/>
      <c r="B38" s="78" t="str">
        <f>D8</f>
        <v>Pt</v>
      </c>
      <c r="C38" s="79" t="s">
        <v>163</v>
      </c>
      <c r="D38" s="83">
        <f>Global!C12</f>
        <v>59.008115182139996</v>
      </c>
    </row>
    <row r="39" spans="1:6">
      <c r="A39" s="60"/>
      <c r="B39" s="78" t="str">
        <f>D10</f>
        <v>Ni</v>
      </c>
      <c r="C39" s="79" t="s">
        <v>163</v>
      </c>
      <c r="D39" s="83">
        <f>Global!C13</f>
        <v>2.0688939999999999E-2</v>
      </c>
    </row>
    <row r="40" spans="1:6">
      <c r="A40" s="60"/>
      <c r="B40" s="78" t="str">
        <f>D12</f>
        <v>Au</v>
      </c>
      <c r="C40" s="79" t="s">
        <v>163</v>
      </c>
      <c r="D40" s="83">
        <f>Global!C10</f>
        <v>63.469982898000005</v>
      </c>
    </row>
    <row r="42" spans="1:6">
      <c r="A42" s="84" t="s">
        <v>92</v>
      </c>
      <c r="B42" s="78" t="s">
        <v>94</v>
      </c>
      <c r="C42" s="79" t="s">
        <v>438</v>
      </c>
      <c r="D42" s="80">
        <f>(D23*D38)+(D24*D39)+(D25*D40)</f>
        <v>32.699303912453523</v>
      </c>
      <c r="F42" s="87"/>
    </row>
    <row r="43" spans="1:6">
      <c r="A43" s="61"/>
      <c r="B43" s="78" t="s">
        <v>95</v>
      </c>
      <c r="C43" s="79" t="s">
        <v>434</v>
      </c>
      <c r="D43" s="80">
        <f>D28*Global!C7</f>
        <v>3</v>
      </c>
      <c r="F43" s="87"/>
    </row>
    <row r="44" spans="1:6">
      <c r="B44" s="78" t="s">
        <v>96</v>
      </c>
      <c r="C44" s="79" t="s">
        <v>434</v>
      </c>
      <c r="D44" s="83">
        <f>((D36*Global!C8)+(Global!C6*D34)/(24*365)+D33)/D35</f>
        <v>23.390410958904109</v>
      </c>
      <c r="E44" s="56" t="s">
        <v>439</v>
      </c>
      <c r="F44" s="87"/>
    </row>
    <row r="45" spans="1:6">
      <c r="B45" s="78" t="s">
        <v>433</v>
      </c>
      <c r="C45" s="79" t="s">
        <v>434</v>
      </c>
      <c r="D45" s="83">
        <f>(0.8*D30/(D31*365*24)+D32/(365*24))/D35</f>
        <v>27.168949771689494</v>
      </c>
      <c r="E45" s="56" t="s">
        <v>435</v>
      </c>
      <c r="F45" s="87"/>
    </row>
    <row r="46" spans="1:6">
      <c r="B46" s="78" t="s">
        <v>97</v>
      </c>
      <c r="C46" s="79" t="s">
        <v>434</v>
      </c>
      <c r="D46" s="218">
        <f>SUM(D43:D45)+D42/D19</f>
        <v>85.489964912736284</v>
      </c>
      <c r="F46" s="87"/>
    </row>
    <row r="47" spans="1:6">
      <c r="B47" s="88" t="s">
        <v>440</v>
      </c>
      <c r="C47" s="89"/>
      <c r="D47" s="90">
        <f>D46/(D16/D19)</f>
        <v>7.2956713883862907</v>
      </c>
    </row>
  </sheetData>
  <mergeCells count="1">
    <mergeCell ref="A2:D2"/>
  </mergeCells>
  <hyperlinks>
    <hyperlink ref="A2" location="Process!A1" display="Process!A1" xr:uid="{00000000-0004-0000-0800-000000000000}"/>
  </hyperlinks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63"/>
  <dimension ref="A1:I47"/>
  <sheetViews>
    <sheetView workbookViewId="0">
      <selection activeCell="D20" sqref="D20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7.5" style="59" bestFit="1" customWidth="1"/>
    <col min="5" max="5" width="20.6640625" style="56" customWidth="1"/>
    <col min="6" max="16384" width="8.6640625" style="56"/>
  </cols>
  <sheetData>
    <row r="1" spans="1:5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5" s="58" customFormat="1">
      <c r="A2" s="283" t="s">
        <v>242</v>
      </c>
      <c r="B2" s="283"/>
      <c r="C2" s="283"/>
      <c r="D2" s="283"/>
    </row>
    <row r="3" spans="1:5" s="58" customFormat="1">
      <c r="B3" s="94" t="s">
        <v>309</v>
      </c>
      <c r="C3" s="95"/>
      <c r="D3" s="96"/>
    </row>
    <row r="4" spans="1:5">
      <c r="B4" s="78" t="s">
        <v>1</v>
      </c>
      <c r="C4" s="79"/>
      <c r="D4" s="79" t="str">
        <f>Global!C2</f>
        <v>Sapphire</v>
      </c>
    </row>
    <row r="5" spans="1:5">
      <c r="A5" s="60"/>
      <c r="B5" s="78" t="s">
        <v>29</v>
      </c>
      <c r="C5" s="79" t="s">
        <v>30</v>
      </c>
      <c r="D5" s="79">
        <f>Global!C3</f>
        <v>150</v>
      </c>
    </row>
    <row r="6" spans="1:5">
      <c r="A6" s="57" t="s">
        <v>26</v>
      </c>
      <c r="B6" s="68" t="s">
        <v>78</v>
      </c>
      <c r="C6" s="69"/>
      <c r="D6" s="169" t="s">
        <v>398</v>
      </c>
    </row>
    <row r="7" spans="1:5">
      <c r="A7" s="60"/>
      <c r="B7" s="65" t="s">
        <v>32</v>
      </c>
      <c r="C7" s="66"/>
      <c r="D7" s="67"/>
    </row>
    <row r="8" spans="1:5">
      <c r="B8" s="68" t="s">
        <v>174</v>
      </c>
      <c r="C8" s="69"/>
      <c r="D8" s="166" t="s">
        <v>167</v>
      </c>
    </row>
    <row r="9" spans="1:5">
      <c r="B9" s="68" t="s">
        <v>177</v>
      </c>
      <c r="C9" s="69" t="s">
        <v>36</v>
      </c>
      <c r="D9" s="166">
        <v>0.7</v>
      </c>
    </row>
    <row r="10" spans="1:5">
      <c r="B10" s="68" t="s">
        <v>175</v>
      </c>
      <c r="C10" s="69"/>
      <c r="D10" s="166" t="s">
        <v>173</v>
      </c>
    </row>
    <row r="11" spans="1:5">
      <c r="B11" s="68" t="s">
        <v>178</v>
      </c>
      <c r="C11" s="69" t="s">
        <v>36</v>
      </c>
      <c r="D11" s="166">
        <v>0</v>
      </c>
    </row>
    <row r="12" spans="1:5">
      <c r="B12" s="68" t="s">
        <v>176</v>
      </c>
      <c r="C12" s="69"/>
      <c r="D12" s="166" t="s">
        <v>173</v>
      </c>
    </row>
    <row r="13" spans="1:5">
      <c r="B13" s="68" t="s">
        <v>179</v>
      </c>
      <c r="C13" s="69" t="s">
        <v>36</v>
      </c>
      <c r="D13" s="166">
        <v>0</v>
      </c>
    </row>
    <row r="14" spans="1:5">
      <c r="B14" s="68" t="s">
        <v>102</v>
      </c>
      <c r="C14" s="69" t="s">
        <v>168</v>
      </c>
      <c r="D14" s="166">
        <v>15</v>
      </c>
      <c r="E14" s="219" t="s">
        <v>169</v>
      </c>
    </row>
    <row r="15" spans="1:5">
      <c r="A15" s="60"/>
      <c r="B15" s="68" t="s">
        <v>162</v>
      </c>
      <c r="C15" s="69" t="s">
        <v>43</v>
      </c>
      <c r="D15" s="174">
        <v>0.25</v>
      </c>
      <c r="E15" s="219" t="s">
        <v>302</v>
      </c>
    </row>
    <row r="16" spans="1:5">
      <c r="B16" s="68" t="s">
        <v>154</v>
      </c>
      <c r="C16" s="79"/>
      <c r="D16" s="166">
        <v>14</v>
      </c>
    </row>
    <row r="17" spans="1:9">
      <c r="C17" s="56"/>
      <c r="D17" s="56"/>
    </row>
    <row r="18" spans="1:9">
      <c r="A18" s="84" t="s">
        <v>45</v>
      </c>
      <c r="B18" s="78" t="s">
        <v>155</v>
      </c>
      <c r="C18" s="79" t="s">
        <v>48</v>
      </c>
      <c r="D18" s="97">
        <f>D16*PI()*(D5*0.1/2)^2</f>
        <v>2474.0042147019622</v>
      </c>
    </row>
    <row r="19" spans="1:9">
      <c r="A19" s="61"/>
      <c r="B19" s="78" t="s">
        <v>33</v>
      </c>
      <c r="C19" s="79" t="s">
        <v>34</v>
      </c>
      <c r="D19" s="99">
        <f>(0.5+((10000/(D14*60*60))*(D9+D11+D13))+0.5)*Global!C18</f>
        <v>1.1296296296296298</v>
      </c>
      <c r="E19" s="56" t="s">
        <v>166</v>
      </c>
    </row>
    <row r="20" spans="1:9">
      <c r="A20" s="61"/>
      <c r="B20" s="78" t="s">
        <v>183</v>
      </c>
      <c r="C20" s="79" t="s">
        <v>157</v>
      </c>
      <c r="D20" s="99">
        <v>19.319999694824219</v>
      </c>
    </row>
    <row r="21" spans="1:9">
      <c r="A21" s="61"/>
      <c r="B21" s="78" t="s">
        <v>184</v>
      </c>
      <c r="C21" s="79" t="s">
        <v>157</v>
      </c>
      <c r="D21" s="99">
        <v>0</v>
      </c>
    </row>
    <row r="22" spans="1:9">
      <c r="A22" s="61"/>
      <c r="B22" s="78" t="s">
        <v>185</v>
      </c>
      <c r="C22" s="79" t="s">
        <v>157</v>
      </c>
      <c r="D22" s="99">
        <v>0</v>
      </c>
    </row>
    <row r="23" spans="1:9">
      <c r="B23" s="78" t="s">
        <v>180</v>
      </c>
      <c r="C23" s="79" t="s">
        <v>160</v>
      </c>
      <c r="D23" s="171">
        <f>D18*D9*0.0001*(1+D15)*D20</f>
        <v>4.1823040588906268</v>
      </c>
      <c r="E23" s="56" t="s">
        <v>348</v>
      </c>
      <c r="F23" s="56" t="s">
        <v>405</v>
      </c>
      <c r="G23" s="56" t="s">
        <v>406</v>
      </c>
      <c r="H23" s="56" t="s">
        <v>407</v>
      </c>
      <c r="I23" s="56" t="s">
        <v>408</v>
      </c>
    </row>
    <row r="24" spans="1:9">
      <c r="B24" s="78" t="s">
        <v>181</v>
      </c>
      <c r="C24" s="79" t="s">
        <v>160</v>
      </c>
      <c r="D24" s="99">
        <f>D18*D11*0.0001*(1+D15)*D21</f>
        <v>0</v>
      </c>
      <c r="F24" s="56">
        <f>2*(20/1000/10)*Process!H29</f>
        <v>52.125826497327665</v>
      </c>
      <c r="G24" s="56">
        <f>F24*(D9/1000/10)</f>
        <v>3.6488078548129362E-3</v>
      </c>
      <c r="H24" s="56">
        <f>G24*D20</f>
        <v>7.0494966641458143E-2</v>
      </c>
      <c r="I24" s="56">
        <f>H24*D38</f>
        <v>4.4743143271284289</v>
      </c>
    </row>
    <row r="25" spans="1:9">
      <c r="B25" s="78" t="s">
        <v>182</v>
      </c>
      <c r="C25" s="79" t="s">
        <v>160</v>
      </c>
      <c r="D25" s="99">
        <f>D18*D13*0.0001*(1+D15)*D22</f>
        <v>0</v>
      </c>
    </row>
    <row r="27" spans="1:9">
      <c r="A27" s="75"/>
      <c r="B27" s="76" t="s">
        <v>72</v>
      </c>
      <c r="C27" s="66"/>
      <c r="D27" s="67"/>
    </row>
    <row r="28" spans="1:9">
      <c r="B28" s="68" t="s">
        <v>20</v>
      </c>
      <c r="C28" s="69" t="s">
        <v>74</v>
      </c>
      <c r="D28" s="168">
        <f>0.2*Global!C17</f>
        <v>0.2</v>
      </c>
    </row>
    <row r="29" spans="1:9">
      <c r="A29" s="77"/>
      <c r="B29" s="65" t="s">
        <v>78</v>
      </c>
      <c r="C29" s="66"/>
      <c r="D29" s="67"/>
    </row>
    <row r="30" spans="1:9">
      <c r="B30" s="78" t="s">
        <v>79</v>
      </c>
      <c r="C30" s="79" t="s">
        <v>80</v>
      </c>
      <c r="D30" s="80">
        <f>1000000*1.12*Global!C16</f>
        <v>1120000</v>
      </c>
    </row>
    <row r="31" spans="1:9">
      <c r="B31" s="78" t="s">
        <v>436</v>
      </c>
      <c r="C31" s="79" t="s">
        <v>437</v>
      </c>
      <c r="D31" s="79">
        <v>5</v>
      </c>
    </row>
    <row r="32" spans="1:9">
      <c r="A32" s="60"/>
      <c r="B32" s="78" t="s">
        <v>81</v>
      </c>
      <c r="C32" s="79" t="s">
        <v>82</v>
      </c>
      <c r="D32" s="80">
        <f>D30*0.01</f>
        <v>11200</v>
      </c>
    </row>
    <row r="33" spans="1:5">
      <c r="A33" s="60"/>
      <c r="B33" s="78" t="s">
        <v>83</v>
      </c>
      <c r="C33" s="79" t="s">
        <v>77</v>
      </c>
      <c r="D33" s="80">
        <v>5</v>
      </c>
      <c r="E33" s="219"/>
    </row>
    <row r="34" spans="1:5">
      <c r="A34" s="60"/>
      <c r="B34" s="78" t="s">
        <v>84</v>
      </c>
      <c r="C34" s="79" t="s">
        <v>85</v>
      </c>
      <c r="D34" s="79">
        <v>10</v>
      </c>
    </row>
    <row r="35" spans="1:5">
      <c r="A35" s="60"/>
      <c r="B35" s="78" t="s">
        <v>86</v>
      </c>
      <c r="C35" s="79" t="s">
        <v>43</v>
      </c>
      <c r="D35" s="81">
        <f>Global!C15</f>
        <v>0.8</v>
      </c>
    </row>
    <row r="36" spans="1:5">
      <c r="A36" s="60"/>
      <c r="B36" s="78" t="s">
        <v>87</v>
      </c>
      <c r="C36" s="79" t="s">
        <v>88</v>
      </c>
      <c r="D36" s="82">
        <v>20</v>
      </c>
    </row>
    <row r="37" spans="1:5">
      <c r="A37" s="60"/>
      <c r="B37" s="65" t="s">
        <v>261</v>
      </c>
      <c r="C37" s="66"/>
      <c r="D37" s="67"/>
    </row>
    <row r="38" spans="1:5">
      <c r="A38" s="60"/>
      <c r="B38" s="78" t="str">
        <f>D8</f>
        <v>Au</v>
      </c>
      <c r="C38" s="79" t="s">
        <v>163</v>
      </c>
      <c r="D38" s="83">
        <f>Global!C10</f>
        <v>63.469982898000005</v>
      </c>
    </row>
    <row r="39" spans="1:5">
      <c r="A39" s="60"/>
      <c r="B39" s="78" t="str">
        <f>D10</f>
        <v>None</v>
      </c>
      <c r="C39" s="79" t="s">
        <v>163</v>
      </c>
      <c r="D39" s="83">
        <v>0</v>
      </c>
    </row>
    <row r="40" spans="1:5">
      <c r="A40" s="60"/>
      <c r="B40" s="78" t="str">
        <f>D12</f>
        <v>None</v>
      </c>
      <c r="C40" s="79" t="s">
        <v>163</v>
      </c>
      <c r="D40" s="83">
        <v>0</v>
      </c>
    </row>
    <row r="42" spans="1:5">
      <c r="A42" s="84" t="s">
        <v>92</v>
      </c>
      <c r="B42" s="78" t="s">
        <v>94</v>
      </c>
      <c r="C42" s="79" t="s">
        <v>438</v>
      </c>
      <c r="D42" s="80">
        <f>(D23*D38)+(D24*D39)+(D25*D40)</f>
        <v>265.45076709202408</v>
      </c>
    </row>
    <row r="43" spans="1:5">
      <c r="A43" s="61"/>
      <c r="B43" s="78" t="s">
        <v>95</v>
      </c>
      <c r="C43" s="79" t="s">
        <v>434</v>
      </c>
      <c r="D43" s="80">
        <f>D28*Global!C7</f>
        <v>6</v>
      </c>
    </row>
    <row r="44" spans="1:5">
      <c r="B44" s="78" t="s">
        <v>96</v>
      </c>
      <c r="C44" s="79" t="s">
        <v>434</v>
      </c>
      <c r="D44" s="83">
        <f>((D36*Global!C8)+(Global!C6*D34)/(24*365)+D33)/D35</f>
        <v>30.530821917808215</v>
      </c>
      <c r="E44" s="56" t="s">
        <v>439</v>
      </c>
    </row>
    <row r="45" spans="1:5">
      <c r="B45" s="78" t="s">
        <v>433</v>
      </c>
      <c r="C45" s="79" t="s">
        <v>434</v>
      </c>
      <c r="D45" s="83">
        <f>(0.8*D30/(D31*365*24)+D32/(365*24))/D35</f>
        <v>27.168949771689494</v>
      </c>
      <c r="E45" s="56" t="s">
        <v>435</v>
      </c>
    </row>
    <row r="46" spans="1:5">
      <c r="B46" s="78" t="s">
        <v>97</v>
      </c>
      <c r="C46" s="79" t="s">
        <v>434</v>
      </c>
      <c r="D46" s="218">
        <f>SUM(D43:D45)+(D42/D19)</f>
        <v>298.68897534473211</v>
      </c>
    </row>
    <row r="47" spans="1:5">
      <c r="B47" s="88" t="s">
        <v>440</v>
      </c>
      <c r="C47" s="89"/>
      <c r="D47" s="90">
        <f>D46/(D16/D19)</f>
        <v>24.100565470937383</v>
      </c>
    </row>
  </sheetData>
  <mergeCells count="1">
    <mergeCell ref="A2:D2"/>
  </mergeCells>
  <hyperlinks>
    <hyperlink ref="A2" location="Process!A1" display="Process!A1" xr:uid="{00000000-0004-0000-0A00-000000000000}"/>
  </hyperlinks>
  <pageMargins left="0.75" right="0.75" top="1" bottom="1" header="0.5" footer="0.5"/>
  <pageSetup orientation="portrait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/>
  <dimension ref="A1:E45"/>
  <sheetViews>
    <sheetView workbookViewId="0">
      <selection activeCell="D19" sqref="D1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7.5" style="59" bestFit="1" customWidth="1"/>
    <col min="5" max="5" width="20.6640625" style="56" customWidth="1"/>
    <col min="6" max="16384" width="8.6640625" style="56"/>
  </cols>
  <sheetData>
    <row r="1" spans="1:5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5" s="58" customFormat="1">
      <c r="A2" s="283" t="s">
        <v>242</v>
      </c>
      <c r="B2" s="283"/>
      <c r="C2" s="283"/>
      <c r="D2" s="283"/>
    </row>
    <row r="3" spans="1:5" s="58" customFormat="1">
      <c r="B3" s="94" t="s">
        <v>310</v>
      </c>
      <c r="C3" s="95"/>
      <c r="D3" s="96"/>
    </row>
    <row r="4" spans="1:5">
      <c r="B4" s="68" t="s">
        <v>1</v>
      </c>
      <c r="C4" s="69"/>
      <c r="D4" s="63" t="str">
        <f>Global!C2</f>
        <v>Sapphire</v>
      </c>
    </row>
    <row r="5" spans="1:5">
      <c r="A5" s="60"/>
      <c r="B5" s="68" t="s">
        <v>29</v>
      </c>
      <c r="C5" s="69" t="s">
        <v>30</v>
      </c>
      <c r="D5" s="63">
        <f>Global!C3</f>
        <v>150</v>
      </c>
    </row>
    <row r="6" spans="1:5">
      <c r="A6" s="57" t="s">
        <v>26</v>
      </c>
      <c r="B6" s="68" t="s">
        <v>78</v>
      </c>
      <c r="C6" s="69"/>
      <c r="D6" s="169" t="s">
        <v>271</v>
      </c>
    </row>
    <row r="7" spans="1:5">
      <c r="B7" s="65" t="s">
        <v>32</v>
      </c>
      <c r="C7" s="66"/>
      <c r="D7" s="67"/>
    </row>
    <row r="8" spans="1:5">
      <c r="B8" s="68" t="s">
        <v>174</v>
      </c>
      <c r="C8" s="69"/>
      <c r="D8" s="166" t="s">
        <v>173</v>
      </c>
    </row>
    <row r="9" spans="1:5">
      <c r="B9" s="68" t="s">
        <v>177</v>
      </c>
      <c r="C9" s="69" t="s">
        <v>36</v>
      </c>
      <c r="D9" s="166">
        <v>0</v>
      </c>
    </row>
    <row r="10" spans="1:5">
      <c r="B10" s="68" t="s">
        <v>175</v>
      </c>
      <c r="C10" s="69"/>
      <c r="D10" s="166" t="s">
        <v>173</v>
      </c>
    </row>
    <row r="11" spans="1:5">
      <c r="B11" s="68" t="s">
        <v>178</v>
      </c>
      <c r="C11" s="69" t="s">
        <v>36</v>
      </c>
      <c r="D11" s="166">
        <v>0</v>
      </c>
    </row>
    <row r="12" spans="1:5">
      <c r="B12" s="68" t="s">
        <v>176</v>
      </c>
      <c r="C12" s="69"/>
      <c r="D12" s="166" t="s">
        <v>173</v>
      </c>
    </row>
    <row r="13" spans="1:5">
      <c r="B13" s="68" t="s">
        <v>179</v>
      </c>
      <c r="C13" s="69" t="s">
        <v>36</v>
      </c>
      <c r="D13" s="166">
        <v>0</v>
      </c>
    </row>
    <row r="14" spans="1:5">
      <c r="B14" s="68" t="s">
        <v>102</v>
      </c>
      <c r="C14" s="69" t="s">
        <v>168</v>
      </c>
      <c r="D14" s="166">
        <v>0</v>
      </c>
    </row>
    <row r="15" spans="1:5">
      <c r="A15" s="60"/>
      <c r="B15" s="68" t="s">
        <v>162</v>
      </c>
      <c r="C15" s="69" t="s">
        <v>43</v>
      </c>
      <c r="D15" s="174">
        <v>0.25</v>
      </c>
    </row>
    <row r="16" spans="1:5">
      <c r="B16" s="68" t="s">
        <v>154</v>
      </c>
      <c r="C16" s="79"/>
      <c r="D16" s="166">
        <v>53</v>
      </c>
    </row>
    <row r="17" spans="1:4">
      <c r="C17" s="56"/>
      <c r="D17" s="56"/>
    </row>
    <row r="18" spans="1:4">
      <c r="A18" s="84" t="s">
        <v>45</v>
      </c>
      <c r="B18" s="78" t="s">
        <v>155</v>
      </c>
      <c r="C18" s="79" t="s">
        <v>48</v>
      </c>
      <c r="D18" s="97">
        <f>D16*PI()*(D5*0.1/2)^2</f>
        <v>9365.8730985145703</v>
      </c>
    </row>
    <row r="19" spans="1:4">
      <c r="A19" s="61"/>
      <c r="B19" s="78" t="s">
        <v>33</v>
      </c>
      <c r="C19" s="79" t="s">
        <v>34</v>
      </c>
      <c r="D19" s="99">
        <f>IF(D14=0,0,0.5+((10000/(D14*60*60))*(D9+D11+D13))+0.5)</f>
        <v>0</v>
      </c>
    </row>
    <row r="20" spans="1:4">
      <c r="A20" s="61"/>
      <c r="B20" s="78" t="s">
        <v>183</v>
      </c>
      <c r="C20" s="79" t="s">
        <v>157</v>
      </c>
      <c r="D20" s="99">
        <v>0</v>
      </c>
    </row>
    <row r="21" spans="1:4">
      <c r="A21" s="61"/>
      <c r="B21" s="78" t="s">
        <v>184</v>
      </c>
      <c r="C21" s="79" t="s">
        <v>157</v>
      </c>
      <c r="D21" s="99">
        <v>0</v>
      </c>
    </row>
    <row r="22" spans="1:4">
      <c r="A22" s="61"/>
      <c r="B22" s="78" t="s">
        <v>185</v>
      </c>
      <c r="C22" s="79" t="s">
        <v>157</v>
      </c>
      <c r="D22" s="99">
        <v>0</v>
      </c>
    </row>
    <row r="23" spans="1:4">
      <c r="B23" s="78" t="s">
        <v>180</v>
      </c>
      <c r="C23" s="79" t="s">
        <v>160</v>
      </c>
      <c r="D23" s="99">
        <f>D18*D9*0.0001*(1+D15)*D20</f>
        <v>0</v>
      </c>
    </row>
    <row r="24" spans="1:4">
      <c r="B24" s="78" t="s">
        <v>181</v>
      </c>
      <c r="C24" s="79" t="s">
        <v>160</v>
      </c>
      <c r="D24" s="99">
        <f>D18*D11*0.0001*(1+D15)*D21</f>
        <v>0</v>
      </c>
    </row>
    <row r="25" spans="1:4">
      <c r="B25" s="78" t="s">
        <v>182</v>
      </c>
      <c r="C25" s="79" t="s">
        <v>160</v>
      </c>
      <c r="D25" s="99">
        <f>D18*D13*0.0001*(1+D15)*D22</f>
        <v>0</v>
      </c>
    </row>
    <row r="27" spans="1:4">
      <c r="A27" s="75"/>
      <c r="B27" s="76" t="s">
        <v>72</v>
      </c>
      <c r="C27" s="66"/>
      <c r="D27" s="67"/>
    </row>
    <row r="28" spans="1:4">
      <c r="B28" s="68" t="s">
        <v>20</v>
      </c>
      <c r="C28" s="69" t="s">
        <v>74</v>
      </c>
      <c r="D28" s="168">
        <f>0.2*Global!C17</f>
        <v>0.2</v>
      </c>
    </row>
    <row r="29" spans="1:4">
      <c r="A29" s="77"/>
      <c r="B29" s="65" t="s">
        <v>78</v>
      </c>
      <c r="C29" s="66"/>
      <c r="D29" s="67"/>
    </row>
    <row r="30" spans="1:4">
      <c r="B30" s="78" t="s">
        <v>79</v>
      </c>
      <c r="C30" s="79" t="s">
        <v>80</v>
      </c>
      <c r="D30" s="80">
        <f>1000000*1.12*Global!C16</f>
        <v>1120000</v>
      </c>
    </row>
    <row r="31" spans="1:4">
      <c r="A31" s="60"/>
      <c r="B31" s="78" t="s">
        <v>81</v>
      </c>
      <c r="C31" s="79" t="s">
        <v>82</v>
      </c>
      <c r="D31" s="80">
        <f>D30*0.01</f>
        <v>11200</v>
      </c>
    </row>
    <row r="32" spans="1:4">
      <c r="A32" s="60"/>
      <c r="B32" s="78" t="s">
        <v>83</v>
      </c>
      <c r="C32" s="79" t="s">
        <v>77</v>
      </c>
      <c r="D32" s="80">
        <f>(D31+(D30)/5)/(365*24)</f>
        <v>26.849315068493151</v>
      </c>
    </row>
    <row r="33" spans="1:4">
      <c r="A33" s="60"/>
      <c r="B33" s="78" t="s">
        <v>84</v>
      </c>
      <c r="C33" s="79" t="s">
        <v>85</v>
      </c>
      <c r="D33" s="79">
        <v>10</v>
      </c>
    </row>
    <row r="34" spans="1:4">
      <c r="A34" s="60"/>
      <c r="B34" s="78" t="s">
        <v>86</v>
      </c>
      <c r="C34" s="79" t="s">
        <v>43</v>
      </c>
      <c r="D34" s="81">
        <f>Global!C15</f>
        <v>0.8</v>
      </c>
    </row>
    <row r="35" spans="1:4">
      <c r="A35" s="60"/>
      <c r="B35" s="78" t="s">
        <v>87</v>
      </c>
      <c r="C35" s="79" t="s">
        <v>88</v>
      </c>
      <c r="D35" s="82">
        <v>20</v>
      </c>
    </row>
    <row r="36" spans="1:4">
      <c r="A36" s="60"/>
      <c r="B36" s="65" t="s">
        <v>261</v>
      </c>
      <c r="C36" s="66"/>
      <c r="D36" s="67"/>
    </row>
    <row r="37" spans="1:4">
      <c r="A37" s="60"/>
      <c r="B37" s="78" t="str">
        <f>D8</f>
        <v>None</v>
      </c>
      <c r="C37" s="79" t="s">
        <v>163</v>
      </c>
      <c r="D37" s="83">
        <v>0</v>
      </c>
    </row>
    <row r="38" spans="1:4">
      <c r="A38" s="60"/>
      <c r="B38" s="78" t="str">
        <f>D10</f>
        <v>None</v>
      </c>
      <c r="C38" s="79" t="s">
        <v>163</v>
      </c>
      <c r="D38" s="83">
        <v>0</v>
      </c>
    </row>
    <row r="39" spans="1:4">
      <c r="A39" s="60"/>
      <c r="B39" s="78" t="str">
        <f>D12</f>
        <v>None</v>
      </c>
      <c r="C39" s="79" t="s">
        <v>163</v>
      </c>
      <c r="D39" s="83">
        <v>0</v>
      </c>
    </row>
    <row r="41" spans="1:4">
      <c r="A41" s="84" t="s">
        <v>92</v>
      </c>
      <c r="B41" s="78" t="s">
        <v>94</v>
      </c>
      <c r="C41" s="79"/>
      <c r="D41" s="80">
        <f>(D23*D37)+(D24*D38)+(D25*D39)</f>
        <v>0</v>
      </c>
    </row>
    <row r="42" spans="1:4">
      <c r="B42" s="78" t="s">
        <v>95</v>
      </c>
      <c r="C42" s="79"/>
      <c r="D42" s="80">
        <f>D28*Global!C7*D19</f>
        <v>0</v>
      </c>
    </row>
    <row r="43" spans="1:4">
      <c r="B43" s="78" t="s">
        <v>96</v>
      </c>
      <c r="C43" s="79"/>
      <c r="D43" s="83">
        <f>((D35*Global!C8)+(Global!C6*D33)/(24*365)+D32)*D19/D34</f>
        <v>0</v>
      </c>
    </row>
    <row r="44" spans="1:4">
      <c r="B44" s="78" t="s">
        <v>97</v>
      </c>
      <c r="C44" s="79"/>
      <c r="D44" s="218">
        <f>SUM(D41:D43)</f>
        <v>0</v>
      </c>
    </row>
    <row r="45" spans="1:4">
      <c r="B45" s="88" t="s">
        <v>121</v>
      </c>
      <c r="C45" s="89"/>
      <c r="D45" s="90">
        <f>D44/D16</f>
        <v>0</v>
      </c>
    </row>
  </sheetData>
  <mergeCells count="1">
    <mergeCell ref="A2:D2"/>
  </mergeCells>
  <dataValidations xWindow="505" yWindow="218" count="3">
    <dataValidation type="list" allowBlank="1" showInputMessage="1" showErrorMessage="1" sqref="B37:B39" xr:uid="{00000000-0002-0000-0C00-000000000000}">
      <formula1>"None,Ag,Al,Au,Au/Sn,Cr,Ni,Pt,Ti,W,Zn,"</formula1>
    </dataValidation>
    <dataValidation type="list" allowBlank="1" showInputMessage="1" showErrorMessage="1" sqref="D6" xr:uid="{00000000-0002-0000-0C00-000001000000}">
      <formula1>"Temescal FC-3800,"</formula1>
    </dataValidation>
    <dataValidation type="list" allowBlank="1" showInputMessage="1" showErrorMessage="1" sqref="D10 D8 D12" xr:uid="{C9F6E17F-E67E-4138-A42E-5EF585D70FC8}">
      <formula1>"None,Al,Au,Au/Sn,Cr,Ni,Pt,Ti,W,Zn,"</formula1>
    </dataValidation>
  </dataValidations>
  <hyperlinks>
    <hyperlink ref="A2" location="Process!A1" display="Process!A1" xr:uid="{00000000-0004-0000-0C00-000000000000}"/>
  </hyperlink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8">
    <pageSetUpPr fitToPage="1"/>
  </sheetPr>
  <dimension ref="A1:H36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3.33203125" style="59" bestFit="1" customWidth="1"/>
    <col min="5" max="5" width="20.6640625" style="56" customWidth="1"/>
    <col min="6" max="16384" width="8.6640625" style="56"/>
  </cols>
  <sheetData>
    <row r="1" spans="1:8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8" s="58" customFormat="1">
      <c r="E2" s="64" t="s">
        <v>242</v>
      </c>
    </row>
    <row r="3" spans="1:8" s="58" customFormat="1">
      <c r="B3" s="65" t="s">
        <v>277</v>
      </c>
      <c r="C3" s="66"/>
      <c r="D3" s="67"/>
    </row>
    <row r="4" spans="1:8">
      <c r="B4" s="78" t="s">
        <v>1</v>
      </c>
      <c r="C4" s="79"/>
      <c r="D4" s="79" t="str">
        <f>Global!C2</f>
        <v>Sapphire</v>
      </c>
      <c r="G4" s="59"/>
      <c r="H4" s="59"/>
    </row>
    <row r="5" spans="1:8">
      <c r="A5" s="60"/>
      <c r="B5" s="78" t="s">
        <v>29</v>
      </c>
      <c r="C5" s="79" t="s">
        <v>30</v>
      </c>
      <c r="D5" s="79">
        <f>Global!C3</f>
        <v>150</v>
      </c>
      <c r="G5" s="59"/>
      <c r="H5" s="59"/>
    </row>
    <row r="6" spans="1:8">
      <c r="A6" s="57" t="s">
        <v>26</v>
      </c>
      <c r="B6" s="68" t="s">
        <v>78</v>
      </c>
      <c r="C6" s="69"/>
      <c r="D6" s="169" t="s">
        <v>425</v>
      </c>
    </row>
    <row r="7" spans="1:8">
      <c r="B7" s="65" t="s">
        <v>32</v>
      </c>
      <c r="C7" s="66"/>
      <c r="D7" s="67"/>
    </row>
    <row r="8" spans="1:8">
      <c r="A8" s="60"/>
      <c r="B8" s="68" t="s">
        <v>187</v>
      </c>
      <c r="C8" s="69" t="s">
        <v>143</v>
      </c>
      <c r="D8" s="166">
        <f>50/Global!C18</f>
        <v>50</v>
      </c>
      <c r="E8" s="56" t="s">
        <v>188</v>
      </c>
    </row>
    <row r="9" spans="1:8">
      <c r="B9" s="62"/>
      <c r="C9" s="72"/>
      <c r="D9" s="73"/>
      <c r="E9" s="74"/>
    </row>
    <row r="10" spans="1:8">
      <c r="A10" s="75"/>
      <c r="B10" s="76" t="s">
        <v>72</v>
      </c>
      <c r="C10" s="66"/>
      <c r="D10" s="67"/>
    </row>
    <row r="11" spans="1:8">
      <c r="B11" s="68" t="s">
        <v>20</v>
      </c>
      <c r="C11" s="69" t="s">
        <v>74</v>
      </c>
      <c r="D11" s="168">
        <f>0.2*Global!C17</f>
        <v>0.2</v>
      </c>
    </row>
    <row r="12" spans="1:8">
      <c r="A12" s="77"/>
      <c r="B12" s="65" t="s">
        <v>78</v>
      </c>
      <c r="C12" s="66"/>
      <c r="D12" s="67"/>
    </row>
    <row r="13" spans="1:8">
      <c r="B13" s="78" t="s">
        <v>79</v>
      </c>
      <c r="C13" s="79" t="s">
        <v>80</v>
      </c>
      <c r="D13" s="80">
        <f>1500000*1.12*Global!C16</f>
        <v>1680000.0000000002</v>
      </c>
    </row>
    <row r="14" spans="1:8">
      <c r="B14" s="78" t="s">
        <v>436</v>
      </c>
      <c r="C14" s="79" t="s">
        <v>437</v>
      </c>
      <c r="D14" s="79">
        <v>5</v>
      </c>
    </row>
    <row r="15" spans="1:8">
      <c r="A15" s="60"/>
      <c r="B15" s="78" t="s">
        <v>81</v>
      </c>
      <c r="C15" s="79" t="s">
        <v>82</v>
      </c>
      <c r="D15" s="80">
        <f>0.01*D13</f>
        <v>16800.000000000004</v>
      </c>
    </row>
    <row r="16" spans="1:8">
      <c r="A16" s="60"/>
      <c r="B16" s="78" t="s">
        <v>83</v>
      </c>
      <c r="C16" s="79" t="s">
        <v>77</v>
      </c>
      <c r="D16" s="236">
        <v>5</v>
      </c>
    </row>
    <row r="17" spans="1:8">
      <c r="A17" s="60"/>
      <c r="B17" s="78" t="s">
        <v>84</v>
      </c>
      <c r="C17" s="79" t="s">
        <v>85</v>
      </c>
      <c r="D17" s="79">
        <v>4</v>
      </c>
    </row>
    <row r="18" spans="1:8">
      <c r="A18" s="60"/>
      <c r="B18" s="78" t="s">
        <v>86</v>
      </c>
      <c r="C18" s="79" t="s">
        <v>43</v>
      </c>
      <c r="D18" s="81">
        <f>Global!C15</f>
        <v>0.8</v>
      </c>
      <c r="G18" s="59"/>
      <c r="H18" s="59"/>
    </row>
    <row r="19" spans="1:8">
      <c r="A19" s="60"/>
      <c r="B19" s="78" t="s">
        <v>87</v>
      </c>
      <c r="C19" s="79" t="s">
        <v>88</v>
      </c>
      <c r="D19" s="82">
        <v>6</v>
      </c>
      <c r="G19" s="59"/>
      <c r="H19" s="59"/>
    </row>
    <row r="20" spans="1:8">
      <c r="A20" s="60"/>
      <c r="B20" s="65" t="s">
        <v>261</v>
      </c>
      <c r="C20" s="66"/>
      <c r="D20" s="67"/>
      <c r="G20" s="59"/>
      <c r="H20" s="59"/>
    </row>
    <row r="21" spans="1:8">
      <c r="B21" s="78" t="s">
        <v>269</v>
      </c>
      <c r="C21" s="79" t="s">
        <v>98</v>
      </c>
      <c r="D21" s="231">
        <f>0.045*1.25</f>
        <v>5.6249999999999994E-2</v>
      </c>
      <c r="E21" s="56" t="s">
        <v>237</v>
      </c>
    </row>
    <row r="22" spans="1:8">
      <c r="B22" s="78" t="s">
        <v>189</v>
      </c>
      <c r="C22" s="79" t="s">
        <v>98</v>
      </c>
      <c r="D22" s="231">
        <f>0.025*1.25</f>
        <v>3.125E-2</v>
      </c>
      <c r="E22" s="56" t="s">
        <v>238</v>
      </c>
    </row>
    <row r="23" spans="1:8">
      <c r="B23" s="78" t="s">
        <v>173</v>
      </c>
      <c r="C23" s="79"/>
      <c r="D23" s="231"/>
    </row>
    <row r="24" spans="1:8">
      <c r="B24" s="78" t="s">
        <v>173</v>
      </c>
      <c r="C24" s="79"/>
      <c r="D24" s="231"/>
    </row>
    <row r="26" spans="1:8">
      <c r="A26" s="84" t="s">
        <v>92</v>
      </c>
      <c r="B26" s="78" t="s">
        <v>93</v>
      </c>
      <c r="C26" s="79" t="s">
        <v>450</v>
      </c>
      <c r="D26" s="232">
        <v>0</v>
      </c>
    </row>
    <row r="27" spans="1:8">
      <c r="B27" s="78" t="s">
        <v>94</v>
      </c>
      <c r="C27" s="79" t="s">
        <v>450</v>
      </c>
      <c r="D27" s="232">
        <f>(D21*PI()*(D5*0.1/2)^2)+(D22*PI()*(D5*0.1/2)^2)+D23+D24</f>
        <v>15.462526341887262</v>
      </c>
    </row>
    <row r="28" spans="1:8">
      <c r="B28" s="78" t="s">
        <v>95</v>
      </c>
      <c r="C28" s="79" t="s">
        <v>450</v>
      </c>
      <c r="D28" s="83">
        <f>D11*Global!C7/D8</f>
        <v>0.12</v>
      </c>
    </row>
    <row r="29" spans="1:8">
      <c r="B29" s="78" t="s">
        <v>96</v>
      </c>
      <c r="C29" s="79" t="s">
        <v>450</v>
      </c>
      <c r="D29" s="83">
        <f>((D19*Global!C8)+(Global!C6*D17)/(365*24)+D16)/D8/D18</f>
        <v>0.27924657534246572</v>
      </c>
      <c r="E29" s="56" t="s">
        <v>439</v>
      </c>
    </row>
    <row r="30" spans="1:8">
      <c r="B30" s="78" t="s">
        <v>433</v>
      </c>
      <c r="C30" s="79" t="s">
        <v>450</v>
      </c>
      <c r="D30" s="83">
        <f>(0.8*D13/(D14*365*24)+D15/(365*24))/D8/D18</f>
        <v>0.81506849315068497</v>
      </c>
      <c r="E30" s="56" t="s">
        <v>435</v>
      </c>
    </row>
    <row r="31" spans="1:8">
      <c r="B31" s="88" t="s">
        <v>440</v>
      </c>
      <c r="C31" s="89"/>
      <c r="D31" s="90">
        <f>SUM(D26:D30)</f>
        <v>16.676841410380412</v>
      </c>
      <c r="E31" s="91"/>
    </row>
    <row r="36" spans="4:4">
      <c r="D36" s="93"/>
    </row>
  </sheetData>
  <hyperlinks>
    <hyperlink ref="E2" location="Process!A1" display="Process!A1" xr:uid="{00000000-0004-0000-0D00-000000000000}"/>
  </hyperlinks>
  <pageMargins left="0.75" right="0.75" top="1" bottom="1" header="0.5" footer="0.5"/>
  <pageSetup scale="6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10">
    <pageSetUpPr fitToPage="1"/>
  </sheetPr>
  <dimension ref="A1:K41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2.33203125" style="56" customWidth="1"/>
    <col min="3" max="3" width="7.33203125" style="59" bestFit="1" customWidth="1"/>
    <col min="4" max="4" width="20" style="59" bestFit="1" customWidth="1"/>
    <col min="5" max="5" width="60.83203125" style="56" bestFit="1" customWidth="1"/>
    <col min="6" max="6" width="5.33203125" style="56" bestFit="1" customWidth="1"/>
    <col min="7" max="16384" width="8.6640625" style="56"/>
  </cols>
  <sheetData>
    <row r="1" spans="1:11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11" s="58" customFormat="1">
      <c r="A2" s="283" t="s">
        <v>242</v>
      </c>
      <c r="B2" s="283"/>
      <c r="C2" s="283"/>
      <c r="D2" s="283"/>
    </row>
    <row r="3" spans="1:11" s="58" customFormat="1">
      <c r="B3" s="65" t="s">
        <v>278</v>
      </c>
      <c r="C3" s="66"/>
      <c r="D3" s="67"/>
    </row>
    <row r="4" spans="1:11">
      <c r="B4" s="78" t="s">
        <v>1</v>
      </c>
      <c r="C4" s="79"/>
      <c r="D4" s="79" t="str">
        <f>Global!C2</f>
        <v>Sapphire</v>
      </c>
      <c r="J4" s="59"/>
      <c r="K4" s="59"/>
    </row>
    <row r="5" spans="1:11">
      <c r="A5" s="60"/>
      <c r="B5" s="78" t="s">
        <v>29</v>
      </c>
      <c r="C5" s="79" t="s">
        <v>30</v>
      </c>
      <c r="D5" s="79">
        <f>Global!C3</f>
        <v>150</v>
      </c>
      <c r="J5" s="59"/>
      <c r="K5" s="59"/>
    </row>
    <row r="6" spans="1:11">
      <c r="A6" s="57" t="s">
        <v>26</v>
      </c>
      <c r="B6" s="68" t="s">
        <v>78</v>
      </c>
      <c r="C6" s="69"/>
      <c r="D6" s="166" t="s">
        <v>297</v>
      </c>
    </row>
    <row r="7" spans="1:11">
      <c r="B7" s="65" t="s">
        <v>32</v>
      </c>
      <c r="C7" s="66"/>
      <c r="D7" s="67"/>
    </row>
    <row r="8" spans="1:11">
      <c r="B8" s="68" t="s">
        <v>227</v>
      </c>
      <c r="C8" s="69" t="s">
        <v>143</v>
      </c>
      <c r="D8" s="166">
        <f>6/Global!C18</f>
        <v>6</v>
      </c>
      <c r="E8" s="56" t="s">
        <v>426</v>
      </c>
    </row>
    <row r="9" spans="1:11">
      <c r="A9" s="60"/>
    </row>
    <row r="10" spans="1:11">
      <c r="A10" s="84" t="s">
        <v>45</v>
      </c>
      <c r="B10" s="78" t="s">
        <v>226</v>
      </c>
      <c r="C10" s="79" t="s">
        <v>143</v>
      </c>
      <c r="D10" s="243">
        <f>0.14*D8</f>
        <v>0.84000000000000008</v>
      </c>
      <c r="E10" s="56" t="s">
        <v>296</v>
      </c>
    </row>
    <row r="11" spans="1:11">
      <c r="B11" s="78" t="s">
        <v>190</v>
      </c>
      <c r="C11" s="79" t="s">
        <v>225</v>
      </c>
      <c r="D11" s="79">
        <v>1</v>
      </c>
      <c r="E11" s="56" t="s">
        <v>224</v>
      </c>
    </row>
    <row r="12" spans="1:11">
      <c r="B12" s="62"/>
      <c r="C12" s="72"/>
      <c r="D12" s="73"/>
      <c r="E12" s="74"/>
    </row>
    <row r="13" spans="1:11">
      <c r="A13" s="75"/>
      <c r="B13" s="76" t="s">
        <v>72</v>
      </c>
      <c r="C13" s="66"/>
      <c r="D13" s="67"/>
    </row>
    <row r="14" spans="1:11">
      <c r="B14" s="68" t="s">
        <v>20</v>
      </c>
      <c r="C14" s="69" t="s">
        <v>74</v>
      </c>
      <c r="D14" s="168">
        <f>0.1*Global!C17</f>
        <v>0.1</v>
      </c>
    </row>
    <row r="15" spans="1:11">
      <c r="A15" s="77"/>
      <c r="B15" s="65" t="s">
        <v>78</v>
      </c>
      <c r="C15" s="66"/>
      <c r="D15" s="67"/>
    </row>
    <row r="16" spans="1:11">
      <c r="B16" s="78" t="s">
        <v>79</v>
      </c>
      <c r="C16" s="79" t="s">
        <v>80</v>
      </c>
      <c r="D16" s="80">
        <f>600000*1.12*Global!C16</f>
        <v>672000.00000000012</v>
      </c>
    </row>
    <row r="17" spans="1:11">
      <c r="B17" s="78" t="s">
        <v>436</v>
      </c>
      <c r="C17" s="79" t="s">
        <v>437</v>
      </c>
      <c r="D17" s="79">
        <v>5</v>
      </c>
    </row>
    <row r="18" spans="1:11">
      <c r="A18" s="60"/>
      <c r="B18" s="78" t="s">
        <v>81</v>
      </c>
      <c r="C18" s="79" t="s">
        <v>82</v>
      </c>
      <c r="D18" s="80">
        <f>0.01*D16</f>
        <v>6720.0000000000009</v>
      </c>
    </row>
    <row r="19" spans="1:11">
      <c r="A19" s="60"/>
      <c r="B19" s="78" t="s">
        <v>83</v>
      </c>
      <c r="C19" s="79" t="s">
        <v>77</v>
      </c>
      <c r="D19" s="236">
        <v>5</v>
      </c>
    </row>
    <row r="20" spans="1:11">
      <c r="A20" s="60"/>
      <c r="B20" s="78" t="s">
        <v>84</v>
      </c>
      <c r="C20" s="79" t="s">
        <v>85</v>
      </c>
      <c r="D20" s="79">
        <v>2</v>
      </c>
    </row>
    <row r="21" spans="1:11">
      <c r="A21" s="60"/>
      <c r="B21" s="78" t="s">
        <v>86</v>
      </c>
      <c r="C21" s="79" t="s">
        <v>43</v>
      </c>
      <c r="D21" s="81">
        <f>Global!C15</f>
        <v>0.8</v>
      </c>
      <c r="J21" s="59"/>
      <c r="K21" s="59"/>
    </row>
    <row r="22" spans="1:11">
      <c r="A22" s="60"/>
      <c r="B22" s="78" t="s">
        <v>87</v>
      </c>
      <c r="C22" s="79" t="s">
        <v>88</v>
      </c>
      <c r="D22" s="82">
        <v>12</v>
      </c>
      <c r="J22" s="59"/>
      <c r="K22" s="59"/>
    </row>
    <row r="23" spans="1:11">
      <c r="A23" s="60"/>
      <c r="B23" s="65" t="s">
        <v>261</v>
      </c>
      <c r="C23" s="66"/>
      <c r="D23" s="67"/>
      <c r="J23" s="59"/>
      <c r="K23" s="59"/>
    </row>
    <row r="24" spans="1:11">
      <c r="B24" s="85" t="s">
        <v>268</v>
      </c>
      <c r="C24" s="79" t="s">
        <v>191</v>
      </c>
      <c r="D24" s="100">
        <v>2.5</v>
      </c>
      <c r="E24" s="56" t="s">
        <v>223</v>
      </c>
    </row>
    <row r="25" spans="1:11">
      <c r="B25" s="78" t="s">
        <v>173</v>
      </c>
      <c r="C25" s="79"/>
      <c r="D25" s="100"/>
    </row>
    <row r="26" spans="1:11">
      <c r="B26" s="78" t="s">
        <v>173</v>
      </c>
      <c r="C26" s="79"/>
      <c r="D26" s="100"/>
    </row>
    <row r="27" spans="1:11">
      <c r="B27" s="78" t="s">
        <v>173</v>
      </c>
      <c r="C27" s="79"/>
      <c r="D27" s="100"/>
    </row>
    <row r="29" spans="1:11">
      <c r="A29" s="84" t="s">
        <v>92</v>
      </c>
      <c r="B29" s="78" t="s">
        <v>228</v>
      </c>
      <c r="C29" s="79" t="s">
        <v>450</v>
      </c>
      <c r="D29" s="83">
        <f>((D11*D8/D8)*D24)+D25+D26+D27</f>
        <v>2.5</v>
      </c>
      <c r="F29" s="87"/>
    </row>
    <row r="30" spans="1:11">
      <c r="A30" s="61"/>
      <c r="B30" s="78" t="s">
        <v>229</v>
      </c>
      <c r="C30" s="79" t="s">
        <v>450</v>
      </c>
      <c r="D30" s="83">
        <f>D14*Global!C7/D8</f>
        <v>0.5</v>
      </c>
      <c r="F30" s="87"/>
    </row>
    <row r="31" spans="1:11">
      <c r="B31" s="78" t="s">
        <v>230</v>
      </c>
      <c r="C31" s="79" t="s">
        <v>450</v>
      </c>
      <c r="D31" s="83">
        <f>((D22*Global!C8)+(Global!C5*D20)/(365*24)+D19)/D8/D21</f>
        <v>3.1130136986301369</v>
      </c>
      <c r="F31" s="87"/>
    </row>
    <row r="32" spans="1:11">
      <c r="B32" s="78" t="s">
        <v>231</v>
      </c>
      <c r="C32" s="79" t="s">
        <v>450</v>
      </c>
      <c r="D32" s="83">
        <f>(D11*D10/D10)*D24</f>
        <v>2.5</v>
      </c>
      <c r="F32" s="87"/>
    </row>
    <row r="33" spans="2:6">
      <c r="B33" s="78" t="s">
        <v>232</v>
      </c>
      <c r="C33" s="79" t="s">
        <v>450</v>
      </c>
      <c r="D33" s="83">
        <f>D14*Global!C7/D10</f>
        <v>3.5714285714285712</v>
      </c>
      <c r="F33" s="87"/>
    </row>
    <row r="34" spans="2:6">
      <c r="B34" s="78" t="s">
        <v>233</v>
      </c>
      <c r="C34" s="79" t="s">
        <v>450</v>
      </c>
      <c r="D34" s="83">
        <f>((D22*Global!C8)+(Global!C5*D20)/(365*24)+D19)/D10/D21</f>
        <v>22.235812133072404</v>
      </c>
      <c r="E34" s="56" t="s">
        <v>439</v>
      </c>
      <c r="F34" s="87"/>
    </row>
    <row r="35" spans="2:6">
      <c r="B35" s="78" t="s">
        <v>433</v>
      </c>
      <c r="C35" s="79" t="s">
        <v>450</v>
      </c>
      <c r="D35" s="83">
        <f>(0.8*D16/(D17*12*30*24)+D18/(365*24))/D8/D21</f>
        <v>2.7524099441907661</v>
      </c>
      <c r="E35" s="56" t="s">
        <v>435</v>
      </c>
      <c r="F35" s="244"/>
    </row>
    <row r="36" spans="2:6">
      <c r="B36" s="88" t="s">
        <v>13</v>
      </c>
      <c r="C36" s="89"/>
      <c r="D36" s="90">
        <f>SUM(D29:D35)</f>
        <v>37.172664347321877</v>
      </c>
      <c r="E36" s="91"/>
    </row>
    <row r="41" spans="2:6">
      <c r="D41" s="93"/>
    </row>
  </sheetData>
  <mergeCells count="1">
    <mergeCell ref="A2:D2"/>
  </mergeCells>
  <hyperlinks>
    <hyperlink ref="A2" location="Process!A1" display="Process!A1" xr:uid="{00000000-0004-0000-1000-000000000000}"/>
  </hyperlinks>
  <pageMargins left="0.75" right="0.75" top="1" bottom="1" header="0.5" footer="0.5"/>
  <pageSetup scale="6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101">
    <pageSetUpPr fitToPage="1"/>
  </sheetPr>
  <dimension ref="A1:K37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7.5" style="59" bestFit="1" customWidth="1"/>
    <col min="5" max="5" width="60.83203125" style="56" bestFit="1" customWidth="1"/>
    <col min="6" max="6" width="5.33203125" style="56" bestFit="1" customWidth="1"/>
    <col min="7" max="16384" width="8.6640625" style="56"/>
  </cols>
  <sheetData>
    <row r="1" spans="1:11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11" s="58" customFormat="1">
      <c r="E2" s="64" t="s">
        <v>242</v>
      </c>
    </row>
    <row r="3" spans="1:11" s="58" customFormat="1">
      <c r="B3" s="65" t="s">
        <v>279</v>
      </c>
      <c r="C3" s="66"/>
      <c r="D3" s="67"/>
    </row>
    <row r="4" spans="1:11">
      <c r="B4" s="78" t="s">
        <v>1</v>
      </c>
      <c r="C4" s="79"/>
      <c r="D4" s="79" t="str">
        <f>Global!C2</f>
        <v>Sapphire</v>
      </c>
      <c r="J4" s="59"/>
      <c r="K4" s="59"/>
    </row>
    <row r="5" spans="1:11">
      <c r="A5" s="60"/>
      <c r="B5" s="78" t="s">
        <v>29</v>
      </c>
      <c r="C5" s="79" t="s">
        <v>30</v>
      </c>
      <c r="D5" s="79">
        <f>Global!C3</f>
        <v>150</v>
      </c>
      <c r="J5" s="59"/>
      <c r="K5" s="59"/>
    </row>
    <row r="6" spans="1:11">
      <c r="A6" s="57" t="s">
        <v>26</v>
      </c>
      <c r="B6" s="68" t="s">
        <v>78</v>
      </c>
      <c r="C6" s="69"/>
      <c r="D6" s="166" t="s">
        <v>295</v>
      </c>
    </row>
    <row r="7" spans="1:11">
      <c r="B7" s="65" t="s">
        <v>32</v>
      </c>
      <c r="C7" s="66"/>
      <c r="D7" s="67"/>
    </row>
    <row r="8" spans="1:11">
      <c r="A8" s="60"/>
      <c r="B8" s="68" t="s">
        <v>187</v>
      </c>
      <c r="C8" s="69" t="s">
        <v>143</v>
      </c>
      <c r="D8" s="166">
        <f>4/Global!C18</f>
        <v>4</v>
      </c>
    </row>
    <row r="9" spans="1:11">
      <c r="B9" s="62"/>
      <c r="C9" s="72"/>
      <c r="D9" s="73"/>
      <c r="E9" s="74"/>
    </row>
    <row r="10" spans="1:11">
      <c r="A10" s="84" t="s">
        <v>45</v>
      </c>
      <c r="B10" s="78" t="s">
        <v>235</v>
      </c>
      <c r="C10" s="79" t="s">
        <v>225</v>
      </c>
      <c r="D10" s="79">
        <v>1</v>
      </c>
      <c r="E10" s="56" t="s">
        <v>224</v>
      </c>
    </row>
    <row r="11" spans="1:11">
      <c r="B11" s="62"/>
      <c r="C11" s="72"/>
      <c r="D11" s="73"/>
      <c r="E11" s="74"/>
    </row>
    <row r="12" spans="1:11">
      <c r="A12" s="75"/>
      <c r="B12" s="76" t="s">
        <v>72</v>
      </c>
      <c r="C12" s="66"/>
      <c r="D12" s="67"/>
    </row>
    <row r="13" spans="1:11">
      <c r="B13" s="68" t="s">
        <v>20</v>
      </c>
      <c r="C13" s="69" t="s">
        <v>74</v>
      </c>
      <c r="D13" s="168">
        <f>0.1*Global!C17</f>
        <v>0.1</v>
      </c>
    </row>
    <row r="14" spans="1:11">
      <c r="A14" s="77"/>
      <c r="B14" s="65" t="s">
        <v>78</v>
      </c>
      <c r="C14" s="66"/>
      <c r="D14" s="67"/>
    </row>
    <row r="15" spans="1:11">
      <c r="B15" s="78" t="s">
        <v>79</v>
      </c>
      <c r="C15" s="79" t="s">
        <v>80</v>
      </c>
      <c r="D15" s="80">
        <f>500000*1.12*Global!C16</f>
        <v>560000</v>
      </c>
    </row>
    <row r="16" spans="1:11">
      <c r="B16" s="78" t="s">
        <v>436</v>
      </c>
      <c r="C16" s="79" t="s">
        <v>437</v>
      </c>
      <c r="D16" s="79">
        <v>5</v>
      </c>
    </row>
    <row r="17" spans="1:11">
      <c r="A17" s="60"/>
      <c r="B17" s="78" t="s">
        <v>81</v>
      </c>
      <c r="C17" s="79" t="s">
        <v>82</v>
      </c>
      <c r="D17" s="80">
        <f>0.01*D15</f>
        <v>5600</v>
      </c>
    </row>
    <row r="18" spans="1:11">
      <c r="A18" s="60"/>
      <c r="B18" s="78" t="s">
        <v>83</v>
      </c>
      <c r="C18" s="79" t="s">
        <v>77</v>
      </c>
      <c r="D18" s="236">
        <v>1</v>
      </c>
    </row>
    <row r="19" spans="1:11">
      <c r="A19" s="60"/>
      <c r="B19" s="78" t="s">
        <v>84</v>
      </c>
      <c r="C19" s="79" t="s">
        <v>85</v>
      </c>
      <c r="D19" s="79">
        <v>1</v>
      </c>
    </row>
    <row r="20" spans="1:11">
      <c r="A20" s="60"/>
      <c r="B20" s="78" t="s">
        <v>86</v>
      </c>
      <c r="C20" s="79" t="s">
        <v>43</v>
      </c>
      <c r="D20" s="81">
        <f>Global!C15</f>
        <v>0.8</v>
      </c>
      <c r="J20" s="59"/>
      <c r="K20" s="59"/>
    </row>
    <row r="21" spans="1:11">
      <c r="A21" s="60"/>
      <c r="B21" s="78" t="s">
        <v>87</v>
      </c>
      <c r="C21" s="79" t="s">
        <v>88</v>
      </c>
      <c r="D21" s="82">
        <v>5</v>
      </c>
      <c r="J21" s="59"/>
      <c r="K21" s="59"/>
    </row>
    <row r="22" spans="1:11">
      <c r="A22" s="60"/>
      <c r="B22" s="65" t="s">
        <v>261</v>
      </c>
      <c r="C22" s="66"/>
      <c r="D22" s="67"/>
      <c r="J22" s="59"/>
      <c r="K22" s="59"/>
    </row>
    <row r="23" spans="1:11">
      <c r="B23" s="85" t="s">
        <v>267</v>
      </c>
      <c r="C23" s="79" t="s">
        <v>191</v>
      </c>
      <c r="D23" s="100">
        <f>3.5*1.25</f>
        <v>4.375</v>
      </c>
      <c r="E23" s="56" t="s">
        <v>236</v>
      </c>
    </row>
    <row r="24" spans="1:11">
      <c r="B24" s="78" t="s">
        <v>173</v>
      </c>
      <c r="C24" s="79"/>
      <c r="D24" s="100"/>
    </row>
    <row r="25" spans="1:11">
      <c r="B25" s="78" t="s">
        <v>173</v>
      </c>
      <c r="C25" s="79"/>
      <c r="D25" s="100"/>
    </row>
    <row r="26" spans="1:11">
      <c r="B26" s="78" t="s">
        <v>173</v>
      </c>
      <c r="C26" s="79"/>
      <c r="D26" s="100"/>
    </row>
    <row r="28" spans="1:11">
      <c r="A28" s="84" t="s">
        <v>92</v>
      </c>
      <c r="B28" s="78" t="s">
        <v>94</v>
      </c>
      <c r="C28" s="79" t="s">
        <v>450</v>
      </c>
      <c r="D28" s="83">
        <f>((D10*D8/D8)*D23)+D24+D25+D26</f>
        <v>4.375</v>
      </c>
      <c r="F28" s="87"/>
    </row>
    <row r="29" spans="1:11">
      <c r="A29" s="61"/>
      <c r="B29" s="78" t="s">
        <v>95</v>
      </c>
      <c r="C29" s="79" t="s">
        <v>450</v>
      </c>
      <c r="D29" s="83">
        <f>D13*Global!C7/D8</f>
        <v>0.75</v>
      </c>
      <c r="F29" s="87"/>
    </row>
    <row r="30" spans="1:11">
      <c r="B30" s="78" t="s">
        <v>96</v>
      </c>
      <c r="C30" s="79" t="s">
        <v>450</v>
      </c>
      <c r="D30" s="83">
        <f>((D21*Global!C8)+(Global!C5*D19)/(365*24)+D18)/D8/D20</f>
        <v>1.6160102739726026</v>
      </c>
      <c r="E30" s="56" t="s">
        <v>439</v>
      </c>
      <c r="F30" s="87"/>
    </row>
    <row r="31" spans="1:11">
      <c r="B31" s="78" t="s">
        <v>433</v>
      </c>
      <c r="C31" s="79" t="s">
        <v>450</v>
      </c>
      <c r="D31" s="83">
        <f>(0.8*D15/(D16*12*30*24)+D17/(365*24))/D8/D20</f>
        <v>3.4405124302384573</v>
      </c>
      <c r="E31" s="56" t="s">
        <v>435</v>
      </c>
      <c r="F31" s="244"/>
    </row>
    <row r="32" spans="1:11">
      <c r="B32" s="88" t="s">
        <v>440</v>
      </c>
      <c r="C32" s="89"/>
      <c r="D32" s="90">
        <f>SUM(D28:D31)</f>
        <v>10.181522704211059</v>
      </c>
      <c r="E32" s="91"/>
    </row>
    <row r="37" spans="4:4">
      <c r="D37" s="93"/>
    </row>
  </sheetData>
  <hyperlinks>
    <hyperlink ref="E2" location="Process!A1" display="Process!A1" xr:uid="{00000000-0004-0000-1100-000000000000}"/>
  </hyperlinks>
  <pageMargins left="0.75" right="0.75" top="1" bottom="1" header="0.5" footer="0.5"/>
  <pageSetup scale="6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3">
    <pageSetUpPr fitToPage="1"/>
  </sheetPr>
  <dimension ref="A1:H34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5" style="59" bestFit="1" customWidth="1"/>
    <col min="5" max="5" width="19.5" style="56" bestFit="1" customWidth="1"/>
    <col min="6" max="16384" width="8.6640625" style="56"/>
  </cols>
  <sheetData>
    <row r="1" spans="1:8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8" s="58" customFormat="1">
      <c r="A2" s="283" t="s">
        <v>242</v>
      </c>
      <c r="B2" s="283"/>
      <c r="C2" s="283"/>
      <c r="D2" s="283"/>
    </row>
    <row r="3" spans="1:8" s="58" customFormat="1">
      <c r="B3" s="281" t="s">
        <v>312</v>
      </c>
      <c r="C3" s="290"/>
      <c r="D3" s="291"/>
    </row>
    <row r="4" spans="1:8">
      <c r="B4" s="78" t="s">
        <v>1</v>
      </c>
      <c r="C4" s="79"/>
      <c r="D4" s="79" t="str">
        <f>Global!C2</f>
        <v>Sapphire</v>
      </c>
      <c r="G4" s="59"/>
      <c r="H4" s="59"/>
    </row>
    <row r="5" spans="1:8">
      <c r="A5" s="60"/>
      <c r="B5" s="78" t="s">
        <v>29</v>
      </c>
      <c r="C5" s="79" t="s">
        <v>30</v>
      </c>
      <c r="D5" s="79">
        <f>Global!C3</f>
        <v>150</v>
      </c>
      <c r="G5" s="59"/>
      <c r="H5" s="59"/>
    </row>
    <row r="6" spans="1:8">
      <c r="A6" s="57" t="s">
        <v>26</v>
      </c>
      <c r="B6" s="68" t="s">
        <v>78</v>
      </c>
      <c r="C6" s="69"/>
      <c r="D6" s="166" t="s">
        <v>293</v>
      </c>
    </row>
    <row r="7" spans="1:8">
      <c r="B7" s="65" t="s">
        <v>32</v>
      </c>
      <c r="C7" s="66"/>
      <c r="D7" s="67"/>
    </row>
    <row r="8" spans="1:8">
      <c r="A8" s="60"/>
      <c r="B8" s="68" t="s">
        <v>187</v>
      </c>
      <c r="C8" s="69" t="s">
        <v>143</v>
      </c>
      <c r="D8" s="166">
        <f>34/Global!C18</f>
        <v>34</v>
      </c>
    </row>
    <row r="9" spans="1:8">
      <c r="B9" s="62"/>
      <c r="C9" s="72"/>
      <c r="D9" s="73"/>
      <c r="E9" s="74"/>
    </row>
    <row r="10" spans="1:8">
      <c r="A10" s="75"/>
      <c r="B10" s="76" t="s">
        <v>72</v>
      </c>
      <c r="C10" s="66"/>
      <c r="D10" s="67"/>
    </row>
    <row r="11" spans="1:8">
      <c r="B11" s="68" t="s">
        <v>20</v>
      </c>
      <c r="C11" s="69" t="s">
        <v>74</v>
      </c>
      <c r="D11" s="168">
        <f>0.1*Global!C17</f>
        <v>0.1</v>
      </c>
    </row>
    <row r="12" spans="1:8">
      <c r="A12" s="77"/>
      <c r="B12" s="65" t="s">
        <v>78</v>
      </c>
      <c r="C12" s="66"/>
      <c r="D12" s="67"/>
    </row>
    <row r="13" spans="1:8">
      <c r="B13" s="78" t="s">
        <v>79</v>
      </c>
      <c r="C13" s="79" t="s">
        <v>80</v>
      </c>
      <c r="D13" s="80">
        <f>600000*1.12*Global!C16</f>
        <v>672000.00000000012</v>
      </c>
    </row>
    <row r="14" spans="1:8">
      <c r="A14" s="60"/>
      <c r="B14" s="78" t="s">
        <v>81</v>
      </c>
      <c r="C14" s="79" t="s">
        <v>82</v>
      </c>
      <c r="D14" s="80">
        <f>0.01*D13</f>
        <v>6720.0000000000009</v>
      </c>
    </row>
    <row r="15" spans="1:8">
      <c r="A15" s="60"/>
      <c r="B15" s="78" t="s">
        <v>83</v>
      </c>
      <c r="C15" s="79" t="s">
        <v>77</v>
      </c>
      <c r="D15" s="80">
        <f>(D14+D13/5)/(365*24)</f>
        <v>16.109589041095894</v>
      </c>
    </row>
    <row r="16" spans="1:8">
      <c r="A16" s="60"/>
      <c r="B16" s="78" t="s">
        <v>84</v>
      </c>
      <c r="C16" s="79" t="s">
        <v>85</v>
      </c>
      <c r="D16" s="79">
        <v>2</v>
      </c>
    </row>
    <row r="17" spans="1:8">
      <c r="A17" s="60"/>
      <c r="B17" s="78" t="s">
        <v>86</v>
      </c>
      <c r="C17" s="79" t="s">
        <v>43</v>
      </c>
      <c r="D17" s="81">
        <f>Global!C15</f>
        <v>0.8</v>
      </c>
      <c r="G17" s="59"/>
      <c r="H17" s="59"/>
    </row>
    <row r="18" spans="1:8">
      <c r="A18" s="60"/>
      <c r="B18" s="78" t="s">
        <v>87</v>
      </c>
      <c r="C18" s="79" t="s">
        <v>88</v>
      </c>
      <c r="D18" s="82">
        <v>20</v>
      </c>
      <c r="G18" s="59"/>
      <c r="H18" s="59"/>
    </row>
    <row r="19" spans="1:8">
      <c r="A19" s="60"/>
      <c r="B19" s="65" t="s">
        <v>261</v>
      </c>
      <c r="C19" s="66"/>
      <c r="D19" s="67"/>
      <c r="G19" s="59"/>
      <c r="H19" s="59"/>
    </row>
    <row r="20" spans="1:8">
      <c r="B20" s="85" t="s">
        <v>173</v>
      </c>
      <c r="C20" s="79"/>
      <c r="D20" s="100"/>
    </row>
    <row r="21" spans="1:8">
      <c r="B21" s="85" t="s">
        <v>173</v>
      </c>
      <c r="C21" s="79"/>
      <c r="D21" s="100"/>
    </row>
    <row r="22" spans="1:8">
      <c r="B22" s="85" t="s">
        <v>173</v>
      </c>
      <c r="C22" s="79"/>
      <c r="D22" s="100"/>
    </row>
    <row r="23" spans="1:8">
      <c r="B23" s="85" t="s">
        <v>173</v>
      </c>
      <c r="C23" s="79"/>
      <c r="D23" s="100"/>
    </row>
    <row r="25" spans="1:8">
      <c r="A25" s="84" t="s">
        <v>92</v>
      </c>
      <c r="B25" s="78" t="s">
        <v>94</v>
      </c>
      <c r="C25" s="79"/>
      <c r="D25" s="83">
        <f>SUM(D20:D23)</f>
        <v>0</v>
      </c>
    </row>
    <row r="26" spans="1:8">
      <c r="A26" s="61"/>
      <c r="B26" s="78" t="s">
        <v>95</v>
      </c>
      <c r="C26" s="79"/>
      <c r="D26" s="83">
        <f>D11*Global!C7/D8</f>
        <v>8.8235294117647065E-2</v>
      </c>
    </row>
    <row r="27" spans="1:8">
      <c r="B27" s="78" t="s">
        <v>96</v>
      </c>
      <c r="C27" s="79"/>
      <c r="D27" s="83">
        <f>((D18*Global!C8)+(Global!C6*D16)/(365*24)+D15)/D8/D17</f>
        <v>1.2056809024979858</v>
      </c>
    </row>
    <row r="28" spans="1:8">
      <c r="B28" s="88" t="s">
        <v>13</v>
      </c>
      <c r="C28" s="79"/>
      <c r="D28" s="90">
        <f>SUM(D25:D27)</f>
        <v>1.2939161966156327</v>
      </c>
      <c r="E28" s="91"/>
    </row>
    <row r="29" spans="1:8">
      <c r="D29" s="92"/>
    </row>
    <row r="34" spans="4:4">
      <c r="D34" s="93"/>
    </row>
  </sheetData>
  <mergeCells count="2">
    <mergeCell ref="B3:D3"/>
    <mergeCell ref="A2:D2"/>
  </mergeCells>
  <hyperlinks>
    <hyperlink ref="A2" location="Process!A1" display="Process!A1" xr:uid="{00000000-0004-0000-0F00-000000000000}"/>
  </hyperlinks>
  <pageMargins left="0.75" right="0.75" top="1" bottom="1" header="0.5" footer="0.5"/>
  <pageSetup scale="6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11">
    <pageSetUpPr fitToPage="1"/>
  </sheetPr>
  <dimension ref="A1:K33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24" style="183" bestFit="1" customWidth="1"/>
    <col min="5" max="5" width="20.6640625" style="56" customWidth="1"/>
    <col min="6" max="16384" width="8.6640625" style="56"/>
  </cols>
  <sheetData>
    <row r="1" spans="1:11" s="58" customFormat="1">
      <c r="A1" s="63" t="s">
        <v>7</v>
      </c>
      <c r="B1" s="63" t="s">
        <v>22</v>
      </c>
      <c r="C1" s="63" t="s">
        <v>23</v>
      </c>
      <c r="D1" s="179" t="s">
        <v>24</v>
      </c>
      <c r="E1" s="63" t="s">
        <v>25</v>
      </c>
    </row>
    <row r="2" spans="1:11" s="58" customFormat="1">
      <c r="A2" s="283" t="s">
        <v>242</v>
      </c>
      <c r="B2" s="283"/>
      <c r="C2" s="283"/>
      <c r="D2" s="283"/>
    </row>
    <row r="3" spans="1:11" s="58" customFormat="1">
      <c r="B3" s="65" t="s">
        <v>280</v>
      </c>
      <c r="C3" s="66"/>
      <c r="D3" s="180"/>
    </row>
    <row r="4" spans="1:11">
      <c r="B4" s="78" t="s">
        <v>1</v>
      </c>
      <c r="C4" s="79"/>
      <c r="D4" s="97" t="str">
        <f>Global!C2</f>
        <v>Sapphire</v>
      </c>
      <c r="G4" s="59"/>
      <c r="H4" s="59"/>
    </row>
    <row r="5" spans="1:11">
      <c r="A5" s="60"/>
      <c r="B5" s="78" t="s">
        <v>29</v>
      </c>
      <c r="C5" s="79" t="s">
        <v>30</v>
      </c>
      <c r="D5" s="97">
        <f>Global!C3</f>
        <v>150</v>
      </c>
      <c r="G5" s="59"/>
      <c r="H5" s="59"/>
    </row>
    <row r="6" spans="1:11">
      <c r="A6" s="57" t="s">
        <v>26</v>
      </c>
      <c r="B6" s="68" t="s">
        <v>78</v>
      </c>
      <c r="C6" s="69"/>
      <c r="D6" s="181" t="s">
        <v>294</v>
      </c>
      <c r="E6" s="56" t="s">
        <v>378</v>
      </c>
    </row>
    <row r="7" spans="1:11">
      <c r="B7" s="65" t="s">
        <v>32</v>
      </c>
      <c r="C7" s="66"/>
      <c r="D7" s="180"/>
    </row>
    <row r="8" spans="1:11">
      <c r="A8" s="60"/>
      <c r="B8" s="68" t="s">
        <v>187</v>
      </c>
      <c r="C8" s="69" t="s">
        <v>143</v>
      </c>
      <c r="D8" s="167">
        <f>D11/Global!C18</f>
        <v>20.719095937123768</v>
      </c>
      <c r="E8" s="56" t="s">
        <v>348</v>
      </c>
      <c r="F8" s="56" t="s">
        <v>379</v>
      </c>
      <c r="G8" s="56" t="s">
        <v>380</v>
      </c>
      <c r="H8" s="56" t="s">
        <v>381</v>
      </c>
      <c r="I8" s="56" t="s">
        <v>382</v>
      </c>
      <c r="J8" s="56" t="s">
        <v>383</v>
      </c>
      <c r="K8" s="56" t="s">
        <v>384</v>
      </c>
    </row>
    <row r="9" spans="1:11">
      <c r="A9" s="60"/>
      <c r="B9" s="68" t="s">
        <v>385</v>
      </c>
      <c r="C9" s="69" t="s">
        <v>386</v>
      </c>
      <c r="D9" s="167">
        <v>150</v>
      </c>
      <c r="F9" s="178">
        <f>Process!H29</f>
        <v>13031.456624331917</v>
      </c>
      <c r="G9" s="56">
        <f>SQRT(Global!C4)*2*F9</f>
        <v>26062.913248663834</v>
      </c>
      <c r="H9" s="56">
        <v>150</v>
      </c>
      <c r="I9" s="56">
        <f>G9/H9</f>
        <v>173.75275499109222</v>
      </c>
      <c r="J9" s="56">
        <f>I9/60/60</f>
        <v>4.8264654164192282E-2</v>
      </c>
      <c r="K9" s="56">
        <f>1/J9</f>
        <v>20.719095937123768</v>
      </c>
    </row>
    <row r="10" spans="1:11">
      <c r="A10" s="60"/>
      <c r="B10" s="61"/>
      <c r="D10" s="182"/>
    </row>
    <row r="11" spans="1:11">
      <c r="A11" s="57" t="s">
        <v>45</v>
      </c>
      <c r="B11" s="68" t="s">
        <v>187</v>
      </c>
      <c r="C11" s="69"/>
      <c r="D11" s="167">
        <f>1/(((SQRT(Global!C4)*2*Process!H29)/D9)/60/60)</f>
        <v>20.719095937123768</v>
      </c>
    </row>
    <row r="12" spans="1:11">
      <c r="B12" s="62"/>
      <c r="C12" s="72"/>
      <c r="D12" s="73"/>
    </row>
    <row r="13" spans="1:11">
      <c r="A13" s="75"/>
      <c r="B13" s="76" t="s">
        <v>72</v>
      </c>
      <c r="C13" s="66"/>
      <c r="D13" s="180"/>
    </row>
    <row r="14" spans="1:11">
      <c r="B14" s="68" t="s">
        <v>20</v>
      </c>
      <c r="C14" s="69" t="s">
        <v>74</v>
      </c>
      <c r="D14" s="168">
        <f>0.1*Global!C17</f>
        <v>0.1</v>
      </c>
    </row>
    <row r="15" spans="1:11">
      <c r="A15" s="77"/>
      <c r="B15" s="65" t="s">
        <v>78</v>
      </c>
      <c r="C15" s="66"/>
      <c r="D15" s="180"/>
    </row>
    <row r="16" spans="1:11">
      <c r="B16" s="78" t="s">
        <v>79</v>
      </c>
      <c r="C16" s="79" t="s">
        <v>80</v>
      </c>
      <c r="D16" s="83">
        <f>350000*1.12*Global!C16</f>
        <v>392000.00000000006</v>
      </c>
    </row>
    <row r="17" spans="1:8">
      <c r="B17" s="78" t="s">
        <v>436</v>
      </c>
      <c r="C17" s="79" t="s">
        <v>437</v>
      </c>
      <c r="D17" s="79">
        <v>5</v>
      </c>
    </row>
    <row r="18" spans="1:8">
      <c r="A18" s="60"/>
      <c r="B18" s="78" t="s">
        <v>81</v>
      </c>
      <c r="C18" s="79" t="s">
        <v>82</v>
      </c>
      <c r="D18" s="83">
        <f>0.01*D16</f>
        <v>3920.0000000000005</v>
      </c>
    </row>
    <row r="19" spans="1:8">
      <c r="A19" s="60"/>
      <c r="B19" s="78" t="s">
        <v>83</v>
      </c>
      <c r="C19" s="79" t="s">
        <v>77</v>
      </c>
      <c r="D19" s="245">
        <v>5</v>
      </c>
      <c r="E19" s="56" t="s">
        <v>451</v>
      </c>
      <c r="F19" s="56" t="s">
        <v>391</v>
      </c>
    </row>
    <row r="20" spans="1:8">
      <c r="A20" s="60"/>
      <c r="B20" s="78" t="s">
        <v>84</v>
      </c>
      <c r="C20" s="79" t="s">
        <v>85</v>
      </c>
      <c r="D20" s="97">
        <v>3</v>
      </c>
    </row>
    <row r="21" spans="1:8">
      <c r="A21" s="60"/>
      <c r="B21" s="78" t="s">
        <v>86</v>
      </c>
      <c r="C21" s="79" t="s">
        <v>43</v>
      </c>
      <c r="D21" s="81">
        <f>Global!C15</f>
        <v>0.8</v>
      </c>
      <c r="G21" s="59"/>
      <c r="H21" s="59"/>
    </row>
    <row r="22" spans="1:8">
      <c r="A22" s="60"/>
      <c r="B22" s="78" t="s">
        <v>87</v>
      </c>
      <c r="C22" s="79" t="s">
        <v>88</v>
      </c>
      <c r="D22" s="82">
        <v>45</v>
      </c>
      <c r="G22" s="59"/>
      <c r="H22" s="59"/>
    </row>
    <row r="23" spans="1:8">
      <c r="A23" s="60"/>
      <c r="B23" s="65" t="s">
        <v>261</v>
      </c>
      <c r="C23" s="66"/>
      <c r="D23" s="180"/>
      <c r="G23" s="59"/>
      <c r="H23" s="59"/>
    </row>
    <row r="24" spans="1:8">
      <c r="B24" s="85" t="s">
        <v>387</v>
      </c>
      <c r="C24" s="79" t="s">
        <v>80</v>
      </c>
      <c r="D24" s="83">
        <v>1</v>
      </c>
      <c r="E24" s="56" t="s">
        <v>387</v>
      </c>
    </row>
    <row r="25" spans="1:8">
      <c r="B25" s="85" t="s">
        <v>173</v>
      </c>
      <c r="C25" s="79"/>
      <c r="D25" s="83">
        <v>0</v>
      </c>
    </row>
    <row r="26" spans="1:8">
      <c r="B26" s="85" t="s">
        <v>173</v>
      </c>
      <c r="C26" s="79"/>
      <c r="D26" s="83">
        <v>0</v>
      </c>
    </row>
    <row r="27" spans="1:8">
      <c r="B27" s="85" t="s">
        <v>173</v>
      </c>
      <c r="C27" s="79"/>
      <c r="D27" s="83">
        <v>0</v>
      </c>
    </row>
    <row r="29" spans="1:8">
      <c r="A29" s="84" t="s">
        <v>92</v>
      </c>
      <c r="B29" s="78" t="s">
        <v>94</v>
      </c>
      <c r="C29" s="79" t="s">
        <v>450</v>
      </c>
      <c r="D29" s="83">
        <f>D24+((SQRT(Global!C4)*2*F9)*D25)+D27+D26</f>
        <v>1</v>
      </c>
    </row>
    <row r="30" spans="1:8">
      <c r="A30" s="61"/>
      <c r="B30" s="78" t="s">
        <v>95</v>
      </c>
      <c r="C30" s="79" t="s">
        <v>450</v>
      </c>
      <c r="D30" s="83">
        <f>D14*Global!C7/D8</f>
        <v>0.14479396249257684</v>
      </c>
    </row>
    <row r="31" spans="1:8">
      <c r="B31" s="78" t="s">
        <v>96</v>
      </c>
      <c r="C31" s="79" t="s">
        <v>450</v>
      </c>
      <c r="D31" s="83">
        <f>((D22*Global!C8)+(Global!C6*D20)/(365*24)+D19)/D8/D21</f>
        <v>2.5355472427353063</v>
      </c>
      <c r="E31" s="56" t="s">
        <v>439</v>
      </c>
    </row>
    <row r="32" spans="1:8">
      <c r="B32" s="78" t="s">
        <v>433</v>
      </c>
      <c r="C32" s="79" t="s">
        <v>450</v>
      </c>
      <c r="D32" s="83">
        <f>(0.8*D16/(D17*12*30*24)+D18/(365*24))/D11/D21</f>
        <v>0.46495439926057885</v>
      </c>
      <c r="E32" s="56" t="s">
        <v>435</v>
      </c>
    </row>
    <row r="33" spans="2:5">
      <c r="B33" s="88" t="s">
        <v>440</v>
      </c>
      <c r="C33" s="79"/>
      <c r="D33" s="246">
        <f>SUM(D29:D32)</f>
        <v>4.1452956044884619</v>
      </c>
      <c r="E33" s="91"/>
    </row>
  </sheetData>
  <mergeCells count="1">
    <mergeCell ref="A2:D2"/>
  </mergeCells>
  <hyperlinks>
    <hyperlink ref="A2" location="Process!A1" display="Process!A1" xr:uid="{00000000-0004-0000-1200-000000000000}"/>
  </hyperlinks>
  <pageMargins left="0.75" right="0.75" top="1" bottom="1" header="0.5" footer="0.5"/>
  <pageSetup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8"/>
  <sheetViews>
    <sheetView workbookViewId="0">
      <selection activeCell="C15" sqref="C15"/>
    </sheetView>
  </sheetViews>
  <sheetFormatPr baseColWidth="10" defaultColWidth="8.6640625" defaultRowHeight="15"/>
  <cols>
    <col min="1" max="1" width="21.6640625" style="104" bestFit="1" customWidth="1"/>
    <col min="2" max="2" width="8.83203125" style="104" customWidth="1"/>
    <col min="3" max="5" width="15.33203125" style="104" customWidth="1"/>
    <col min="6" max="6" width="48.1640625" style="56" customWidth="1"/>
    <col min="7" max="7" width="8.6640625" style="56" customWidth="1"/>
    <col min="8" max="16384" width="8.6640625" style="56"/>
  </cols>
  <sheetData>
    <row r="1" spans="1:12" s="58" customFormat="1">
      <c r="A1" s="57" t="s">
        <v>22</v>
      </c>
      <c r="B1" s="57" t="s">
        <v>23</v>
      </c>
      <c r="C1" s="57" t="s">
        <v>470</v>
      </c>
      <c r="D1" s="57" t="s">
        <v>471</v>
      </c>
      <c r="E1" s="57" t="s">
        <v>472</v>
      </c>
      <c r="F1" s="63" t="s">
        <v>25</v>
      </c>
    </row>
    <row r="2" spans="1:12">
      <c r="A2" s="104" t="s">
        <v>1</v>
      </c>
      <c r="C2" s="153" t="s">
        <v>27</v>
      </c>
      <c r="D2" s="153" t="str">
        <f>[8]Global!C2</f>
        <v>Sapphire</v>
      </c>
      <c r="E2" s="153"/>
      <c r="F2" s="56" t="s">
        <v>28</v>
      </c>
      <c r="K2" s="59"/>
      <c r="L2" s="59"/>
    </row>
    <row r="3" spans="1:12">
      <c r="A3" s="104" t="s">
        <v>29</v>
      </c>
      <c r="B3" s="104" t="s">
        <v>30</v>
      </c>
      <c r="C3" s="153">
        <v>150</v>
      </c>
      <c r="D3" s="153">
        <f>[8]Global!C3</f>
        <v>200</v>
      </c>
      <c r="E3" s="153"/>
      <c r="F3" s="56" t="s">
        <v>31</v>
      </c>
      <c r="K3" s="59"/>
      <c r="L3" s="59"/>
    </row>
    <row r="4" spans="1:12" ht="17">
      <c r="A4" s="104" t="s">
        <v>99</v>
      </c>
      <c r="B4" s="104" t="s">
        <v>333</v>
      </c>
      <c r="C4" s="153">
        <v>1</v>
      </c>
      <c r="D4" s="153">
        <f>[8]Global!C4</f>
        <v>1</v>
      </c>
      <c r="E4" s="153"/>
      <c r="F4" s="56" t="s">
        <v>255</v>
      </c>
      <c r="K4" s="59"/>
      <c r="L4" s="59"/>
    </row>
    <row r="5" spans="1:12" ht="17">
      <c r="A5" s="56" t="s">
        <v>2</v>
      </c>
      <c r="B5" s="56" t="s">
        <v>332</v>
      </c>
      <c r="C5" s="153">
        <v>1500</v>
      </c>
      <c r="D5" s="153">
        <f>[8]Global!C5</f>
        <v>3000</v>
      </c>
      <c r="E5" s="153"/>
      <c r="F5" s="56" t="s">
        <v>272</v>
      </c>
    </row>
    <row r="6" spans="1:12" ht="17">
      <c r="A6" s="104" t="s">
        <v>3</v>
      </c>
      <c r="B6" s="104" t="s">
        <v>332</v>
      </c>
      <c r="C6" s="154">
        <v>3000</v>
      </c>
      <c r="D6" s="153">
        <f>[8]Global!C6</f>
        <v>2500</v>
      </c>
      <c r="E6" s="154"/>
      <c r="F6" s="56" t="s">
        <v>73</v>
      </c>
    </row>
    <row r="7" spans="1:12">
      <c r="A7" s="104" t="s">
        <v>76</v>
      </c>
      <c r="B7" s="104" t="s">
        <v>77</v>
      </c>
      <c r="C7" s="154">
        <v>30</v>
      </c>
      <c r="D7" s="153">
        <f>[8]Global!C7</f>
        <v>30</v>
      </c>
      <c r="E7" s="154"/>
      <c r="F7" s="56" t="s">
        <v>336</v>
      </c>
    </row>
    <row r="8" spans="1:12">
      <c r="A8" s="104" t="s">
        <v>101</v>
      </c>
      <c r="B8" s="104" t="s">
        <v>91</v>
      </c>
      <c r="C8" s="155">
        <v>0.8</v>
      </c>
      <c r="D8" s="153">
        <f>[8]Global!C8</f>
        <v>0.06</v>
      </c>
      <c r="E8" s="155"/>
      <c r="F8" s="56" t="s">
        <v>335</v>
      </c>
    </row>
    <row r="9" spans="1:12">
      <c r="A9" s="104" t="s">
        <v>461</v>
      </c>
      <c r="B9" s="104" t="s">
        <v>163</v>
      </c>
      <c r="C9" s="153">
        <f>1184.03954946/1000</f>
        <v>1.18403954946</v>
      </c>
      <c r="D9" s="153">
        <f>[8]Global!C9</f>
        <v>0.8297581258800002</v>
      </c>
      <c r="E9" s="153"/>
    </row>
    <row r="10" spans="1:12">
      <c r="A10" s="104" t="s">
        <v>462</v>
      </c>
      <c r="B10" s="104" t="s">
        <v>163</v>
      </c>
      <c r="C10" s="153">
        <f>63469.982898/1000</f>
        <v>63.469982898000005</v>
      </c>
      <c r="D10" s="153">
        <f>[8]Global!C10</f>
        <v>48.161748600000003</v>
      </c>
      <c r="E10" s="153"/>
    </row>
    <row r="11" spans="1:12">
      <c r="A11" s="104" t="s">
        <v>463</v>
      </c>
      <c r="B11" s="104" t="s">
        <v>163</v>
      </c>
      <c r="C11" s="153">
        <f>16.207043468/1000</f>
        <v>1.6207043467999997E-2</v>
      </c>
      <c r="D11" s="153">
        <f>[8]Global!C11</f>
        <v>9.1999999999999998E-3</v>
      </c>
      <c r="E11" s="153"/>
    </row>
    <row r="12" spans="1:12">
      <c r="A12" s="104" t="s">
        <v>464</v>
      </c>
      <c r="B12" s="104" t="s">
        <v>163</v>
      </c>
      <c r="C12" s="153">
        <f>59008.11518214/1000</f>
        <v>59.008115182139996</v>
      </c>
      <c r="D12" s="153">
        <f>[8]Global!C12</f>
        <v>29.241061650000002</v>
      </c>
      <c r="E12" s="153"/>
    </row>
    <row r="13" spans="1:12">
      <c r="A13" s="104" t="s">
        <v>465</v>
      </c>
      <c r="B13" s="104" t="s">
        <v>163</v>
      </c>
      <c r="C13" s="153">
        <f>20.68894/1000</f>
        <v>2.0688939999999999E-2</v>
      </c>
      <c r="D13" s="153">
        <f>[8]Global!C13</f>
        <v>1.498E-2</v>
      </c>
      <c r="E13" s="153"/>
    </row>
    <row r="14" spans="1:12">
      <c r="A14" s="104" t="s">
        <v>466</v>
      </c>
      <c r="B14" s="104" t="s">
        <v>163</v>
      </c>
      <c r="C14" s="153">
        <v>7.5</v>
      </c>
      <c r="D14" s="153">
        <f>[8]Global!C14</f>
        <v>7.5</v>
      </c>
      <c r="E14" s="153"/>
    </row>
    <row r="15" spans="1:12">
      <c r="A15" s="104" t="s">
        <v>467</v>
      </c>
      <c r="B15" s="104" t="s">
        <v>43</v>
      </c>
      <c r="C15" s="249">
        <v>0.8</v>
      </c>
      <c r="D15" s="249">
        <f>[8]Global!C15</f>
        <v>0.85</v>
      </c>
      <c r="E15" s="249"/>
    </row>
    <row r="16" spans="1:12">
      <c r="A16" s="104" t="s">
        <v>473</v>
      </c>
      <c r="B16" s="104" t="s">
        <v>43</v>
      </c>
      <c r="C16" s="249">
        <v>1</v>
      </c>
    </row>
    <row r="17" spans="1:3">
      <c r="A17" s="104" t="s">
        <v>474</v>
      </c>
      <c r="B17" s="104" t="s">
        <v>43</v>
      </c>
      <c r="C17" s="249">
        <v>1</v>
      </c>
    </row>
    <row r="18" spans="1:3">
      <c r="A18" s="104" t="s">
        <v>475</v>
      </c>
      <c r="B18" s="104" t="s">
        <v>43</v>
      </c>
      <c r="C18" s="249">
        <v>1</v>
      </c>
    </row>
  </sheetData>
  <pageMargins left="0.75" right="0.75" top="1" bottom="1" header="0.5" footer="0.5"/>
  <pageSetup scale="6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12">
    <pageSetUpPr fitToPage="1"/>
  </sheetPr>
  <dimension ref="A1:H35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27.33203125" style="59" bestFit="1" customWidth="1"/>
    <col min="5" max="5" width="20.6640625" style="56" customWidth="1"/>
    <col min="6" max="16384" width="8.6640625" style="56"/>
  </cols>
  <sheetData>
    <row r="1" spans="1:8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8" s="58" customFormat="1">
      <c r="A2" s="283" t="s">
        <v>242</v>
      </c>
      <c r="B2" s="283"/>
      <c r="C2" s="283"/>
      <c r="D2" s="283"/>
    </row>
    <row r="3" spans="1:8" s="58" customFormat="1">
      <c r="B3" s="65" t="s">
        <v>281</v>
      </c>
      <c r="C3" s="66"/>
      <c r="D3" s="67"/>
    </row>
    <row r="4" spans="1:8">
      <c r="B4" s="78" t="s">
        <v>1</v>
      </c>
      <c r="C4" s="79"/>
      <c r="D4" s="79" t="str">
        <f>Global!C2</f>
        <v>Sapphire</v>
      </c>
      <c r="G4" s="59"/>
      <c r="H4" s="59"/>
    </row>
    <row r="5" spans="1:8">
      <c r="A5" s="60"/>
      <c r="B5" s="78" t="s">
        <v>29</v>
      </c>
      <c r="C5" s="79" t="s">
        <v>30</v>
      </c>
      <c r="D5" s="79">
        <f>Global!C3</f>
        <v>150</v>
      </c>
      <c r="G5" s="59"/>
      <c r="H5" s="59"/>
    </row>
    <row r="6" spans="1:8">
      <c r="A6" s="57" t="s">
        <v>26</v>
      </c>
      <c r="B6" s="68" t="s">
        <v>78</v>
      </c>
      <c r="C6" s="69"/>
      <c r="D6" s="169" t="s">
        <v>326</v>
      </c>
    </row>
    <row r="7" spans="1:8">
      <c r="B7" s="65" t="s">
        <v>32</v>
      </c>
      <c r="C7" s="66"/>
      <c r="D7" s="67"/>
    </row>
    <row r="8" spans="1:8">
      <c r="A8" s="60"/>
      <c r="B8" s="68" t="s">
        <v>187</v>
      </c>
      <c r="C8" s="69" t="s">
        <v>143</v>
      </c>
      <c r="D8" s="166">
        <f>3/Global!C18</f>
        <v>3</v>
      </c>
      <c r="E8" s="56" t="s">
        <v>348</v>
      </c>
      <c r="F8" s="56" t="s">
        <v>390</v>
      </c>
    </row>
    <row r="9" spans="1:8">
      <c r="B9" s="62"/>
      <c r="C9" s="72"/>
      <c r="D9" s="73"/>
      <c r="E9" s="74"/>
    </row>
    <row r="10" spans="1:8">
      <c r="A10" s="75"/>
      <c r="B10" s="76" t="s">
        <v>72</v>
      </c>
      <c r="C10" s="66"/>
      <c r="D10" s="67"/>
    </row>
    <row r="11" spans="1:8">
      <c r="B11" s="68" t="s">
        <v>20</v>
      </c>
      <c r="C11" s="69" t="s">
        <v>74</v>
      </c>
      <c r="D11" s="168">
        <f>0.5*Global!C17</f>
        <v>0.5</v>
      </c>
    </row>
    <row r="12" spans="1:8">
      <c r="A12" s="77"/>
      <c r="B12" s="65" t="s">
        <v>78</v>
      </c>
      <c r="C12" s="66"/>
      <c r="D12" s="67"/>
    </row>
    <row r="13" spans="1:8">
      <c r="B13" s="78" t="s">
        <v>79</v>
      </c>
      <c r="C13" s="79" t="s">
        <v>80</v>
      </c>
      <c r="D13" s="80">
        <f>100000*1.12*Global!C16</f>
        <v>112000.00000000001</v>
      </c>
    </row>
    <row r="14" spans="1:8">
      <c r="B14" s="78" t="s">
        <v>436</v>
      </c>
      <c r="C14" s="79" t="s">
        <v>437</v>
      </c>
      <c r="D14" s="79">
        <v>5</v>
      </c>
    </row>
    <row r="15" spans="1:8">
      <c r="A15" s="60"/>
      <c r="B15" s="78" t="s">
        <v>81</v>
      </c>
      <c r="C15" s="79" t="s">
        <v>82</v>
      </c>
      <c r="D15" s="80">
        <f>0.01*D13</f>
        <v>1120.0000000000002</v>
      </c>
    </row>
    <row r="16" spans="1:8">
      <c r="A16" s="60"/>
      <c r="B16" s="78" t="s">
        <v>83</v>
      </c>
      <c r="C16" s="79" t="s">
        <v>77</v>
      </c>
      <c r="D16" s="80">
        <v>2</v>
      </c>
      <c r="E16" s="56" t="s">
        <v>388</v>
      </c>
      <c r="F16" s="56" t="s">
        <v>389</v>
      </c>
    </row>
    <row r="17" spans="1:8">
      <c r="A17" s="60"/>
      <c r="B17" s="78" t="s">
        <v>84</v>
      </c>
      <c r="C17" s="79" t="s">
        <v>85</v>
      </c>
      <c r="D17" s="79">
        <v>2</v>
      </c>
    </row>
    <row r="18" spans="1:8">
      <c r="A18" s="60"/>
      <c r="B18" s="78" t="s">
        <v>86</v>
      </c>
      <c r="C18" s="79" t="s">
        <v>43</v>
      </c>
      <c r="D18" s="81">
        <f>Global!C15</f>
        <v>0.8</v>
      </c>
      <c r="G18" s="59"/>
      <c r="H18" s="59"/>
    </row>
    <row r="19" spans="1:8">
      <c r="A19" s="60"/>
      <c r="B19" s="78" t="s">
        <v>87</v>
      </c>
      <c r="C19" s="79" t="s">
        <v>88</v>
      </c>
      <c r="D19" s="82">
        <v>2</v>
      </c>
      <c r="G19" s="59"/>
      <c r="H19" s="59"/>
    </row>
    <row r="20" spans="1:8">
      <c r="A20" s="60"/>
      <c r="B20" s="65" t="s">
        <v>261</v>
      </c>
      <c r="C20" s="66"/>
      <c r="D20" s="67"/>
      <c r="G20" s="59"/>
      <c r="H20" s="59"/>
    </row>
    <row r="21" spans="1:8">
      <c r="A21" s="60"/>
      <c r="B21" s="85" t="s">
        <v>173</v>
      </c>
      <c r="C21" s="79"/>
      <c r="D21" s="83"/>
    </row>
    <row r="22" spans="1:8">
      <c r="A22" s="60"/>
      <c r="B22" s="85" t="s">
        <v>173</v>
      </c>
      <c r="C22" s="79"/>
      <c r="D22" s="83"/>
    </row>
    <row r="23" spans="1:8">
      <c r="A23" s="60"/>
      <c r="B23" s="85" t="s">
        <v>173</v>
      </c>
      <c r="C23" s="79"/>
      <c r="D23" s="83"/>
    </row>
    <row r="24" spans="1:8">
      <c r="A24" s="60"/>
      <c r="B24" s="85" t="s">
        <v>173</v>
      </c>
      <c r="C24" s="79"/>
      <c r="D24" s="83"/>
    </row>
    <row r="26" spans="1:8">
      <c r="A26" s="84" t="s">
        <v>92</v>
      </c>
      <c r="B26" s="78" t="s">
        <v>96</v>
      </c>
      <c r="C26" s="79" t="s">
        <v>450</v>
      </c>
      <c r="D26" s="83">
        <f>((D19*Global!C8)+(Global!C6*D17)/(365*24)+D16)/D8/D18</f>
        <v>1.785388127853881</v>
      </c>
    </row>
    <row r="27" spans="1:8">
      <c r="A27" s="61"/>
      <c r="B27" s="78" t="s">
        <v>94</v>
      </c>
      <c r="C27" s="79" t="s">
        <v>450</v>
      </c>
      <c r="D27" s="83">
        <f>SUM(D21:D24)</f>
        <v>0</v>
      </c>
    </row>
    <row r="28" spans="1:8">
      <c r="A28" s="61"/>
      <c r="B28" s="78" t="s">
        <v>95</v>
      </c>
      <c r="C28" s="79" t="s">
        <v>450</v>
      </c>
      <c r="D28" s="83">
        <f>D11*Global!C7/D8</f>
        <v>5</v>
      </c>
      <c r="E28" s="56" t="s">
        <v>439</v>
      </c>
    </row>
    <row r="29" spans="1:8">
      <c r="B29" s="78" t="s">
        <v>433</v>
      </c>
      <c r="C29" s="79" t="s">
        <v>450</v>
      </c>
      <c r="D29" s="83">
        <f>(0.8*D13/(D14*12*30*24)+D15/(365*24))/D8/D18</f>
        <v>0.91746998139692226</v>
      </c>
      <c r="E29" s="56" t="s">
        <v>435</v>
      </c>
    </row>
    <row r="30" spans="1:8">
      <c r="B30" s="88" t="s">
        <v>440</v>
      </c>
      <c r="C30" s="79"/>
      <c r="D30" s="90">
        <f>SUM(D26:D29)</f>
        <v>7.7028581092508039</v>
      </c>
      <c r="E30" s="91"/>
    </row>
    <row r="35" spans="4:4">
      <c r="D35" s="93"/>
    </row>
  </sheetData>
  <mergeCells count="1">
    <mergeCell ref="A2:D2"/>
  </mergeCells>
  <hyperlinks>
    <hyperlink ref="A2" location="Process!A1" display="Process!A1" xr:uid="{00000000-0004-0000-1300-000000000000}"/>
  </hyperlinks>
  <pageMargins left="0.75" right="0.75" top="1" bottom="1" header="0.5" footer="0.5"/>
  <pageSetup scale="6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31"/>
  <dimension ref="A1:I29"/>
  <sheetViews>
    <sheetView workbookViewId="0">
      <selection activeCell="A2" sqref="A2:D2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5.1640625" style="59" customWidth="1"/>
    <col min="5" max="5" width="20.6640625" style="56" customWidth="1"/>
    <col min="6" max="16384" width="8.6640625" style="56"/>
  </cols>
  <sheetData>
    <row r="1" spans="1:9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9" s="58" customFormat="1">
      <c r="A2" s="283" t="s">
        <v>242</v>
      </c>
      <c r="B2" s="283"/>
      <c r="C2" s="283"/>
      <c r="D2" s="283"/>
    </row>
    <row r="3" spans="1:9" s="58" customFormat="1">
      <c r="A3" s="292" t="s">
        <v>283</v>
      </c>
      <c r="B3" s="292"/>
      <c r="C3" s="292"/>
      <c r="D3" s="292"/>
    </row>
    <row r="4" spans="1:9">
      <c r="A4" s="60"/>
      <c r="B4" s="61"/>
      <c r="D4" s="58"/>
      <c r="H4" s="59"/>
      <c r="I4" s="59"/>
    </row>
    <row r="5" spans="1:9">
      <c r="A5" s="57" t="s">
        <v>26</v>
      </c>
      <c r="B5" s="68" t="s">
        <v>78</v>
      </c>
      <c r="C5" s="69"/>
      <c r="D5" s="169" t="s">
        <v>374</v>
      </c>
      <c r="H5" s="59"/>
      <c r="I5" s="59"/>
    </row>
    <row r="6" spans="1:9">
      <c r="A6" s="60"/>
      <c r="B6" s="65" t="s">
        <v>32</v>
      </c>
      <c r="C6" s="66"/>
      <c r="D6" s="67"/>
    </row>
    <row r="7" spans="1:9">
      <c r="A7" s="75"/>
      <c r="B7" s="68" t="s">
        <v>187</v>
      </c>
      <c r="C7" s="69" t="s">
        <v>192</v>
      </c>
      <c r="D7" s="166">
        <f>12000/Global!C18</f>
        <v>12000</v>
      </c>
    </row>
    <row r="8" spans="1:9">
      <c r="A8" s="61"/>
      <c r="B8" s="62"/>
      <c r="C8" s="72"/>
      <c r="D8" s="72"/>
    </row>
    <row r="9" spans="1:9">
      <c r="A9" s="75"/>
      <c r="B9" s="76" t="s">
        <v>72</v>
      </c>
      <c r="C9" s="66"/>
      <c r="D9" s="67"/>
    </row>
    <row r="10" spans="1:9">
      <c r="B10" s="68" t="s">
        <v>20</v>
      </c>
      <c r="C10" s="69" t="s">
        <v>74</v>
      </c>
      <c r="D10" s="168">
        <f>0.1*Global!C17</f>
        <v>0.1</v>
      </c>
    </row>
    <row r="11" spans="1:9">
      <c r="A11" s="77"/>
      <c r="B11" s="65" t="s">
        <v>78</v>
      </c>
      <c r="C11" s="66"/>
      <c r="D11" s="67"/>
    </row>
    <row r="12" spans="1:9" ht="12.75" customHeight="1">
      <c r="B12" s="78" t="s">
        <v>79</v>
      </c>
      <c r="C12" s="79" t="s">
        <v>80</v>
      </c>
      <c r="D12" s="80">
        <f>1000000*1.12*Global!C16</f>
        <v>1120000</v>
      </c>
    </row>
    <row r="13" spans="1:9">
      <c r="B13" s="78" t="s">
        <v>436</v>
      </c>
      <c r="C13" s="79" t="s">
        <v>437</v>
      </c>
      <c r="D13" s="79">
        <v>5</v>
      </c>
    </row>
    <row r="14" spans="1:9">
      <c r="A14" s="60"/>
      <c r="B14" s="78" t="s">
        <v>81</v>
      </c>
      <c r="C14" s="79" t="s">
        <v>82</v>
      </c>
      <c r="D14" s="80">
        <f>0.01*D12</f>
        <v>11200</v>
      </c>
    </row>
    <row r="15" spans="1:9">
      <c r="A15" s="60"/>
      <c r="B15" s="78" t="s">
        <v>83</v>
      </c>
      <c r="C15" s="79" t="s">
        <v>77</v>
      </c>
      <c r="D15" s="80">
        <v>1</v>
      </c>
    </row>
    <row r="16" spans="1:9">
      <c r="A16" s="60"/>
      <c r="B16" s="78" t="s">
        <v>84</v>
      </c>
      <c r="C16" s="79" t="s">
        <v>85</v>
      </c>
      <c r="D16" s="79">
        <v>2.5</v>
      </c>
    </row>
    <row r="17" spans="1:9">
      <c r="A17" s="60"/>
      <c r="B17" s="78" t="s">
        <v>86</v>
      </c>
      <c r="C17" s="79" t="s">
        <v>43</v>
      </c>
      <c r="D17" s="81">
        <f>Global!C15</f>
        <v>0.8</v>
      </c>
      <c r="H17" s="59"/>
      <c r="I17" s="59"/>
    </row>
    <row r="18" spans="1:9">
      <c r="A18" s="60"/>
      <c r="B18" s="78" t="s">
        <v>87</v>
      </c>
      <c r="C18" s="79" t="s">
        <v>88</v>
      </c>
      <c r="D18" s="82">
        <v>5</v>
      </c>
      <c r="H18" s="59"/>
      <c r="I18" s="59"/>
    </row>
    <row r="19" spans="1:9">
      <c r="A19" s="60"/>
      <c r="B19" s="65" t="s">
        <v>261</v>
      </c>
      <c r="C19" s="66"/>
      <c r="D19" s="67"/>
      <c r="H19" s="59"/>
      <c r="I19" s="59"/>
    </row>
    <row r="20" spans="1:9">
      <c r="A20" s="60"/>
      <c r="B20" s="85" t="s">
        <v>452</v>
      </c>
      <c r="C20" s="79" t="s">
        <v>453</v>
      </c>
      <c r="D20" s="83">
        <f>Global!C9*1000</f>
        <v>1184.03954946</v>
      </c>
      <c r="E20" s="56" t="s">
        <v>348</v>
      </c>
      <c r="F20" s="56" t="s">
        <v>455</v>
      </c>
      <c r="G20" s="56" t="s">
        <v>456</v>
      </c>
      <c r="H20" s="59" t="s">
        <v>457</v>
      </c>
      <c r="I20" s="59" t="s">
        <v>458</v>
      </c>
    </row>
    <row r="21" spans="1:9">
      <c r="A21" s="60"/>
      <c r="B21" s="85" t="s">
        <v>173</v>
      </c>
      <c r="C21" s="79"/>
      <c r="D21" s="164"/>
      <c r="E21" s="56" t="s">
        <v>459</v>
      </c>
      <c r="F21" s="56">
        <f>1*0.1</f>
        <v>0.1</v>
      </c>
      <c r="G21" s="56">
        <v>0.01</v>
      </c>
      <c r="H21" s="59">
        <f>G21*F21</f>
        <v>1E-3</v>
      </c>
      <c r="I21" s="59">
        <f>H21/1000</f>
        <v>9.9999999999999995E-7</v>
      </c>
    </row>
    <row r="22" spans="1:9">
      <c r="A22" s="60"/>
      <c r="B22" s="85" t="s">
        <v>173</v>
      </c>
      <c r="C22" s="79"/>
      <c r="D22" s="164"/>
      <c r="H22" s="59"/>
      <c r="I22" s="59"/>
    </row>
    <row r="23" spans="1:9">
      <c r="A23" s="60"/>
      <c r="B23" s="85" t="s">
        <v>173</v>
      </c>
      <c r="C23" s="79"/>
      <c r="D23" s="164"/>
      <c r="H23" s="59"/>
      <c r="I23" s="59"/>
    </row>
    <row r="25" spans="1:9">
      <c r="A25" s="84" t="s">
        <v>92</v>
      </c>
      <c r="B25" s="78" t="s">
        <v>94</v>
      </c>
      <c r="C25" s="79" t="s">
        <v>454</v>
      </c>
      <c r="D25" s="101">
        <f>D20*I21</f>
        <v>1.1840395494599999E-3</v>
      </c>
    </row>
    <row r="26" spans="1:9">
      <c r="A26" s="61"/>
      <c r="B26" s="78" t="s">
        <v>95</v>
      </c>
      <c r="C26" s="79" t="s">
        <v>454</v>
      </c>
      <c r="D26" s="101">
        <f>D10*Global!C7/D7</f>
        <v>2.5000000000000001E-4</v>
      </c>
    </row>
    <row r="27" spans="1:9">
      <c r="B27" s="78" t="s">
        <v>96</v>
      </c>
      <c r="C27" s="79" t="s">
        <v>454</v>
      </c>
      <c r="D27" s="101">
        <f>((D18*Global!C8)+(Global!C5*D16)/(24*365)+D15)/D17/D7</f>
        <v>5.6542522831050227E-4</v>
      </c>
      <c r="E27" s="56" t="s">
        <v>439</v>
      </c>
    </row>
    <row r="28" spans="1:9">
      <c r="B28" s="78" t="s">
        <v>433</v>
      </c>
      <c r="C28" s="79" t="s">
        <v>454</v>
      </c>
      <c r="D28" s="101">
        <f>(0.8*D12/(D13*12*30*24)+D14/(365*24))/D7/D17</f>
        <v>2.293674953492305E-3</v>
      </c>
      <c r="E28" s="56" t="s">
        <v>435</v>
      </c>
    </row>
    <row r="29" spans="1:9">
      <c r="B29" s="88" t="s">
        <v>13</v>
      </c>
      <c r="C29" s="79"/>
      <c r="D29" s="176">
        <f>SUM(D25:D28)</f>
        <v>4.2931397312628069E-3</v>
      </c>
    </row>
  </sheetData>
  <mergeCells count="2">
    <mergeCell ref="A3:D3"/>
    <mergeCell ref="A2:D2"/>
  </mergeCells>
  <hyperlinks>
    <hyperlink ref="A2" location="Process!A1" display="Process!A1" xr:uid="{00000000-0004-0000-1500-000000000000}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312"/>
  <dimension ref="A1:K30"/>
  <sheetViews>
    <sheetView workbookViewId="0">
      <selection activeCell="D14" sqref="D14"/>
    </sheetView>
  </sheetViews>
  <sheetFormatPr baseColWidth="10" defaultColWidth="8.83203125" defaultRowHeight="13"/>
  <cols>
    <col min="1" max="1" width="17.5" customWidth="1"/>
    <col min="2" max="2" width="21.6640625" bestFit="1" customWidth="1"/>
    <col min="3" max="3" width="7.33203125" style="1" bestFit="1" customWidth="1"/>
    <col min="4" max="4" width="15.1640625" style="1" customWidth="1"/>
    <col min="5" max="5" width="19.5" bestFit="1" customWidth="1"/>
    <col min="6" max="6" width="5.33203125" bestFit="1" customWidth="1"/>
  </cols>
  <sheetData>
    <row r="1" spans="1:11" s="2" customFormat="1">
      <c r="A1" s="6" t="s">
        <v>7</v>
      </c>
      <c r="B1" s="6" t="s">
        <v>22</v>
      </c>
      <c r="C1" s="6" t="s">
        <v>23</v>
      </c>
      <c r="D1" s="6" t="s">
        <v>24</v>
      </c>
      <c r="E1" s="6" t="s">
        <v>25</v>
      </c>
    </row>
    <row r="2" spans="1:11" s="2" customFormat="1" ht="14">
      <c r="E2" s="34" t="s">
        <v>242</v>
      </c>
    </row>
    <row r="3" spans="1:11" s="2" customFormat="1" ht="19">
      <c r="B3" s="43" t="s">
        <v>315</v>
      </c>
      <c r="C3" s="41"/>
      <c r="D3" s="42"/>
    </row>
    <row r="4" spans="1:11">
      <c r="A4" s="10"/>
      <c r="J4" s="1"/>
      <c r="K4" s="1"/>
    </row>
    <row r="5" spans="1:11">
      <c r="A5" s="10"/>
      <c r="B5" s="27"/>
      <c r="D5" s="2"/>
      <c r="J5" s="1"/>
      <c r="K5" s="1"/>
    </row>
    <row r="6" spans="1:11">
      <c r="A6" s="7" t="s">
        <v>26</v>
      </c>
      <c r="B6" s="16" t="s">
        <v>78</v>
      </c>
      <c r="C6" s="8"/>
      <c r="D6" s="9" t="s">
        <v>206</v>
      </c>
      <c r="J6" s="1"/>
      <c r="K6" s="1"/>
    </row>
    <row r="7" spans="1:11">
      <c r="A7" s="10"/>
      <c r="B7" s="38" t="s">
        <v>32</v>
      </c>
      <c r="C7" s="39"/>
      <c r="D7" s="40"/>
    </row>
    <row r="8" spans="1:11">
      <c r="B8" s="16" t="s">
        <v>187</v>
      </c>
      <c r="C8" s="23" t="s">
        <v>192</v>
      </c>
      <c r="D8" s="45">
        <v>3000</v>
      </c>
    </row>
    <row r="9" spans="1:11">
      <c r="B9" s="32"/>
      <c r="C9" s="33"/>
      <c r="D9" s="33"/>
    </row>
    <row r="11" spans="1:11">
      <c r="A11" s="47"/>
      <c r="B11" s="53" t="s">
        <v>72</v>
      </c>
      <c r="C11" s="39"/>
      <c r="D11" s="40"/>
    </row>
    <row r="12" spans="1:11">
      <c r="B12" s="16" t="s">
        <v>20</v>
      </c>
      <c r="C12" s="23" t="s">
        <v>74</v>
      </c>
      <c r="D12" s="52">
        <v>0.1</v>
      </c>
    </row>
    <row r="13" spans="1:11">
      <c r="A13" s="3"/>
      <c r="B13" s="38" t="s">
        <v>78</v>
      </c>
      <c r="C13" s="39"/>
      <c r="D13" s="40"/>
    </row>
    <row r="14" spans="1:11" ht="12.75" customHeight="1">
      <c r="B14" s="13" t="s">
        <v>79</v>
      </c>
      <c r="C14" s="11" t="s">
        <v>80</v>
      </c>
      <c r="D14" s="17">
        <v>1500000</v>
      </c>
    </row>
    <row r="15" spans="1:11">
      <c r="A15" s="10"/>
      <c r="B15" s="13" t="s">
        <v>81</v>
      </c>
      <c r="C15" s="11" t="s">
        <v>82</v>
      </c>
      <c r="D15" s="17">
        <f>0.01*D14</f>
        <v>15000</v>
      </c>
    </row>
    <row r="16" spans="1:11">
      <c r="A16" s="10"/>
      <c r="B16" s="13" t="s">
        <v>83</v>
      </c>
      <c r="C16" s="11" t="s">
        <v>77</v>
      </c>
      <c r="D16" s="17">
        <f>(D15+(D14)/5)/(365*24)</f>
        <v>35.958904109589042</v>
      </c>
    </row>
    <row r="17" spans="1:11">
      <c r="A17" s="10"/>
      <c r="B17" s="13" t="s">
        <v>84</v>
      </c>
      <c r="C17" s="11" t="s">
        <v>85</v>
      </c>
      <c r="D17" s="11">
        <v>1.5</v>
      </c>
    </row>
    <row r="18" spans="1:11">
      <c r="A18" s="10"/>
      <c r="B18" s="13" t="s">
        <v>86</v>
      </c>
      <c r="C18" s="11" t="s">
        <v>43</v>
      </c>
      <c r="D18" s="18">
        <f>Global!C15</f>
        <v>0.8</v>
      </c>
      <c r="J18" s="1"/>
      <c r="K18" s="1"/>
    </row>
    <row r="19" spans="1:11">
      <c r="A19" s="10"/>
      <c r="B19" s="13" t="s">
        <v>87</v>
      </c>
      <c r="C19" s="11" t="s">
        <v>88</v>
      </c>
      <c r="D19" s="19">
        <v>10</v>
      </c>
      <c r="J19" s="1"/>
      <c r="K19" s="1"/>
    </row>
    <row r="20" spans="1:11">
      <c r="A20" s="10"/>
      <c r="B20" s="38" t="s">
        <v>261</v>
      </c>
      <c r="C20" s="39"/>
      <c r="D20" s="40"/>
      <c r="J20" s="1"/>
      <c r="K20" s="1"/>
    </row>
    <row r="21" spans="1:11">
      <c r="A21" s="10"/>
      <c r="B21" s="25" t="s">
        <v>208</v>
      </c>
      <c r="C21" s="11" t="s">
        <v>80</v>
      </c>
      <c r="D21" s="22">
        <v>0</v>
      </c>
      <c r="E21" s="4" t="s">
        <v>298</v>
      </c>
      <c r="J21" s="1"/>
      <c r="K21" s="1"/>
    </row>
    <row r="22" spans="1:11">
      <c r="A22" s="10"/>
      <c r="B22" s="26" t="s">
        <v>173</v>
      </c>
      <c r="C22" s="11"/>
      <c r="D22" s="22"/>
      <c r="J22" s="1"/>
      <c r="K22" s="1"/>
    </row>
    <row r="23" spans="1:11">
      <c r="A23" s="10"/>
      <c r="B23" s="26" t="s">
        <v>173</v>
      </c>
      <c r="C23" s="11"/>
      <c r="D23" s="22"/>
      <c r="J23" s="1"/>
      <c r="K23" s="1"/>
    </row>
    <row r="24" spans="1:11">
      <c r="A24" s="10"/>
      <c r="B24" s="26" t="s">
        <v>173</v>
      </c>
      <c r="C24" s="11"/>
      <c r="D24" s="22"/>
      <c r="J24" s="1"/>
      <c r="K24" s="1"/>
    </row>
    <row r="26" spans="1:11">
      <c r="A26" s="12" t="s">
        <v>92</v>
      </c>
      <c r="B26" s="13" t="s">
        <v>94</v>
      </c>
      <c r="C26" s="11"/>
      <c r="D26" s="22">
        <f>SUM(D21:D24)</f>
        <v>0</v>
      </c>
      <c r="F26" s="5"/>
    </row>
    <row r="27" spans="1:11">
      <c r="A27" s="27"/>
      <c r="B27" s="13" t="s">
        <v>95</v>
      </c>
      <c r="C27" s="11"/>
      <c r="D27" s="22">
        <f>D12*Global!C7/D8</f>
        <v>1E-3</v>
      </c>
      <c r="F27" s="5"/>
    </row>
    <row r="28" spans="1:11">
      <c r="B28" s="13" t="s">
        <v>96</v>
      </c>
      <c r="C28" s="11"/>
      <c r="D28" s="22">
        <f>((D19*Global!C8)+(Global!C5*D17)/(24*365)+D16)/D18/D8</f>
        <v>1.8423230593607304E-2</v>
      </c>
      <c r="F28" s="5"/>
    </row>
    <row r="29" spans="1:11">
      <c r="B29" s="35" t="s">
        <v>13</v>
      </c>
      <c r="C29" s="11"/>
      <c r="D29" s="36">
        <f>SUM(D26:D28)</f>
        <v>1.9423230593607305E-2</v>
      </c>
      <c r="F29" s="5"/>
    </row>
    <row r="30" spans="1:11">
      <c r="E30" s="15"/>
    </row>
  </sheetData>
  <dataValidations count="3">
    <dataValidation type="list" allowBlank="1" showInputMessage="1" showErrorMessage="1" sqref="D5" xr:uid="{00000000-0002-0000-1600-000000000000}">
      <formula1>"AD819-11TS"</formula1>
    </dataValidation>
    <dataValidation type="list" allowBlank="1" showInputMessage="1" showErrorMessage="1" sqref="D6" xr:uid="{00000000-0002-0000-1600-000001000000}">
      <formula1>"AD819-11TS,"</formula1>
    </dataValidation>
    <dataValidation type="list" allowBlank="1" showInputMessage="1" showErrorMessage="1" sqref="B21:B24" xr:uid="{00000000-0002-0000-1600-000002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E2" location="Process!A1" display="Process!A1" xr:uid="{00000000-0004-0000-1600-000000000000}"/>
  </hyperlinks>
  <pageMargins left="0.75" right="0.75" top="1" bottom="1" header="0.5" footer="0.5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1311"/>
  <dimension ref="A1:K30"/>
  <sheetViews>
    <sheetView workbookViewId="0">
      <selection activeCell="D18" sqref="D18"/>
    </sheetView>
  </sheetViews>
  <sheetFormatPr baseColWidth="10" defaultColWidth="8.83203125" defaultRowHeight="13"/>
  <cols>
    <col min="1" max="1" width="17.5" customWidth="1"/>
    <col min="2" max="2" width="21.6640625" bestFit="1" customWidth="1"/>
    <col min="3" max="3" width="7.33203125" style="1" bestFit="1" customWidth="1"/>
    <col min="4" max="4" width="15.33203125" style="1" customWidth="1"/>
    <col min="5" max="5" width="19.5" bestFit="1" customWidth="1"/>
    <col min="6" max="6" width="5.33203125" bestFit="1" customWidth="1"/>
  </cols>
  <sheetData>
    <row r="1" spans="1:11" s="2" customFormat="1">
      <c r="A1" s="6" t="s">
        <v>7</v>
      </c>
      <c r="B1" s="6" t="s">
        <v>22</v>
      </c>
      <c r="C1" s="6" t="s">
        <v>23</v>
      </c>
      <c r="D1" s="6" t="s">
        <v>24</v>
      </c>
      <c r="E1" s="6" t="s">
        <v>25</v>
      </c>
    </row>
    <row r="2" spans="1:11" s="2" customFormat="1" ht="14">
      <c r="E2" s="34" t="s">
        <v>242</v>
      </c>
    </row>
    <row r="3" spans="1:11" s="2" customFormat="1" ht="19">
      <c r="B3" s="43" t="s">
        <v>284</v>
      </c>
      <c r="C3" s="41"/>
      <c r="D3" s="42"/>
    </row>
    <row r="4" spans="1:11" s="2" customFormat="1" ht="12.75" customHeight="1">
      <c r="A4" s="44"/>
      <c r="B4" s="54"/>
      <c r="C4" s="55"/>
      <c r="D4" s="55"/>
    </row>
    <row r="5" spans="1:11" s="2" customFormat="1" ht="12.75" customHeight="1">
      <c r="A5" s="44"/>
      <c r="B5" s="54"/>
      <c r="C5" s="55"/>
      <c r="D5" s="55"/>
    </row>
    <row r="6" spans="1:11">
      <c r="A6" s="7" t="s">
        <v>26</v>
      </c>
      <c r="B6" s="16" t="s">
        <v>78</v>
      </c>
      <c r="C6" s="8"/>
      <c r="D6" s="9" t="s">
        <v>205</v>
      </c>
      <c r="J6" s="1"/>
      <c r="K6" s="1"/>
    </row>
    <row r="7" spans="1:11">
      <c r="A7" s="10"/>
      <c r="B7" s="38" t="s">
        <v>32</v>
      </c>
      <c r="C7" s="39"/>
      <c r="D7" s="40"/>
      <c r="J7" s="1"/>
      <c r="K7" s="1"/>
    </row>
    <row r="8" spans="1:11">
      <c r="A8" s="10"/>
      <c r="B8" s="16" t="s">
        <v>187</v>
      </c>
      <c r="C8" s="23" t="s">
        <v>192</v>
      </c>
      <c r="D8" s="45">
        <v>17000</v>
      </c>
    </row>
    <row r="11" spans="1:11">
      <c r="A11" s="47"/>
      <c r="B11" s="53" t="s">
        <v>72</v>
      </c>
      <c r="C11" s="39"/>
      <c r="D11" s="40"/>
    </row>
    <row r="12" spans="1:11">
      <c r="B12" s="16" t="s">
        <v>20</v>
      </c>
      <c r="C12" s="23" t="s">
        <v>74</v>
      </c>
      <c r="D12" s="52">
        <v>0.1</v>
      </c>
    </row>
    <row r="13" spans="1:11">
      <c r="A13" s="3"/>
      <c r="B13" s="38" t="s">
        <v>78</v>
      </c>
      <c r="C13" s="39"/>
      <c r="D13" s="40"/>
    </row>
    <row r="14" spans="1:11" ht="12.75" customHeight="1">
      <c r="B14" s="13" t="s">
        <v>79</v>
      </c>
      <c r="C14" s="11" t="s">
        <v>80</v>
      </c>
      <c r="D14" s="17">
        <v>1000000</v>
      </c>
    </row>
    <row r="15" spans="1:11">
      <c r="A15" s="10"/>
      <c r="B15" s="13" t="s">
        <v>81</v>
      </c>
      <c r="C15" s="11" t="s">
        <v>82</v>
      </c>
      <c r="D15" s="17">
        <f>0.01*D14</f>
        <v>10000</v>
      </c>
    </row>
    <row r="16" spans="1:11">
      <c r="A16" s="10"/>
      <c r="B16" s="13" t="s">
        <v>83</v>
      </c>
      <c r="C16" s="11" t="s">
        <v>77</v>
      </c>
      <c r="D16" s="17">
        <f>(D15+(D14)/5)/(365*24)</f>
        <v>23.972602739726028</v>
      </c>
    </row>
    <row r="17" spans="1:11">
      <c r="A17" s="10"/>
      <c r="B17" s="13" t="s">
        <v>84</v>
      </c>
      <c r="C17" s="11" t="s">
        <v>85</v>
      </c>
      <c r="D17" s="11">
        <v>1.7000000476837158</v>
      </c>
    </row>
    <row r="18" spans="1:11">
      <c r="A18" s="10"/>
      <c r="B18" s="13" t="s">
        <v>86</v>
      </c>
      <c r="C18" s="11" t="s">
        <v>43</v>
      </c>
      <c r="D18" s="18">
        <f>Global!C15</f>
        <v>0.8</v>
      </c>
      <c r="J18" s="1"/>
      <c r="K18" s="1"/>
    </row>
    <row r="19" spans="1:11">
      <c r="A19" s="10"/>
      <c r="B19" s="13" t="s">
        <v>87</v>
      </c>
      <c r="C19" s="11" t="s">
        <v>88</v>
      </c>
      <c r="D19" s="19">
        <v>10</v>
      </c>
      <c r="J19" s="1"/>
      <c r="K19" s="1"/>
    </row>
    <row r="20" spans="1:11">
      <c r="A20" s="10"/>
      <c r="B20" s="38" t="s">
        <v>261</v>
      </c>
      <c r="C20" s="39"/>
      <c r="D20" s="40"/>
      <c r="J20" s="1"/>
      <c r="K20" s="1"/>
    </row>
    <row r="21" spans="1:11">
      <c r="A21" s="10"/>
      <c r="B21" s="25" t="s">
        <v>203</v>
      </c>
      <c r="C21" s="11" t="s">
        <v>80</v>
      </c>
      <c r="D21" s="21">
        <v>5.0000000000000001E-3</v>
      </c>
      <c r="J21" s="1"/>
      <c r="K21" s="1"/>
    </row>
    <row r="22" spans="1:11">
      <c r="A22" s="10"/>
      <c r="B22" s="26" t="s">
        <v>173</v>
      </c>
      <c r="C22" s="11"/>
      <c r="D22" s="20"/>
    </row>
    <row r="23" spans="1:11">
      <c r="A23" s="10"/>
      <c r="B23" s="26" t="s">
        <v>173</v>
      </c>
      <c r="C23" s="11"/>
      <c r="D23" s="20"/>
    </row>
    <row r="24" spans="1:11">
      <c r="A24" s="10"/>
      <c r="B24" s="26" t="s">
        <v>173</v>
      </c>
      <c r="C24" s="11"/>
      <c r="D24" s="20"/>
    </row>
    <row r="26" spans="1:11">
      <c r="A26" s="12" t="s">
        <v>92</v>
      </c>
      <c r="B26" s="13" t="s">
        <v>94</v>
      </c>
      <c r="C26" s="11"/>
      <c r="D26" s="21">
        <f>SUM(D21:D24)</f>
        <v>5.0000000000000001E-3</v>
      </c>
      <c r="F26" s="5"/>
    </row>
    <row r="27" spans="1:11">
      <c r="A27" s="27"/>
      <c r="B27" s="13" t="s">
        <v>95</v>
      </c>
      <c r="C27" s="11"/>
      <c r="D27" s="22">
        <f>D12*Global!C7/D8</f>
        <v>1.7647058823529413E-4</v>
      </c>
      <c r="F27" s="5"/>
    </row>
    <row r="28" spans="1:11">
      <c r="B28" s="13" t="s">
        <v>96</v>
      </c>
      <c r="C28" s="11"/>
      <c r="D28" s="22">
        <f>((D19*Global!C8)+(Global!C5*D17)/(24*365)+D16)/D18/D8</f>
        <v>2.3723307822280885E-3</v>
      </c>
      <c r="F28" s="5"/>
    </row>
    <row r="29" spans="1:11">
      <c r="B29" s="35" t="s">
        <v>13</v>
      </c>
      <c r="C29" s="11"/>
      <c r="D29" s="29">
        <f>SUM(D26:D28)</f>
        <v>7.548801370463383E-3</v>
      </c>
      <c r="F29" s="5"/>
    </row>
    <row r="30" spans="1:11">
      <c r="E30" s="15"/>
    </row>
  </sheetData>
  <dataValidations count="2">
    <dataValidation type="list" allowBlank="1" showInputMessage="1" showErrorMessage="1" sqref="D6" xr:uid="{00000000-0002-0000-1800-000000000000}">
      <formula1>"AD819-11B,AD838,"</formula1>
    </dataValidation>
    <dataValidation type="list" allowBlank="1" showInputMessage="1" showErrorMessage="1" sqref="B21:B24" xr:uid="{00000000-0002-0000-1800-000001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E2" location="Process!A1" display="Process!A1" xr:uid="{00000000-0004-0000-1800-000000000000}"/>
  </hyperlinks>
  <pageMargins left="0.75" right="0.75" top="1" bottom="1" header="0.5" footer="0.5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3111"/>
  <dimension ref="A1:J30"/>
  <sheetViews>
    <sheetView workbookViewId="0">
      <selection activeCell="A2" sqref="A2:D2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6.5" style="59" customWidth="1"/>
    <col min="5" max="5" width="20.6640625" style="56" customWidth="1"/>
    <col min="6" max="6" width="8.6640625" style="56"/>
    <col min="7" max="7" width="8.6640625" style="56" customWidth="1"/>
    <col min="8" max="16384" width="8.6640625" style="56"/>
  </cols>
  <sheetData>
    <row r="1" spans="1:10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10" s="58" customFormat="1">
      <c r="A2" s="283" t="s">
        <v>242</v>
      </c>
      <c r="B2" s="283"/>
      <c r="C2" s="283"/>
      <c r="D2" s="283"/>
    </row>
    <row r="3" spans="1:10" s="58" customFormat="1">
      <c r="A3" s="292" t="s">
        <v>316</v>
      </c>
      <c r="B3" s="292"/>
      <c r="C3" s="292"/>
      <c r="D3" s="292"/>
    </row>
    <row r="4" spans="1:10">
      <c r="A4" s="60"/>
      <c r="I4" s="59"/>
      <c r="J4" s="59"/>
    </row>
    <row r="5" spans="1:10">
      <c r="A5" s="57" t="s">
        <v>26</v>
      </c>
      <c r="B5" s="68" t="s">
        <v>78</v>
      </c>
      <c r="C5" s="69"/>
      <c r="D5" s="169" t="s">
        <v>375</v>
      </c>
      <c r="I5" s="59"/>
      <c r="J5" s="59"/>
    </row>
    <row r="6" spans="1:10">
      <c r="A6" s="60"/>
      <c r="B6" s="65" t="s">
        <v>32</v>
      </c>
      <c r="C6" s="66"/>
      <c r="D6" s="67"/>
    </row>
    <row r="7" spans="1:10">
      <c r="A7" s="60"/>
      <c r="B7" s="68" t="s">
        <v>187</v>
      </c>
      <c r="C7" s="69" t="s">
        <v>192</v>
      </c>
      <c r="D7" s="166">
        <f>17000/Global!C18</f>
        <v>17000</v>
      </c>
      <c r="E7" s="56" t="s">
        <v>348</v>
      </c>
      <c r="F7" s="56" t="s">
        <v>373</v>
      </c>
    </row>
    <row r="8" spans="1:10">
      <c r="B8" s="68" t="s">
        <v>210</v>
      </c>
      <c r="C8" s="69" t="s">
        <v>30</v>
      </c>
      <c r="D8" s="166">
        <v>5</v>
      </c>
      <c r="E8" s="56" t="s">
        <v>372</v>
      </c>
    </row>
    <row r="10" spans="1:10">
      <c r="A10" s="75"/>
      <c r="B10" s="76" t="s">
        <v>72</v>
      </c>
      <c r="C10" s="66"/>
      <c r="D10" s="67"/>
    </row>
    <row r="11" spans="1:10">
      <c r="B11" s="68" t="s">
        <v>20</v>
      </c>
      <c r="C11" s="69" t="s">
        <v>74</v>
      </c>
      <c r="D11" s="168">
        <v>0.1</v>
      </c>
    </row>
    <row r="12" spans="1:10">
      <c r="A12" s="77"/>
      <c r="B12" s="65" t="s">
        <v>78</v>
      </c>
      <c r="C12" s="66"/>
      <c r="D12" s="67"/>
    </row>
    <row r="13" spans="1:10" ht="12.75" customHeight="1">
      <c r="B13" s="78" t="s">
        <v>79</v>
      </c>
      <c r="C13" s="79" t="s">
        <v>80</v>
      </c>
      <c r="D13" s="80">
        <f>1000000*1.12*Global!C16</f>
        <v>1120000</v>
      </c>
    </row>
    <row r="14" spans="1:10">
      <c r="B14" s="78" t="s">
        <v>436</v>
      </c>
      <c r="C14" s="79" t="s">
        <v>437</v>
      </c>
      <c r="D14" s="79">
        <v>5</v>
      </c>
    </row>
    <row r="15" spans="1:10">
      <c r="A15" s="60"/>
      <c r="B15" s="78" t="s">
        <v>81</v>
      </c>
      <c r="C15" s="79" t="s">
        <v>82</v>
      </c>
      <c r="D15" s="80">
        <f>0.01*D13</f>
        <v>11200</v>
      </c>
    </row>
    <row r="16" spans="1:10">
      <c r="A16" s="60"/>
      <c r="B16" s="78" t="s">
        <v>83</v>
      </c>
      <c r="C16" s="79" t="s">
        <v>77</v>
      </c>
      <c r="D16" s="80">
        <v>1</v>
      </c>
    </row>
    <row r="17" spans="1:10">
      <c r="A17" s="60"/>
      <c r="B17" s="78" t="s">
        <v>84</v>
      </c>
      <c r="C17" s="79" t="s">
        <v>85</v>
      </c>
      <c r="D17" s="79">
        <v>1</v>
      </c>
    </row>
    <row r="18" spans="1:10">
      <c r="A18" s="60"/>
      <c r="B18" s="78" t="s">
        <v>86</v>
      </c>
      <c r="C18" s="79" t="s">
        <v>43</v>
      </c>
      <c r="D18" s="81">
        <f>Global!C15</f>
        <v>0.8</v>
      </c>
      <c r="I18" s="59"/>
      <c r="J18" s="59"/>
    </row>
    <row r="19" spans="1:10">
      <c r="A19" s="60"/>
      <c r="B19" s="78" t="s">
        <v>87</v>
      </c>
      <c r="C19" s="79" t="s">
        <v>88</v>
      </c>
      <c r="D19" s="82">
        <v>2</v>
      </c>
      <c r="I19" s="59"/>
      <c r="J19" s="59"/>
    </row>
    <row r="20" spans="1:10">
      <c r="A20" s="60"/>
      <c r="B20" s="65" t="s">
        <v>261</v>
      </c>
      <c r="C20" s="66"/>
      <c r="D20" s="67"/>
      <c r="I20" s="59"/>
      <c r="J20" s="59"/>
    </row>
    <row r="21" spans="1:10">
      <c r="A21" s="60"/>
      <c r="B21" s="78" t="s">
        <v>270</v>
      </c>
      <c r="C21" s="79" t="s">
        <v>209</v>
      </c>
      <c r="D21" s="83">
        <v>7.7046935883187413E-3</v>
      </c>
      <c r="E21" s="56" t="s">
        <v>348</v>
      </c>
      <c r="F21" s="56" t="s">
        <v>369</v>
      </c>
      <c r="G21" s="56">
        <f>(20/1000)^2*PI()*D8</f>
        <v>6.2831853071795857E-3</v>
      </c>
      <c r="H21" s="56" t="s">
        <v>370</v>
      </c>
      <c r="I21" s="59"/>
      <c r="J21" s="59"/>
    </row>
    <row r="22" spans="1:10">
      <c r="A22" s="60"/>
      <c r="B22" s="85" t="s">
        <v>173</v>
      </c>
      <c r="C22" s="79"/>
      <c r="D22" s="83"/>
      <c r="F22" s="56" t="s">
        <v>364</v>
      </c>
      <c r="G22" s="56">
        <v>19320</v>
      </c>
      <c r="H22" s="56" t="s">
        <v>365</v>
      </c>
    </row>
    <row r="23" spans="1:10">
      <c r="A23" s="60"/>
      <c r="B23" s="85" t="s">
        <v>173</v>
      </c>
      <c r="C23" s="79"/>
      <c r="D23" s="83"/>
      <c r="F23" s="56" t="s">
        <v>364</v>
      </c>
      <c r="G23" s="56">
        <f>G22/(1000^3)</f>
        <v>1.9320000000000001E-5</v>
      </c>
      <c r="H23" s="56" t="s">
        <v>366</v>
      </c>
    </row>
    <row r="24" spans="1:10">
      <c r="A24" s="60"/>
      <c r="B24" s="85" t="s">
        <v>173</v>
      </c>
      <c r="C24" s="79"/>
      <c r="D24" s="83"/>
      <c r="F24" s="56" t="s">
        <v>371</v>
      </c>
      <c r="G24" s="56">
        <f>Global!C10*1000</f>
        <v>63469.982898000002</v>
      </c>
      <c r="H24" s="56" t="s">
        <v>367</v>
      </c>
    </row>
    <row r="25" spans="1:10">
      <c r="F25" s="56" t="s">
        <v>368</v>
      </c>
      <c r="G25" s="56">
        <f>(G21*G23)*G24</f>
        <v>7.7046935883187413E-3</v>
      </c>
    </row>
    <row r="26" spans="1:10">
      <c r="A26" s="84" t="s">
        <v>92</v>
      </c>
      <c r="B26" s="78" t="s">
        <v>94</v>
      </c>
      <c r="C26" s="79" t="s">
        <v>454</v>
      </c>
      <c r="D26" s="164">
        <f>(D8*D21)+D22+D23+D24</f>
        <v>3.8523467941593705E-2</v>
      </c>
    </row>
    <row r="27" spans="1:10">
      <c r="A27" s="61"/>
      <c r="B27" s="78" t="s">
        <v>95</v>
      </c>
      <c r="C27" s="79" t="s">
        <v>454</v>
      </c>
      <c r="D27" s="101">
        <f>D11*Global!C7/D7</f>
        <v>1.7647058823529413E-4</v>
      </c>
    </row>
    <row r="28" spans="1:10">
      <c r="B28" s="78" t="s">
        <v>96</v>
      </c>
      <c r="C28" s="79" t="s">
        <v>454</v>
      </c>
      <c r="D28" s="101">
        <f>((D19*Global!C8)+(Global!C5*D17)/(24*365)+D16)/D18/D7</f>
        <v>2.0376712328767124E-4</v>
      </c>
      <c r="E28" s="56" t="s">
        <v>439</v>
      </c>
    </row>
    <row r="29" spans="1:10">
      <c r="B29" s="78" t="s">
        <v>433</v>
      </c>
      <c r="C29" s="79" t="s">
        <v>454</v>
      </c>
      <c r="D29" s="101">
        <f>(0.8*D13/(D14*12*30*24)+D15/(365*24))/D7/D18</f>
        <v>1.6190646730533918E-3</v>
      </c>
      <c r="E29" s="56" t="s">
        <v>435</v>
      </c>
    </row>
    <row r="30" spans="1:10">
      <c r="B30" s="88" t="s">
        <v>13</v>
      </c>
      <c r="C30" s="79"/>
      <c r="D30" s="176">
        <f>SUM(D26:D29)</f>
        <v>4.0522770326170063E-2</v>
      </c>
    </row>
  </sheetData>
  <mergeCells count="2">
    <mergeCell ref="A3:D3"/>
    <mergeCell ref="A2:D2"/>
  </mergeCells>
  <hyperlinks>
    <hyperlink ref="A2" location="Process!A1" display="Process!A1" xr:uid="{00000000-0004-0000-1900-000000000000}"/>
  </hyperlinks>
  <pageMargins left="0.75" right="0.75" top="1" bottom="1" header="0.5" footer="0.5"/>
  <pageSetup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7"/>
  <dimension ref="A1:J42"/>
  <sheetViews>
    <sheetView workbookViewId="0">
      <selection activeCell="A2" sqref="A2:D2"/>
    </sheetView>
  </sheetViews>
  <sheetFormatPr baseColWidth="10" defaultColWidth="8.6640625" defaultRowHeight="15"/>
  <cols>
    <col min="1" max="1" width="17.5" style="56" customWidth="1"/>
    <col min="2" max="2" width="23.1640625" style="56" customWidth="1"/>
    <col min="3" max="3" width="7.33203125" style="59" bestFit="1" customWidth="1"/>
    <col min="4" max="4" width="23.6640625" style="59" bestFit="1" customWidth="1"/>
    <col min="5" max="5" width="20.6640625" style="56" customWidth="1"/>
    <col min="6" max="16384" width="8.6640625" style="56"/>
  </cols>
  <sheetData>
    <row r="1" spans="1:8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8" s="58" customFormat="1">
      <c r="A2" s="283" t="s">
        <v>242</v>
      </c>
      <c r="B2" s="283"/>
      <c r="C2" s="283"/>
      <c r="D2" s="283"/>
      <c r="H2" s="104"/>
    </row>
    <row r="3" spans="1:8">
      <c r="A3" s="293" t="s">
        <v>282</v>
      </c>
      <c r="B3" s="293"/>
      <c r="C3" s="293"/>
      <c r="D3" s="293"/>
    </row>
    <row r="4" spans="1:8" ht="14.25" customHeight="1">
      <c r="A4" s="70"/>
      <c r="B4" s="61"/>
      <c r="D4" s="58"/>
    </row>
    <row r="5" spans="1:8" ht="14.25" customHeight="1">
      <c r="A5" s="57" t="s">
        <v>26</v>
      </c>
      <c r="B5" s="68" t="s">
        <v>78</v>
      </c>
      <c r="C5" s="69"/>
      <c r="D5" s="166" t="s">
        <v>376</v>
      </c>
      <c r="E5" s="74"/>
    </row>
    <row r="6" spans="1:8">
      <c r="A6" s="70"/>
      <c r="B6" s="65" t="s">
        <v>32</v>
      </c>
      <c r="C6" s="66"/>
      <c r="D6" s="67"/>
    </row>
    <row r="7" spans="1:8">
      <c r="B7" s="68" t="s">
        <v>187</v>
      </c>
      <c r="C7" s="69" t="s">
        <v>192</v>
      </c>
      <c r="D7" s="167">
        <f>15000/Global!C18</f>
        <v>15000</v>
      </c>
      <c r="F7" s="104"/>
    </row>
    <row r="8" spans="1:8">
      <c r="B8" s="68" t="s">
        <v>152</v>
      </c>
      <c r="C8" s="69"/>
      <c r="D8" s="166" t="s">
        <v>153</v>
      </c>
      <c r="E8" s="56" t="s">
        <v>363</v>
      </c>
    </row>
    <row r="9" spans="1:8">
      <c r="B9" s="68" t="s">
        <v>35</v>
      </c>
      <c r="C9" s="69" t="s">
        <v>36</v>
      </c>
      <c r="D9" s="166">
        <v>500</v>
      </c>
      <c r="E9" s="56" t="s">
        <v>359</v>
      </c>
    </row>
    <row r="10" spans="1:8">
      <c r="B10" s="68" t="s">
        <v>201</v>
      </c>
      <c r="C10" s="69" t="s">
        <v>30</v>
      </c>
      <c r="D10" s="166">
        <v>3</v>
      </c>
      <c r="E10" s="56" t="s">
        <v>330</v>
      </c>
    </row>
    <row r="11" spans="1:8">
      <c r="B11" s="68" t="s">
        <v>162</v>
      </c>
      <c r="C11" s="69" t="s">
        <v>43</v>
      </c>
      <c r="D11" s="174">
        <v>0.1</v>
      </c>
      <c r="E11" s="56" t="s">
        <v>195</v>
      </c>
    </row>
    <row r="12" spans="1:8">
      <c r="E12" s="56" t="s">
        <v>329</v>
      </c>
    </row>
    <row r="13" spans="1:8">
      <c r="A13" s="84" t="s">
        <v>45</v>
      </c>
      <c r="B13" s="85" t="s">
        <v>253</v>
      </c>
      <c r="C13" s="69" t="s">
        <v>156</v>
      </c>
      <c r="D13" s="170">
        <f>PI()*(D10*0.1/2)^2*D9*0.0001*(1+D11)</f>
        <v>3.8877209088173702E-3</v>
      </c>
      <c r="E13" s="56" t="s">
        <v>348</v>
      </c>
      <c r="F13" s="56" t="s">
        <v>331</v>
      </c>
    </row>
    <row r="14" spans="1:8">
      <c r="B14" s="85" t="s">
        <v>216</v>
      </c>
      <c r="C14" s="69" t="s">
        <v>157</v>
      </c>
      <c r="D14" s="99">
        <v>1.1499999999999999</v>
      </c>
      <c r="F14" s="56" t="s">
        <v>360</v>
      </c>
    </row>
    <row r="15" spans="1:8">
      <c r="B15" s="85" t="s">
        <v>218</v>
      </c>
      <c r="C15" s="69" t="s">
        <v>160</v>
      </c>
      <c r="D15" s="171">
        <f>(D14*D13)*(1-D16)</f>
        <v>4.0237911406259784E-3</v>
      </c>
      <c r="F15" s="56" t="s">
        <v>361</v>
      </c>
      <c r="G15" s="56">
        <f>4.5*2.6*0.4</f>
        <v>4.6800000000000006</v>
      </c>
    </row>
    <row r="16" spans="1:8">
      <c r="B16" s="85" t="s">
        <v>254</v>
      </c>
      <c r="C16" s="69" t="s">
        <v>43</v>
      </c>
      <c r="D16" s="175">
        <v>0.1</v>
      </c>
      <c r="E16" s="56" t="s">
        <v>328</v>
      </c>
      <c r="F16" s="56" t="s">
        <v>362</v>
      </c>
      <c r="G16" s="56">
        <f>G15/(10*10*10)</f>
        <v>4.680000000000001E-3</v>
      </c>
    </row>
    <row r="17" spans="1:10">
      <c r="A17" s="172"/>
      <c r="B17" s="85" t="s">
        <v>217</v>
      </c>
      <c r="C17" s="69" t="s">
        <v>156</v>
      </c>
      <c r="D17" s="170">
        <f>D13*D16</f>
        <v>3.8877209088173704E-4</v>
      </c>
      <c r="E17" s="56" t="s">
        <v>194</v>
      </c>
    </row>
    <row r="18" spans="1:10">
      <c r="A18" s="172"/>
      <c r="B18" s="85" t="s">
        <v>113</v>
      </c>
      <c r="C18" s="69" t="s">
        <v>157</v>
      </c>
      <c r="D18" s="79">
        <v>4.8</v>
      </c>
      <c r="E18" s="56" t="s">
        <v>158</v>
      </c>
    </row>
    <row r="19" spans="1:10">
      <c r="B19" s="85" t="s">
        <v>159</v>
      </c>
      <c r="C19" s="69" t="s">
        <v>160</v>
      </c>
      <c r="D19" s="171">
        <f>D18*D17</f>
        <v>1.8661060362323376E-3</v>
      </c>
      <c r="F19" s="173"/>
    </row>
    <row r="20" spans="1:10">
      <c r="B20" s="85" t="s">
        <v>161</v>
      </c>
      <c r="C20" s="69" t="s">
        <v>43</v>
      </c>
      <c r="D20" s="81">
        <f>IF(D8="Cool",1,IF(D8="Neutral",0.7,0.5))</f>
        <v>0.5</v>
      </c>
      <c r="E20" s="56" t="s">
        <v>320</v>
      </c>
    </row>
    <row r="22" spans="1:10">
      <c r="A22" s="75"/>
      <c r="B22" s="76" t="s">
        <v>72</v>
      </c>
      <c r="C22" s="66"/>
      <c r="D22" s="67"/>
    </row>
    <row r="23" spans="1:10">
      <c r="B23" s="68" t="s">
        <v>20</v>
      </c>
      <c r="C23" s="69" t="s">
        <v>74</v>
      </c>
      <c r="D23" s="168">
        <f>0.2*Global!C17</f>
        <v>0.2</v>
      </c>
    </row>
    <row r="24" spans="1:10">
      <c r="A24" s="77"/>
      <c r="B24" s="65" t="s">
        <v>78</v>
      </c>
      <c r="C24" s="66"/>
      <c r="D24" s="67"/>
    </row>
    <row r="25" spans="1:10">
      <c r="B25" s="78" t="s">
        <v>79</v>
      </c>
      <c r="C25" s="79" t="s">
        <v>80</v>
      </c>
      <c r="D25" s="80">
        <f>750000*1.12*Global!C16</f>
        <v>840000.00000000012</v>
      </c>
    </row>
    <row r="26" spans="1:10">
      <c r="B26" s="78" t="s">
        <v>436</v>
      </c>
      <c r="C26" s="79" t="s">
        <v>437</v>
      </c>
      <c r="D26" s="79">
        <v>5</v>
      </c>
    </row>
    <row r="27" spans="1:10">
      <c r="A27" s="60"/>
      <c r="B27" s="78" t="s">
        <v>81</v>
      </c>
      <c r="C27" s="79" t="s">
        <v>82</v>
      </c>
      <c r="D27" s="80">
        <f>0.01*D25</f>
        <v>8400.0000000000018</v>
      </c>
    </row>
    <row r="28" spans="1:10">
      <c r="A28" s="60"/>
      <c r="B28" s="78" t="s">
        <v>83</v>
      </c>
      <c r="C28" s="79" t="s">
        <v>77</v>
      </c>
      <c r="D28" s="80">
        <v>1</v>
      </c>
    </row>
    <row r="29" spans="1:10">
      <c r="A29" s="60"/>
      <c r="B29" s="78" t="s">
        <v>84</v>
      </c>
      <c r="C29" s="79" t="s">
        <v>85</v>
      </c>
      <c r="D29" s="79">
        <v>2</v>
      </c>
    </row>
    <row r="30" spans="1:10">
      <c r="A30" s="60"/>
      <c r="B30" s="78" t="s">
        <v>86</v>
      </c>
      <c r="C30" s="79" t="s">
        <v>43</v>
      </c>
      <c r="D30" s="81">
        <f>Global!C15</f>
        <v>0.8</v>
      </c>
      <c r="I30" s="59"/>
      <c r="J30" s="59"/>
    </row>
    <row r="31" spans="1:10">
      <c r="A31" s="60"/>
      <c r="B31" s="78" t="s">
        <v>87</v>
      </c>
      <c r="C31" s="79" t="s">
        <v>88</v>
      </c>
      <c r="D31" s="82">
        <v>2</v>
      </c>
      <c r="I31" s="59"/>
      <c r="J31" s="59"/>
    </row>
    <row r="32" spans="1:10">
      <c r="A32" s="60"/>
      <c r="B32" s="65" t="s">
        <v>261</v>
      </c>
      <c r="C32" s="66"/>
      <c r="D32" s="67"/>
      <c r="I32" s="59"/>
      <c r="J32" s="59"/>
    </row>
    <row r="33" spans="1:5">
      <c r="A33" s="60"/>
      <c r="B33" s="78" t="s">
        <v>161</v>
      </c>
      <c r="C33" s="79" t="s">
        <v>163</v>
      </c>
      <c r="D33" s="83">
        <v>1.3440000000000001</v>
      </c>
    </row>
    <row r="34" spans="1:5">
      <c r="A34" s="60"/>
      <c r="B34" s="78" t="s">
        <v>164</v>
      </c>
      <c r="C34" s="79" t="s">
        <v>163</v>
      </c>
      <c r="D34" s="83">
        <v>3.3600000000000003</v>
      </c>
    </row>
    <row r="35" spans="1:5">
      <c r="A35" s="60"/>
      <c r="B35" s="78" t="s">
        <v>165</v>
      </c>
      <c r="C35" s="79" t="s">
        <v>163</v>
      </c>
      <c r="D35" s="83">
        <v>0.75040000000000007</v>
      </c>
    </row>
    <row r="36" spans="1:5">
      <c r="A36" s="60"/>
      <c r="B36" s="85" t="s">
        <v>173</v>
      </c>
      <c r="C36" s="79"/>
      <c r="D36" s="83"/>
    </row>
    <row r="38" spans="1:5">
      <c r="A38" s="84" t="s">
        <v>92</v>
      </c>
      <c r="B38" s="78" t="s">
        <v>94</v>
      </c>
      <c r="C38" s="79" t="s">
        <v>454</v>
      </c>
      <c r="D38" s="164">
        <f>(D19*D20*D33)+(D19*(1-D20)*D34)+(D15*D35)+D36</f>
        <v>7.4085342691441935E-3</v>
      </c>
    </row>
    <row r="39" spans="1:5">
      <c r="A39" s="61"/>
      <c r="B39" s="78" t="s">
        <v>95</v>
      </c>
      <c r="C39" s="79" t="s">
        <v>454</v>
      </c>
      <c r="D39" s="164">
        <f>D23*Global!C7/D7</f>
        <v>4.0000000000000002E-4</v>
      </c>
    </row>
    <row r="40" spans="1:5">
      <c r="B40" s="78" t="s">
        <v>96</v>
      </c>
      <c r="C40" s="79" t="s">
        <v>454</v>
      </c>
      <c r="D40" s="164">
        <f>((D31*Global!C8)+(Global!C5*D29)/(24*365)+D28)/D7/D30</f>
        <v>2.4520547945205479E-4</v>
      </c>
      <c r="E40" s="56" t="s">
        <v>439</v>
      </c>
    </row>
    <row r="41" spans="1:5">
      <c r="B41" s="78" t="s">
        <v>433</v>
      </c>
      <c r="C41" s="79" t="s">
        <v>454</v>
      </c>
      <c r="D41" s="101">
        <f>(0.8*D25/(D26*12*30*24)+D27/(365*24))/D7/D30</f>
        <v>1.3762049720953832E-3</v>
      </c>
      <c r="E41" s="56" t="s">
        <v>435</v>
      </c>
    </row>
    <row r="42" spans="1:5">
      <c r="B42" s="88" t="s">
        <v>13</v>
      </c>
      <c r="C42" s="79"/>
      <c r="D42" s="165">
        <f>SUM(D38:D41)</f>
        <v>9.4299447206916305E-3</v>
      </c>
    </row>
  </sheetData>
  <mergeCells count="2">
    <mergeCell ref="A3:D3"/>
    <mergeCell ref="A2:D2"/>
  </mergeCells>
  <dataValidations xWindow="505" yWindow="218" count="1">
    <dataValidation type="list" allowBlank="1" showInputMessage="1" showErrorMessage="1" sqref="B33:B36" xr:uid="{00000000-0002-0000-1A00-000003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A2" location="Process!A1" display="Process!A1" xr:uid="{00000000-0004-0000-1A00-000000000000}"/>
  </hyperlinks>
  <pageMargins left="0.75" right="0.75" top="1" bottom="1" header="0.5" footer="0.5"/>
  <pageSetup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B120D-F589-4672-BC38-D25148C2DB3D}">
  <sheetPr codeName="Sheet15"/>
  <dimension ref="A1:F29"/>
  <sheetViews>
    <sheetView workbookViewId="0">
      <selection activeCell="D8" sqref="D8"/>
    </sheetView>
  </sheetViews>
  <sheetFormatPr baseColWidth="10" defaultColWidth="8.6640625" defaultRowHeight="15"/>
  <cols>
    <col min="1" max="1" width="17.5" style="56" customWidth="1"/>
    <col min="2" max="2" width="23.1640625" style="56" customWidth="1"/>
    <col min="3" max="3" width="7.33203125" style="59" bestFit="1" customWidth="1"/>
    <col min="4" max="4" width="23.6640625" style="59" bestFit="1" customWidth="1"/>
    <col min="5" max="5" width="20.6640625" style="56" customWidth="1"/>
    <col min="6" max="16384" width="8.6640625" style="56"/>
  </cols>
  <sheetData>
    <row r="1" spans="1:6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6">
      <c r="A2" s="294" t="s">
        <v>242</v>
      </c>
      <c r="B2" s="294"/>
      <c r="C2" s="294"/>
      <c r="D2" s="294"/>
    </row>
    <row r="3" spans="1:6">
      <c r="A3" s="293" t="s">
        <v>354</v>
      </c>
      <c r="B3" s="293"/>
      <c r="C3" s="293"/>
      <c r="D3" s="293"/>
    </row>
    <row r="5" spans="1:6">
      <c r="A5" s="57" t="s">
        <v>26</v>
      </c>
      <c r="B5" s="68" t="s">
        <v>78</v>
      </c>
      <c r="C5" s="69"/>
      <c r="D5" s="169" t="s">
        <v>357</v>
      </c>
      <c r="E5" s="104" t="s">
        <v>358</v>
      </c>
    </row>
    <row r="6" spans="1:6">
      <c r="A6" s="70"/>
      <c r="B6" s="65" t="s">
        <v>32</v>
      </c>
      <c r="C6" s="66"/>
      <c r="D6" s="67"/>
    </row>
    <row r="7" spans="1:6">
      <c r="B7" s="68" t="s">
        <v>187</v>
      </c>
      <c r="C7" s="69" t="s">
        <v>192</v>
      </c>
      <c r="D7" s="167">
        <f>30000/Global!C18</f>
        <v>30000</v>
      </c>
      <c r="E7" s="104" t="s">
        <v>348</v>
      </c>
      <c r="F7" s="56" t="s">
        <v>349</v>
      </c>
    </row>
    <row r="8" spans="1:6">
      <c r="E8" s="56" t="s">
        <v>329</v>
      </c>
      <c r="F8" s="56" t="s">
        <v>350</v>
      </c>
    </row>
    <row r="9" spans="1:6">
      <c r="A9" s="75"/>
      <c r="B9" s="76" t="s">
        <v>72</v>
      </c>
      <c r="C9" s="66"/>
      <c r="D9" s="67"/>
      <c r="F9" s="56" t="s">
        <v>353</v>
      </c>
    </row>
    <row r="10" spans="1:6">
      <c r="B10" s="68" t="s">
        <v>20</v>
      </c>
      <c r="C10" s="69" t="s">
        <v>74</v>
      </c>
      <c r="D10" s="168">
        <f>0.2*Global!C17</f>
        <v>0.2</v>
      </c>
      <c r="F10" s="56" t="s">
        <v>351</v>
      </c>
    </row>
    <row r="11" spans="1:6">
      <c r="A11" s="77"/>
      <c r="B11" s="65" t="s">
        <v>78</v>
      </c>
      <c r="C11" s="66"/>
      <c r="D11" s="67"/>
      <c r="F11" s="56" t="s">
        <v>352</v>
      </c>
    </row>
    <row r="12" spans="1:6">
      <c r="B12" s="78" t="s">
        <v>79</v>
      </c>
      <c r="C12" s="79" t="s">
        <v>80</v>
      </c>
      <c r="D12" s="80">
        <f>200000*1.12*Global!C16</f>
        <v>224000.00000000003</v>
      </c>
    </row>
    <row r="13" spans="1:6">
      <c r="B13" s="78" t="s">
        <v>436</v>
      </c>
      <c r="C13" s="79" t="s">
        <v>437</v>
      </c>
      <c r="D13" s="79">
        <v>5</v>
      </c>
    </row>
    <row r="14" spans="1:6">
      <c r="A14" s="60"/>
      <c r="B14" s="78" t="s">
        <v>81</v>
      </c>
      <c r="C14" s="79" t="s">
        <v>82</v>
      </c>
      <c r="D14" s="80">
        <f>0.01*D12</f>
        <v>2240.0000000000005</v>
      </c>
    </row>
    <row r="15" spans="1:6" ht="17">
      <c r="A15" s="60"/>
      <c r="B15" s="78" t="s">
        <v>83</v>
      </c>
      <c r="C15" s="79" t="s">
        <v>77</v>
      </c>
      <c r="D15" s="80">
        <f>10*1.12</f>
        <v>11.200000000000001</v>
      </c>
      <c r="E15" s="56" t="s">
        <v>356</v>
      </c>
    </row>
    <row r="16" spans="1:6" ht="17">
      <c r="A16" s="60"/>
      <c r="B16" s="78" t="s">
        <v>84</v>
      </c>
      <c r="C16" s="79" t="s">
        <v>347</v>
      </c>
      <c r="D16" s="79">
        <v>10</v>
      </c>
      <c r="E16" s="133" t="s">
        <v>355</v>
      </c>
    </row>
    <row r="17" spans="1:5">
      <c r="A17" s="60"/>
      <c r="B17" s="78" t="s">
        <v>86</v>
      </c>
      <c r="C17" s="79" t="s">
        <v>43</v>
      </c>
      <c r="D17" s="81">
        <f>Global!C15</f>
        <v>0.8</v>
      </c>
    </row>
    <row r="18" spans="1:5">
      <c r="A18" s="60"/>
      <c r="B18" s="78" t="s">
        <v>87</v>
      </c>
      <c r="C18" s="79" t="s">
        <v>88</v>
      </c>
      <c r="D18" s="82">
        <v>20</v>
      </c>
    </row>
    <row r="19" spans="1:5">
      <c r="A19" s="60"/>
      <c r="B19" s="65" t="s">
        <v>261</v>
      </c>
      <c r="C19" s="66"/>
      <c r="D19" s="67"/>
    </row>
    <row r="20" spans="1:5">
      <c r="A20" s="60"/>
      <c r="B20" s="85" t="s">
        <v>173</v>
      </c>
      <c r="C20" s="79"/>
      <c r="D20" s="101"/>
    </row>
    <row r="21" spans="1:5">
      <c r="A21" s="60"/>
      <c r="B21" s="85" t="s">
        <v>173</v>
      </c>
      <c r="C21" s="79"/>
      <c r="D21" s="101"/>
    </row>
    <row r="22" spans="1:5">
      <c r="A22" s="60"/>
      <c r="B22" s="85" t="s">
        <v>173</v>
      </c>
      <c r="C22" s="79"/>
      <c r="D22" s="101"/>
    </row>
    <row r="23" spans="1:5">
      <c r="A23" s="60"/>
      <c r="B23" s="85" t="s">
        <v>173</v>
      </c>
      <c r="C23" s="79"/>
      <c r="D23" s="101"/>
    </row>
    <row r="25" spans="1:5">
      <c r="A25" s="84" t="s">
        <v>92</v>
      </c>
      <c r="B25" s="78" t="s">
        <v>94</v>
      </c>
      <c r="C25" s="79" t="s">
        <v>454</v>
      </c>
      <c r="D25" s="164">
        <f>SUM(D20:D23)</f>
        <v>0</v>
      </c>
    </row>
    <row r="26" spans="1:5">
      <c r="A26" s="61"/>
      <c r="B26" s="78" t="s">
        <v>95</v>
      </c>
      <c r="C26" s="79" t="s">
        <v>454</v>
      </c>
      <c r="D26" s="164">
        <f>D10*Global!C7/D7</f>
        <v>2.0000000000000001E-4</v>
      </c>
    </row>
    <row r="27" spans="1:5">
      <c r="B27" s="78" t="s">
        <v>96</v>
      </c>
      <c r="C27" s="79" t="s">
        <v>454</v>
      </c>
      <c r="D27" s="164">
        <f>((D18*Global!C8)+(Global!C5*D16)/(24*365)+D15)/D7/D17</f>
        <v>1.2046803652968037E-3</v>
      </c>
      <c r="E27" s="56" t="s">
        <v>439</v>
      </c>
    </row>
    <row r="28" spans="1:5">
      <c r="B28" s="78" t="s">
        <v>433</v>
      </c>
      <c r="C28" s="79" t="s">
        <v>454</v>
      </c>
      <c r="D28" s="101">
        <f>(0.8*D12/(D13*12*30*24)+D14/(365*24))/D7/D17</f>
        <v>1.8349399627938444E-4</v>
      </c>
      <c r="E28" s="56" t="s">
        <v>435</v>
      </c>
    </row>
    <row r="29" spans="1:5">
      <c r="B29" s="88" t="s">
        <v>13</v>
      </c>
      <c r="C29" s="79"/>
      <c r="D29" s="165">
        <f>SUM(D25:D27)</f>
        <v>1.4046803652968038E-3</v>
      </c>
    </row>
  </sheetData>
  <mergeCells count="2">
    <mergeCell ref="A3:D3"/>
    <mergeCell ref="A2:D2"/>
  </mergeCells>
  <dataValidations count="1">
    <dataValidation type="list" allowBlank="1" showInputMessage="1" showErrorMessage="1" sqref="B20:B23" xr:uid="{F173E1A3-0A6F-4071-ABD5-5B3EB0C9490A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A2" location="Process!A1" display="Process!A1" xr:uid="{98E0F566-8684-4252-BE6B-D732E919C4F5}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K35"/>
  <sheetViews>
    <sheetView workbookViewId="0">
      <selection activeCell="D24" sqref="D24"/>
    </sheetView>
  </sheetViews>
  <sheetFormatPr baseColWidth="10" defaultColWidth="8.83203125" defaultRowHeight="13"/>
  <cols>
    <col min="1" max="1" width="17.5" customWidth="1"/>
    <col min="2" max="2" width="21.6640625" bestFit="1" customWidth="1"/>
    <col min="3" max="3" width="7.33203125" style="1" bestFit="1" customWidth="1"/>
    <col min="4" max="4" width="11.33203125" style="1" customWidth="1"/>
    <col min="5" max="5" width="47.6640625" bestFit="1" customWidth="1"/>
    <col min="6" max="6" width="5.33203125" bestFit="1" customWidth="1"/>
  </cols>
  <sheetData>
    <row r="1" spans="1:11" s="2" customFormat="1">
      <c r="A1" s="6" t="s">
        <v>7</v>
      </c>
      <c r="B1" s="6" t="s">
        <v>22</v>
      </c>
      <c r="C1" s="6" t="s">
        <v>23</v>
      </c>
      <c r="D1" s="6" t="s">
        <v>24</v>
      </c>
      <c r="E1" s="6" t="s">
        <v>25</v>
      </c>
    </row>
    <row r="2" spans="1:11" s="2" customFormat="1" ht="14">
      <c r="E2" s="34" t="s">
        <v>242</v>
      </c>
    </row>
    <row r="3" spans="1:11" s="2" customFormat="1" ht="19">
      <c r="B3" s="43" t="s">
        <v>285</v>
      </c>
      <c r="C3" s="41"/>
      <c r="D3" s="42"/>
    </row>
    <row r="4" spans="1:11" s="2" customFormat="1"/>
    <row r="5" spans="1:11" s="2" customFormat="1">
      <c r="B5" s="27"/>
      <c r="C5" s="1"/>
    </row>
    <row r="6" spans="1:11" s="2" customFormat="1">
      <c r="A6" s="7" t="s">
        <v>26</v>
      </c>
      <c r="B6" s="16" t="s">
        <v>78</v>
      </c>
      <c r="C6" s="8"/>
      <c r="D6" s="9" t="s">
        <v>215</v>
      </c>
    </row>
    <row r="7" spans="1:11">
      <c r="B7" s="38" t="s">
        <v>32</v>
      </c>
      <c r="C7" s="39"/>
      <c r="D7" s="40"/>
    </row>
    <row r="8" spans="1:11">
      <c r="B8" s="16" t="s">
        <v>187</v>
      </c>
      <c r="C8" s="23" t="s">
        <v>192</v>
      </c>
      <c r="D8" s="49">
        <v>750</v>
      </c>
    </row>
    <row r="9" spans="1:11">
      <c r="B9" s="16" t="s">
        <v>35</v>
      </c>
      <c r="C9" s="8" t="s">
        <v>36</v>
      </c>
      <c r="D9" s="9">
        <v>200</v>
      </c>
      <c r="E9" t="s">
        <v>202</v>
      </c>
    </row>
    <row r="10" spans="1:11">
      <c r="B10" s="16" t="s">
        <v>201</v>
      </c>
      <c r="C10" s="8" t="s">
        <v>30</v>
      </c>
      <c r="D10" s="9">
        <v>4</v>
      </c>
    </row>
    <row r="11" spans="1:11">
      <c r="A11" s="10"/>
      <c r="B11" s="16" t="s">
        <v>162</v>
      </c>
      <c r="C11" s="23" t="s">
        <v>43</v>
      </c>
      <c r="D11" s="46">
        <v>0</v>
      </c>
      <c r="E11" t="s">
        <v>195</v>
      </c>
      <c r="J11" s="1"/>
      <c r="K11" s="1"/>
    </row>
    <row r="12" spans="1:11">
      <c r="B12" s="50"/>
      <c r="C12" s="48"/>
      <c r="D12" s="51"/>
    </row>
    <row r="13" spans="1:11">
      <c r="A13" s="16" t="s">
        <v>45</v>
      </c>
      <c r="B13" s="14" t="s">
        <v>212</v>
      </c>
      <c r="C13" s="8" t="s">
        <v>156</v>
      </c>
      <c r="D13" s="28">
        <f>(PI()*(D10*0.1/2)^2*D9/10000)*(1+D11)</f>
        <v>2.5132741228718349E-3</v>
      </c>
      <c r="E13" t="s">
        <v>194</v>
      </c>
    </row>
    <row r="14" spans="1:11">
      <c r="B14" s="14" t="s">
        <v>113</v>
      </c>
      <c r="C14" s="8" t="s">
        <v>157</v>
      </c>
      <c r="D14" s="11">
        <v>2.2000000000000002</v>
      </c>
      <c r="E14" t="s">
        <v>213</v>
      </c>
    </row>
    <row r="15" spans="1:11">
      <c r="B15" s="14" t="s">
        <v>159</v>
      </c>
      <c r="C15" s="8" t="s">
        <v>160</v>
      </c>
      <c r="D15" s="24">
        <f>D14*D13</f>
        <v>5.5292030703180369E-3</v>
      </c>
    </row>
    <row r="17" spans="1:11">
      <c r="A17" s="47"/>
      <c r="B17" s="53" t="s">
        <v>72</v>
      </c>
      <c r="C17" s="39"/>
      <c r="D17" s="40"/>
    </row>
    <row r="18" spans="1:11">
      <c r="B18" s="16" t="s">
        <v>20</v>
      </c>
      <c r="C18" s="23" t="s">
        <v>74</v>
      </c>
      <c r="D18" s="52">
        <v>0.80000001192092896</v>
      </c>
    </row>
    <row r="19" spans="1:11">
      <c r="A19" s="3"/>
      <c r="B19" s="38" t="s">
        <v>78</v>
      </c>
      <c r="C19" s="39"/>
      <c r="D19" s="40">
        <v>10</v>
      </c>
    </row>
    <row r="20" spans="1:11">
      <c r="B20" s="13" t="s">
        <v>79</v>
      </c>
      <c r="C20" s="11" t="s">
        <v>80</v>
      </c>
      <c r="D20" s="17">
        <v>250000</v>
      </c>
    </row>
    <row r="21" spans="1:11">
      <c r="A21" s="10"/>
      <c r="B21" s="13" t="s">
        <v>81</v>
      </c>
      <c r="C21" s="11" t="s">
        <v>82</v>
      </c>
      <c r="D21" s="17">
        <f>0.01*D20</f>
        <v>2500</v>
      </c>
    </row>
    <row r="22" spans="1:11">
      <c r="A22" s="10"/>
      <c r="B22" s="13" t="s">
        <v>83</v>
      </c>
      <c r="C22" s="11" t="s">
        <v>77</v>
      </c>
      <c r="D22" s="17">
        <f>(D21+(D20)/5)/(365*24)</f>
        <v>5.993150684931507</v>
      </c>
    </row>
    <row r="23" spans="1:11">
      <c r="A23" s="10"/>
      <c r="B23" s="13" t="s">
        <v>84</v>
      </c>
      <c r="C23" s="11" t="s">
        <v>85</v>
      </c>
      <c r="D23" s="11">
        <v>2</v>
      </c>
    </row>
    <row r="24" spans="1:11">
      <c r="A24" s="10"/>
      <c r="B24" s="13" t="s">
        <v>86</v>
      </c>
      <c r="C24" s="11" t="s">
        <v>43</v>
      </c>
      <c r="D24" s="18">
        <f>Global!C15</f>
        <v>0.8</v>
      </c>
      <c r="J24" s="1"/>
      <c r="K24" s="1"/>
    </row>
    <row r="25" spans="1:11">
      <c r="A25" s="10"/>
      <c r="B25" s="13" t="s">
        <v>87</v>
      </c>
      <c r="C25" s="11" t="s">
        <v>88</v>
      </c>
      <c r="D25" s="19">
        <v>10</v>
      </c>
      <c r="J25" s="1"/>
      <c r="K25" s="1"/>
    </row>
    <row r="26" spans="1:11">
      <c r="A26" s="10"/>
      <c r="B26" s="38" t="s">
        <v>261</v>
      </c>
      <c r="C26" s="39"/>
      <c r="D26" s="40"/>
      <c r="J26" s="1"/>
      <c r="K26" s="1"/>
    </row>
    <row r="27" spans="1:11">
      <c r="A27" s="10"/>
      <c r="B27" s="13" t="s">
        <v>165</v>
      </c>
      <c r="C27" s="11" t="s">
        <v>163</v>
      </c>
      <c r="D27" s="20">
        <v>0.67</v>
      </c>
      <c r="E27" t="s">
        <v>214</v>
      </c>
    </row>
    <row r="28" spans="1:11">
      <c r="A28" s="10"/>
      <c r="B28" s="26" t="s">
        <v>173</v>
      </c>
      <c r="C28" s="11"/>
      <c r="D28" s="20"/>
    </row>
    <row r="29" spans="1:11">
      <c r="A29" s="10"/>
      <c r="B29" s="26" t="s">
        <v>173</v>
      </c>
      <c r="C29" s="11"/>
      <c r="D29" s="20"/>
    </row>
    <row r="30" spans="1:11">
      <c r="A30" s="10"/>
      <c r="B30" s="26" t="s">
        <v>173</v>
      </c>
      <c r="C30" s="11"/>
      <c r="D30" s="20"/>
    </row>
    <row r="32" spans="1:11">
      <c r="A32" s="12" t="s">
        <v>92</v>
      </c>
      <c r="B32" s="13" t="s">
        <v>94</v>
      </c>
      <c r="C32" s="11"/>
      <c r="D32" s="21">
        <f>D28+D29+D30+D15*D27</f>
        <v>3.7045660571130849E-3</v>
      </c>
      <c r="F32" s="5"/>
    </row>
    <row r="33" spans="1:6">
      <c r="A33" s="27"/>
      <c r="B33" s="13" t="s">
        <v>95</v>
      </c>
      <c r="C33" s="11"/>
      <c r="D33" s="21">
        <f>D18*Global!C7/D8</f>
        <v>3.2000000476837161E-2</v>
      </c>
      <c r="F33" s="5"/>
    </row>
    <row r="34" spans="1:6">
      <c r="B34" s="13" t="s">
        <v>96</v>
      </c>
      <c r="C34" s="11"/>
      <c r="D34" s="21">
        <f>((D25*Global!C8)+(Global!C5*D23)/(24*365)+D22)/D8/D24</f>
        <v>2.3892694063926939E-2</v>
      </c>
      <c r="F34" s="5"/>
    </row>
    <row r="35" spans="1:6">
      <c r="B35" s="35" t="s">
        <v>13</v>
      </c>
      <c r="C35" s="11"/>
      <c r="D35" s="37">
        <f>SUM(D32:D34)</f>
        <v>5.9597260597877184E-2</v>
      </c>
      <c r="F35" s="5"/>
    </row>
  </sheetData>
  <dataValidations xWindow="505" yWindow="218" count="3">
    <dataValidation type="list" allowBlank="1" showInputMessage="1" showErrorMessage="1" sqref="D9 D6" xr:uid="{00000000-0002-0000-1B00-000000000000}">
      <formula1>"DS500,"</formula1>
    </dataValidation>
    <dataValidation type="list" allowBlank="1" showInputMessage="1" showErrorMessage="1" sqref="D5" xr:uid="{00000000-0002-0000-1B00-000001000000}">
      <formula1>"DS500"</formula1>
    </dataValidation>
    <dataValidation type="list" allowBlank="1" showInputMessage="1" showErrorMessage="1" sqref="B27:B30" xr:uid="{00000000-0002-0000-1B00-000003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E2" location="Process!A1" display="Process!A1" xr:uid="{00000000-0004-0000-1B00-000000000000}"/>
  </hyperlinks>
  <pageMargins left="0.75" right="0.75" top="1" bottom="1" header="0.5" footer="0.5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9"/>
  <dimension ref="A1:K35"/>
  <sheetViews>
    <sheetView workbookViewId="0">
      <selection activeCell="D24" sqref="D24"/>
    </sheetView>
  </sheetViews>
  <sheetFormatPr baseColWidth="10" defaultColWidth="8.83203125" defaultRowHeight="13"/>
  <cols>
    <col min="1" max="1" width="17.5" customWidth="1"/>
    <col min="2" max="2" width="21.6640625" bestFit="1" customWidth="1"/>
    <col min="3" max="3" width="7.33203125" style="1" bestFit="1" customWidth="1"/>
    <col min="4" max="4" width="11.33203125" style="1" customWidth="1"/>
    <col min="5" max="5" width="39" bestFit="1" customWidth="1"/>
    <col min="6" max="6" width="9.33203125" customWidth="1"/>
  </cols>
  <sheetData>
    <row r="1" spans="1:11" s="2" customFormat="1">
      <c r="A1" s="6" t="s">
        <v>7</v>
      </c>
      <c r="B1" s="6" t="s">
        <v>22</v>
      </c>
      <c r="C1" s="6" t="s">
        <v>23</v>
      </c>
      <c r="D1" s="6" t="s">
        <v>24</v>
      </c>
      <c r="E1" s="6" t="s">
        <v>25</v>
      </c>
    </row>
    <row r="2" spans="1:11" s="2" customFormat="1" ht="14">
      <c r="E2" s="34" t="s">
        <v>242</v>
      </c>
    </row>
    <row r="3" spans="1:11" s="2" customFormat="1" ht="19">
      <c r="B3" s="43" t="s">
        <v>286</v>
      </c>
      <c r="C3" s="41"/>
      <c r="D3" s="42"/>
    </row>
    <row r="4" spans="1:11" s="2" customFormat="1"/>
    <row r="5" spans="1:11" s="2" customFormat="1">
      <c r="B5" s="27"/>
      <c r="C5" s="1"/>
    </row>
    <row r="6" spans="1:11" s="2" customFormat="1">
      <c r="A6" s="7" t="s">
        <v>26</v>
      </c>
      <c r="B6" s="16" t="s">
        <v>78</v>
      </c>
      <c r="C6" s="8"/>
      <c r="D6" s="9" t="s">
        <v>215</v>
      </c>
    </row>
    <row r="7" spans="1:11">
      <c r="B7" s="38" t="s">
        <v>32</v>
      </c>
      <c r="C7" s="39"/>
      <c r="D7" s="40"/>
    </row>
    <row r="8" spans="1:11">
      <c r="B8" s="16" t="s">
        <v>187</v>
      </c>
      <c r="C8" s="23" t="s">
        <v>192</v>
      </c>
      <c r="D8" s="49">
        <v>750</v>
      </c>
    </row>
    <row r="9" spans="1:11">
      <c r="B9" s="16" t="s">
        <v>220</v>
      </c>
      <c r="C9" s="8" t="s">
        <v>30</v>
      </c>
      <c r="D9" s="9">
        <v>2</v>
      </c>
    </row>
    <row r="10" spans="1:11">
      <c r="B10" s="16" t="s">
        <v>201</v>
      </c>
      <c r="C10" s="8" t="s">
        <v>30</v>
      </c>
      <c r="D10" s="9">
        <v>3</v>
      </c>
    </row>
    <row r="11" spans="1:11">
      <c r="A11" s="10"/>
      <c r="B11" s="16" t="s">
        <v>162</v>
      </c>
      <c r="C11" s="23" t="s">
        <v>43</v>
      </c>
      <c r="D11" s="46">
        <v>0</v>
      </c>
      <c r="E11" t="s">
        <v>195</v>
      </c>
      <c r="J11" s="1"/>
      <c r="K11" s="1"/>
    </row>
    <row r="12" spans="1:11">
      <c r="A12" s="10"/>
      <c r="B12" s="27"/>
      <c r="D12" s="31"/>
    </row>
    <row r="13" spans="1:11">
      <c r="A13" s="12" t="s">
        <v>45</v>
      </c>
      <c r="B13" s="13" t="s">
        <v>212</v>
      </c>
      <c r="C13" s="11" t="s">
        <v>156</v>
      </c>
      <c r="D13" s="28">
        <f>(((2/3)*PI()*(D10/2)^3)+((D9-(D10/2))*PI()*(D10/2)^2))*(1+D11)/1000</f>
        <v>1.0602875205865551E-2</v>
      </c>
      <c r="E13" t="s">
        <v>221</v>
      </c>
    </row>
    <row r="14" spans="1:11">
      <c r="B14" s="13" t="s">
        <v>113</v>
      </c>
      <c r="C14" s="11" t="s">
        <v>157</v>
      </c>
      <c r="D14" s="11">
        <v>2.2000000000000002</v>
      </c>
      <c r="E14" t="s">
        <v>213</v>
      </c>
    </row>
    <row r="15" spans="1:11">
      <c r="B15" s="13" t="s">
        <v>159</v>
      </c>
      <c r="C15" s="11" t="s">
        <v>160</v>
      </c>
      <c r="D15" s="24">
        <f>D14*D13</f>
        <v>2.3326325452904216E-2</v>
      </c>
      <c r="F15" s="30"/>
    </row>
    <row r="17" spans="1:11">
      <c r="A17" s="47"/>
      <c r="B17" s="53" t="s">
        <v>72</v>
      </c>
      <c r="C17" s="39"/>
      <c r="D17" s="40"/>
    </row>
    <row r="18" spans="1:11">
      <c r="B18" s="16" t="s">
        <v>20</v>
      </c>
      <c r="C18" s="23" t="s">
        <v>74</v>
      </c>
      <c r="D18" s="52">
        <v>0.1</v>
      </c>
    </row>
    <row r="19" spans="1:11">
      <c r="A19" s="3"/>
      <c r="B19" s="38" t="s">
        <v>78</v>
      </c>
      <c r="C19" s="39"/>
      <c r="D19" s="40"/>
    </row>
    <row r="20" spans="1:11">
      <c r="B20" s="13" t="s">
        <v>79</v>
      </c>
      <c r="C20" s="11" t="s">
        <v>80</v>
      </c>
      <c r="D20" s="17">
        <v>250000</v>
      </c>
    </row>
    <row r="21" spans="1:11">
      <c r="A21" s="10"/>
      <c r="B21" s="13" t="s">
        <v>81</v>
      </c>
      <c r="C21" s="11" t="s">
        <v>82</v>
      </c>
      <c r="D21" s="17">
        <f>0.01*D20</f>
        <v>2500</v>
      </c>
    </row>
    <row r="22" spans="1:11">
      <c r="A22" s="10"/>
      <c r="B22" s="13" t="s">
        <v>83</v>
      </c>
      <c r="C22" s="11" t="s">
        <v>77</v>
      </c>
      <c r="D22" s="17">
        <f>(D21+(D20)/5)/(365*24)</f>
        <v>5.993150684931507</v>
      </c>
    </row>
    <row r="23" spans="1:11">
      <c r="A23" s="10"/>
      <c r="B23" s="13" t="s">
        <v>84</v>
      </c>
      <c r="C23" s="11" t="s">
        <v>85</v>
      </c>
      <c r="D23" s="11">
        <v>2</v>
      </c>
    </row>
    <row r="24" spans="1:11">
      <c r="A24" s="10"/>
      <c r="B24" s="13" t="s">
        <v>86</v>
      </c>
      <c r="C24" s="11" t="s">
        <v>43</v>
      </c>
      <c r="D24" s="18">
        <f>Global!C15</f>
        <v>0.8</v>
      </c>
      <c r="J24" s="1"/>
      <c r="K24" s="1"/>
    </row>
    <row r="25" spans="1:11">
      <c r="A25" s="10"/>
      <c r="B25" s="13" t="s">
        <v>87</v>
      </c>
      <c r="C25" s="11" t="s">
        <v>88</v>
      </c>
      <c r="D25" s="19">
        <v>10</v>
      </c>
      <c r="J25" s="1"/>
      <c r="K25" s="1"/>
    </row>
    <row r="26" spans="1:11">
      <c r="A26" s="10"/>
      <c r="B26" s="38" t="s">
        <v>261</v>
      </c>
      <c r="C26" s="39"/>
      <c r="D26" s="40"/>
      <c r="J26" s="1"/>
      <c r="K26" s="1"/>
    </row>
    <row r="27" spans="1:11">
      <c r="A27" s="10"/>
      <c r="B27" s="13" t="s">
        <v>165</v>
      </c>
      <c r="C27" s="11" t="s">
        <v>163</v>
      </c>
      <c r="D27" s="20">
        <v>0.67</v>
      </c>
      <c r="E27" t="s">
        <v>214</v>
      </c>
    </row>
    <row r="28" spans="1:11">
      <c r="A28" s="10"/>
      <c r="B28" s="26" t="s">
        <v>173</v>
      </c>
      <c r="C28" s="11"/>
      <c r="D28" s="20"/>
    </row>
    <row r="29" spans="1:11">
      <c r="A29" s="10"/>
      <c r="B29" s="26" t="s">
        <v>173</v>
      </c>
      <c r="C29" s="11"/>
      <c r="D29" s="20"/>
    </row>
    <row r="30" spans="1:11">
      <c r="A30" s="10"/>
      <c r="B30" s="26" t="s">
        <v>173</v>
      </c>
      <c r="C30" s="11"/>
      <c r="D30" s="20"/>
    </row>
    <row r="32" spans="1:11">
      <c r="A32" s="12" t="s">
        <v>92</v>
      </c>
      <c r="B32" s="13" t="s">
        <v>94</v>
      </c>
      <c r="C32" s="11"/>
      <c r="D32" s="21">
        <f>D28+D29+D30+D15*D27</f>
        <v>1.5628638053445824E-2</v>
      </c>
      <c r="F32" s="5"/>
    </row>
    <row r="33" spans="1:6">
      <c r="A33" s="27"/>
      <c r="B33" s="13" t="s">
        <v>95</v>
      </c>
      <c r="C33" s="11"/>
      <c r="D33" s="21">
        <f>D18*Global!C7/D8</f>
        <v>4.0000000000000001E-3</v>
      </c>
      <c r="F33" s="5"/>
    </row>
    <row r="34" spans="1:6">
      <c r="B34" s="13" t="s">
        <v>96</v>
      </c>
      <c r="C34" s="11"/>
      <c r="D34" s="21">
        <f>((D25*Global!C8)+(Global!C5*D23)/(24*365)+D22)/D8/D24</f>
        <v>2.3892694063926939E-2</v>
      </c>
      <c r="F34" s="5"/>
    </row>
    <row r="35" spans="1:6">
      <c r="B35" s="35" t="s">
        <v>13</v>
      </c>
      <c r="C35" s="11"/>
      <c r="D35" s="37">
        <f>SUM(D32:D34)</f>
        <v>4.352133211737276E-2</v>
      </c>
      <c r="F35" s="5"/>
    </row>
  </sheetData>
  <dataValidations xWindow="505" yWindow="218" count="3">
    <dataValidation type="list" allowBlank="1" showInputMessage="1" showErrorMessage="1" sqref="D9 D6" xr:uid="{00000000-0002-0000-1C00-000000000000}">
      <formula1>"DS500,"</formula1>
    </dataValidation>
    <dataValidation type="list" allowBlank="1" showInputMessage="1" showErrorMessage="1" sqref="D5" xr:uid="{00000000-0002-0000-1C00-000001000000}">
      <formula1>"DS500"</formula1>
    </dataValidation>
    <dataValidation type="list" allowBlank="1" showInputMessage="1" showErrorMessage="1" sqref="B27:B30" xr:uid="{00000000-0002-0000-1C00-000003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E2" location="Process!A1" display="Process!A1" xr:uid="{00000000-0004-0000-1C00-000000000000}"/>
  </hyperlinks>
  <pageMargins left="0.75" right="0.75" top="1" bottom="1" header="0.5" footer="0.5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13112"/>
  <dimension ref="A1:K30"/>
  <sheetViews>
    <sheetView workbookViewId="0">
      <selection activeCell="D18" sqref="D18"/>
    </sheetView>
  </sheetViews>
  <sheetFormatPr baseColWidth="10" defaultColWidth="8.83203125" defaultRowHeight="13"/>
  <cols>
    <col min="1" max="1" width="17.5" customWidth="1"/>
    <col min="2" max="2" width="21.6640625" bestFit="1" customWidth="1"/>
    <col min="3" max="3" width="7.33203125" style="1" bestFit="1" customWidth="1"/>
    <col min="4" max="4" width="21.33203125" style="1" bestFit="1" customWidth="1"/>
    <col min="5" max="5" width="19.5" bestFit="1" customWidth="1"/>
    <col min="6" max="6" width="5.33203125" bestFit="1" customWidth="1"/>
  </cols>
  <sheetData>
    <row r="1" spans="1:11" s="2" customFormat="1">
      <c r="A1" s="6" t="s">
        <v>7</v>
      </c>
      <c r="B1" s="6" t="s">
        <v>22</v>
      </c>
      <c r="C1" s="6" t="s">
        <v>23</v>
      </c>
      <c r="D1" s="6" t="s">
        <v>24</v>
      </c>
      <c r="E1" s="6" t="s">
        <v>25</v>
      </c>
    </row>
    <row r="2" spans="1:11" s="2" customFormat="1" ht="14">
      <c r="E2" s="34" t="s">
        <v>242</v>
      </c>
    </row>
    <row r="3" spans="1:11" s="2" customFormat="1" ht="19">
      <c r="B3" s="43" t="s">
        <v>287</v>
      </c>
      <c r="C3" s="41"/>
      <c r="D3" s="42"/>
    </row>
    <row r="4" spans="1:11">
      <c r="A4" s="10"/>
      <c r="J4" s="1"/>
      <c r="K4" s="1"/>
    </row>
    <row r="5" spans="1:11">
      <c r="A5" s="10"/>
      <c r="B5" s="27"/>
      <c r="D5" s="2"/>
      <c r="J5" s="1"/>
      <c r="K5" s="1"/>
    </row>
    <row r="6" spans="1:11">
      <c r="A6" s="7" t="s">
        <v>26</v>
      </c>
      <c r="B6" s="16" t="s">
        <v>78</v>
      </c>
      <c r="C6" s="8"/>
      <c r="D6" s="9" t="s">
        <v>207</v>
      </c>
      <c r="J6" s="1"/>
      <c r="K6" s="1"/>
    </row>
    <row r="7" spans="1:11">
      <c r="A7" s="10"/>
      <c r="B7" s="38" t="s">
        <v>32</v>
      </c>
      <c r="C7" s="39"/>
      <c r="D7" s="40"/>
    </row>
    <row r="8" spans="1:11">
      <c r="A8" s="10"/>
      <c r="B8" s="16" t="s">
        <v>187</v>
      </c>
      <c r="C8" s="23" t="s">
        <v>192</v>
      </c>
      <c r="D8" s="45">
        <v>1400</v>
      </c>
    </row>
    <row r="9" spans="1:11">
      <c r="A9" s="10"/>
    </row>
    <row r="11" spans="1:11">
      <c r="B11" s="38" t="s">
        <v>72</v>
      </c>
      <c r="C11" s="39"/>
      <c r="D11" s="40"/>
    </row>
    <row r="12" spans="1:11">
      <c r="B12" s="16" t="s">
        <v>20</v>
      </c>
      <c r="C12" s="23" t="s">
        <v>74</v>
      </c>
      <c r="D12" s="52">
        <v>0.1</v>
      </c>
    </row>
    <row r="13" spans="1:11">
      <c r="A13" s="3"/>
      <c r="B13" s="38" t="s">
        <v>78</v>
      </c>
      <c r="C13" s="39"/>
      <c r="D13" s="40"/>
    </row>
    <row r="14" spans="1:11" ht="12.75" customHeight="1">
      <c r="A14" s="47"/>
      <c r="B14" s="13" t="s">
        <v>79</v>
      </c>
      <c r="C14" s="11" t="s">
        <v>80</v>
      </c>
      <c r="D14" s="17">
        <v>1000000</v>
      </c>
    </row>
    <row r="15" spans="1:11">
      <c r="A15" s="10"/>
      <c r="B15" s="13" t="s">
        <v>81</v>
      </c>
      <c r="C15" s="11" t="s">
        <v>82</v>
      </c>
      <c r="D15" s="17">
        <f>0.01*D14</f>
        <v>10000</v>
      </c>
    </row>
    <row r="16" spans="1:11">
      <c r="A16" s="10"/>
      <c r="B16" s="13" t="s">
        <v>83</v>
      </c>
      <c r="C16" s="11" t="s">
        <v>77</v>
      </c>
      <c r="D16" s="17">
        <f>(D15+(D14)/5)/(365*24)</f>
        <v>23.972602739726028</v>
      </c>
    </row>
    <row r="17" spans="1:11">
      <c r="A17" s="10"/>
      <c r="B17" s="13" t="s">
        <v>84</v>
      </c>
      <c r="C17" s="11" t="s">
        <v>85</v>
      </c>
      <c r="D17" s="11">
        <v>2</v>
      </c>
    </row>
    <row r="18" spans="1:11">
      <c r="A18" s="10"/>
      <c r="B18" s="13" t="s">
        <v>86</v>
      </c>
      <c r="C18" s="11" t="s">
        <v>43</v>
      </c>
      <c r="D18" s="18">
        <f>Global!C15</f>
        <v>0.8</v>
      </c>
      <c r="J18" s="1"/>
      <c r="K18" s="1"/>
    </row>
    <row r="19" spans="1:11">
      <c r="A19" s="10"/>
      <c r="B19" s="13" t="s">
        <v>87</v>
      </c>
      <c r="C19" s="11" t="s">
        <v>88</v>
      </c>
      <c r="D19" s="19">
        <v>10</v>
      </c>
      <c r="J19" s="1"/>
      <c r="K19" s="1"/>
    </row>
    <row r="20" spans="1:11">
      <c r="A20" s="10"/>
      <c r="B20" s="38" t="s">
        <v>261</v>
      </c>
      <c r="C20" s="39"/>
      <c r="D20" s="40"/>
      <c r="J20" s="1"/>
      <c r="K20" s="1"/>
    </row>
    <row r="21" spans="1:11">
      <c r="A21" s="10"/>
      <c r="B21" s="25" t="s">
        <v>204</v>
      </c>
      <c r="C21" s="11" t="s">
        <v>80</v>
      </c>
      <c r="D21" s="21">
        <v>0.05</v>
      </c>
      <c r="J21" s="1"/>
      <c r="K21" s="1"/>
    </row>
    <row r="22" spans="1:11">
      <c r="A22" s="10"/>
      <c r="B22" s="26" t="s">
        <v>173</v>
      </c>
      <c r="C22" s="11"/>
      <c r="D22" s="20"/>
    </row>
    <row r="23" spans="1:11">
      <c r="A23" s="10"/>
      <c r="B23" s="26" t="s">
        <v>173</v>
      </c>
      <c r="C23" s="11"/>
      <c r="D23" s="20"/>
    </row>
    <row r="24" spans="1:11">
      <c r="A24" s="10"/>
      <c r="B24" s="26" t="s">
        <v>173</v>
      </c>
      <c r="C24" s="11"/>
      <c r="D24" s="20"/>
    </row>
    <row r="26" spans="1:11">
      <c r="A26" s="12" t="s">
        <v>92</v>
      </c>
      <c r="B26" s="13" t="s">
        <v>94</v>
      </c>
      <c r="C26" s="11"/>
      <c r="D26" s="21">
        <f>SUM(D21:D24)</f>
        <v>0.05</v>
      </c>
      <c r="F26" s="5"/>
    </row>
    <row r="27" spans="1:11">
      <c r="A27" s="27"/>
      <c r="B27" s="13" t="s">
        <v>95</v>
      </c>
      <c r="C27" s="11"/>
      <c r="D27" s="22">
        <f>D12*Global!C7/D8</f>
        <v>2.142857142857143E-3</v>
      </c>
      <c r="F27" s="5"/>
    </row>
    <row r="28" spans="1:11">
      <c r="B28" s="13" t="s">
        <v>96</v>
      </c>
      <c r="C28" s="11"/>
      <c r="D28" s="22">
        <f>((D19*Global!C8)+(Global!C5*D17)/(24*365)+D16)/D18/D8</f>
        <v>2.8852739726027393E-2</v>
      </c>
      <c r="F28" s="5"/>
    </row>
    <row r="29" spans="1:11">
      <c r="B29" s="35" t="s">
        <v>13</v>
      </c>
      <c r="C29" s="11"/>
      <c r="D29" s="36">
        <f>SUM(D26:D28)</f>
        <v>8.0995596868884537E-2</v>
      </c>
      <c r="F29" s="5"/>
    </row>
    <row r="30" spans="1:11">
      <c r="E30" s="15"/>
    </row>
  </sheetData>
  <dataValidations count="3">
    <dataValidation type="list" allowBlank="1" showInputMessage="1" showErrorMessage="1" sqref="D5" xr:uid="{00000000-0002-0000-1D00-000000000000}">
      <formula1>"AD868LA"</formula1>
    </dataValidation>
    <dataValidation type="list" allowBlank="1" showInputMessage="1" showErrorMessage="1" sqref="D6" xr:uid="{00000000-0002-0000-1D00-000001000000}">
      <formula1>"AD868LA,"</formula1>
    </dataValidation>
    <dataValidation type="list" allowBlank="1" showInputMessage="1" showErrorMessage="1" sqref="B21:B24" xr:uid="{00000000-0002-0000-1D00-000002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E2" location="Process!A1" display="Process!A1" xr:uid="{00000000-0004-0000-1D00-000000000000}"/>
  </hyperlink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"/>
  <dimension ref="A1:H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51" sqref="L51"/>
    </sheetView>
  </sheetViews>
  <sheetFormatPr baseColWidth="10" defaultColWidth="8.6640625" defaultRowHeight="15"/>
  <cols>
    <col min="1" max="1" width="16.5" style="56" bestFit="1" customWidth="1"/>
    <col min="2" max="2" width="11" style="56" bestFit="1" customWidth="1"/>
    <col min="3" max="3" width="13" style="56" bestFit="1" customWidth="1"/>
    <col min="4" max="16384" width="8.6640625" style="56"/>
  </cols>
  <sheetData>
    <row r="1" spans="1:8" ht="17">
      <c r="A1" s="58" t="s">
        <v>6</v>
      </c>
      <c r="B1" s="58" t="s">
        <v>337</v>
      </c>
      <c r="C1" s="58" t="s">
        <v>338</v>
      </c>
      <c r="D1" s="58" t="s">
        <v>196</v>
      </c>
      <c r="E1" s="58" t="s">
        <v>200</v>
      </c>
      <c r="F1" s="58" t="s">
        <v>17</v>
      </c>
      <c r="H1" s="64" t="s">
        <v>242</v>
      </c>
    </row>
    <row r="2" spans="1:8">
      <c r="A2" s="56" t="s">
        <v>197</v>
      </c>
      <c r="B2" s="152">
        <v>4</v>
      </c>
      <c r="C2" s="59">
        <v>5.9999999999999995E-4</v>
      </c>
      <c r="D2" s="136">
        <f>C2*B2</f>
        <v>2.3999999999999998E-3</v>
      </c>
      <c r="E2" s="151">
        <v>1</v>
      </c>
      <c r="F2" s="136">
        <f t="shared" ref="F2:F5" si="0">D2*E2</f>
        <v>2.3999999999999998E-3</v>
      </c>
    </row>
    <row r="3" spans="1:8">
      <c r="A3" s="56" t="s">
        <v>251</v>
      </c>
      <c r="B3" s="152">
        <f>3.5*4</f>
        <v>14</v>
      </c>
      <c r="C3" s="59">
        <v>8.0000000000000004E-4</v>
      </c>
      <c r="D3" s="136">
        <f>C3*B3</f>
        <v>1.12E-2</v>
      </c>
      <c r="E3" s="151">
        <v>1</v>
      </c>
      <c r="F3" s="136">
        <f t="shared" si="0"/>
        <v>1.12E-2</v>
      </c>
      <c r="H3" s="56" t="s">
        <v>222</v>
      </c>
    </row>
    <row r="4" spans="1:8">
      <c r="A4" s="56" t="s">
        <v>198</v>
      </c>
      <c r="B4" s="152">
        <v>25</v>
      </c>
      <c r="C4" s="59">
        <v>1.1999999999999999E-3</v>
      </c>
      <c r="D4" s="136">
        <f>C4*B4</f>
        <v>0.03</v>
      </c>
      <c r="E4" s="151">
        <v>0</v>
      </c>
      <c r="F4" s="136">
        <f t="shared" si="0"/>
        <v>0</v>
      </c>
      <c r="H4" s="56" t="s">
        <v>252</v>
      </c>
    </row>
    <row r="5" spans="1:8">
      <c r="A5" s="56" t="s">
        <v>199</v>
      </c>
      <c r="B5" s="152">
        <f>5.6*3</f>
        <v>16.799999999999997</v>
      </c>
      <c r="D5" s="136"/>
      <c r="E5" s="151"/>
      <c r="F5" s="136">
        <f t="shared" si="0"/>
        <v>0</v>
      </c>
    </row>
    <row r="6" spans="1:8">
      <c r="F6" s="137">
        <f>SUM(F2:F5)</f>
        <v>1.3599999999999999E-2</v>
      </c>
      <c r="G6" s="56" t="s">
        <v>299</v>
      </c>
    </row>
  </sheetData>
  <hyperlinks>
    <hyperlink ref="H1" location="Process!A1" display="Process!A1" xr:uid="{00000000-0004-0000-1400-000000000000}"/>
  </hyperlinks>
  <pageMargins left="0.75" right="0.75" top="1" bottom="1" header="0.5" footer="0.5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131111"/>
  <dimension ref="A1:I29"/>
  <sheetViews>
    <sheetView workbookViewId="0">
      <selection activeCell="A2" sqref="A2:D2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6.6640625" style="59" customWidth="1"/>
    <col min="5" max="5" width="20.6640625" style="56" customWidth="1"/>
    <col min="6" max="16384" width="8.6640625" style="56"/>
  </cols>
  <sheetData>
    <row r="1" spans="1:9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9" s="58" customFormat="1">
      <c r="A2" s="283" t="s">
        <v>242</v>
      </c>
      <c r="B2" s="283"/>
      <c r="C2" s="283"/>
      <c r="D2" s="283"/>
    </row>
    <row r="3" spans="1:9" s="58" customFormat="1" ht="13" customHeight="1">
      <c r="A3" s="292" t="s">
        <v>327</v>
      </c>
      <c r="B3" s="292"/>
      <c r="C3" s="292"/>
      <c r="D3" s="292"/>
    </row>
    <row r="4" spans="1:9">
      <c r="A4" s="60"/>
      <c r="H4" s="59"/>
      <c r="I4" s="59"/>
    </row>
    <row r="5" spans="1:9">
      <c r="A5" s="57" t="s">
        <v>26</v>
      </c>
      <c r="B5" s="68" t="s">
        <v>78</v>
      </c>
      <c r="C5" s="69"/>
      <c r="D5" s="166" t="s">
        <v>377</v>
      </c>
      <c r="H5" s="59"/>
      <c r="I5" s="59"/>
    </row>
    <row r="6" spans="1:9">
      <c r="A6" s="60"/>
      <c r="B6" s="65" t="s">
        <v>32</v>
      </c>
      <c r="C6" s="66"/>
      <c r="D6" s="67"/>
    </row>
    <row r="7" spans="1:9">
      <c r="A7" s="60"/>
      <c r="B7" s="68" t="s">
        <v>187</v>
      </c>
      <c r="C7" s="69" t="s">
        <v>192</v>
      </c>
      <c r="D7" s="166">
        <f>8000/Global!C18</f>
        <v>8000</v>
      </c>
    </row>
    <row r="9" spans="1:9">
      <c r="B9" s="65" t="s">
        <v>72</v>
      </c>
      <c r="C9" s="66"/>
      <c r="D9" s="67"/>
    </row>
    <row r="10" spans="1:9">
      <c r="B10" s="68" t="s">
        <v>20</v>
      </c>
      <c r="C10" s="69" t="s">
        <v>74</v>
      </c>
      <c r="D10" s="168">
        <f>0.1*Global!C17</f>
        <v>0.1</v>
      </c>
    </row>
    <row r="11" spans="1:9">
      <c r="A11" s="77"/>
      <c r="B11" s="65" t="s">
        <v>78</v>
      </c>
      <c r="C11" s="66"/>
      <c r="D11" s="67"/>
    </row>
    <row r="12" spans="1:9" ht="12.75" customHeight="1">
      <c r="A12" s="75"/>
      <c r="B12" s="177" t="s">
        <v>79</v>
      </c>
      <c r="C12" s="79" t="s">
        <v>80</v>
      </c>
      <c r="D12" s="80">
        <f>100000*1.12*Global!C16</f>
        <v>112000.00000000001</v>
      </c>
    </row>
    <row r="13" spans="1:9">
      <c r="B13" s="78" t="s">
        <v>436</v>
      </c>
      <c r="C13" s="79" t="s">
        <v>437</v>
      </c>
      <c r="D13" s="79">
        <v>5</v>
      </c>
    </row>
    <row r="14" spans="1:9">
      <c r="A14" s="60"/>
      <c r="B14" s="78" t="s">
        <v>81</v>
      </c>
      <c r="C14" s="79" t="s">
        <v>82</v>
      </c>
      <c r="D14" s="80">
        <f>0.01*D12</f>
        <v>1120.0000000000002</v>
      </c>
    </row>
    <row r="15" spans="1:9">
      <c r="A15" s="60"/>
      <c r="B15" s="78" t="s">
        <v>83</v>
      </c>
      <c r="C15" s="79" t="s">
        <v>77</v>
      </c>
      <c r="D15" s="80">
        <f>1.12*(D14+(D12)/5)/(365*24)</f>
        <v>3.0071232876712335</v>
      </c>
    </row>
    <row r="16" spans="1:9">
      <c r="A16" s="60"/>
      <c r="B16" s="78" t="s">
        <v>84</v>
      </c>
      <c r="C16" s="79" t="s">
        <v>85</v>
      </c>
      <c r="D16" s="79">
        <v>2</v>
      </c>
    </row>
    <row r="17" spans="1:9">
      <c r="A17" s="60"/>
      <c r="B17" s="78" t="s">
        <v>86</v>
      </c>
      <c r="C17" s="79" t="s">
        <v>43</v>
      </c>
      <c r="D17" s="81">
        <f>Global!C15</f>
        <v>0.8</v>
      </c>
      <c r="H17" s="59"/>
      <c r="I17" s="59"/>
    </row>
    <row r="18" spans="1:9">
      <c r="A18" s="60"/>
      <c r="B18" s="78" t="s">
        <v>87</v>
      </c>
      <c r="C18" s="79" t="s">
        <v>88</v>
      </c>
      <c r="D18" s="82">
        <v>5</v>
      </c>
      <c r="H18" s="59"/>
      <c r="I18" s="59"/>
    </row>
    <row r="19" spans="1:9">
      <c r="A19" s="60"/>
      <c r="B19" s="65" t="s">
        <v>261</v>
      </c>
      <c r="C19" s="66"/>
      <c r="D19" s="67"/>
      <c r="H19" s="59"/>
      <c r="I19" s="59"/>
    </row>
    <row r="20" spans="1:9">
      <c r="A20" s="60"/>
      <c r="B20" s="85" t="s">
        <v>173</v>
      </c>
      <c r="C20" s="79"/>
      <c r="D20" s="101"/>
      <c r="H20" s="59"/>
      <c r="I20" s="59"/>
    </row>
    <row r="21" spans="1:9">
      <c r="A21" s="60"/>
      <c r="B21" s="85" t="s">
        <v>173</v>
      </c>
      <c r="C21" s="79"/>
      <c r="D21" s="101"/>
      <c r="H21" s="59"/>
      <c r="I21" s="59"/>
    </row>
    <row r="22" spans="1:9">
      <c r="A22" s="60"/>
      <c r="B22" s="85" t="s">
        <v>173</v>
      </c>
      <c r="C22" s="79"/>
      <c r="D22" s="101"/>
      <c r="H22" s="59"/>
      <c r="I22" s="59"/>
    </row>
    <row r="23" spans="1:9">
      <c r="A23" s="60"/>
      <c r="B23" s="85" t="s">
        <v>173</v>
      </c>
      <c r="C23" s="79"/>
      <c r="D23" s="101"/>
      <c r="H23" s="59"/>
      <c r="I23" s="59"/>
    </row>
    <row r="25" spans="1:9">
      <c r="A25" s="84" t="s">
        <v>92</v>
      </c>
      <c r="B25" s="78" t="s">
        <v>95</v>
      </c>
      <c r="C25" s="79" t="s">
        <v>454</v>
      </c>
      <c r="D25" s="101">
        <f>D10*Global!C7/D7</f>
        <v>3.7500000000000001E-4</v>
      </c>
    </row>
    <row r="26" spans="1:9">
      <c r="A26" s="61"/>
      <c r="B26" s="78" t="s">
        <v>94</v>
      </c>
      <c r="C26" s="79" t="s">
        <v>454</v>
      </c>
      <c r="D26" s="101">
        <f>SUM(D20:D23)</f>
        <v>0</v>
      </c>
    </row>
    <row r="27" spans="1:9">
      <c r="B27" s="78" t="s">
        <v>96</v>
      </c>
      <c r="C27" s="79" t="s">
        <v>454</v>
      </c>
      <c r="D27" s="101">
        <f>((D18*Global!C8)+(Global!C5*D16)/(24*365)+D15)/D17/D7</f>
        <v>1.148373287671233E-3</v>
      </c>
      <c r="E27" s="56" t="s">
        <v>439</v>
      </c>
    </row>
    <row r="28" spans="1:9">
      <c r="B28" s="78" t="s">
        <v>433</v>
      </c>
      <c r="C28" s="79" t="s">
        <v>454</v>
      </c>
      <c r="D28" s="101">
        <f>(0.8*D12/(D13*12*30*24)+D14/(365*24))/D7/D17</f>
        <v>3.4405124302384579E-4</v>
      </c>
      <c r="E28" s="56" t="s">
        <v>435</v>
      </c>
    </row>
    <row r="29" spans="1:9">
      <c r="B29" s="88" t="s">
        <v>13</v>
      </c>
      <c r="C29" s="79"/>
      <c r="D29" s="176">
        <f>SUM(D25:D28)</f>
        <v>1.8674245306950787E-3</v>
      </c>
    </row>
  </sheetData>
  <mergeCells count="2">
    <mergeCell ref="A2:D2"/>
    <mergeCell ref="A3:D3"/>
  </mergeCells>
  <dataValidations count="1">
    <dataValidation type="list" allowBlank="1" showInputMessage="1" showErrorMessage="1" sqref="B20:B23" xr:uid="{00000000-0002-0000-1E00-000002000000}">
      <formula1>"None,TMG,NH3_HP,N2_HP,H2,SiH,Photoresist,Mask/Reticle,CF4,NH3_LP,N2_LP,Carrier,Wax,Silicone,Slurry_Diamond,Slurry_Silica,KOH,Phosphor_YAG,Phosphor_Red,Au_Wire,Lens,Blue_Tape,Solvent,ESD_Die,Underfill,AlN_Tile,Epitaxy Consumables,"</formula1>
    </dataValidation>
  </dataValidations>
  <hyperlinks>
    <hyperlink ref="A2" location="Process!A1" display="Process!A1" xr:uid="{00000000-0004-0000-1E00-000000000000}"/>
  </hyperlinks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pageSetUpPr fitToPage="1"/>
  </sheetPr>
  <dimension ref="A1:K56"/>
  <sheetViews>
    <sheetView zoomScaleNormal="100" workbookViewId="0">
      <selection activeCell="B54" sqref="B54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3.33203125" style="59" bestFit="1" customWidth="1"/>
    <col min="5" max="5" width="20.6640625" style="56" customWidth="1"/>
    <col min="6" max="6" width="10.1640625" style="56" customWidth="1"/>
    <col min="7" max="7" width="10" style="56" customWidth="1"/>
    <col min="8" max="8" width="13" style="56" customWidth="1"/>
    <col min="9" max="9" width="7.6640625" style="56" customWidth="1"/>
    <col min="10" max="11" width="7.5" style="56" customWidth="1"/>
    <col min="12" max="16" width="6.33203125" style="56" customWidth="1"/>
    <col min="17" max="17" width="9" style="56" customWidth="1"/>
    <col min="18" max="18" width="11.33203125" style="56" customWidth="1"/>
    <col min="19" max="20" width="12" style="56" bestFit="1" customWidth="1"/>
    <col min="21" max="21" width="12.33203125" style="56" customWidth="1"/>
    <col min="22" max="22" width="19.83203125" style="56" customWidth="1"/>
    <col min="23" max="16384" width="8.6640625" style="56"/>
  </cols>
  <sheetData>
    <row r="1" spans="1:11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11" s="58" customFormat="1">
      <c r="A2" s="283" t="s">
        <v>242</v>
      </c>
      <c r="B2" s="283"/>
      <c r="C2" s="283"/>
      <c r="D2" s="283"/>
    </row>
    <row r="3" spans="1:11" s="58" customFormat="1">
      <c r="B3" s="94" t="s">
        <v>273</v>
      </c>
      <c r="C3" s="95"/>
      <c r="D3" s="96"/>
    </row>
    <row r="4" spans="1:11">
      <c r="B4" s="78" t="s">
        <v>1</v>
      </c>
      <c r="C4" s="79"/>
      <c r="D4" s="79" t="str">
        <f>Global!C2</f>
        <v>Sapphire</v>
      </c>
      <c r="J4" s="59"/>
      <c r="K4" s="59"/>
    </row>
    <row r="5" spans="1:11">
      <c r="A5" s="60"/>
      <c r="B5" s="78" t="s">
        <v>29</v>
      </c>
      <c r="C5" s="79" t="s">
        <v>30</v>
      </c>
      <c r="D5" s="79">
        <f>Global!C3</f>
        <v>150</v>
      </c>
      <c r="J5" s="59"/>
      <c r="K5" s="59"/>
    </row>
    <row r="6" spans="1:11">
      <c r="A6" s="57" t="s">
        <v>26</v>
      </c>
      <c r="B6" s="68" t="s">
        <v>78</v>
      </c>
      <c r="C6" s="69"/>
      <c r="D6" s="169" t="s">
        <v>290</v>
      </c>
      <c r="E6" s="59"/>
      <c r="J6" s="59"/>
      <c r="K6" s="59"/>
    </row>
    <row r="7" spans="1:11">
      <c r="A7" s="60"/>
      <c r="B7" s="65" t="s">
        <v>32</v>
      </c>
      <c r="C7" s="66"/>
      <c r="D7" s="67"/>
    </row>
    <row r="8" spans="1:11">
      <c r="A8" s="60"/>
      <c r="B8" s="68" t="s">
        <v>46</v>
      </c>
      <c r="C8" s="79"/>
      <c r="D8" s="166">
        <v>12</v>
      </c>
    </row>
    <row r="9" spans="1:11">
      <c r="B9" s="68" t="s">
        <v>33</v>
      </c>
      <c r="C9" s="69" t="s">
        <v>34</v>
      </c>
      <c r="D9" s="166">
        <f>4*Global!C18</f>
        <v>4</v>
      </c>
    </row>
    <row r="10" spans="1:11">
      <c r="A10" s="60"/>
      <c r="B10" s="68" t="s">
        <v>35</v>
      </c>
      <c r="C10" s="69" t="s">
        <v>36</v>
      </c>
      <c r="D10" s="166">
        <v>4.5</v>
      </c>
    </row>
    <row r="11" spans="1:11">
      <c r="A11" s="60"/>
      <c r="B11" s="68" t="s">
        <v>37</v>
      </c>
      <c r="C11" s="79" t="s">
        <v>38</v>
      </c>
      <c r="D11" s="184">
        <v>10</v>
      </c>
    </row>
    <row r="12" spans="1:11">
      <c r="A12" s="60"/>
      <c r="B12" s="68" t="s">
        <v>42</v>
      </c>
      <c r="C12" s="79" t="s">
        <v>43</v>
      </c>
      <c r="D12" s="185">
        <v>0.2</v>
      </c>
      <c r="E12" s="56" t="s">
        <v>44</v>
      </c>
    </row>
    <row r="13" spans="1:11">
      <c r="B13" s="68" t="s">
        <v>39</v>
      </c>
      <c r="C13" s="69" t="s">
        <v>40</v>
      </c>
      <c r="D13" s="167">
        <v>60</v>
      </c>
      <c r="E13" s="56" t="s">
        <v>41</v>
      </c>
    </row>
    <row r="14" spans="1:11">
      <c r="A14" s="60"/>
      <c r="B14" s="61"/>
      <c r="D14" s="71"/>
    </row>
    <row r="15" spans="1:11">
      <c r="A15" s="84" t="s">
        <v>45</v>
      </c>
      <c r="B15" s="78" t="s">
        <v>47</v>
      </c>
      <c r="C15" s="79" t="s">
        <v>48</v>
      </c>
      <c r="D15" s="97">
        <f>D8*PI()*(D5*0.1/2)^2</f>
        <v>2120.5750411731105</v>
      </c>
    </row>
    <row r="16" spans="1:11">
      <c r="B16" s="78" t="s">
        <v>49</v>
      </c>
      <c r="C16" s="79" t="s">
        <v>34</v>
      </c>
      <c r="D16" s="98">
        <f>D10/D11</f>
        <v>0.45</v>
      </c>
      <c r="E16" s="56" t="s">
        <v>50</v>
      </c>
    </row>
    <row r="17" spans="1:11">
      <c r="B17" s="78" t="s">
        <v>51</v>
      </c>
      <c r="C17" s="79" t="s">
        <v>52</v>
      </c>
      <c r="D17" s="97">
        <v>322</v>
      </c>
    </row>
    <row r="18" spans="1:11">
      <c r="B18" s="78" t="s">
        <v>51</v>
      </c>
      <c r="C18" s="79" t="s">
        <v>53</v>
      </c>
      <c r="D18" s="99">
        <f>D19*D11</f>
        <v>45.273978601601826</v>
      </c>
    </row>
    <row r="19" spans="1:11">
      <c r="B19" s="78" t="s">
        <v>54</v>
      </c>
      <c r="C19" s="79" t="s">
        <v>55</v>
      </c>
      <c r="D19" s="99">
        <f>0.9351/(D12^0.98)</f>
        <v>4.5273978601601828</v>
      </c>
      <c r="E19" s="56" t="s">
        <v>56</v>
      </c>
    </row>
    <row r="20" spans="1:11">
      <c r="B20" s="78" t="s">
        <v>57</v>
      </c>
      <c r="C20" s="79" t="s">
        <v>58</v>
      </c>
      <c r="D20" s="99">
        <f>D18*D16</f>
        <v>20.373290370720824</v>
      </c>
      <c r="H20" s="56" t="s">
        <v>59</v>
      </c>
    </row>
    <row r="21" spans="1:11">
      <c r="B21" s="78" t="s">
        <v>60</v>
      </c>
      <c r="C21" s="79" t="s">
        <v>61</v>
      </c>
      <c r="D21" s="97">
        <f>D13*60*(D16+1)</f>
        <v>5220</v>
      </c>
      <c r="E21" s="56" t="s">
        <v>62</v>
      </c>
      <c r="H21" s="56" t="s">
        <v>63</v>
      </c>
      <c r="I21" s="56" t="s">
        <v>64</v>
      </c>
    </row>
    <row r="22" spans="1:11">
      <c r="B22" s="78" t="s">
        <v>65</v>
      </c>
      <c r="C22" s="79" t="s">
        <v>61</v>
      </c>
      <c r="D22" s="97">
        <f>D9*60*10</f>
        <v>2400</v>
      </c>
      <c r="E22" s="56" t="s">
        <v>66</v>
      </c>
      <c r="H22" s="56">
        <v>0.56999999999999995</v>
      </c>
      <c r="I22" s="56">
        <f>H22/1000</f>
        <v>5.6999999999999998E-4</v>
      </c>
      <c r="K22" s="56" t="s">
        <v>67</v>
      </c>
    </row>
    <row r="23" spans="1:11">
      <c r="B23" s="78" t="s">
        <v>68</v>
      </c>
      <c r="C23" s="79" t="s">
        <v>61</v>
      </c>
      <c r="D23" s="97">
        <f>D9*60*10</f>
        <v>2400</v>
      </c>
      <c r="E23" s="56" t="s">
        <v>69</v>
      </c>
      <c r="H23" s="56">
        <v>2.57</v>
      </c>
      <c r="I23" s="56">
        <f>H23/1000</f>
        <v>2.5699999999999998E-3</v>
      </c>
    </row>
    <row r="24" spans="1:11">
      <c r="A24" s="60"/>
      <c r="B24" s="78" t="s">
        <v>70</v>
      </c>
      <c r="C24" s="79"/>
      <c r="D24" s="97">
        <f>10391*(D13/D17)</f>
        <v>1936.2111801242236</v>
      </c>
      <c r="E24" s="56" t="s">
        <v>71</v>
      </c>
    </row>
    <row r="25" spans="1:11">
      <c r="B25" s="62"/>
      <c r="C25" s="72"/>
      <c r="D25" s="73"/>
      <c r="E25" s="74"/>
    </row>
    <row r="26" spans="1:11">
      <c r="A26" s="75"/>
      <c r="B26" s="76" t="s">
        <v>72</v>
      </c>
      <c r="C26" s="66"/>
      <c r="D26" s="67"/>
    </row>
    <row r="27" spans="1:11">
      <c r="A27" s="77"/>
      <c r="B27" s="68" t="s">
        <v>20</v>
      </c>
      <c r="C27" s="69" t="s">
        <v>74</v>
      </c>
      <c r="D27" s="168">
        <f>1*Global!C17</f>
        <v>1</v>
      </c>
      <c r="E27" s="56" t="s">
        <v>75</v>
      </c>
    </row>
    <row r="28" spans="1:11">
      <c r="A28" s="77"/>
      <c r="B28" s="281" t="s">
        <v>78</v>
      </c>
      <c r="C28" s="282"/>
      <c r="D28" s="280"/>
    </row>
    <row r="29" spans="1:11">
      <c r="B29" s="78" t="s">
        <v>79</v>
      </c>
      <c r="C29" s="79" t="s">
        <v>80</v>
      </c>
      <c r="D29" s="80">
        <f>3000000*1.12*Global!C16</f>
        <v>3360000.0000000005</v>
      </c>
    </row>
    <row r="30" spans="1:11">
      <c r="B30" s="78" t="s">
        <v>436</v>
      </c>
      <c r="C30" s="79" t="s">
        <v>437</v>
      </c>
      <c r="D30" s="79">
        <v>5</v>
      </c>
    </row>
    <row r="31" spans="1:11">
      <c r="A31" s="60"/>
      <c r="B31" s="78" t="s">
        <v>81</v>
      </c>
      <c r="C31" s="79" t="s">
        <v>82</v>
      </c>
      <c r="D31" s="80">
        <f>D29*0.01</f>
        <v>33600.000000000007</v>
      </c>
    </row>
    <row r="32" spans="1:11">
      <c r="A32" s="60"/>
      <c r="B32" s="78" t="s">
        <v>83</v>
      </c>
      <c r="C32" s="79" t="s">
        <v>77</v>
      </c>
      <c r="D32" s="80">
        <v>0</v>
      </c>
      <c r="E32" s="56" t="s">
        <v>441</v>
      </c>
    </row>
    <row r="33" spans="1:11">
      <c r="A33" s="60"/>
      <c r="B33" s="78" t="s">
        <v>84</v>
      </c>
      <c r="C33" s="79" t="s">
        <v>85</v>
      </c>
      <c r="D33" s="79">
        <v>15</v>
      </c>
    </row>
    <row r="34" spans="1:11">
      <c r="A34" s="60"/>
      <c r="B34" s="78" t="s">
        <v>86</v>
      </c>
      <c r="C34" s="79" t="s">
        <v>43</v>
      </c>
      <c r="D34" s="81">
        <f>Global!C15</f>
        <v>0.8</v>
      </c>
      <c r="J34" s="59"/>
      <c r="K34" s="59"/>
    </row>
    <row r="35" spans="1:11">
      <c r="A35" s="60"/>
      <c r="B35" s="78" t="s">
        <v>87</v>
      </c>
      <c r="C35" s="79" t="s">
        <v>88</v>
      </c>
      <c r="D35" s="82">
        <v>10</v>
      </c>
      <c r="J35" s="59"/>
      <c r="K35" s="59"/>
    </row>
    <row r="36" spans="1:11">
      <c r="A36" s="60"/>
      <c r="B36" s="65" t="s">
        <v>261</v>
      </c>
      <c r="C36" s="66"/>
      <c r="D36" s="67"/>
      <c r="J36" s="59"/>
      <c r="K36" s="59"/>
    </row>
    <row r="37" spans="1:11">
      <c r="B37" s="78" t="s">
        <v>18</v>
      </c>
      <c r="C37" s="79" t="s">
        <v>80</v>
      </c>
      <c r="D37" s="100">
        <v>10</v>
      </c>
      <c r="E37" s="56" t="s">
        <v>414</v>
      </c>
    </row>
    <row r="38" spans="1:11">
      <c r="A38" s="60"/>
      <c r="B38" s="78" t="s">
        <v>54</v>
      </c>
      <c r="C38" s="79" t="s">
        <v>89</v>
      </c>
      <c r="D38" s="101">
        <v>5</v>
      </c>
    </row>
    <row r="39" spans="1:11">
      <c r="A39" s="60"/>
      <c r="B39" s="78" t="s">
        <v>258</v>
      </c>
      <c r="C39" s="79" t="s">
        <v>90</v>
      </c>
      <c r="D39" s="101">
        <v>1.4999999999999999E-2</v>
      </c>
    </row>
    <row r="40" spans="1:11">
      <c r="A40" s="60"/>
      <c r="B40" s="78" t="s">
        <v>259</v>
      </c>
      <c r="C40" s="79" t="s">
        <v>90</v>
      </c>
      <c r="D40" s="101">
        <v>5.9999999999999995E-4</v>
      </c>
    </row>
    <row r="41" spans="1:11">
      <c r="A41" s="60"/>
      <c r="B41" s="78" t="s">
        <v>260</v>
      </c>
      <c r="C41" s="79" t="s">
        <v>90</v>
      </c>
      <c r="D41" s="101">
        <v>2.5000000000000001E-3</v>
      </c>
    </row>
    <row r="42" spans="1:11">
      <c r="A42" s="60"/>
      <c r="B42" s="78" t="s">
        <v>319</v>
      </c>
      <c r="C42" s="79"/>
      <c r="D42" s="83">
        <v>500</v>
      </c>
      <c r="E42" s="56" t="s">
        <v>318</v>
      </c>
    </row>
    <row r="44" spans="1:11">
      <c r="A44" s="84" t="s">
        <v>92</v>
      </c>
      <c r="B44" s="78" t="s">
        <v>93</v>
      </c>
      <c r="C44" s="79" t="s">
        <v>438</v>
      </c>
      <c r="D44" s="80">
        <f>D8*D37</f>
        <v>120</v>
      </c>
    </row>
    <row r="45" spans="1:11">
      <c r="B45" s="78" t="s">
        <v>94</v>
      </c>
      <c r="C45" s="79" t="s">
        <v>434</v>
      </c>
      <c r="D45" s="80">
        <f>((D20*D38)+(D21*D39)+(D22*D40+D23*D41)+D42)/D9</f>
        <v>171.90161296340102</v>
      </c>
    </row>
    <row r="46" spans="1:11">
      <c r="B46" s="78" t="s">
        <v>95</v>
      </c>
      <c r="C46" s="79" t="s">
        <v>434</v>
      </c>
      <c r="D46" s="80">
        <f>D27*Global!C7</f>
        <v>30</v>
      </c>
    </row>
    <row r="47" spans="1:11">
      <c r="B47" s="78" t="s">
        <v>96</v>
      </c>
      <c r="C47" s="79" t="s">
        <v>434</v>
      </c>
      <c r="D47" s="83">
        <f>((D35*Global!C8)+(Global!C6*D33)/(365*24))+D32</f>
        <v>13.136986301369863</v>
      </c>
      <c r="E47" s="56" t="s">
        <v>439</v>
      </c>
    </row>
    <row r="48" spans="1:11">
      <c r="B48" s="78" t="s">
        <v>433</v>
      </c>
      <c r="C48" s="79" t="s">
        <v>434</v>
      </c>
      <c r="D48" s="83">
        <f>(0.8*(D29/(D30*365*24))+D31/(365*24))/D34</f>
        <v>81.506849315068493</v>
      </c>
      <c r="E48" s="56" t="s">
        <v>435</v>
      </c>
    </row>
    <row r="49" spans="2:6">
      <c r="B49" s="233" t="s">
        <v>13</v>
      </c>
      <c r="C49" s="79" t="s">
        <v>434</v>
      </c>
      <c r="D49" s="102">
        <f>SUM(D45:D48)</f>
        <v>296.54544857983939</v>
      </c>
      <c r="E49" s="91"/>
    </row>
    <row r="50" spans="2:6">
      <c r="B50" s="233" t="s">
        <v>13</v>
      </c>
      <c r="C50" s="79" t="s">
        <v>438</v>
      </c>
      <c r="D50" s="102">
        <f>D49*D9+D44</f>
        <v>1306.1817943193576</v>
      </c>
      <c r="E50" s="91"/>
    </row>
    <row r="51" spans="2:6">
      <c r="B51" s="88" t="s">
        <v>440</v>
      </c>
      <c r="C51" s="103"/>
      <c r="D51" s="90">
        <f>D50/D8</f>
        <v>108.84848285994646</v>
      </c>
      <c r="E51" s="91"/>
    </row>
    <row r="54" spans="2:6">
      <c r="B54" s="56">
        <f>D37/D51</f>
        <v>9.1870825731827921E-2</v>
      </c>
    </row>
    <row r="56" spans="2:6">
      <c r="F56" s="56" t="s">
        <v>334</v>
      </c>
    </row>
  </sheetData>
  <mergeCells count="2">
    <mergeCell ref="B28:D28"/>
    <mergeCell ref="A2:D2"/>
  </mergeCells>
  <conditionalFormatting sqref="D24">
    <cfRule type="cellIs" dxfId="0" priority="1" stopIfTrue="1" operator="lessThan">
      <formula>1500</formula>
    </cfRule>
  </conditionalFormatting>
  <hyperlinks>
    <hyperlink ref="A2" location="Process!A1" display="Process!A1" xr:uid="{00000000-0004-0000-0300-000000000000}"/>
  </hyperlinks>
  <pageMargins left="0.75" right="0.75" top="1" bottom="1" header="0.5" footer="0.5"/>
  <pageSetup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7">
    <pageSetUpPr fitToPage="1"/>
  </sheetPr>
  <dimension ref="A1:E36"/>
  <sheetViews>
    <sheetView workbookViewId="0">
      <selection activeCell="D9" sqref="D9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3.33203125" style="59" bestFit="1" customWidth="1"/>
    <col min="5" max="5" width="19.5" style="56" bestFit="1" customWidth="1"/>
    <col min="6" max="16384" width="8.6640625" style="56"/>
  </cols>
  <sheetData>
    <row r="1" spans="1:5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5" s="58" customFormat="1">
      <c r="A2" s="283" t="s">
        <v>242</v>
      </c>
      <c r="B2" s="283"/>
      <c r="C2" s="283"/>
      <c r="D2" s="283"/>
    </row>
    <row r="3" spans="1:5" s="58" customFormat="1">
      <c r="B3" s="65" t="s">
        <v>276</v>
      </c>
      <c r="C3" s="66"/>
      <c r="D3" s="67"/>
    </row>
    <row r="4" spans="1:5">
      <c r="B4" s="78" t="s">
        <v>1</v>
      </c>
      <c r="C4" s="79"/>
      <c r="D4" s="79" t="str">
        <f>Global!C2</f>
        <v>Sapphire</v>
      </c>
    </row>
    <row r="5" spans="1:5">
      <c r="A5" s="60"/>
      <c r="B5" s="78" t="s">
        <v>29</v>
      </c>
      <c r="C5" s="79" t="s">
        <v>30</v>
      </c>
      <c r="D5" s="79">
        <f>Global!C3</f>
        <v>150</v>
      </c>
    </row>
    <row r="6" spans="1:5">
      <c r="A6" s="57" t="s">
        <v>26</v>
      </c>
      <c r="B6" s="68" t="s">
        <v>78</v>
      </c>
      <c r="C6" s="69"/>
      <c r="D6" s="169" t="s">
        <v>292</v>
      </c>
    </row>
    <row r="7" spans="1:5">
      <c r="A7" s="70"/>
      <c r="B7" s="65" t="s">
        <v>32</v>
      </c>
      <c r="C7" s="66"/>
      <c r="D7" s="67"/>
    </row>
    <row r="8" spans="1:5">
      <c r="B8" s="68" t="s">
        <v>187</v>
      </c>
      <c r="C8" s="69" t="s">
        <v>143</v>
      </c>
      <c r="D8" s="166">
        <f>15/Global!C18</f>
        <v>15</v>
      </c>
    </row>
    <row r="9" spans="1:5">
      <c r="B9" s="62"/>
      <c r="C9" s="72"/>
      <c r="D9" s="73"/>
      <c r="E9" s="74"/>
    </row>
    <row r="10" spans="1:5">
      <c r="A10" s="75"/>
      <c r="B10" s="76" t="s">
        <v>72</v>
      </c>
      <c r="C10" s="66"/>
      <c r="D10" s="67"/>
    </row>
    <row r="11" spans="1:5">
      <c r="B11" s="68" t="s">
        <v>20</v>
      </c>
      <c r="C11" s="69" t="s">
        <v>74</v>
      </c>
      <c r="D11" s="168">
        <f>0.2*Global!C17</f>
        <v>0.2</v>
      </c>
    </row>
    <row r="12" spans="1:5">
      <c r="A12" s="77"/>
      <c r="B12" s="65" t="s">
        <v>78</v>
      </c>
      <c r="C12" s="66"/>
      <c r="D12" s="67"/>
    </row>
    <row r="13" spans="1:5">
      <c r="B13" s="78" t="s">
        <v>79</v>
      </c>
      <c r="C13" s="79" t="s">
        <v>80</v>
      </c>
      <c r="D13" s="80">
        <f>350000*1.12*Global!C16</f>
        <v>392000.00000000006</v>
      </c>
    </row>
    <row r="14" spans="1:5">
      <c r="B14" s="78" t="s">
        <v>436</v>
      </c>
      <c r="C14" s="79" t="s">
        <v>437</v>
      </c>
      <c r="D14" s="79">
        <v>5</v>
      </c>
    </row>
    <row r="15" spans="1:5">
      <c r="A15" s="60"/>
      <c r="B15" s="78" t="s">
        <v>81</v>
      </c>
      <c r="C15" s="79" t="s">
        <v>82</v>
      </c>
      <c r="D15" s="80">
        <f>0.01*D13</f>
        <v>3920.0000000000005</v>
      </c>
    </row>
    <row r="16" spans="1:5">
      <c r="A16" s="60"/>
      <c r="B16" s="78" t="s">
        <v>83</v>
      </c>
      <c r="C16" s="79" t="s">
        <v>77</v>
      </c>
      <c r="D16" s="80">
        <v>0</v>
      </c>
    </row>
    <row r="17" spans="1:5">
      <c r="A17" s="60"/>
      <c r="B17" s="78" t="s">
        <v>84</v>
      </c>
      <c r="C17" s="79" t="s">
        <v>85</v>
      </c>
      <c r="D17" s="79">
        <v>1</v>
      </c>
    </row>
    <row r="18" spans="1:5">
      <c r="A18" s="60"/>
      <c r="B18" s="78" t="s">
        <v>86</v>
      </c>
      <c r="C18" s="79" t="s">
        <v>43</v>
      </c>
      <c r="D18" s="81">
        <f>Global!C15</f>
        <v>0.8</v>
      </c>
    </row>
    <row r="19" spans="1:5">
      <c r="A19" s="60"/>
      <c r="B19" s="78" t="s">
        <v>87</v>
      </c>
      <c r="C19" s="79" t="s">
        <v>88</v>
      </c>
      <c r="D19" s="82">
        <v>5</v>
      </c>
    </row>
    <row r="20" spans="1:5">
      <c r="A20" s="60"/>
      <c r="B20" s="65" t="s">
        <v>261</v>
      </c>
      <c r="C20" s="66"/>
      <c r="D20" s="67"/>
    </row>
    <row r="21" spans="1:5">
      <c r="A21" s="60"/>
      <c r="B21" s="78" t="s">
        <v>173</v>
      </c>
      <c r="C21" s="79"/>
      <c r="D21" s="83"/>
    </row>
    <row r="22" spans="1:5">
      <c r="A22" s="60"/>
      <c r="B22" s="78" t="s">
        <v>173</v>
      </c>
      <c r="C22" s="79"/>
      <c r="D22" s="83"/>
    </row>
    <row r="23" spans="1:5">
      <c r="A23" s="60"/>
      <c r="B23" s="78" t="s">
        <v>173</v>
      </c>
      <c r="C23" s="79"/>
      <c r="D23" s="83"/>
    </row>
    <row r="24" spans="1:5">
      <c r="A24" s="60"/>
      <c r="B24" s="78" t="s">
        <v>173</v>
      </c>
      <c r="C24" s="79"/>
      <c r="D24" s="83"/>
    </row>
    <row r="26" spans="1:5">
      <c r="A26" s="84" t="s">
        <v>92</v>
      </c>
      <c r="B26" s="78" t="s">
        <v>95</v>
      </c>
      <c r="C26" s="79" t="s">
        <v>434</v>
      </c>
      <c r="D26" s="86">
        <f>D11*Global!C7</f>
        <v>6</v>
      </c>
    </row>
    <row r="27" spans="1:5">
      <c r="A27" s="61"/>
      <c r="B27" s="78" t="s">
        <v>94</v>
      </c>
      <c r="C27" s="79" t="s">
        <v>434</v>
      </c>
      <c r="D27" s="86">
        <f>SUM(D21:D24)</f>
        <v>0</v>
      </c>
    </row>
    <row r="28" spans="1:5">
      <c r="B28" s="78" t="s">
        <v>96</v>
      </c>
      <c r="C28" s="79" t="s">
        <v>434</v>
      </c>
      <c r="D28" s="83">
        <f>(D19*Global!C8)+(Global!C6*D17)/(365*24)+D16</f>
        <v>4.3424657534246576</v>
      </c>
      <c r="E28" s="56" t="s">
        <v>439</v>
      </c>
    </row>
    <row r="29" spans="1:5">
      <c r="B29" s="78" t="s">
        <v>433</v>
      </c>
      <c r="C29" s="79" t="s">
        <v>434</v>
      </c>
      <c r="D29" s="83">
        <f>(0.8*D13/(D14*365*24)+D15/(365*24))/D18</f>
        <v>9.5091324200913263</v>
      </c>
      <c r="E29" s="56" t="s">
        <v>435</v>
      </c>
    </row>
    <row r="30" spans="1:5">
      <c r="B30" s="233" t="s">
        <v>13</v>
      </c>
      <c r="C30" s="79" t="s">
        <v>434</v>
      </c>
      <c r="D30" s="83">
        <f>SUM(D26:D29)</f>
        <v>19.851598173515985</v>
      </c>
    </row>
    <row r="31" spans="1:5">
      <c r="B31" s="88" t="s">
        <v>440</v>
      </c>
      <c r="C31" s="89"/>
      <c r="D31" s="90">
        <f>D30/D8</f>
        <v>1.323439878234399</v>
      </c>
      <c r="E31" s="91"/>
    </row>
    <row r="36" spans="4:4">
      <c r="D36" s="93"/>
    </row>
  </sheetData>
  <mergeCells count="1">
    <mergeCell ref="A2:D2"/>
  </mergeCells>
  <hyperlinks>
    <hyperlink ref="A2" location="Process!A1" display="Process!A1" xr:uid="{00000000-0004-0000-0400-000000000000}"/>
  </hyperlinks>
  <pageMargins left="0.75" right="0.75" top="1" bottom="1" header="0.5" footer="0.5"/>
  <pageSetup scale="6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3"/>
  <dimension ref="A1:K41"/>
  <sheetViews>
    <sheetView workbookViewId="0">
      <selection activeCell="D10" sqref="D10"/>
    </sheetView>
  </sheetViews>
  <sheetFormatPr baseColWidth="10" defaultColWidth="8.6640625" defaultRowHeight="15"/>
  <cols>
    <col min="1" max="1" width="17.5" style="56" customWidth="1"/>
    <col min="2" max="2" width="21.6640625" style="56" bestFit="1" customWidth="1"/>
    <col min="3" max="3" width="7.33203125" style="59" bestFit="1" customWidth="1"/>
    <col min="4" max="4" width="18.5" style="59" customWidth="1"/>
    <col min="5" max="5" width="27.1640625" style="56" bestFit="1" customWidth="1"/>
    <col min="6" max="6" width="5.33203125" style="56" bestFit="1" customWidth="1"/>
    <col min="7" max="16384" width="8.6640625" style="56"/>
  </cols>
  <sheetData>
    <row r="1" spans="1:11" s="58" customFormat="1">
      <c r="A1" s="63" t="s">
        <v>7</v>
      </c>
      <c r="B1" s="63" t="s">
        <v>22</v>
      </c>
      <c r="C1" s="63" t="s">
        <v>23</v>
      </c>
      <c r="D1" s="63" t="s">
        <v>24</v>
      </c>
      <c r="E1" s="63" t="s">
        <v>25</v>
      </c>
    </row>
    <row r="2" spans="1:11" s="58" customFormat="1">
      <c r="A2" s="283" t="s">
        <v>242</v>
      </c>
      <c r="B2" s="283"/>
      <c r="C2" s="283"/>
      <c r="D2" s="283"/>
    </row>
    <row r="3" spans="1:11" s="58" customFormat="1">
      <c r="B3" s="94" t="s">
        <v>275</v>
      </c>
      <c r="C3" s="95"/>
      <c r="D3" s="96"/>
    </row>
    <row r="4" spans="1:11">
      <c r="B4" s="78" t="s">
        <v>1</v>
      </c>
      <c r="C4" s="79"/>
      <c r="D4" s="79" t="str">
        <f>Global!C2</f>
        <v>Sapphire</v>
      </c>
      <c r="J4" s="59"/>
      <c r="K4" s="59"/>
    </row>
    <row r="5" spans="1:11">
      <c r="A5" s="60"/>
      <c r="B5" s="78" t="s">
        <v>29</v>
      </c>
      <c r="C5" s="79" t="s">
        <v>30</v>
      </c>
      <c r="D5" s="79">
        <f>Global!C3</f>
        <v>150</v>
      </c>
      <c r="J5" s="59"/>
      <c r="K5" s="59"/>
    </row>
    <row r="6" spans="1:11">
      <c r="A6" s="57" t="s">
        <v>26</v>
      </c>
      <c r="B6" s="68" t="s">
        <v>78</v>
      </c>
      <c r="C6" s="69"/>
      <c r="D6" s="166" t="s">
        <v>132</v>
      </c>
      <c r="J6" s="59"/>
      <c r="K6" s="59"/>
    </row>
    <row r="7" spans="1:11">
      <c r="A7" s="60"/>
      <c r="B7" s="65" t="s">
        <v>32</v>
      </c>
      <c r="C7" s="66"/>
      <c r="D7" s="67"/>
    </row>
    <row r="8" spans="1:11">
      <c r="A8" s="60"/>
      <c r="B8" s="68" t="s">
        <v>33</v>
      </c>
      <c r="C8" s="79" t="s">
        <v>123</v>
      </c>
      <c r="D8" s="166">
        <f>50*Global!C18</f>
        <v>50</v>
      </c>
    </row>
    <row r="9" spans="1:11">
      <c r="B9" s="68" t="s">
        <v>444</v>
      </c>
      <c r="C9" s="79" t="s">
        <v>123</v>
      </c>
      <c r="D9" s="166">
        <f>100*Global!C18</f>
        <v>100</v>
      </c>
    </row>
    <row r="10" spans="1:11">
      <c r="B10" s="68" t="s">
        <v>445</v>
      </c>
      <c r="C10" s="79" t="s">
        <v>36</v>
      </c>
      <c r="D10" s="166">
        <v>20</v>
      </c>
    </row>
    <row r="11" spans="1:11">
      <c r="B11" s="68" t="s">
        <v>446</v>
      </c>
      <c r="C11" s="79" t="s">
        <v>43</v>
      </c>
      <c r="D11" s="174">
        <v>10</v>
      </c>
    </row>
    <row r="12" spans="1:11">
      <c r="B12" s="68" t="s">
        <v>447</v>
      </c>
      <c r="C12" s="79" t="s">
        <v>448</v>
      </c>
      <c r="D12" s="166">
        <v>50</v>
      </c>
    </row>
    <row r="13" spans="1:11">
      <c r="A13" s="60"/>
      <c r="B13" s="61"/>
      <c r="D13" s="71"/>
    </row>
    <row r="14" spans="1:11">
      <c r="A14" s="84" t="s">
        <v>45</v>
      </c>
      <c r="B14" s="78" t="s">
        <v>126</v>
      </c>
      <c r="C14" s="79" t="s">
        <v>34</v>
      </c>
      <c r="D14" s="171">
        <f>1/D8</f>
        <v>0.02</v>
      </c>
    </row>
    <row r="15" spans="1:11">
      <c r="B15" s="78" t="s">
        <v>133</v>
      </c>
      <c r="C15" s="79" t="s">
        <v>124</v>
      </c>
      <c r="D15" s="98">
        <f>(((D5^2*PI())*(D10/1000))*(1+D11))/(10^3)</f>
        <v>15.550883635269479</v>
      </c>
      <c r="E15" s="56" t="s">
        <v>125</v>
      </c>
    </row>
    <row r="16" spans="1:11">
      <c r="B16" s="78" t="s">
        <v>127</v>
      </c>
      <c r="C16" s="79"/>
      <c r="D16" s="98">
        <f>D8/D9</f>
        <v>0.5</v>
      </c>
    </row>
    <row r="17" spans="1:11">
      <c r="B17" s="62"/>
      <c r="C17" s="72"/>
      <c r="D17" s="235"/>
    </row>
    <row r="18" spans="1:11">
      <c r="A18" s="75"/>
      <c r="B18" s="76" t="s">
        <v>72</v>
      </c>
      <c r="C18" s="66"/>
      <c r="D18" s="67"/>
    </row>
    <row r="19" spans="1:11">
      <c r="B19" s="68" t="s">
        <v>20</v>
      </c>
      <c r="C19" s="69" t="s">
        <v>74</v>
      </c>
      <c r="D19" s="168">
        <f>0.1*Global!C17</f>
        <v>0.1</v>
      </c>
    </row>
    <row r="20" spans="1:11">
      <c r="A20" s="77"/>
      <c r="B20" s="65" t="s">
        <v>78</v>
      </c>
      <c r="C20" s="66"/>
      <c r="D20" s="67"/>
    </row>
    <row r="21" spans="1:11">
      <c r="B21" s="85" t="s">
        <v>79</v>
      </c>
      <c r="C21" s="79" t="s">
        <v>80</v>
      </c>
      <c r="D21" s="80">
        <f>1000000*1.12*Global!C16</f>
        <v>1120000</v>
      </c>
    </row>
    <row r="22" spans="1:11">
      <c r="B22" s="78" t="s">
        <v>436</v>
      </c>
      <c r="C22" s="79" t="s">
        <v>437</v>
      </c>
      <c r="D22" s="79">
        <v>5</v>
      </c>
    </row>
    <row r="23" spans="1:11">
      <c r="B23" s="78" t="s">
        <v>128</v>
      </c>
      <c r="C23" s="79" t="s">
        <v>80</v>
      </c>
      <c r="D23" s="80">
        <f>200000*D16</f>
        <v>100000</v>
      </c>
      <c r="E23" s="234" t="s">
        <v>449</v>
      </c>
    </row>
    <row r="24" spans="1:11">
      <c r="A24" s="60"/>
      <c r="B24" s="78" t="s">
        <v>81</v>
      </c>
      <c r="C24" s="79" t="s">
        <v>82</v>
      </c>
      <c r="D24" s="80">
        <f>0.01*(D21+D23)</f>
        <v>12200</v>
      </c>
      <c r="E24" s="56" t="s">
        <v>129</v>
      </c>
    </row>
    <row r="25" spans="1:11">
      <c r="A25" s="60"/>
      <c r="B25" s="78" t="s">
        <v>83</v>
      </c>
      <c r="C25" s="79" t="s">
        <v>77</v>
      </c>
      <c r="D25" s="236">
        <v>5</v>
      </c>
      <c r="E25" s="188" t="s">
        <v>442</v>
      </c>
      <c r="F25" s="188" t="s">
        <v>443</v>
      </c>
    </row>
    <row r="26" spans="1:11">
      <c r="A26" s="60"/>
      <c r="B26" s="78" t="s">
        <v>84</v>
      </c>
      <c r="C26" s="79" t="s">
        <v>85</v>
      </c>
      <c r="D26" s="79">
        <v>10</v>
      </c>
      <c r="E26" s="188" t="s">
        <v>130</v>
      </c>
    </row>
    <row r="27" spans="1:11">
      <c r="A27" s="60"/>
      <c r="B27" s="78" t="s">
        <v>86</v>
      </c>
      <c r="C27" s="79" t="s">
        <v>43</v>
      </c>
      <c r="D27" s="81">
        <f>Global!C15</f>
        <v>0.8</v>
      </c>
      <c r="J27" s="59"/>
      <c r="K27" s="59"/>
    </row>
    <row r="28" spans="1:11">
      <c r="A28" s="60"/>
      <c r="B28" s="78" t="s">
        <v>87</v>
      </c>
      <c r="C28" s="79" t="s">
        <v>88</v>
      </c>
      <c r="D28" s="82">
        <v>10</v>
      </c>
      <c r="J28" s="59"/>
      <c r="K28" s="59"/>
    </row>
    <row r="29" spans="1:11">
      <c r="A29" s="60"/>
      <c r="B29" s="65" t="s">
        <v>261</v>
      </c>
      <c r="C29" s="66"/>
      <c r="D29" s="67"/>
      <c r="J29" s="59"/>
      <c r="K29" s="59"/>
    </row>
    <row r="30" spans="1:11">
      <c r="A30" s="60"/>
      <c r="B30" s="230" t="s">
        <v>317</v>
      </c>
      <c r="C30" s="69" t="s">
        <v>80</v>
      </c>
      <c r="D30" s="83">
        <v>1</v>
      </c>
      <c r="J30" s="59"/>
      <c r="K30" s="59"/>
    </row>
    <row r="31" spans="1:11">
      <c r="A31" s="60"/>
      <c r="B31" s="78" t="s">
        <v>265</v>
      </c>
      <c r="C31" s="79" t="s">
        <v>131</v>
      </c>
      <c r="D31" s="83">
        <v>0.15</v>
      </c>
    </row>
    <row r="32" spans="1:11">
      <c r="A32" s="60"/>
      <c r="B32" s="85" t="s">
        <v>173</v>
      </c>
      <c r="C32" s="79"/>
      <c r="D32" s="83"/>
    </row>
    <row r="33" spans="1:6">
      <c r="A33" s="60"/>
      <c r="B33" s="85" t="s">
        <v>173</v>
      </c>
      <c r="C33" s="79"/>
      <c r="D33" s="83"/>
    </row>
    <row r="35" spans="1:6">
      <c r="A35" s="84" t="s">
        <v>92</v>
      </c>
      <c r="B35" s="78" t="s">
        <v>94</v>
      </c>
      <c r="C35" s="79"/>
      <c r="D35" s="80">
        <f>(D30*(D8/D12))+(D31*D15*D8)</f>
        <v>117.63162726452107</v>
      </c>
      <c r="F35" s="87"/>
    </row>
    <row r="36" spans="1:6">
      <c r="A36" s="61"/>
      <c r="B36" s="78" t="s">
        <v>95</v>
      </c>
      <c r="C36" s="79"/>
      <c r="D36" s="80">
        <f>D19*Global!C7</f>
        <v>3</v>
      </c>
      <c r="F36" s="87"/>
    </row>
    <row r="37" spans="1:6">
      <c r="B37" s="78" t="s">
        <v>96</v>
      </c>
      <c r="C37" s="79"/>
      <c r="D37" s="80">
        <f>((D28*Global!C8)+((Global!C6*D26)/(365*24))+(D25))/D27</f>
        <v>20.530821917808222</v>
      </c>
      <c r="E37" s="56" t="s">
        <v>439</v>
      </c>
      <c r="F37" s="87"/>
    </row>
    <row r="38" spans="1:6">
      <c r="B38" s="78" t="s">
        <v>433</v>
      </c>
      <c r="C38" s="79" t="s">
        <v>434</v>
      </c>
      <c r="D38" s="83">
        <f>(0.8*D21/(D22*365*24)+D24/(365*24))/D27</f>
        <v>27.311643835616433</v>
      </c>
      <c r="E38" s="56" t="s">
        <v>435</v>
      </c>
    </row>
    <row r="39" spans="1:6">
      <c r="B39" s="78" t="s">
        <v>97</v>
      </c>
      <c r="C39" s="79"/>
      <c r="D39" s="218">
        <f>SUM(D35:D38)</f>
        <v>168.47409301794571</v>
      </c>
      <c r="F39" s="87"/>
    </row>
    <row r="40" spans="1:6">
      <c r="B40" s="88" t="s">
        <v>121</v>
      </c>
      <c r="C40" s="89"/>
      <c r="D40" s="90">
        <f>D39/D8</f>
        <v>3.3694818603589143</v>
      </c>
      <c r="F40" s="87"/>
    </row>
    <row r="41" spans="1:6">
      <c r="E41" s="74"/>
    </row>
  </sheetData>
  <mergeCells count="1">
    <mergeCell ref="A2:D2"/>
  </mergeCells>
  <hyperlinks>
    <hyperlink ref="A2" location="Process!A1" display="Process!A1" xr:uid="{00000000-0004-0000-0600-000000000000}"/>
    <hyperlink ref="E23" r:id="rId1" location="Basic_procedure " xr:uid="{CBE71288-AF5C-406B-B04B-AADDC93D22C4}"/>
  </hyperlinks>
  <pageMargins left="0.75" right="0.75" top="1" bottom="1" header="0.5" footer="0.5"/>
  <pageSetup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4E7AF-7AC1-4360-9F87-C66F9724E868}">
  <dimension ref="A1:I41"/>
  <sheetViews>
    <sheetView workbookViewId="0">
      <selection activeCell="D9" sqref="D9"/>
    </sheetView>
  </sheetViews>
  <sheetFormatPr baseColWidth="10" defaultColWidth="8.6640625" defaultRowHeight="15"/>
  <cols>
    <col min="1" max="1" width="17.5" style="188" customWidth="1"/>
    <col min="2" max="2" width="21.6640625" style="188" bestFit="1" customWidth="1"/>
    <col min="3" max="3" width="7.33203125" style="214" bestFit="1" customWidth="1"/>
    <col min="4" max="4" width="18.5" style="214" customWidth="1"/>
    <col min="5" max="5" width="20.6640625" style="188" customWidth="1"/>
    <col min="6" max="16384" width="8.6640625" style="188"/>
  </cols>
  <sheetData>
    <row r="1" spans="1:9" s="187" customFormat="1">
      <c r="A1" s="186" t="s">
        <v>7</v>
      </c>
      <c r="B1" s="186" t="s">
        <v>22</v>
      </c>
      <c r="C1" s="186" t="s">
        <v>23</v>
      </c>
      <c r="D1" s="186" t="s">
        <v>24</v>
      </c>
      <c r="E1" s="186" t="s">
        <v>25</v>
      </c>
    </row>
    <row r="2" spans="1:9" s="187" customFormat="1">
      <c r="A2" s="283" t="s">
        <v>242</v>
      </c>
      <c r="B2" s="283"/>
      <c r="C2" s="283"/>
      <c r="D2" s="283"/>
    </row>
    <row r="3" spans="1:9" s="187" customFormat="1">
      <c r="B3" s="284" t="s">
        <v>275</v>
      </c>
      <c r="C3" s="285"/>
      <c r="D3" s="286"/>
    </row>
    <row r="4" spans="1:9">
      <c r="B4" s="202" t="s">
        <v>1</v>
      </c>
      <c r="C4" s="200"/>
      <c r="D4" s="200" t="s">
        <v>27</v>
      </c>
      <c r="H4" s="214"/>
      <c r="I4" s="214"/>
    </row>
    <row r="5" spans="1:9">
      <c r="A5" s="191"/>
      <c r="B5" s="202" t="s">
        <v>29</v>
      </c>
      <c r="C5" s="200" t="s">
        <v>30</v>
      </c>
      <c r="D5" s="200">
        <v>50</v>
      </c>
      <c r="H5" s="214"/>
      <c r="I5" s="214"/>
    </row>
    <row r="6" spans="1:9">
      <c r="A6" s="192" t="s">
        <v>26</v>
      </c>
      <c r="B6" s="189" t="s">
        <v>78</v>
      </c>
      <c r="C6" s="190"/>
      <c r="D6" s="193" t="s">
        <v>423</v>
      </c>
      <c r="H6" s="214"/>
      <c r="I6" s="214"/>
    </row>
    <row r="7" spans="1:9">
      <c r="A7" s="191"/>
      <c r="B7" s="194" t="s">
        <v>32</v>
      </c>
      <c r="C7" s="195"/>
      <c r="D7" s="196"/>
    </row>
    <row r="8" spans="1:9" s="56" customFormat="1">
      <c r="A8" s="60"/>
      <c r="B8" s="68" t="s">
        <v>122</v>
      </c>
      <c r="C8" s="79" t="s">
        <v>123</v>
      </c>
      <c r="D8" s="166">
        <f>100*Global!C18</f>
        <v>100</v>
      </c>
    </row>
    <row r="9" spans="1:9" s="56" customFormat="1">
      <c r="B9" s="68" t="s">
        <v>444</v>
      </c>
      <c r="C9" s="79" t="s">
        <v>123</v>
      </c>
      <c r="D9" s="166">
        <f>D8</f>
        <v>100</v>
      </c>
    </row>
    <row r="10" spans="1:9" s="56" customFormat="1">
      <c r="B10" s="68" t="s">
        <v>445</v>
      </c>
      <c r="C10" s="79" t="s">
        <v>36</v>
      </c>
      <c r="D10" s="166">
        <v>20</v>
      </c>
    </row>
    <row r="11" spans="1:9" s="56" customFormat="1">
      <c r="B11" s="68" t="s">
        <v>446</v>
      </c>
      <c r="C11" s="79" t="s">
        <v>43</v>
      </c>
      <c r="D11" s="174">
        <v>10</v>
      </c>
    </row>
    <row r="12" spans="1:9" s="56" customFormat="1">
      <c r="B12" s="61"/>
      <c r="C12" s="72"/>
    </row>
    <row r="14" spans="1:9">
      <c r="A14" s="201" t="s">
        <v>45</v>
      </c>
      <c r="B14" s="202" t="s">
        <v>126</v>
      </c>
      <c r="C14" s="200" t="s">
        <v>34</v>
      </c>
      <c r="D14" s="171">
        <f>1/D8</f>
        <v>0.01</v>
      </c>
    </row>
    <row r="15" spans="1:9">
      <c r="B15" s="202" t="s">
        <v>133</v>
      </c>
      <c r="C15" s="200" t="s">
        <v>124</v>
      </c>
      <c r="D15" s="98">
        <f>(((D5^2*PI())*(D10/1000))*(1+D11))/(10^3)</f>
        <v>1.7278759594743862</v>
      </c>
      <c r="E15" s="188" t="s">
        <v>125</v>
      </c>
    </row>
    <row r="16" spans="1:9">
      <c r="B16" s="202" t="s">
        <v>127</v>
      </c>
      <c r="C16" s="200"/>
      <c r="D16" s="98">
        <f>D8/D9</f>
        <v>1</v>
      </c>
    </row>
    <row r="18" spans="1:9">
      <c r="A18" s="206"/>
      <c r="B18" s="207" t="s">
        <v>72</v>
      </c>
      <c r="C18" s="195"/>
      <c r="D18" s="196"/>
    </row>
    <row r="19" spans="1:9">
      <c r="B19" s="189" t="s">
        <v>20</v>
      </c>
      <c r="C19" s="190" t="s">
        <v>74</v>
      </c>
      <c r="D19" s="208">
        <f>0.1*Global!C17</f>
        <v>0.1</v>
      </c>
    </row>
    <row r="20" spans="1:9">
      <c r="A20" s="209"/>
      <c r="B20" s="194" t="s">
        <v>78</v>
      </c>
      <c r="C20" s="195"/>
      <c r="D20" s="196"/>
    </row>
    <row r="21" spans="1:9">
      <c r="B21" s="220" t="s">
        <v>79</v>
      </c>
      <c r="C21" s="200" t="s">
        <v>80</v>
      </c>
      <c r="D21" s="210">
        <f>1000000*1.12*Global!C16</f>
        <v>1120000</v>
      </c>
    </row>
    <row r="22" spans="1:9" s="56" customFormat="1">
      <c r="B22" s="78" t="s">
        <v>436</v>
      </c>
      <c r="C22" s="79" t="s">
        <v>437</v>
      </c>
      <c r="D22" s="79">
        <v>5</v>
      </c>
    </row>
    <row r="23" spans="1:9">
      <c r="B23" s="202" t="s">
        <v>128</v>
      </c>
      <c r="C23" s="200" t="s">
        <v>80</v>
      </c>
      <c r="D23" s="210">
        <f>200000*D16</f>
        <v>200000</v>
      </c>
      <c r="E23" s="234" t="s">
        <v>449</v>
      </c>
    </row>
    <row r="24" spans="1:9">
      <c r="A24" s="191"/>
      <c r="B24" s="202" t="s">
        <v>81</v>
      </c>
      <c r="C24" s="200" t="s">
        <v>82</v>
      </c>
      <c r="D24" s="210">
        <f>0.01*(D21+D23)</f>
        <v>13200</v>
      </c>
      <c r="E24" s="188" t="s">
        <v>129</v>
      </c>
    </row>
    <row r="25" spans="1:9">
      <c r="A25" s="191"/>
      <c r="B25" s="202" t="s">
        <v>83</v>
      </c>
      <c r="C25" s="200" t="s">
        <v>77</v>
      </c>
      <c r="D25" s="210">
        <v>10</v>
      </c>
      <c r="E25" s="188" t="s">
        <v>442</v>
      </c>
      <c r="F25" s="188" t="s">
        <v>443</v>
      </c>
    </row>
    <row r="26" spans="1:9">
      <c r="A26" s="191"/>
      <c r="B26" s="202" t="s">
        <v>84</v>
      </c>
      <c r="C26" s="200" t="s">
        <v>85</v>
      </c>
      <c r="D26" s="200">
        <v>10</v>
      </c>
      <c r="E26" s="188" t="s">
        <v>130</v>
      </c>
    </row>
    <row r="27" spans="1:9">
      <c r="A27" s="191"/>
      <c r="B27" s="202" t="s">
        <v>86</v>
      </c>
      <c r="C27" s="200" t="s">
        <v>43</v>
      </c>
      <c r="D27" s="211">
        <f>Global!C15</f>
        <v>0.8</v>
      </c>
      <c r="H27" s="214"/>
      <c r="I27" s="214"/>
    </row>
    <row r="28" spans="1:9">
      <c r="A28" s="191"/>
      <c r="B28" s="202" t="s">
        <v>87</v>
      </c>
      <c r="C28" s="200" t="s">
        <v>88</v>
      </c>
      <c r="D28" s="212">
        <v>15</v>
      </c>
      <c r="H28" s="214"/>
      <c r="I28" s="214"/>
    </row>
    <row r="29" spans="1:9">
      <c r="A29" s="191"/>
      <c r="B29" s="194" t="s">
        <v>261</v>
      </c>
      <c r="C29" s="195"/>
      <c r="D29" s="196"/>
      <c r="H29" s="214"/>
      <c r="I29" s="214"/>
    </row>
    <row r="30" spans="1:9">
      <c r="A30" s="191"/>
      <c r="B30" s="202" t="s">
        <v>265</v>
      </c>
      <c r="C30" s="200" t="s">
        <v>131</v>
      </c>
      <c r="D30" s="213">
        <v>0.15</v>
      </c>
      <c r="H30" s="214"/>
      <c r="I30" s="214"/>
    </row>
    <row r="31" spans="1:9">
      <c r="A31" s="191"/>
      <c r="B31" s="220" t="s">
        <v>173</v>
      </c>
      <c r="C31" s="200"/>
      <c r="D31" s="213"/>
    </row>
    <row r="32" spans="1:9">
      <c r="A32" s="191"/>
      <c r="B32" s="220" t="s">
        <v>173</v>
      </c>
      <c r="C32" s="200"/>
      <c r="D32" s="213"/>
    </row>
    <row r="33" spans="1:5">
      <c r="A33" s="191"/>
      <c r="B33" s="220" t="s">
        <v>173</v>
      </c>
      <c r="C33" s="200"/>
      <c r="D33" s="213"/>
    </row>
    <row r="35" spans="1:5">
      <c r="A35" s="201" t="s">
        <v>92</v>
      </c>
      <c r="B35" s="202" t="s">
        <v>94</v>
      </c>
      <c r="C35" s="200" t="s">
        <v>434</v>
      </c>
      <c r="D35" s="80">
        <f>D30*D15*D8</f>
        <v>25.918139392115791</v>
      </c>
    </row>
    <row r="36" spans="1:5">
      <c r="A36" s="204"/>
      <c r="B36" s="202" t="s">
        <v>95</v>
      </c>
      <c r="C36" s="200" t="s">
        <v>434</v>
      </c>
      <c r="D36" s="80">
        <f>D19*Global!C7</f>
        <v>3</v>
      </c>
    </row>
    <row r="37" spans="1:5">
      <c r="B37" s="202" t="s">
        <v>96</v>
      </c>
      <c r="C37" s="200" t="s">
        <v>434</v>
      </c>
      <c r="D37" s="80">
        <f>((D28*Global!C8)+((Global!C6*D26)/(365*24))+(D25))/D27</f>
        <v>31.780821917808222</v>
      </c>
    </row>
    <row r="38" spans="1:5" s="56" customFormat="1">
      <c r="B38" s="78" t="s">
        <v>433</v>
      </c>
      <c r="C38" s="79" t="s">
        <v>434</v>
      </c>
      <c r="D38" s="83">
        <f>(0.8*D21/(D22*365*24)+D24/(365*24))/D27</f>
        <v>27.454337899543376</v>
      </c>
      <c r="E38" s="56" t="s">
        <v>435</v>
      </c>
    </row>
    <row r="39" spans="1:5">
      <c r="B39" s="202" t="s">
        <v>97</v>
      </c>
      <c r="C39" s="200" t="s">
        <v>434</v>
      </c>
      <c r="D39" s="218">
        <f>SUM(D35:D38)</f>
        <v>88.153299209467392</v>
      </c>
    </row>
    <row r="40" spans="1:5">
      <c r="B40" s="215" t="s">
        <v>121</v>
      </c>
      <c r="C40" s="216"/>
      <c r="D40" s="90">
        <f>D39/D8</f>
        <v>0.88153299209467395</v>
      </c>
    </row>
    <row r="41" spans="1:5">
      <c r="E41" s="221"/>
    </row>
  </sheetData>
  <mergeCells count="2">
    <mergeCell ref="A2:D2"/>
    <mergeCell ref="B3:D3"/>
  </mergeCells>
  <hyperlinks>
    <hyperlink ref="A2" location="Process!A1" display="Process!A1" xr:uid="{6FDB0095-189D-4943-8240-957EBEE2DF75}"/>
    <hyperlink ref="E23" r:id="rId1" location="Basic_procedure " xr:uid="{48473E3C-D63B-43C4-8332-EE35C64EDE74}"/>
  </hyperlinks>
  <pageMargins left="0.75" right="0.75" top="1" bottom="1" header="0.5" footer="0.5"/>
  <pageSetup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80FD9-8A5C-4D0E-98E1-261787B9BF6F}">
  <dimension ref="A1:L44"/>
  <sheetViews>
    <sheetView workbookViewId="0">
      <selection activeCell="A2" sqref="A2:D2"/>
    </sheetView>
  </sheetViews>
  <sheetFormatPr baseColWidth="10" defaultColWidth="8.6640625" defaultRowHeight="15"/>
  <cols>
    <col min="1" max="1" width="17.5" style="188" customWidth="1"/>
    <col min="2" max="2" width="21.6640625" style="188" bestFit="1" customWidth="1"/>
    <col min="3" max="3" width="7.33203125" style="214" bestFit="1" customWidth="1"/>
    <col min="4" max="4" width="10.6640625" style="214" customWidth="1"/>
    <col min="5" max="5" width="20.6640625" style="188" customWidth="1"/>
    <col min="6" max="16384" width="8.6640625" style="188"/>
  </cols>
  <sheetData>
    <row r="1" spans="1:10" s="187" customFormat="1">
      <c r="A1" s="186" t="s">
        <v>7</v>
      </c>
      <c r="B1" s="186" t="s">
        <v>22</v>
      </c>
      <c r="C1" s="186" t="s">
        <v>23</v>
      </c>
      <c r="D1" s="186" t="s">
        <v>24</v>
      </c>
      <c r="E1" s="186" t="s">
        <v>25</v>
      </c>
    </row>
    <row r="2" spans="1:10" s="187" customFormat="1">
      <c r="A2" s="283" t="s">
        <v>242</v>
      </c>
      <c r="B2" s="283"/>
      <c r="C2" s="283"/>
      <c r="D2" s="283"/>
    </row>
    <row r="3" spans="1:10" s="187" customFormat="1">
      <c r="B3" s="94" t="s">
        <v>274</v>
      </c>
      <c r="C3" s="95"/>
      <c r="D3" s="96"/>
      <c r="E3" s="222"/>
    </row>
    <row r="4" spans="1:10">
      <c r="B4" s="202" t="s">
        <v>1</v>
      </c>
      <c r="C4" s="200"/>
      <c r="D4" s="200" t="str">
        <f>Global!C2</f>
        <v>Sapphire</v>
      </c>
      <c r="I4" s="214"/>
      <c r="J4" s="214"/>
    </row>
    <row r="5" spans="1:10">
      <c r="A5" s="191"/>
      <c r="B5" s="202" t="s">
        <v>29</v>
      </c>
      <c r="C5" s="200" t="s">
        <v>30</v>
      </c>
      <c r="D5" s="200">
        <f>Global!C3</f>
        <v>150</v>
      </c>
      <c r="I5" s="214"/>
      <c r="J5" s="214"/>
    </row>
    <row r="6" spans="1:10">
      <c r="A6" s="192" t="s">
        <v>26</v>
      </c>
      <c r="B6" s="189" t="s">
        <v>78</v>
      </c>
      <c r="C6" s="190"/>
      <c r="D6" s="193" t="s">
        <v>418</v>
      </c>
      <c r="I6" s="214"/>
      <c r="J6" s="214"/>
    </row>
    <row r="7" spans="1:10">
      <c r="A7" s="191"/>
      <c r="B7" s="194" t="s">
        <v>32</v>
      </c>
      <c r="C7" s="195"/>
      <c r="D7" s="196"/>
    </row>
    <row r="8" spans="1:10">
      <c r="A8" s="191"/>
      <c r="B8" s="189" t="s">
        <v>35</v>
      </c>
      <c r="C8" s="190" t="s">
        <v>36</v>
      </c>
      <c r="D8" s="197">
        <v>0.5</v>
      </c>
    </row>
    <row r="9" spans="1:10">
      <c r="A9" s="191"/>
      <c r="B9" s="189" t="s">
        <v>46</v>
      </c>
      <c r="C9" s="200"/>
      <c r="D9" s="197">
        <v>10</v>
      </c>
      <c r="E9" s="198"/>
    </row>
    <row r="10" spans="1:10">
      <c r="A10" s="191"/>
      <c r="B10" s="189" t="s">
        <v>102</v>
      </c>
      <c r="C10" s="200" t="s">
        <v>417</v>
      </c>
      <c r="D10" s="197">
        <v>100</v>
      </c>
      <c r="E10" s="198"/>
    </row>
    <row r="11" spans="1:10">
      <c r="B11" s="189" t="s">
        <v>103</v>
      </c>
      <c r="C11" s="200" t="s">
        <v>52</v>
      </c>
      <c r="D11" s="197">
        <v>300</v>
      </c>
      <c r="E11" s="188" t="s">
        <v>104</v>
      </c>
    </row>
    <row r="12" spans="1:10">
      <c r="B12" s="189" t="s">
        <v>105</v>
      </c>
      <c r="C12" s="200" t="s">
        <v>61</v>
      </c>
      <c r="D12" s="197">
        <f>D11*60*D20/1000</f>
        <v>4.5</v>
      </c>
    </row>
    <row r="13" spans="1:10">
      <c r="B13" s="189" t="s">
        <v>39</v>
      </c>
      <c r="C13" s="200" t="s">
        <v>52</v>
      </c>
      <c r="D13" s="197">
        <f>D11*10</f>
        <v>3000</v>
      </c>
      <c r="E13" s="188" t="s">
        <v>106</v>
      </c>
    </row>
    <row r="14" spans="1:10">
      <c r="B14" s="189" t="s">
        <v>60</v>
      </c>
      <c r="C14" s="200" t="s">
        <v>61</v>
      </c>
      <c r="D14" s="197">
        <f>D13*60*(D20)/1000</f>
        <v>45</v>
      </c>
    </row>
    <row r="15" spans="1:10">
      <c r="B15" s="189" t="s">
        <v>107</v>
      </c>
      <c r="C15" s="200" t="s">
        <v>52</v>
      </c>
      <c r="D15" s="197">
        <v>3000</v>
      </c>
    </row>
    <row r="16" spans="1:10">
      <c r="B16" s="189" t="s">
        <v>68</v>
      </c>
      <c r="C16" s="200" t="s">
        <v>61</v>
      </c>
      <c r="D16" s="197">
        <f>D15*60*(D20)/1000</f>
        <v>45</v>
      </c>
    </row>
    <row r="17" spans="1:10">
      <c r="C17" s="188"/>
      <c r="D17" s="188"/>
    </row>
    <row r="18" spans="1:10">
      <c r="A18" s="201" t="s">
        <v>45</v>
      </c>
      <c r="B18" s="202" t="s">
        <v>47</v>
      </c>
      <c r="C18" s="200" t="s">
        <v>48</v>
      </c>
      <c r="D18" s="203">
        <f>D9*PI()*(D5*0.1/2)^2</f>
        <v>1767.1458676442587</v>
      </c>
    </row>
    <row r="19" spans="1:10">
      <c r="B19" s="202" t="s">
        <v>33</v>
      </c>
      <c r="C19" s="200" t="s">
        <v>34</v>
      </c>
      <c r="D19" s="205">
        <f>(D20+0.5)*Global!C18</f>
        <v>0.75</v>
      </c>
      <c r="E19" s="188" t="s">
        <v>50</v>
      </c>
    </row>
    <row r="20" spans="1:10">
      <c r="B20" s="202" t="s">
        <v>49</v>
      </c>
      <c r="C20" s="200" t="s">
        <v>34</v>
      </c>
      <c r="D20" s="205">
        <v>0.25</v>
      </c>
    </row>
    <row r="21" spans="1:10">
      <c r="B21" s="202" t="s">
        <v>102</v>
      </c>
      <c r="C21" s="200" t="s">
        <v>38</v>
      </c>
      <c r="D21" s="205">
        <f>(D10/1000)*60</f>
        <v>6</v>
      </c>
    </row>
    <row r="22" spans="1:10">
      <c r="B22" s="223"/>
      <c r="C22" s="224"/>
      <c r="D22" s="225"/>
    </row>
    <row r="23" spans="1:10">
      <c r="A23" s="206"/>
      <c r="B23" s="207" t="s">
        <v>72</v>
      </c>
      <c r="C23" s="195"/>
      <c r="D23" s="196"/>
    </row>
    <row r="24" spans="1:10">
      <c r="B24" s="189" t="s">
        <v>20</v>
      </c>
      <c r="C24" s="190" t="s">
        <v>74</v>
      </c>
      <c r="D24" s="208">
        <f>0.1*Global!C17</f>
        <v>0.1</v>
      </c>
    </row>
    <row r="25" spans="1:10">
      <c r="A25" s="209"/>
      <c r="B25" s="287" t="s">
        <v>78</v>
      </c>
      <c r="C25" s="288"/>
      <c r="D25" s="289"/>
    </row>
    <row r="26" spans="1:10">
      <c r="B26" s="202" t="s">
        <v>79</v>
      </c>
      <c r="C26" s="200" t="s">
        <v>80</v>
      </c>
      <c r="D26" s="210">
        <f>500000*1.12*Global!C16</f>
        <v>560000</v>
      </c>
    </row>
    <row r="27" spans="1:10" s="56" customFormat="1">
      <c r="B27" s="78" t="s">
        <v>436</v>
      </c>
      <c r="C27" s="79" t="s">
        <v>437</v>
      </c>
      <c r="D27" s="79">
        <v>5</v>
      </c>
    </row>
    <row r="28" spans="1:10">
      <c r="A28" s="191"/>
      <c r="B28" s="202" t="s">
        <v>81</v>
      </c>
      <c r="C28" s="200" t="s">
        <v>82</v>
      </c>
      <c r="D28" s="210">
        <f>0.01*D26</f>
        <v>5600</v>
      </c>
    </row>
    <row r="29" spans="1:10">
      <c r="A29" s="191"/>
      <c r="B29" s="202" t="s">
        <v>83</v>
      </c>
      <c r="C29" s="200" t="s">
        <v>77</v>
      </c>
      <c r="D29" s="237">
        <v>5</v>
      </c>
    </row>
    <row r="30" spans="1:10">
      <c r="A30" s="191"/>
      <c r="B30" s="202" t="s">
        <v>84</v>
      </c>
      <c r="C30" s="200" t="s">
        <v>85</v>
      </c>
      <c r="D30" s="205">
        <v>1</v>
      </c>
    </row>
    <row r="31" spans="1:10">
      <c r="A31" s="191"/>
      <c r="B31" s="202" t="s">
        <v>86</v>
      </c>
      <c r="C31" s="200" t="s">
        <v>43</v>
      </c>
      <c r="D31" s="211">
        <f>Global!C15</f>
        <v>0.8</v>
      </c>
      <c r="I31" s="214"/>
      <c r="J31" s="214"/>
    </row>
    <row r="32" spans="1:10">
      <c r="A32" s="191"/>
      <c r="B32" s="202" t="s">
        <v>87</v>
      </c>
      <c r="C32" s="200" t="s">
        <v>88</v>
      </c>
      <c r="D32" s="212">
        <v>8</v>
      </c>
      <c r="I32" s="214"/>
      <c r="J32" s="214"/>
    </row>
    <row r="33" spans="1:12">
      <c r="A33" s="191"/>
      <c r="B33" s="194" t="s">
        <v>261</v>
      </c>
      <c r="C33" s="195"/>
      <c r="D33" s="196"/>
      <c r="G33" s="188" t="s">
        <v>108</v>
      </c>
      <c r="H33" s="188" t="s">
        <v>109</v>
      </c>
      <c r="I33" s="188" t="s">
        <v>110</v>
      </c>
      <c r="J33" s="214"/>
      <c r="K33" s="214"/>
    </row>
    <row r="34" spans="1:12">
      <c r="A34" s="191"/>
      <c r="B34" s="202" t="s">
        <v>262</v>
      </c>
      <c r="C34" s="200" t="s">
        <v>90</v>
      </c>
      <c r="D34" s="227">
        <v>6.7000000000000004E-2</v>
      </c>
      <c r="F34" s="188" t="s">
        <v>111</v>
      </c>
      <c r="G34" s="188">
        <v>32.119999999999997</v>
      </c>
      <c r="H34" s="188">
        <v>17.03</v>
      </c>
      <c r="J34" s="188" t="s">
        <v>112</v>
      </c>
    </row>
    <row r="35" spans="1:12">
      <c r="A35" s="191"/>
      <c r="B35" s="202" t="s">
        <v>263</v>
      </c>
      <c r="C35" s="200" t="s">
        <v>90</v>
      </c>
      <c r="D35" s="227">
        <v>7.0000000000000001E-3</v>
      </c>
      <c r="F35" s="228" t="s">
        <v>113</v>
      </c>
      <c r="G35" s="188">
        <v>1.35</v>
      </c>
      <c r="H35" s="188">
        <v>0.73</v>
      </c>
      <c r="J35" s="188" t="s">
        <v>114</v>
      </c>
      <c r="K35" s="188" t="s">
        <v>115</v>
      </c>
      <c r="L35" s="188" t="s">
        <v>116</v>
      </c>
    </row>
    <row r="36" spans="1:12">
      <c r="A36" s="191"/>
      <c r="B36" s="202" t="s">
        <v>264</v>
      </c>
      <c r="C36" s="200" t="s">
        <v>90</v>
      </c>
      <c r="D36" s="227">
        <v>1E-3</v>
      </c>
      <c r="F36" s="228"/>
      <c r="H36" s="188">
        <v>4.2000000000000003E-2</v>
      </c>
      <c r="J36" s="188" t="s">
        <v>117</v>
      </c>
    </row>
    <row r="37" spans="1:12">
      <c r="A37" s="191"/>
      <c r="B37" s="220" t="s">
        <v>173</v>
      </c>
      <c r="C37" s="200"/>
      <c r="D37" s="227"/>
      <c r="F37" s="228"/>
      <c r="G37" s="188">
        <f>1/G35</f>
        <v>0.7407407407407407</v>
      </c>
      <c r="H37" s="188">
        <f>1/H35</f>
        <v>1.3698630136986301</v>
      </c>
      <c r="J37" s="188" t="s">
        <v>118</v>
      </c>
    </row>
    <row r="38" spans="1:12">
      <c r="G38" s="188">
        <f>G37*100*100*100</f>
        <v>740740.74074074079</v>
      </c>
      <c r="H38" s="188">
        <f>H37*100*100*100</f>
        <v>1369863.01369863</v>
      </c>
      <c r="J38" s="188" t="s">
        <v>119</v>
      </c>
    </row>
    <row r="39" spans="1:12">
      <c r="A39" s="84" t="s">
        <v>92</v>
      </c>
      <c r="B39" s="78" t="s">
        <v>94</v>
      </c>
      <c r="C39" s="79" t="s">
        <v>438</v>
      </c>
      <c r="D39" s="83">
        <f>(D12*D34)+(D14*D35)+(D16*D36)+D37</f>
        <v>0.66150000000000009</v>
      </c>
      <c r="E39" s="56"/>
      <c r="F39" s="87"/>
      <c r="G39" s="188">
        <f>G38*0.001</f>
        <v>740.74074074074076</v>
      </c>
      <c r="H39" s="188">
        <f>H38*0.001</f>
        <v>1369.8630136986301</v>
      </c>
      <c r="J39" s="188" t="s">
        <v>120</v>
      </c>
    </row>
    <row r="40" spans="1:12">
      <c r="A40" s="61"/>
      <c r="B40" s="78" t="s">
        <v>95</v>
      </c>
      <c r="C40" s="79" t="s">
        <v>434</v>
      </c>
      <c r="D40" s="83">
        <f>D24*Global!C7</f>
        <v>3</v>
      </c>
      <c r="E40" s="56"/>
    </row>
    <row r="41" spans="1:12">
      <c r="A41" s="56"/>
      <c r="B41" s="78" t="s">
        <v>96</v>
      </c>
      <c r="C41" s="79" t="s">
        <v>434</v>
      </c>
      <c r="D41" s="83">
        <f>((D32*Global!C8)+(Global!C6*D30)/(365*24)+D29)/D31</f>
        <v>14.67808219178082</v>
      </c>
      <c r="E41" s="56" t="s">
        <v>439</v>
      </c>
    </row>
    <row r="42" spans="1:12">
      <c r="A42" s="56"/>
      <c r="B42" s="78" t="s">
        <v>433</v>
      </c>
      <c r="C42" s="79" t="s">
        <v>434</v>
      </c>
      <c r="D42" s="83">
        <f>(0.8*D26/(D27*12*30*24)+D28/(365*24))/D31</f>
        <v>13.762049720953829</v>
      </c>
      <c r="E42" s="56" t="s">
        <v>435</v>
      </c>
    </row>
    <row r="43" spans="1:12">
      <c r="A43" s="56"/>
      <c r="B43" s="78" t="s">
        <v>97</v>
      </c>
      <c r="C43" s="79" t="s">
        <v>434</v>
      </c>
      <c r="D43" s="102">
        <f>SUM(D40:D42)+(D39/D19)</f>
        <v>32.322131912734648</v>
      </c>
      <c r="E43" s="91"/>
    </row>
    <row r="44" spans="1:12">
      <c r="A44" s="56"/>
      <c r="B44" s="88" t="s">
        <v>440</v>
      </c>
      <c r="C44" s="79"/>
      <c r="D44" s="90">
        <f>D43/(D9/D19)</f>
        <v>2.4241598934550983</v>
      </c>
      <c r="E44" s="62"/>
    </row>
  </sheetData>
  <mergeCells count="2">
    <mergeCell ref="A2:D2"/>
    <mergeCell ref="B25:D25"/>
  </mergeCells>
  <hyperlinks>
    <hyperlink ref="A2" location="Process!A1" display="Process!A1" xr:uid="{80FA3D61-3EF9-4114-9336-9129C8D5ABD5}"/>
  </hyperlinks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1B90E-1756-423B-83AA-03A2CD1D706B}">
  <dimension ref="A1:I41"/>
  <sheetViews>
    <sheetView workbookViewId="0">
      <selection activeCell="D14" sqref="D14"/>
    </sheetView>
  </sheetViews>
  <sheetFormatPr baseColWidth="10" defaultColWidth="8.6640625" defaultRowHeight="15"/>
  <cols>
    <col min="1" max="1" width="17.5" style="188" customWidth="1"/>
    <col min="2" max="2" width="21.6640625" style="188" bestFit="1" customWidth="1"/>
    <col min="3" max="3" width="7.33203125" style="214" bestFit="1" customWidth="1"/>
    <col min="4" max="4" width="10.6640625" style="214" customWidth="1"/>
    <col min="5" max="5" width="20.6640625" style="188" customWidth="1"/>
    <col min="6" max="16384" width="8.6640625" style="188"/>
  </cols>
  <sheetData>
    <row r="1" spans="1:9" s="187" customFormat="1">
      <c r="A1" s="186" t="s">
        <v>7</v>
      </c>
      <c r="B1" s="186" t="s">
        <v>22</v>
      </c>
      <c r="C1" s="186" t="s">
        <v>23</v>
      </c>
      <c r="D1" s="186" t="s">
        <v>24</v>
      </c>
      <c r="E1" s="186" t="s">
        <v>25</v>
      </c>
    </row>
    <row r="2" spans="1:9" s="187" customFormat="1">
      <c r="A2" s="283" t="s">
        <v>242</v>
      </c>
      <c r="B2" s="283"/>
      <c r="C2" s="283"/>
      <c r="D2" s="283"/>
    </row>
    <row r="3" spans="1:9" s="187" customFormat="1">
      <c r="B3" s="284" t="s">
        <v>306</v>
      </c>
      <c r="C3" s="285"/>
      <c r="D3" s="286"/>
    </row>
    <row r="4" spans="1:9">
      <c r="B4" s="202" t="s">
        <v>1</v>
      </c>
      <c r="C4" s="200"/>
      <c r="D4" s="200" t="str">
        <f>Global!C2</f>
        <v>Sapphire</v>
      </c>
      <c r="G4" s="214"/>
      <c r="H4" s="214"/>
    </row>
    <row r="5" spans="1:9">
      <c r="A5" s="191"/>
      <c r="B5" s="202" t="s">
        <v>29</v>
      </c>
      <c r="C5" s="200" t="s">
        <v>30</v>
      </c>
      <c r="D5" s="200">
        <f>Global!C3</f>
        <v>150</v>
      </c>
    </row>
    <row r="6" spans="1:9">
      <c r="A6" s="192" t="s">
        <v>26</v>
      </c>
      <c r="B6" s="189" t="s">
        <v>78</v>
      </c>
      <c r="C6" s="190"/>
      <c r="D6" s="193" t="s">
        <v>422</v>
      </c>
    </row>
    <row r="7" spans="1:9">
      <c r="A7" s="191"/>
      <c r="B7" s="194" t="s">
        <v>32</v>
      </c>
      <c r="C7" s="195"/>
      <c r="D7" s="196"/>
    </row>
    <row r="8" spans="1:9">
      <c r="A8" s="191"/>
      <c r="B8" s="189" t="s">
        <v>147</v>
      </c>
      <c r="C8" s="190" t="s">
        <v>36</v>
      </c>
      <c r="D8" s="197">
        <v>0.5</v>
      </c>
    </row>
    <row r="9" spans="1:9">
      <c r="A9" s="191"/>
      <c r="B9" s="189" t="s">
        <v>46</v>
      </c>
      <c r="C9" s="200"/>
      <c r="D9" s="197">
        <v>10</v>
      </c>
      <c r="E9" s="198"/>
      <c r="F9" s="188" t="s">
        <v>419</v>
      </c>
      <c r="G9" s="188" t="s">
        <v>417</v>
      </c>
      <c r="H9" s="188" t="s">
        <v>420</v>
      </c>
      <c r="I9" s="188" t="s">
        <v>38</v>
      </c>
    </row>
    <row r="10" spans="1:9">
      <c r="A10" s="191"/>
      <c r="B10" s="189" t="s">
        <v>148</v>
      </c>
      <c r="C10" s="190" t="s">
        <v>38</v>
      </c>
      <c r="D10" s="197">
        <v>5</v>
      </c>
      <c r="E10" s="198" t="s">
        <v>348</v>
      </c>
      <c r="F10" s="188">
        <v>5000</v>
      </c>
      <c r="G10" s="188">
        <f>F10/10</f>
        <v>500</v>
      </c>
      <c r="H10" s="188">
        <f>G10*60</f>
        <v>30000</v>
      </c>
      <c r="I10" s="188">
        <f>H10/1000</f>
        <v>30</v>
      </c>
    </row>
    <row r="11" spans="1:9">
      <c r="C11" s="188"/>
      <c r="D11" s="188"/>
      <c r="F11" s="188" t="s">
        <v>421</v>
      </c>
    </row>
    <row r="12" spans="1:9">
      <c r="A12" s="201" t="s">
        <v>45</v>
      </c>
      <c r="B12" s="202" t="s">
        <v>47</v>
      </c>
      <c r="C12" s="200" t="s">
        <v>48</v>
      </c>
      <c r="D12" s="203">
        <f>D9*PI()*(D5*0.1/2)^2</f>
        <v>1767.1458676442587</v>
      </c>
    </row>
    <row r="13" spans="1:9">
      <c r="B13" s="202" t="s">
        <v>33</v>
      </c>
      <c r="C13" s="200" t="s">
        <v>34</v>
      </c>
      <c r="D13" s="200">
        <f>(D14+1)*Global!C18</f>
        <v>1.1000000000000001</v>
      </c>
      <c r="E13" s="198" t="s">
        <v>50</v>
      </c>
    </row>
    <row r="14" spans="1:9">
      <c r="B14" s="202" t="s">
        <v>149</v>
      </c>
      <c r="C14" s="200" t="s">
        <v>34</v>
      </c>
      <c r="D14" s="200">
        <f>D8/D10</f>
        <v>0.1</v>
      </c>
    </row>
    <row r="15" spans="1:9">
      <c r="B15" s="202" t="s">
        <v>150</v>
      </c>
      <c r="C15" s="200" t="s">
        <v>52</v>
      </c>
      <c r="D15" s="203">
        <v>500</v>
      </c>
    </row>
    <row r="16" spans="1:9">
      <c r="B16" s="202" t="s">
        <v>151</v>
      </c>
      <c r="C16" s="200" t="s">
        <v>61</v>
      </c>
      <c r="D16" s="203">
        <f>D15*60*D14/1000</f>
        <v>3</v>
      </c>
    </row>
    <row r="17" spans="1:8">
      <c r="B17" s="223"/>
      <c r="C17" s="224"/>
      <c r="D17" s="226"/>
      <c r="E17" s="221"/>
    </row>
    <row r="18" spans="1:8">
      <c r="A18" s="206"/>
      <c r="B18" s="207" t="s">
        <v>72</v>
      </c>
      <c r="C18" s="195"/>
      <c r="D18" s="196"/>
    </row>
    <row r="19" spans="1:8">
      <c r="B19" s="189" t="s">
        <v>20</v>
      </c>
      <c r="C19" s="190" t="s">
        <v>74</v>
      </c>
      <c r="D19" s="208">
        <f>0.1*Global!C17</f>
        <v>0.1</v>
      </c>
    </row>
    <row r="20" spans="1:8">
      <c r="A20" s="209"/>
      <c r="B20" s="194" t="s">
        <v>78</v>
      </c>
      <c r="C20" s="195"/>
      <c r="D20" s="196"/>
    </row>
    <row r="21" spans="1:8">
      <c r="B21" s="202" t="s">
        <v>79</v>
      </c>
      <c r="C21" s="200" t="s">
        <v>80</v>
      </c>
      <c r="D21" s="210">
        <f>750000*1.12*Global!C16</f>
        <v>840000.00000000012</v>
      </c>
    </row>
    <row r="22" spans="1:8" s="56" customFormat="1">
      <c r="B22" s="78" t="s">
        <v>436</v>
      </c>
      <c r="C22" s="79" t="s">
        <v>437</v>
      </c>
      <c r="D22" s="79">
        <v>5</v>
      </c>
    </row>
    <row r="23" spans="1:8">
      <c r="A23" s="191"/>
      <c r="B23" s="202" t="s">
        <v>81</v>
      </c>
      <c r="C23" s="200" t="s">
        <v>82</v>
      </c>
      <c r="D23" s="210">
        <f>0.01*D21</f>
        <v>8400.0000000000018</v>
      </c>
    </row>
    <row r="24" spans="1:8">
      <c r="A24" s="191"/>
      <c r="B24" s="202" t="s">
        <v>83</v>
      </c>
      <c r="C24" s="200" t="s">
        <v>77</v>
      </c>
      <c r="D24" s="237">
        <v>5</v>
      </c>
    </row>
    <row r="25" spans="1:8">
      <c r="A25" s="191"/>
      <c r="B25" s="202" t="s">
        <v>84</v>
      </c>
      <c r="C25" s="200" t="s">
        <v>85</v>
      </c>
      <c r="D25" s="200">
        <v>2</v>
      </c>
    </row>
    <row r="26" spans="1:8">
      <c r="A26" s="191"/>
      <c r="B26" s="202" t="s">
        <v>86</v>
      </c>
      <c r="C26" s="200" t="s">
        <v>43</v>
      </c>
      <c r="D26" s="211">
        <f>Global!C15</f>
        <v>0.8</v>
      </c>
      <c r="G26" s="214"/>
      <c r="H26" s="214"/>
    </row>
    <row r="27" spans="1:8">
      <c r="A27" s="191"/>
      <c r="B27" s="202" t="s">
        <v>87</v>
      </c>
      <c r="C27" s="200" t="s">
        <v>88</v>
      </c>
      <c r="D27" s="212">
        <v>8</v>
      </c>
      <c r="G27" s="214"/>
      <c r="H27" s="214"/>
    </row>
    <row r="28" spans="1:8">
      <c r="A28" s="191"/>
      <c r="B28" s="194" t="s">
        <v>261</v>
      </c>
      <c r="C28" s="195"/>
      <c r="D28" s="196"/>
      <c r="G28" s="214"/>
      <c r="H28" s="214"/>
    </row>
    <row r="29" spans="1:8">
      <c r="A29" s="191"/>
      <c r="B29" s="202" t="s">
        <v>266</v>
      </c>
      <c r="C29" s="200" t="s">
        <v>90</v>
      </c>
      <c r="D29" s="213">
        <v>0.09</v>
      </c>
    </row>
    <row r="30" spans="1:8">
      <c r="A30" s="191"/>
      <c r="B30" s="220" t="s">
        <v>173</v>
      </c>
      <c r="C30" s="200"/>
      <c r="D30" s="213"/>
    </row>
    <row r="31" spans="1:8">
      <c r="A31" s="191"/>
      <c r="B31" s="220" t="s">
        <v>173</v>
      </c>
      <c r="C31" s="200"/>
      <c r="D31" s="213"/>
    </row>
    <row r="32" spans="1:8">
      <c r="A32" s="191"/>
      <c r="B32" s="220" t="s">
        <v>173</v>
      </c>
      <c r="C32" s="200"/>
      <c r="D32" s="213"/>
    </row>
    <row r="34" spans="1:5">
      <c r="A34" s="84" t="s">
        <v>92</v>
      </c>
      <c r="B34" s="78" t="s">
        <v>94</v>
      </c>
      <c r="C34" s="79" t="s">
        <v>438</v>
      </c>
      <c r="D34" s="80">
        <f>(D16*D29)+D30+D31+D32</f>
        <v>0.27</v>
      </c>
      <c r="E34" s="56"/>
    </row>
    <row r="35" spans="1:5">
      <c r="A35" s="61"/>
      <c r="B35" s="78" t="s">
        <v>95</v>
      </c>
      <c r="C35" s="79" t="s">
        <v>434</v>
      </c>
      <c r="D35" s="80">
        <f>D19*Global!C7</f>
        <v>3</v>
      </c>
      <c r="E35" s="56"/>
    </row>
    <row r="36" spans="1:5">
      <c r="A36" s="56"/>
      <c r="B36" s="78" t="s">
        <v>96</v>
      </c>
      <c r="C36" s="79" t="s">
        <v>434</v>
      </c>
      <c r="D36" s="83">
        <f>((D27*Global!C8)+(Global!C6*D25)/(365*24)+D24)/D26</f>
        <v>15.106164383561644</v>
      </c>
      <c r="E36" s="56" t="s">
        <v>439</v>
      </c>
    </row>
    <row r="37" spans="1:5">
      <c r="A37" s="56"/>
      <c r="B37" s="78" t="s">
        <v>433</v>
      </c>
      <c r="C37" s="79" t="s">
        <v>434</v>
      </c>
      <c r="D37" s="83">
        <f>(0.8*D21/(D22*12*30*24)+D23/(365*24))/D26</f>
        <v>20.643074581430749</v>
      </c>
      <c r="E37" s="56" t="s">
        <v>435</v>
      </c>
    </row>
    <row r="38" spans="1:5">
      <c r="A38" s="56"/>
      <c r="B38" s="78" t="s">
        <v>97</v>
      </c>
      <c r="C38" s="79" t="s">
        <v>434</v>
      </c>
      <c r="D38" s="102">
        <f>SUM(D35:D37)+D34/D13</f>
        <v>38.994693510446936</v>
      </c>
      <c r="E38" s="91"/>
    </row>
    <row r="39" spans="1:5">
      <c r="A39" s="56"/>
      <c r="B39" s="88" t="s">
        <v>440</v>
      </c>
      <c r="C39" s="89"/>
      <c r="D39" s="90">
        <f>D38/(D9/D13)</f>
        <v>4.2894162861491631</v>
      </c>
      <c r="E39" s="91"/>
    </row>
    <row r="41" spans="1:5">
      <c r="B41" s="191"/>
      <c r="D41" s="229"/>
    </row>
  </sheetData>
  <mergeCells count="2">
    <mergeCell ref="A2:D2"/>
    <mergeCell ref="B3:D3"/>
  </mergeCells>
  <hyperlinks>
    <hyperlink ref="A2" location="Process!A1" display="Process!A1" xr:uid="{2B5D4346-8A1B-4BF5-B09E-2CBCC7392FE3}"/>
  </hyperlinks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2D678206C853448A87069C4380DC76B" ma:contentTypeVersion="12" ma:contentTypeDescription="Ein neues Dokument erstellen." ma:contentTypeScope="" ma:versionID="7137f30ab610959230ecc30bc6ccdbb5">
  <xsd:schema xmlns:xsd="http://www.w3.org/2001/XMLSchema" xmlns:xs="http://www.w3.org/2001/XMLSchema" xmlns:p="http://schemas.microsoft.com/office/2006/metadata/properties" xmlns:ns3="6d9e887c-2e8e-4beb-a3f2-d1a075bd6056" xmlns:ns4="28dd5cc4-66ea-4075-b986-c4ed097a0d89" targetNamespace="http://schemas.microsoft.com/office/2006/metadata/properties" ma:root="true" ma:fieldsID="927116f155a8cd45b1a770a37f9582e2" ns3:_="" ns4:_="">
    <xsd:import namespace="6d9e887c-2e8e-4beb-a3f2-d1a075bd6056"/>
    <xsd:import namespace="28dd5cc4-66ea-4075-b986-c4ed097a0d8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9e887c-2e8e-4beb-a3f2-d1a075bd605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Freigabehinweis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d5cc4-66ea-4075-b986-c4ed097a0d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A03AA8-A0A8-4057-8D44-9AEB73A2C7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3FED31-5131-499E-A863-717F74887F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9e887c-2e8e-4beb-a3f2-d1a075bd6056"/>
    <ds:schemaRef ds:uri="28dd5cc4-66ea-4075-b986-c4ed097a0d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1823A6-1C23-4DC2-A2B5-1EA91A40AB2D}">
  <ds:schemaRefs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28dd5cc4-66ea-4075-b986-c4ed097a0d89"/>
    <ds:schemaRef ds:uri="http://purl.org/dc/dcmitype/"/>
    <ds:schemaRef ds:uri="6d9e887c-2e8e-4beb-a3f2-d1a075bd6056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Process</vt:lpstr>
      <vt:lpstr>Global</vt:lpstr>
      <vt:lpstr>Package</vt:lpstr>
      <vt:lpstr>Epitaxy</vt:lpstr>
      <vt:lpstr>Wafer_Inspection</vt:lpstr>
      <vt:lpstr>Lithography_Mask</vt:lpstr>
      <vt:lpstr>Lithography_Stepper</vt:lpstr>
      <vt:lpstr>Dry_Depn</vt:lpstr>
      <vt:lpstr>Dry_Etch</vt:lpstr>
      <vt:lpstr>ITO_Deposition</vt:lpstr>
      <vt:lpstr>N_Metal</vt:lpstr>
      <vt:lpstr>P_Metal</vt:lpstr>
      <vt:lpstr>Contact_Metal</vt:lpstr>
      <vt:lpstr>Generic_Metal</vt:lpstr>
      <vt:lpstr>Bonding</vt:lpstr>
      <vt:lpstr>Backgrinding</vt:lpstr>
      <vt:lpstr>GaN_CMP</vt:lpstr>
      <vt:lpstr>LLO</vt:lpstr>
      <vt:lpstr>Dicing</vt:lpstr>
      <vt:lpstr>Wafer_Probe_Test</vt:lpstr>
      <vt:lpstr>Die_Attach</vt:lpstr>
      <vt:lpstr>Flip_Chip</vt:lpstr>
      <vt:lpstr>ESD_Attach</vt:lpstr>
      <vt:lpstr>Wire_Bonding</vt:lpstr>
      <vt:lpstr>Phosphor_Package</vt:lpstr>
      <vt:lpstr>Curing</vt:lpstr>
      <vt:lpstr>Encapsulation</vt:lpstr>
      <vt:lpstr>Lens_Molding</vt:lpstr>
      <vt:lpstr>Lens_Attach</vt:lpstr>
      <vt:lpstr>LED_Test</vt:lpstr>
    </vt:vector>
  </TitlesOfParts>
  <Manager/>
  <Company>SB Consulting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LEDCOM 2012 Cost Model </dc:title>
  <dc:subject>Light-Emitting Diodes</dc:subject>
  <dc:creator>Michael P. Weinold and Sergey Kolesnikov based on work by Stephen Bland </dc:creator>
  <cp:keywords/>
  <dc:description/>
  <cp:lastModifiedBy>Michael Weinold</cp:lastModifiedBy>
  <dcterms:created xsi:type="dcterms:W3CDTF">2011-08-03T19:54:05Z</dcterms:created>
  <dcterms:modified xsi:type="dcterms:W3CDTF">2023-10-05T13:44:02Z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0x01010032D678206C853448A87069C4380DC76B</vt:lpwstr>
  </property>
</Properties>
</file>