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embeddings/oleObject1.bin" ContentType="application/vnd.openxmlformats-officedocument.oleObject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Dateien\PhD-Chemistry\l_Organizational\Data-Management\2023_ChemSusChem_Cascelli_Furfuryl-alcohol\"/>
    </mc:Choice>
  </mc:AlternateContent>
  <xr:revisionPtr revIDLastSave="0" documentId="13_ncr:1_{2CA2368D-9548-4498-87E0-74133C76FD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igure1_pH" sheetId="1" r:id="rId1"/>
    <sheet name="Figure 2_enzyme_stability " sheetId="3" r:id="rId2"/>
    <sheet name="BSA" sheetId="5" r:id="rId3"/>
    <sheet name="Figure 3_solvents" sheetId="2" r:id="rId4"/>
    <sheet name="Figure 4. mediator reduction" sheetId="4" r:id="rId5"/>
    <sheet name="Table 1" sheetId="6" r:id="rId6"/>
    <sheet name="calibration curves" sheetId="8" r:id="rId7"/>
    <sheet name="E-factor contribution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9" l="1"/>
  <c r="C11" i="9" s="1"/>
  <c r="D11" i="9" s="1"/>
  <c r="E11" i="9" s="1"/>
  <c r="B10" i="9"/>
  <c r="C10" i="9" s="1"/>
  <c r="D10" i="9" s="1"/>
  <c r="E10" i="9" s="1"/>
  <c r="C9" i="9"/>
  <c r="D9" i="9" s="1"/>
  <c r="C8" i="9"/>
  <c r="D8" i="9" s="1"/>
  <c r="C7" i="9"/>
  <c r="D7" i="9" s="1"/>
  <c r="J6" i="9"/>
  <c r="C6" i="9"/>
  <c r="D6" i="9" s="1"/>
  <c r="C5" i="9"/>
  <c r="D5" i="9" s="1"/>
  <c r="C4" i="9"/>
  <c r="D4" i="9" s="1"/>
  <c r="E4" i="9" s="1"/>
  <c r="C3" i="9"/>
  <c r="D3" i="9" s="1"/>
  <c r="B2" i="9"/>
  <c r="C2" i="9" s="1"/>
  <c r="D2" i="9" s="1"/>
  <c r="T26" i="3"/>
  <c r="S26" i="3"/>
  <c r="T25" i="3"/>
  <c r="S25" i="3"/>
  <c r="J25" i="3"/>
  <c r="T24" i="3"/>
  <c r="S24" i="3"/>
  <c r="T23" i="3"/>
  <c r="S23" i="3"/>
  <c r="T22" i="3"/>
  <c r="S22" i="3"/>
  <c r="T21" i="3"/>
  <c r="S21" i="3"/>
  <c r="T20" i="3"/>
  <c r="S20" i="3"/>
  <c r="T19" i="3"/>
  <c r="S19" i="3"/>
  <c r="J34" i="3" s="1"/>
  <c r="F19" i="3"/>
  <c r="T18" i="3"/>
  <c r="K33" i="3" s="1"/>
  <c r="S18" i="3"/>
  <c r="T17" i="3"/>
  <c r="S17" i="3"/>
  <c r="J32" i="3" s="1"/>
  <c r="T16" i="3"/>
  <c r="S16" i="3"/>
  <c r="T15" i="3"/>
  <c r="K30" i="3" s="1"/>
  <c r="S15" i="3"/>
  <c r="J30" i="3" s="1"/>
  <c r="T14" i="3"/>
  <c r="K29" i="3" s="1"/>
  <c r="S14" i="3"/>
  <c r="T13" i="3"/>
  <c r="S13" i="3"/>
  <c r="I13" i="3"/>
  <c r="H13" i="3"/>
  <c r="G13" i="3"/>
  <c r="F13" i="3"/>
  <c r="T12" i="3"/>
  <c r="K27" i="3" s="1"/>
  <c r="S12" i="3"/>
  <c r="I12" i="3"/>
  <c r="G27" i="3" s="1"/>
  <c r="H12" i="3"/>
  <c r="G12" i="3"/>
  <c r="F12" i="3"/>
  <c r="T11" i="3"/>
  <c r="K26" i="3" s="1"/>
  <c r="S11" i="3"/>
  <c r="J26" i="3" s="1"/>
  <c r="I11" i="3"/>
  <c r="G26" i="3" s="1"/>
  <c r="H11" i="3"/>
  <c r="G11" i="3"/>
  <c r="F11" i="3"/>
  <c r="T10" i="3"/>
  <c r="S10" i="3"/>
  <c r="I10" i="3"/>
  <c r="H10" i="3"/>
  <c r="F25" i="3" s="1"/>
  <c r="G10" i="3"/>
  <c r="F10" i="3"/>
  <c r="B25" i="3" s="1"/>
  <c r="T9" i="3"/>
  <c r="S9" i="3"/>
  <c r="I9" i="3"/>
  <c r="H9" i="3"/>
  <c r="G9" i="3"/>
  <c r="F9" i="3"/>
  <c r="T8" i="3"/>
  <c r="K23" i="3" s="1"/>
  <c r="S8" i="3"/>
  <c r="I8" i="3"/>
  <c r="G23" i="3" s="1"/>
  <c r="H8" i="3"/>
  <c r="G8" i="3"/>
  <c r="F8" i="3"/>
  <c r="T7" i="3"/>
  <c r="K22" i="3" s="1"/>
  <c r="S7" i="3"/>
  <c r="J22" i="3" s="1"/>
  <c r="I7" i="3"/>
  <c r="G22" i="3" s="1"/>
  <c r="H7" i="3"/>
  <c r="G7" i="3"/>
  <c r="F7" i="3"/>
  <c r="AN6" i="3"/>
  <c r="AM6" i="3"/>
  <c r="T6" i="3"/>
  <c r="K21" i="3" s="1"/>
  <c r="S6" i="3"/>
  <c r="J21" i="3" s="1"/>
  <c r="I6" i="3"/>
  <c r="G21" i="3" s="1"/>
  <c r="H6" i="3"/>
  <c r="G6" i="3"/>
  <c r="F6" i="3"/>
  <c r="T5" i="3"/>
  <c r="S5" i="3"/>
  <c r="J20" i="3" s="1"/>
  <c r="I5" i="3"/>
  <c r="G20" i="3" s="1"/>
  <c r="H5" i="3"/>
  <c r="F20" i="3" s="1"/>
  <c r="G5" i="3"/>
  <c r="C20" i="3" s="1"/>
  <c r="F5" i="3"/>
  <c r="T4" i="3"/>
  <c r="S4" i="3"/>
  <c r="I4" i="3"/>
  <c r="H4" i="3"/>
  <c r="G4" i="3"/>
  <c r="F4" i="3"/>
  <c r="T3" i="3"/>
  <c r="K18" i="3" s="1"/>
  <c r="S3" i="3"/>
  <c r="J18" i="3" s="1"/>
  <c r="I3" i="3"/>
  <c r="G18" i="3" s="1"/>
  <c r="H3" i="3"/>
  <c r="G3" i="3"/>
  <c r="F3" i="3"/>
  <c r="AR2" i="3"/>
  <c r="AQ2" i="3"/>
  <c r="F21" i="3" s="1"/>
  <c r="AP2" i="3"/>
  <c r="AO2" i="3"/>
  <c r="T2" i="3"/>
  <c r="K17" i="3" s="1"/>
  <c r="S2" i="3"/>
  <c r="I2" i="3"/>
  <c r="G17" i="3" s="1"/>
  <c r="H2" i="3"/>
  <c r="F17" i="3" s="1"/>
  <c r="I17" i="3" s="1"/>
  <c r="G2" i="3"/>
  <c r="C17" i="3" s="1"/>
  <c r="F2" i="3"/>
  <c r="B23" i="3" s="1"/>
  <c r="K36" i="3" l="1"/>
  <c r="B18" i="3"/>
  <c r="F24" i="3"/>
  <c r="C18" i="3"/>
  <c r="D18" i="3" s="1"/>
  <c r="G19" i="3"/>
  <c r="I19" i="3" s="1"/>
  <c r="K20" i="3"/>
  <c r="C23" i="3"/>
  <c r="G24" i="3"/>
  <c r="K25" i="3"/>
  <c r="C27" i="3"/>
  <c r="G28" i="3"/>
  <c r="K31" i="3"/>
  <c r="K34" i="3"/>
  <c r="M34" i="3" s="1"/>
  <c r="K38" i="3"/>
  <c r="J36" i="3"/>
  <c r="M36" i="3" s="1"/>
  <c r="F18" i="3"/>
  <c r="H18" i="3" s="1"/>
  <c r="J19" i="3"/>
  <c r="B21" i="3"/>
  <c r="E21" i="3" s="1"/>
  <c r="B22" i="3"/>
  <c r="F23" i="3"/>
  <c r="H23" i="3" s="1"/>
  <c r="J24" i="3"/>
  <c r="M24" i="3" s="1"/>
  <c r="B26" i="3"/>
  <c r="F27" i="3"/>
  <c r="I27" i="3" s="1"/>
  <c r="J28" i="3"/>
  <c r="C25" i="3"/>
  <c r="B19" i="3"/>
  <c r="B24" i="3"/>
  <c r="B28" i="3"/>
  <c r="E28" i="3" s="1"/>
  <c r="C19" i="3"/>
  <c r="E19" i="3" s="1"/>
  <c r="C24" i="3"/>
  <c r="G25" i="3"/>
  <c r="I25" i="3" s="1"/>
  <c r="C28" i="3"/>
  <c r="K19" i="3"/>
  <c r="C21" i="3"/>
  <c r="C22" i="3"/>
  <c r="K24" i="3"/>
  <c r="C26" i="3"/>
  <c r="E26" i="3" s="1"/>
  <c r="K28" i="3"/>
  <c r="K35" i="3"/>
  <c r="K37" i="3"/>
  <c r="B20" i="3"/>
  <c r="F22" i="3"/>
  <c r="F26" i="3"/>
  <c r="K32" i="3"/>
  <c r="M32" i="3" s="1"/>
  <c r="F5" i="9"/>
  <c r="E5" i="9"/>
  <c r="E8" i="9"/>
  <c r="F8" i="9"/>
  <c r="E2" i="9"/>
  <c r="F2" i="9"/>
  <c r="F6" i="9"/>
  <c r="E6" i="9"/>
  <c r="E9" i="9"/>
  <c r="F9" i="9"/>
  <c r="E3" i="9"/>
  <c r="F3" i="9"/>
  <c r="E7" i="9"/>
  <c r="F7" i="9"/>
  <c r="L36" i="3"/>
  <c r="I18" i="3"/>
  <c r="M19" i="3"/>
  <c r="L19" i="3"/>
  <c r="D21" i="3"/>
  <c r="D22" i="3"/>
  <c r="E22" i="3"/>
  <c r="I23" i="3"/>
  <c r="E18" i="3"/>
  <c r="L18" i="3"/>
  <c r="M18" i="3"/>
  <c r="E20" i="3"/>
  <c r="D20" i="3"/>
  <c r="L20" i="3"/>
  <c r="M20" i="3"/>
  <c r="I22" i="3"/>
  <c r="H22" i="3"/>
  <c r="H24" i="3"/>
  <c r="I24" i="3"/>
  <c r="H26" i="3"/>
  <c r="I26" i="3"/>
  <c r="E25" i="3"/>
  <c r="E23" i="3"/>
  <c r="D23" i="3"/>
  <c r="I21" i="3"/>
  <c r="H21" i="3"/>
  <c r="H20" i="3"/>
  <c r="I20" i="3"/>
  <c r="M21" i="3"/>
  <c r="L21" i="3"/>
  <c r="L22" i="3"/>
  <c r="M22" i="3"/>
  <c r="E24" i="3"/>
  <c r="D24" i="3"/>
  <c r="D26" i="3"/>
  <c r="L26" i="3"/>
  <c r="M26" i="3"/>
  <c r="M28" i="3"/>
  <c r="L28" i="3"/>
  <c r="M30" i="3"/>
  <c r="L30" i="3"/>
  <c r="L32" i="3"/>
  <c r="M25" i="3"/>
  <c r="B17" i="3"/>
  <c r="J17" i="3"/>
  <c r="B27" i="3"/>
  <c r="J27" i="3"/>
  <c r="F28" i="3"/>
  <c r="J33" i="3"/>
  <c r="J37" i="3"/>
  <c r="J23" i="3"/>
  <c r="J29" i="3"/>
  <c r="J35" i="3"/>
  <c r="J38" i="3"/>
  <c r="H17" i="3"/>
  <c r="H19" i="3"/>
  <c r="D25" i="3"/>
  <c r="L25" i="3"/>
  <c r="J31" i="3"/>
  <c r="L24" i="3" l="1"/>
  <c r="H25" i="3"/>
  <c r="H27" i="3"/>
  <c r="L34" i="3"/>
  <c r="D28" i="3"/>
  <c r="D19" i="3"/>
  <c r="F12" i="9"/>
  <c r="E12" i="9"/>
  <c r="B29" i="9" s="1"/>
  <c r="M35" i="3"/>
  <c r="L35" i="3"/>
  <c r="M33" i="3"/>
  <c r="L33" i="3"/>
  <c r="M17" i="3"/>
  <c r="L17" i="3"/>
  <c r="M29" i="3"/>
  <c r="L29" i="3"/>
  <c r="I28" i="3"/>
  <c r="H28" i="3"/>
  <c r="E17" i="3"/>
  <c r="D17" i="3"/>
  <c r="M31" i="3"/>
  <c r="L31" i="3"/>
  <c r="M23" i="3"/>
  <c r="L23" i="3"/>
  <c r="M27" i="3"/>
  <c r="L27" i="3"/>
  <c r="M38" i="3"/>
  <c r="L38" i="3"/>
  <c r="M37" i="3"/>
  <c r="L37" i="3"/>
  <c r="E27" i="3"/>
  <c r="D27" i="3"/>
  <c r="E24" i="9" l="1"/>
  <c r="D20" i="9"/>
  <c r="D16" i="9"/>
  <c r="D22" i="9"/>
  <c r="D21" i="9"/>
  <c r="D17" i="9"/>
  <c r="C28" i="9"/>
  <c r="D23" i="9"/>
  <c r="D19" i="9"/>
  <c r="B28" i="9"/>
  <c r="D18" i="9"/>
  <c r="E25" i="9"/>
  <c r="A2" i="8"/>
  <c r="G3" i="8"/>
  <c r="G4" i="8" s="1"/>
  <c r="G5" i="8" s="1"/>
  <c r="G6" i="8" s="1"/>
  <c r="G7" i="8" s="1"/>
  <c r="O2" i="8"/>
  <c r="L28" i="6"/>
  <c r="L27" i="6"/>
  <c r="L26" i="6"/>
  <c r="M26" i="6"/>
  <c r="M27" i="6"/>
  <c r="M28" i="6"/>
  <c r="J28" i="6"/>
  <c r="J26" i="6"/>
  <c r="K26" i="6"/>
  <c r="J27" i="6"/>
  <c r="K27" i="6"/>
  <c r="K28" i="6"/>
  <c r="M24" i="6"/>
  <c r="M25" i="6"/>
  <c r="M23" i="6"/>
  <c r="K24" i="6"/>
  <c r="K25" i="6"/>
  <c r="K23" i="6"/>
  <c r="J23" i="6"/>
  <c r="L23" i="6"/>
  <c r="J24" i="6"/>
  <c r="L24" i="6"/>
  <c r="J25" i="6"/>
  <c r="L25" i="6"/>
  <c r="D14" i="6"/>
  <c r="D13" i="6"/>
  <c r="D12" i="6"/>
  <c r="Q16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Q4" i="2"/>
  <c r="Q5" i="2"/>
  <c r="Q6" i="2"/>
  <c r="Q7" i="2"/>
  <c r="Q8" i="2"/>
  <c r="Q9" i="2"/>
  <c r="Q10" i="2"/>
  <c r="Q11" i="2"/>
  <c r="Q12" i="2"/>
  <c r="Q13" i="2"/>
  <c r="Q14" i="2"/>
  <c r="Q15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3" i="2"/>
  <c r="E6" i="1"/>
  <c r="D6" i="1"/>
  <c r="I6" i="1"/>
  <c r="E27" i="4"/>
  <c r="E28" i="4"/>
  <c r="E29" i="4"/>
  <c r="C24" i="4"/>
  <c r="C26" i="4"/>
  <c r="I120" i="3"/>
  <c r="I110" i="3"/>
  <c r="I111" i="3"/>
  <c r="I112" i="3"/>
  <c r="I113" i="3"/>
  <c r="I114" i="3"/>
  <c r="I115" i="3"/>
  <c r="I116" i="3"/>
  <c r="I117" i="3"/>
  <c r="I118" i="3"/>
  <c r="I119" i="3"/>
  <c r="I109" i="3"/>
  <c r="H110" i="3"/>
  <c r="H111" i="3"/>
  <c r="H112" i="3"/>
  <c r="H113" i="3"/>
  <c r="H114" i="3"/>
  <c r="H115" i="3"/>
  <c r="H116" i="3"/>
  <c r="H117" i="3"/>
  <c r="H118" i="3"/>
  <c r="H119" i="3"/>
  <c r="H120" i="3"/>
  <c r="H109" i="3"/>
  <c r="J4" i="4"/>
  <c r="F24" i="4" s="1"/>
  <c r="J5" i="4"/>
  <c r="F25" i="4" s="1"/>
  <c r="J6" i="4"/>
  <c r="F26" i="4" s="1"/>
  <c r="I4" i="4"/>
  <c r="E24" i="4" s="1"/>
  <c r="I5" i="4"/>
  <c r="E25" i="4" s="1"/>
  <c r="I6" i="4"/>
  <c r="E26" i="4" s="1"/>
  <c r="I3" i="4"/>
  <c r="E23" i="4" s="1"/>
  <c r="J3" i="4"/>
  <c r="F23" i="4" s="1"/>
  <c r="F4" i="4"/>
  <c r="D24" i="4" s="1"/>
  <c r="F5" i="4"/>
  <c r="D25" i="4" s="1"/>
  <c r="F6" i="4"/>
  <c r="D26" i="4" s="1"/>
  <c r="F3" i="4"/>
  <c r="D23" i="4" s="1"/>
  <c r="E4" i="4"/>
  <c r="E5" i="4"/>
  <c r="C25" i="4" s="1"/>
  <c r="E6" i="4"/>
  <c r="E3" i="4"/>
  <c r="C23" i="4" s="1"/>
  <c r="E3" i="5" l="1"/>
  <c r="F3" i="5" s="1"/>
  <c r="G3" i="5"/>
  <c r="L3" i="5"/>
  <c r="M3" i="5" s="1"/>
  <c r="E4" i="5"/>
  <c r="F4" i="5" s="1"/>
  <c r="G4" i="5"/>
  <c r="E5" i="5"/>
  <c r="F5" i="5" s="1"/>
  <c r="G5" i="5"/>
  <c r="L6" i="5"/>
  <c r="M6" i="5" s="1"/>
  <c r="O6" i="5" s="1"/>
  <c r="E6" i="5"/>
  <c r="F6" i="5" s="1"/>
  <c r="G6" i="5"/>
  <c r="E7" i="5"/>
  <c r="F7" i="5"/>
  <c r="G7" i="5"/>
  <c r="E8" i="5"/>
  <c r="F8" i="5" s="1"/>
  <c r="G8" i="5"/>
  <c r="E9" i="5"/>
  <c r="F9" i="5" s="1"/>
  <c r="G9" i="5"/>
  <c r="E10" i="5"/>
  <c r="F10" i="5" s="1"/>
  <c r="G10" i="5"/>
  <c r="E11" i="5"/>
  <c r="F11" i="5" s="1"/>
  <c r="G11" i="5"/>
  <c r="E12" i="5"/>
  <c r="F12" i="5" s="1"/>
  <c r="G12" i="5"/>
  <c r="E13" i="4"/>
  <c r="C33" i="4" s="1"/>
  <c r="F14" i="4"/>
  <c r="D34" i="4" s="1"/>
  <c r="J8" i="4"/>
  <c r="F28" i="4" s="1"/>
  <c r="J9" i="4"/>
  <c r="F29" i="4" s="1"/>
  <c r="J10" i="4"/>
  <c r="F30" i="4" s="1"/>
  <c r="J7" i="4"/>
  <c r="F27" i="4" s="1"/>
  <c r="I10" i="4"/>
  <c r="E30" i="4" s="1"/>
  <c r="F15" i="4"/>
  <c r="D35" i="4" s="1"/>
  <c r="F16" i="4"/>
  <c r="D36" i="4" s="1"/>
  <c r="F17" i="4"/>
  <c r="D37" i="4" s="1"/>
  <c r="F18" i="4"/>
  <c r="D38" i="4" s="1"/>
  <c r="E15" i="4"/>
  <c r="C35" i="4" s="1"/>
  <c r="E16" i="4"/>
  <c r="C36" i="4" s="1"/>
  <c r="E17" i="4"/>
  <c r="C37" i="4" s="1"/>
  <c r="E18" i="4"/>
  <c r="C38" i="4" s="1"/>
  <c r="J15" i="4"/>
  <c r="F35" i="4" s="1"/>
  <c r="J16" i="4"/>
  <c r="F36" i="4" s="1"/>
  <c r="J17" i="4"/>
  <c r="F37" i="4" s="1"/>
  <c r="J18" i="4"/>
  <c r="F38" i="4" s="1"/>
  <c r="I16" i="4"/>
  <c r="E36" i="4" s="1"/>
  <c r="I17" i="4"/>
  <c r="E37" i="4" s="1"/>
  <c r="I18" i="4"/>
  <c r="E38" i="4" s="1"/>
  <c r="I15" i="4"/>
  <c r="E35" i="4" s="1"/>
  <c r="F8" i="4"/>
  <c r="D28" i="4" s="1"/>
  <c r="F9" i="4"/>
  <c r="D29" i="4" s="1"/>
  <c r="F10" i="4"/>
  <c r="D30" i="4" s="1"/>
  <c r="F11" i="4"/>
  <c r="D31" i="4" s="1"/>
  <c r="F12" i="4"/>
  <c r="D32" i="4" s="1"/>
  <c r="F13" i="4"/>
  <c r="D33" i="4" s="1"/>
  <c r="F7" i="4"/>
  <c r="D27" i="4" s="1"/>
  <c r="E12" i="4"/>
  <c r="C32" i="4" s="1"/>
  <c r="E14" i="4"/>
  <c r="C34" i="4" s="1"/>
  <c r="E11" i="4"/>
  <c r="C31" i="4" s="1"/>
  <c r="E8" i="4"/>
  <c r="C28" i="4" s="1"/>
  <c r="E9" i="4"/>
  <c r="C29" i="4" s="1"/>
  <c r="E10" i="4"/>
  <c r="C30" i="4" s="1"/>
  <c r="E7" i="4"/>
  <c r="C27" i="4" s="1"/>
  <c r="J12" i="4"/>
  <c r="F32" i="4" s="1"/>
  <c r="J13" i="4"/>
  <c r="F33" i="4" s="1"/>
  <c r="J14" i="4"/>
  <c r="F34" i="4" s="1"/>
  <c r="J11" i="4"/>
  <c r="F31" i="4" s="1"/>
  <c r="I12" i="4"/>
  <c r="E32" i="4" s="1"/>
  <c r="I13" i="4"/>
  <c r="E33" i="4" s="1"/>
  <c r="I14" i="4"/>
  <c r="E34" i="4" s="1"/>
  <c r="I11" i="4"/>
  <c r="E31" i="4" s="1"/>
  <c r="I69" i="3"/>
  <c r="E110" i="3" s="1"/>
  <c r="I70" i="3"/>
  <c r="E111" i="3" s="1"/>
  <c r="I71" i="3"/>
  <c r="E112" i="3" s="1"/>
  <c r="I72" i="3"/>
  <c r="E113" i="3" s="1"/>
  <c r="I73" i="3"/>
  <c r="E114" i="3" s="1"/>
  <c r="I74" i="3"/>
  <c r="E115" i="3" s="1"/>
  <c r="I75" i="3"/>
  <c r="E116" i="3" s="1"/>
  <c r="I76" i="3"/>
  <c r="E117" i="3" s="1"/>
  <c r="I77" i="3"/>
  <c r="E118" i="3" s="1"/>
  <c r="I78" i="3"/>
  <c r="E119" i="3" s="1"/>
  <c r="I68" i="3"/>
  <c r="E109" i="3" s="1"/>
  <c r="H69" i="3"/>
  <c r="D110" i="3" s="1"/>
  <c r="H70" i="3"/>
  <c r="D111" i="3" s="1"/>
  <c r="H71" i="3"/>
  <c r="D112" i="3" s="1"/>
  <c r="H72" i="3"/>
  <c r="D113" i="3" s="1"/>
  <c r="H73" i="3"/>
  <c r="D114" i="3" s="1"/>
  <c r="H74" i="3"/>
  <c r="D115" i="3" s="1"/>
  <c r="H75" i="3"/>
  <c r="D116" i="3" s="1"/>
  <c r="H76" i="3"/>
  <c r="D117" i="3" s="1"/>
  <c r="H77" i="3"/>
  <c r="D118" i="3" s="1"/>
  <c r="H78" i="3"/>
  <c r="D119" i="3" s="1"/>
  <c r="H68" i="3"/>
  <c r="D109" i="3" s="1"/>
  <c r="E69" i="3"/>
  <c r="C110" i="3" s="1"/>
  <c r="E70" i="3"/>
  <c r="C111" i="3" s="1"/>
  <c r="E71" i="3"/>
  <c r="C112" i="3" s="1"/>
  <c r="E72" i="3"/>
  <c r="C113" i="3" s="1"/>
  <c r="E73" i="3"/>
  <c r="C114" i="3" s="1"/>
  <c r="E74" i="3"/>
  <c r="C115" i="3" s="1"/>
  <c r="E75" i="3"/>
  <c r="C116" i="3" s="1"/>
  <c r="E76" i="3"/>
  <c r="C117" i="3" s="1"/>
  <c r="E77" i="3"/>
  <c r="C118" i="3" s="1"/>
  <c r="E78" i="3"/>
  <c r="C119" i="3" s="1"/>
  <c r="E68" i="3"/>
  <c r="C109" i="3" s="1"/>
  <c r="D69" i="3"/>
  <c r="B110" i="3" s="1"/>
  <c r="D70" i="3"/>
  <c r="B111" i="3" s="1"/>
  <c r="D71" i="3"/>
  <c r="B112" i="3" s="1"/>
  <c r="D72" i="3"/>
  <c r="B113" i="3" s="1"/>
  <c r="D73" i="3"/>
  <c r="B114" i="3" s="1"/>
  <c r="D74" i="3"/>
  <c r="B115" i="3" s="1"/>
  <c r="D75" i="3"/>
  <c r="B116" i="3" s="1"/>
  <c r="D76" i="3"/>
  <c r="B117" i="3" s="1"/>
  <c r="D77" i="3"/>
  <c r="B118" i="3" s="1"/>
  <c r="D78" i="3"/>
  <c r="B119" i="3" s="1"/>
  <c r="D68" i="3"/>
  <c r="B109" i="3" s="1"/>
  <c r="L7" i="5" l="1"/>
  <c r="M7" i="5" s="1"/>
  <c r="O7" i="5" s="1"/>
  <c r="O3" i="5"/>
  <c r="H53" i="2"/>
  <c r="D5" i="2"/>
  <c r="B54" i="2" s="1"/>
  <c r="D7" i="2"/>
  <c r="B55" i="2" s="1"/>
  <c r="D4" i="2"/>
  <c r="B56" i="2" s="1"/>
  <c r="D9" i="2"/>
  <c r="B57" i="2" s="1"/>
  <c r="D6" i="2"/>
  <c r="B58" i="2" s="1"/>
  <c r="D8" i="2"/>
  <c r="B59" i="2" s="1"/>
  <c r="D10" i="2"/>
  <c r="B60" i="2" s="1"/>
  <c r="D12" i="2"/>
  <c r="B61" i="2" s="1"/>
  <c r="D11" i="2"/>
  <c r="B62" i="2" s="1"/>
  <c r="D13" i="2"/>
  <c r="B63" i="2" s="1"/>
  <c r="D14" i="2"/>
  <c r="B64" i="2" s="1"/>
  <c r="D15" i="2"/>
  <c r="B65" i="2" s="1"/>
  <c r="D16" i="2"/>
  <c r="B66" i="2" s="1"/>
  <c r="D3" i="2"/>
  <c r="B53" i="2" s="1"/>
  <c r="E5" i="2"/>
  <c r="C54" i="2" s="1"/>
  <c r="E7" i="2"/>
  <c r="C55" i="2" s="1"/>
  <c r="E4" i="2"/>
  <c r="C56" i="2" s="1"/>
  <c r="E9" i="2"/>
  <c r="C57" i="2" s="1"/>
  <c r="E6" i="2"/>
  <c r="C58" i="2" s="1"/>
  <c r="E8" i="2"/>
  <c r="C59" i="2" s="1"/>
  <c r="E10" i="2"/>
  <c r="C60" i="2" s="1"/>
  <c r="E12" i="2"/>
  <c r="C61" i="2" s="1"/>
  <c r="E11" i="2"/>
  <c r="C62" i="2" s="1"/>
  <c r="E13" i="2"/>
  <c r="C63" i="2" s="1"/>
  <c r="E14" i="2"/>
  <c r="C64" i="2" s="1"/>
  <c r="E15" i="2"/>
  <c r="C65" i="2" s="1"/>
  <c r="E16" i="2"/>
  <c r="C66" i="2" s="1"/>
  <c r="E3" i="2"/>
  <c r="C53" i="2" s="1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I3" i="2"/>
  <c r="E53" i="2" s="1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H3" i="2"/>
  <c r="D53" i="2" s="1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Q3" i="2"/>
  <c r="I53" i="2" s="1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M5" i="2"/>
  <c r="G54" i="2" s="1"/>
  <c r="M7" i="2"/>
  <c r="G55" i="2" s="1"/>
  <c r="M4" i="2"/>
  <c r="G56" i="2" s="1"/>
  <c r="M9" i="2"/>
  <c r="G57" i="2" s="1"/>
  <c r="M6" i="2"/>
  <c r="G58" i="2" s="1"/>
  <c r="M8" i="2"/>
  <c r="G59" i="2" s="1"/>
  <c r="M10" i="2"/>
  <c r="G60" i="2" s="1"/>
  <c r="M12" i="2"/>
  <c r="G61" i="2" s="1"/>
  <c r="M11" i="2"/>
  <c r="G62" i="2" s="1"/>
  <c r="M13" i="2"/>
  <c r="G63" i="2" s="1"/>
  <c r="M14" i="2"/>
  <c r="G64" i="2" s="1"/>
  <c r="M15" i="2"/>
  <c r="G65" i="2" s="1"/>
  <c r="M16" i="2"/>
  <c r="G66" i="2" s="1"/>
  <c r="M3" i="2"/>
  <c r="G53" i="2" s="1"/>
  <c r="L5" i="2"/>
  <c r="F54" i="2" s="1"/>
  <c r="L7" i="2"/>
  <c r="F55" i="2" s="1"/>
  <c r="L4" i="2"/>
  <c r="F56" i="2" s="1"/>
  <c r="L9" i="2"/>
  <c r="F57" i="2" s="1"/>
  <c r="L6" i="2"/>
  <c r="F58" i="2" s="1"/>
  <c r="L8" i="2"/>
  <c r="F59" i="2" s="1"/>
  <c r="L10" i="2"/>
  <c r="F60" i="2" s="1"/>
  <c r="L12" i="2"/>
  <c r="F61" i="2" s="1"/>
  <c r="L11" i="2"/>
  <c r="F62" i="2" s="1"/>
  <c r="L13" i="2"/>
  <c r="F63" i="2" s="1"/>
  <c r="L14" i="2"/>
  <c r="F64" i="2" s="1"/>
  <c r="L15" i="2"/>
  <c r="F65" i="2" s="1"/>
  <c r="L16" i="2"/>
  <c r="F66" i="2" s="1"/>
  <c r="L3" i="2"/>
  <c r="F53" i="2" s="1"/>
  <c r="I4" i="1" l="1"/>
  <c r="I5" i="1"/>
  <c r="I7" i="1"/>
  <c r="I8" i="1"/>
  <c r="I9" i="1"/>
  <c r="I10" i="1"/>
  <c r="I3" i="1"/>
  <c r="H4" i="1"/>
  <c r="H5" i="1"/>
  <c r="H6" i="1"/>
  <c r="H7" i="1"/>
  <c r="H8" i="1"/>
  <c r="H9" i="1"/>
  <c r="H10" i="1"/>
  <c r="H3" i="1"/>
  <c r="E4" i="1"/>
  <c r="E5" i="1"/>
  <c r="E7" i="1"/>
  <c r="E8" i="1"/>
  <c r="E9" i="1"/>
  <c r="E10" i="1"/>
  <c r="E3" i="1"/>
  <c r="D4" i="1"/>
  <c r="D5" i="1"/>
  <c r="D7" i="1"/>
  <c r="D8" i="1"/>
  <c r="D9" i="1"/>
  <c r="D10" i="1"/>
  <c r="D3" i="1"/>
</calcChain>
</file>

<file path=xl/sharedStrings.xml><?xml version="1.0" encoding="utf-8"?>
<sst xmlns="http://schemas.openxmlformats.org/spreadsheetml/2006/main" count="259" uniqueCount="138">
  <si>
    <t>pH</t>
  </si>
  <si>
    <t>4.5</t>
  </si>
  <si>
    <t>5.5</t>
  </si>
  <si>
    <t>6.2</t>
  </si>
  <si>
    <t>6.5</t>
  </si>
  <si>
    <t>7.5</t>
  </si>
  <si>
    <t>POXC</t>
  </si>
  <si>
    <t>A</t>
  </si>
  <si>
    <t>B</t>
  </si>
  <si>
    <t>Media</t>
  </si>
  <si>
    <t>Error</t>
  </si>
  <si>
    <t>POXA1b</t>
  </si>
  <si>
    <t>3.5</t>
  </si>
  <si>
    <t>pH, NaOAc</t>
  </si>
  <si>
    <r>
      <t>L</t>
    </r>
    <r>
      <rPr>
        <i/>
        <sz val="11"/>
        <color theme="1"/>
        <rFont val="Calibri"/>
        <family val="2"/>
        <scheme val="minor"/>
      </rPr>
      <t>Tv</t>
    </r>
  </si>
  <si>
    <t>DMSO</t>
  </si>
  <si>
    <t>DMF</t>
  </si>
  <si>
    <t>Cyrene</t>
  </si>
  <si>
    <t>Acetone</t>
  </si>
  <si>
    <t>Dioxane</t>
  </si>
  <si>
    <t>MeCN</t>
  </si>
  <si>
    <t>EtOAc</t>
  </si>
  <si>
    <t xml:space="preserve">2-MeTHF </t>
  </si>
  <si>
    <t>MTBE</t>
  </si>
  <si>
    <t xml:space="preserve">CPME </t>
  </si>
  <si>
    <t>Toluene</t>
  </si>
  <si>
    <t>Cyclohexane</t>
  </si>
  <si>
    <t>Heptane</t>
  </si>
  <si>
    <t>Average</t>
  </si>
  <si>
    <t>a.</t>
  </si>
  <si>
    <t>b.</t>
  </si>
  <si>
    <t>Conv. A.</t>
  </si>
  <si>
    <t>Conv. B.</t>
  </si>
  <si>
    <t>Activity a.</t>
  </si>
  <si>
    <t>Activity b.</t>
  </si>
  <si>
    <t>Plain buffer</t>
  </si>
  <si>
    <t>Residual activity</t>
  </si>
  <si>
    <t>Conversion (%)</t>
  </si>
  <si>
    <t>Residual activity (%)</t>
  </si>
  <si>
    <t>Time (h)</t>
  </si>
  <si>
    <t>Resid. Activity avg</t>
  </si>
  <si>
    <t>U/mL</t>
  </si>
  <si>
    <t>POXA1B</t>
  </si>
  <si>
    <t>U/mg</t>
  </si>
  <si>
    <t>Conc (mg/mL)</t>
  </si>
  <si>
    <t>Abs-Blk</t>
  </si>
  <si>
    <t>Abs</t>
  </si>
  <si>
    <t>q</t>
  </si>
  <si>
    <t>m</t>
  </si>
  <si>
    <t>Abs 3</t>
  </si>
  <si>
    <t>Abs 2</t>
  </si>
  <si>
    <t>Abs 1</t>
  </si>
  <si>
    <t>Activity</t>
  </si>
  <si>
    <t>Equation</t>
  </si>
  <si>
    <t>Abs - Blk</t>
  </si>
  <si>
    <t>Avg Abs</t>
  </si>
  <si>
    <t>Abs 595 nm</t>
  </si>
  <si>
    <t>BSA (mg/mL)</t>
  </si>
  <si>
    <t>20% TEMPO</t>
  </si>
  <si>
    <t>10% TEMPO</t>
  </si>
  <si>
    <t>5% TEMPO</t>
  </si>
  <si>
    <t>2.5% TEMPO</t>
  </si>
  <si>
    <t>LTv</t>
  </si>
  <si>
    <t>Time</t>
  </si>
  <si>
    <t>Conversion</t>
  </si>
  <si>
    <t>Enzime U</t>
  </si>
  <si>
    <t>Residual Substrate [%]</t>
  </si>
  <si>
    <t>TEMPO (mol%)</t>
  </si>
  <si>
    <t>2-Furoic acid (B)</t>
  </si>
  <si>
    <t>Furfural (A)</t>
  </si>
  <si>
    <t>P</t>
  </si>
  <si>
    <t>S [%]</t>
  </si>
  <si>
    <t>error</t>
  </si>
  <si>
    <t>x</t>
  </si>
  <si>
    <r>
      <t xml:space="preserve">alcohol, </t>
    </r>
    <r>
      <rPr>
        <b/>
        <sz val="14"/>
        <color theme="1"/>
        <rFont val="Calibri"/>
        <family val="2"/>
        <scheme val="minor"/>
      </rPr>
      <t>1a</t>
    </r>
    <r>
      <rPr>
        <sz val="14"/>
        <color theme="1"/>
        <rFont val="Calibri"/>
        <family val="2"/>
        <scheme val="minor"/>
      </rPr>
      <t xml:space="preserve"> (S)</t>
    </r>
  </si>
  <si>
    <r>
      <t xml:space="preserve">furfural, </t>
    </r>
    <r>
      <rPr>
        <b/>
        <sz val="14"/>
        <color theme="1"/>
        <rFont val="Calibri"/>
        <family val="2"/>
        <scheme val="minor"/>
      </rPr>
      <t>1b</t>
    </r>
    <r>
      <rPr>
        <sz val="14"/>
        <color theme="1"/>
        <rFont val="Calibri"/>
        <family val="2"/>
        <scheme val="minor"/>
      </rPr>
      <t xml:space="preserve"> (P)</t>
    </r>
  </si>
  <si>
    <r>
      <t xml:space="preserve">furfuryl amine, </t>
    </r>
    <r>
      <rPr>
        <b/>
        <sz val="14"/>
        <color theme="1"/>
        <rFont val="Calibri"/>
        <family val="2"/>
        <scheme val="minor"/>
      </rPr>
      <t>1d</t>
    </r>
  </si>
  <si>
    <t>Comparable peak retention!</t>
  </si>
  <si>
    <r>
      <t xml:space="preserve">carboxylic acid </t>
    </r>
    <r>
      <rPr>
        <b/>
        <sz val="14"/>
        <color theme="1"/>
        <rFont val="Calibri"/>
        <family val="2"/>
        <scheme val="minor"/>
      </rPr>
      <t>1c</t>
    </r>
    <r>
      <rPr>
        <sz val="14"/>
        <color theme="1"/>
        <rFont val="Calibri"/>
        <family val="2"/>
        <scheme val="minor"/>
      </rPr>
      <t xml:space="preserve"> (by-product)</t>
    </r>
  </si>
  <si>
    <t>1b/1a - P/S</t>
  </si>
  <si>
    <t>Concentration mM</t>
  </si>
  <si>
    <r>
      <t>(S)-phenyletylamine (</t>
    </r>
    <r>
      <rPr>
        <b/>
        <sz val="11"/>
        <color theme="1"/>
        <rFont val="Calibri"/>
        <family val="2"/>
        <scheme val="minor"/>
      </rPr>
      <t>2a</t>
    </r>
    <r>
      <rPr>
        <sz val="11"/>
        <color theme="1"/>
        <rFont val="Calibri"/>
        <family val="2"/>
        <scheme val="minor"/>
      </rPr>
      <t>)</t>
    </r>
  </si>
  <si>
    <r>
      <t>Acetophenone (</t>
    </r>
    <r>
      <rPr>
        <b/>
        <sz val="11"/>
        <color theme="1"/>
        <rFont val="Calibri"/>
        <family val="2"/>
        <scheme val="minor"/>
      </rPr>
      <t>2b</t>
    </r>
    <r>
      <rPr>
        <sz val="11"/>
        <color theme="1"/>
        <rFont val="Calibri"/>
        <family val="2"/>
        <scheme val="minor"/>
      </rPr>
      <t>)</t>
    </r>
  </si>
  <si>
    <t>Concentration (mM)</t>
  </si>
  <si>
    <t>1a - area</t>
  </si>
  <si>
    <t>1b - area</t>
  </si>
  <si>
    <t>1d - area</t>
  </si>
  <si>
    <t>1c - area</t>
  </si>
  <si>
    <t>CORRELATION FACTOR</t>
  </si>
  <si>
    <t>POXA1B U/mL</t>
  </si>
  <si>
    <t>POXC U/mL</t>
  </si>
  <si>
    <t>Volume (uL)</t>
  </si>
  <si>
    <t>%</t>
  </si>
  <si>
    <t>err%</t>
  </si>
  <si>
    <t>media</t>
  </si>
  <si>
    <t>LTv U/mL</t>
  </si>
  <si>
    <r>
      <rPr>
        <sz val="11"/>
        <color theme="1"/>
        <rFont val="Calibri"/>
        <family val="2"/>
      </rPr>
      <t xml:space="preserve">ɛ </t>
    </r>
    <r>
      <rPr>
        <sz val="11"/>
        <color theme="1"/>
        <rFont val="Calibri"/>
        <family val="2"/>
        <scheme val="minor"/>
      </rPr>
      <t>Value/1000</t>
    </r>
  </si>
  <si>
    <t>Dev. St.</t>
  </si>
  <si>
    <t>LTv t 0 Iiset</t>
  </si>
  <si>
    <t xml:space="preserve">to obtain 24 mg amine (mg) </t>
  </si>
  <si>
    <t>to obtain 1 kg Amine (mg)</t>
  </si>
  <si>
    <t>to obtain 1 kg Amine (g)</t>
  </si>
  <si>
    <t>Waste (kg per Kg of P)</t>
  </si>
  <si>
    <t>Waste (kg/Kg of P)-excl solv</t>
  </si>
  <si>
    <t>upstream</t>
  </si>
  <si>
    <t>Substrate (mg)</t>
  </si>
  <si>
    <t>downstream</t>
  </si>
  <si>
    <r>
      <t>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- Water</t>
    </r>
  </si>
  <si>
    <t>mg</t>
  </si>
  <si>
    <t>mL</t>
  </si>
  <si>
    <t>Buffer + citrate</t>
  </si>
  <si>
    <t>Yield</t>
  </si>
  <si>
    <t>Enzyme laccase</t>
  </si>
  <si>
    <t>IPA - Acetone</t>
  </si>
  <si>
    <t>TEMPO</t>
  </si>
  <si>
    <t>Factor (g to kg)</t>
  </si>
  <si>
    <t>Enzyme ATA</t>
  </si>
  <si>
    <r>
      <t>1 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2 molecules S</t>
    </r>
  </si>
  <si>
    <t>PLP</t>
  </si>
  <si>
    <r>
      <t>1 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2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</si>
  <si>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t>Water (Extraction)</t>
  </si>
  <si>
    <t>E-factor</t>
  </si>
  <si>
    <t>Density furfuryl amine (mg/mL)</t>
  </si>
  <si>
    <r>
      <t>density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(g/mL)</t>
    </r>
  </si>
  <si>
    <t xml:space="preserve">Upstream </t>
  </si>
  <si>
    <t>Downstream</t>
  </si>
  <si>
    <r>
      <t>Upstream (Kg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</si>
  <si>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Downstream (Kg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</si>
  <si>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density EtOAc (g/mL)</t>
  </si>
  <si>
    <t>Non isolated product</t>
  </si>
  <si>
    <t>IPA density (g/mL)</t>
  </si>
  <si>
    <r>
      <t>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- water</t>
    </r>
  </si>
  <si>
    <t>Buffer</t>
  </si>
  <si>
    <t>Laccase</t>
  </si>
  <si>
    <t>ATA</t>
  </si>
  <si>
    <t>Water (extraction)</t>
  </si>
  <si>
    <t>E- factor contribution</t>
  </si>
  <si>
    <t>E- factor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</si>
</sst>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000"/>
    <numFmt numFmtId="166" formatCode="0.000"/>
    <numFmt numFmtId="167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9" tint="-0.499984740745262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9" fontId="0" fillId="0" borderId="0" xfId="0" applyNumberFormat="1"/>
    <xf numFmtId="10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vertical="center"/>
    </xf>
    <xf numFmtId="0" fontId="0" fillId="3" borderId="0" xfId="0" applyFill="1"/>
    <xf numFmtId="164" fontId="0" fillId="0" borderId="0" xfId="0" applyNumberFormat="1"/>
    <xf numFmtId="164" fontId="0" fillId="3" borderId="0" xfId="0" applyNumberFormat="1" applyFill="1"/>
    <xf numFmtId="164" fontId="0" fillId="2" borderId="0" xfId="0" applyNumberFormat="1" applyFill="1"/>
    <xf numFmtId="0" fontId="1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9" fontId="6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0" fontId="8" fillId="0" borderId="0" xfId="0" applyFont="1"/>
    <xf numFmtId="0" fontId="9" fillId="0" borderId="0" xfId="0" applyFont="1" applyAlignment="1">
      <alignment horizontal="center" vertical="center"/>
    </xf>
    <xf numFmtId="165" fontId="0" fillId="0" borderId="0" xfId="0" applyNumberFormat="1"/>
    <xf numFmtId="166" fontId="0" fillId="0" borderId="0" xfId="0" applyNumberFormat="1"/>
    <xf numFmtId="10" fontId="0" fillId="0" borderId="0" xfId="0" applyNumberFormat="1" applyAlignment="1">
      <alignment vertical="center"/>
    </xf>
    <xf numFmtId="0" fontId="0" fillId="0" borderId="0" xfId="0" quotePrefix="1"/>
    <xf numFmtId="165" fontId="0" fillId="0" borderId="0" xfId="0" quotePrefix="1" applyNumberFormat="1"/>
    <xf numFmtId="167" fontId="0" fillId="0" borderId="0" xfId="0" applyNumberFormat="1"/>
    <xf numFmtId="167" fontId="0" fillId="0" borderId="0" xfId="0" applyNumberFormat="1" applyAlignment="1">
      <alignment horizontal="center" vertical="center"/>
    </xf>
    <xf numFmtId="167" fontId="0" fillId="3" borderId="0" xfId="0" applyNumberFormat="1" applyFill="1"/>
    <xf numFmtId="167" fontId="0" fillId="4" borderId="0" xfId="0" applyNumberFormat="1" applyFill="1"/>
    <xf numFmtId="167" fontId="13" fillId="0" borderId="0" xfId="0" applyNumberFormat="1" applyFont="1"/>
    <xf numFmtId="0" fontId="0" fillId="4" borderId="0" xfId="0" applyFill="1"/>
    <xf numFmtId="167" fontId="0" fillId="6" borderId="0" xfId="0" applyNumberFormat="1" applyFill="1" applyAlignment="1">
      <alignment horizontal="right"/>
    </xf>
    <xf numFmtId="167" fontId="0" fillId="6" borderId="0" xfId="0" applyNumberFormat="1" applyFill="1"/>
    <xf numFmtId="167" fontId="11" fillId="0" borderId="0" xfId="0" applyNumberFormat="1" applyFont="1"/>
    <xf numFmtId="0" fontId="0" fillId="2" borderId="0" xfId="0" applyFill="1"/>
    <xf numFmtId="167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2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600"/>
              <a:t>POXC</a:t>
            </a:r>
            <a:endParaRPr lang="en-US" sz="1600" baseline="30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2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819449348366797"/>
          <c:y val="0.16660373950845592"/>
          <c:w val="0.81474964713554265"/>
          <c:h val="0.720965354692954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Figure1_pH!$B$1</c:f>
              <c:strCache>
                <c:ptCount val="1"/>
                <c:pt idx="0">
                  <c:v>POXC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(Figure1_pH!$E$3:$E$5,Figure1_pH!$E$7:$E$10)</c:f>
                <c:numCache>
                  <c:formatCode>General</c:formatCode>
                  <c:ptCount val="7"/>
                  <c:pt idx="0">
                    <c:v>2.2132442251138935E-2</c:v>
                  </c:pt>
                  <c:pt idx="1">
                    <c:v>6.2932503525602701E-2</c:v>
                  </c:pt>
                  <c:pt idx="2">
                    <c:v>1.3435028842544336E-2</c:v>
                  </c:pt>
                  <c:pt idx="3">
                    <c:v>2.333452377915609E-2</c:v>
                  </c:pt>
                  <c:pt idx="4">
                    <c:v>7.5660425586960581E-2</c:v>
                  </c:pt>
                  <c:pt idx="5">
                    <c:v>0.10535891039679537</c:v>
                  </c:pt>
                  <c:pt idx="6">
                    <c:v>6.3639610306789338E-3</c:v>
                  </c:pt>
                </c:numCache>
              </c:numRef>
            </c:plus>
            <c:minus>
              <c:numRef>
                <c:f>(Figure1_pH!$E$3:$E$5,Figure1_pH!$E$7:$E$10)</c:f>
                <c:numCache>
                  <c:formatCode>General</c:formatCode>
                  <c:ptCount val="7"/>
                  <c:pt idx="0">
                    <c:v>2.2132442251138935E-2</c:v>
                  </c:pt>
                  <c:pt idx="1">
                    <c:v>6.2932503525602701E-2</c:v>
                  </c:pt>
                  <c:pt idx="2">
                    <c:v>1.3435028842544336E-2</c:v>
                  </c:pt>
                  <c:pt idx="3">
                    <c:v>2.333452377915609E-2</c:v>
                  </c:pt>
                  <c:pt idx="4">
                    <c:v>7.5660425586960581E-2</c:v>
                  </c:pt>
                  <c:pt idx="5">
                    <c:v>0.10535891039679537</c:v>
                  </c:pt>
                  <c:pt idx="6">
                    <c:v>6.3639610306789338E-3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</a:ln>
              <a:effectLst/>
            </c:spPr>
          </c:errBars>
          <c:cat>
            <c:strRef>
              <c:f>(Figure1_pH!$A$3:$A$5,Figure1_pH!$A$7:$A$10)</c:f>
              <c:strCache>
                <c:ptCount val="7"/>
                <c:pt idx="0">
                  <c:v>4.5</c:v>
                </c:pt>
                <c:pt idx="1">
                  <c:v>5</c:v>
                </c:pt>
                <c:pt idx="2">
                  <c:v>5.5</c:v>
                </c:pt>
                <c:pt idx="3">
                  <c:v>6.5</c:v>
                </c:pt>
                <c:pt idx="4">
                  <c:v>7</c:v>
                </c:pt>
                <c:pt idx="5">
                  <c:v>7.5</c:v>
                </c:pt>
                <c:pt idx="6">
                  <c:v>8</c:v>
                </c:pt>
              </c:strCache>
            </c:strRef>
          </c:cat>
          <c:val>
            <c:numRef>
              <c:f>(Figure1_pH!$D$3:$D$5,Figure1_pH!$D$7:$D$10)</c:f>
              <c:numCache>
                <c:formatCode>0.00%</c:formatCode>
                <c:ptCount val="7"/>
                <c:pt idx="0">
                  <c:v>0.49664999999999998</c:v>
                </c:pt>
                <c:pt idx="1">
                  <c:v>0.60350000000000004</c:v>
                </c:pt>
                <c:pt idx="2">
                  <c:v>0.8165</c:v>
                </c:pt>
                <c:pt idx="3">
                  <c:v>0.87349999999999994</c:v>
                </c:pt>
                <c:pt idx="4">
                  <c:v>0.79649999999999999</c:v>
                </c:pt>
                <c:pt idx="5">
                  <c:v>0.6875</c:v>
                </c:pt>
                <c:pt idx="6">
                  <c:v>0.73750000000000004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FA-4190-899F-6CCA6610F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130278783"/>
        <c:axId val="2130265055"/>
      </c:barChart>
      <c:catAx>
        <c:axId val="2130278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0265055"/>
        <c:crosses val="autoZero"/>
        <c:auto val="1"/>
        <c:lblAlgn val="ctr"/>
        <c:lblOffset val="100"/>
        <c:noMultiLvlLbl val="0"/>
      </c:catAx>
      <c:valAx>
        <c:axId val="2130265055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027878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2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600"/>
              <a:t>POXA1b</a:t>
            </a:r>
            <a:endParaRPr lang="en-US" sz="1600" baseline="30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2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881857728245487"/>
          <c:y val="0.16660373950845592"/>
          <c:w val="0.81474960675982966"/>
          <c:h val="0.720965354692954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Figure1_pH!$F$1</c:f>
              <c:strCache>
                <c:ptCount val="1"/>
                <c:pt idx="0">
                  <c:v>POXA1b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 w="9525" cap="flat" cmpd="sng" algn="ctr">
              <a:solidFill>
                <a:schemeClr val="bg2">
                  <a:lumMod val="50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Figure1_pH!$I$3:$I$10</c:f>
                <c:numCache>
                  <c:formatCode>General</c:formatCode>
                  <c:ptCount val="8"/>
                  <c:pt idx="0">
                    <c:v>0.10606601717798204</c:v>
                  </c:pt>
                  <c:pt idx="1">
                    <c:v>0.19798989873223333</c:v>
                  </c:pt>
                  <c:pt idx="2">
                    <c:v>0.16970562748477219</c:v>
                  </c:pt>
                  <c:pt idx="3">
                    <c:v>5.6568542494924122E-2</c:v>
                  </c:pt>
                  <c:pt idx="4">
                    <c:v>7.7781745930520133E-2</c:v>
                  </c:pt>
                  <c:pt idx="5">
                    <c:v>3.535533905932739E-2</c:v>
                  </c:pt>
                  <c:pt idx="6">
                    <c:v>2.1213203435596403E-2</c:v>
                  </c:pt>
                  <c:pt idx="7">
                    <c:v>7.0710678118655152E-3</c:v>
                  </c:pt>
                </c:numCache>
              </c:numRef>
            </c:plus>
            <c:minus>
              <c:numRef>
                <c:f>Figure1_pH!$I$3:$I$10</c:f>
                <c:numCache>
                  <c:formatCode>General</c:formatCode>
                  <c:ptCount val="8"/>
                  <c:pt idx="0">
                    <c:v>0.10606601717798204</c:v>
                  </c:pt>
                  <c:pt idx="1">
                    <c:v>0.19798989873223333</c:v>
                  </c:pt>
                  <c:pt idx="2">
                    <c:v>0.16970562748477219</c:v>
                  </c:pt>
                  <c:pt idx="3">
                    <c:v>5.6568542494924122E-2</c:v>
                  </c:pt>
                  <c:pt idx="4">
                    <c:v>7.7781745930520133E-2</c:v>
                  </c:pt>
                  <c:pt idx="5">
                    <c:v>3.535533905932739E-2</c:v>
                  </c:pt>
                  <c:pt idx="6">
                    <c:v>2.1213203435596403E-2</c:v>
                  </c:pt>
                  <c:pt idx="7">
                    <c:v>7.0710678118655152E-3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</a:ln>
              <a:effectLst/>
            </c:spPr>
          </c:errBars>
          <c:cat>
            <c:strRef>
              <c:f>Figure1_pH!$A$3:$A$10</c:f>
              <c:strCache>
                <c:ptCount val="8"/>
                <c:pt idx="0">
                  <c:v>4.5</c:v>
                </c:pt>
                <c:pt idx="1">
                  <c:v>5</c:v>
                </c:pt>
                <c:pt idx="2">
                  <c:v>5.5</c:v>
                </c:pt>
                <c:pt idx="3">
                  <c:v>6.2</c:v>
                </c:pt>
                <c:pt idx="4">
                  <c:v>6.5</c:v>
                </c:pt>
                <c:pt idx="5">
                  <c:v>7</c:v>
                </c:pt>
                <c:pt idx="6">
                  <c:v>7.5</c:v>
                </c:pt>
                <c:pt idx="7">
                  <c:v>8</c:v>
                </c:pt>
              </c:strCache>
            </c:strRef>
          </c:cat>
          <c:val>
            <c:numRef>
              <c:f>Figure1_pH!$H$3:$H$10</c:f>
              <c:numCache>
                <c:formatCode>0.00%</c:formatCode>
                <c:ptCount val="8"/>
                <c:pt idx="0">
                  <c:v>0.625</c:v>
                </c:pt>
                <c:pt idx="1">
                  <c:v>0.59</c:v>
                </c:pt>
                <c:pt idx="2">
                  <c:v>0.69</c:v>
                </c:pt>
                <c:pt idx="3">
                  <c:v>0.32999999999999996</c:v>
                </c:pt>
                <c:pt idx="4">
                  <c:v>0.21500000000000002</c:v>
                </c:pt>
                <c:pt idx="5">
                  <c:v>0.125</c:v>
                </c:pt>
                <c:pt idx="6">
                  <c:v>5.5000000000000007E-2</c:v>
                </c:pt>
                <c:pt idx="7">
                  <c:v>4.4999999999999998E-2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80-4E21-ABAB-624B610E5A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130278783"/>
        <c:axId val="2130265055"/>
      </c:barChart>
      <c:catAx>
        <c:axId val="2130278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0265055"/>
        <c:crosses val="autoZero"/>
        <c:auto val="1"/>
        <c:lblAlgn val="ctr"/>
        <c:lblOffset val="100"/>
        <c:noMultiLvlLbl val="0"/>
      </c:catAx>
      <c:valAx>
        <c:axId val="2130265055"/>
        <c:scaling>
          <c:orientation val="minMax"/>
          <c:max val="1"/>
        </c:scaling>
        <c:delete val="0"/>
        <c:axPos val="l"/>
        <c:numFmt formatCode="0%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027878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40709581586106"/>
          <c:y val="4.2562945963412868E-2"/>
          <c:w val="0.84751357248958237"/>
          <c:h val="0.70874582888194249"/>
        </c:manualLayout>
      </c:layout>
      <c:scatterChart>
        <c:scatterStyle val="lineMarker"/>
        <c:varyColors val="0"/>
        <c:ser>
          <c:idx val="0"/>
          <c:order val="0"/>
          <c:tx>
            <c:strRef>
              <c:f>'Figure 2_enzyme_stability '!$B$66:$E$66</c:f>
              <c:strCache>
                <c:ptCount val="1"/>
                <c:pt idx="0">
                  <c:v>POXA1b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'Figure 2_enzyme_stability '!$E$68:$E$78</c:f>
                <c:numCache>
                  <c:formatCode>General</c:formatCode>
                  <c:ptCount val="11"/>
                  <c:pt idx="0">
                    <c:v>0</c:v>
                  </c:pt>
                  <c:pt idx="1">
                    <c:v>4.8058467733579753E-2</c:v>
                  </c:pt>
                  <c:pt idx="2">
                    <c:v>7.1172652279140255E-2</c:v>
                  </c:pt>
                  <c:pt idx="3">
                    <c:v>8.4339302766006777E-2</c:v>
                  </c:pt>
                  <c:pt idx="4">
                    <c:v>9.4845566133325968E-2</c:v>
                  </c:pt>
                  <c:pt idx="5">
                    <c:v>3.3088802516510231E-2</c:v>
                  </c:pt>
                  <c:pt idx="6">
                    <c:v>2.9850340436725461E-2</c:v>
                  </c:pt>
                  <c:pt idx="7">
                    <c:v>7.6059363876234867E-2</c:v>
                  </c:pt>
                  <c:pt idx="8">
                    <c:v>0.12992739704845477</c:v>
                  </c:pt>
                  <c:pt idx="9">
                    <c:v>3.1510197345002294E-2</c:v>
                  </c:pt>
                  <c:pt idx="10">
                    <c:v>2.6316895861165073E-2</c:v>
                  </c:pt>
                </c:numCache>
              </c:numRef>
            </c:plus>
            <c:minus>
              <c:numRef>
                <c:f>'Figure 2_enzyme_stability '!$E$68:$E$78</c:f>
                <c:numCache>
                  <c:formatCode>General</c:formatCode>
                  <c:ptCount val="11"/>
                  <c:pt idx="0">
                    <c:v>0</c:v>
                  </c:pt>
                  <c:pt idx="1">
                    <c:v>4.8058467733579753E-2</c:v>
                  </c:pt>
                  <c:pt idx="2">
                    <c:v>7.1172652279140255E-2</c:v>
                  </c:pt>
                  <c:pt idx="3">
                    <c:v>8.4339302766006777E-2</c:v>
                  </c:pt>
                  <c:pt idx="4">
                    <c:v>9.4845566133325968E-2</c:v>
                  </c:pt>
                  <c:pt idx="5">
                    <c:v>3.3088802516510231E-2</c:v>
                  </c:pt>
                  <c:pt idx="6">
                    <c:v>2.9850340436725461E-2</c:v>
                  </c:pt>
                  <c:pt idx="7">
                    <c:v>7.6059363876234867E-2</c:v>
                  </c:pt>
                  <c:pt idx="8">
                    <c:v>0.12992739704845477</c:v>
                  </c:pt>
                  <c:pt idx="9">
                    <c:v>3.1510197345002294E-2</c:v>
                  </c:pt>
                  <c:pt idx="10">
                    <c:v>2.6316895861165073E-2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xVal>
            <c:numRef>
              <c:f>'Figure 2_enzyme_stability '!$A$68:$A$78</c:f>
              <c:numCache>
                <c:formatCode>General</c:formatCode>
                <c:ptCount val="11"/>
                <c:pt idx="0">
                  <c:v>0.01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16</c:v>
                </c:pt>
                <c:pt idx="5">
                  <c:v>24</c:v>
                </c:pt>
                <c:pt idx="6">
                  <c:v>30</c:v>
                </c:pt>
                <c:pt idx="7">
                  <c:v>48</c:v>
                </c:pt>
                <c:pt idx="8">
                  <c:v>64</c:v>
                </c:pt>
                <c:pt idx="9">
                  <c:v>72</c:v>
                </c:pt>
                <c:pt idx="10">
                  <c:v>96</c:v>
                </c:pt>
              </c:numCache>
            </c:numRef>
          </c:xVal>
          <c:yVal>
            <c:numRef>
              <c:f>'Figure 2_enzyme_stability '!$D$68:$D$78</c:f>
              <c:numCache>
                <c:formatCode>0.00%</c:formatCode>
                <c:ptCount val="11"/>
                <c:pt idx="0">
                  <c:v>1</c:v>
                </c:pt>
                <c:pt idx="1">
                  <c:v>0.94498949418897327</c:v>
                </c:pt>
                <c:pt idx="2">
                  <c:v>1.0292986276784346</c:v>
                </c:pt>
                <c:pt idx="3">
                  <c:v>0.98954343496246377</c:v>
                </c:pt>
                <c:pt idx="4">
                  <c:v>0.98159585750826617</c:v>
                </c:pt>
                <c:pt idx="5">
                  <c:v>1.0047057278557203</c:v>
                </c:pt>
                <c:pt idx="6">
                  <c:v>0.95319168727702519</c:v>
                </c:pt>
                <c:pt idx="7">
                  <c:v>1.0163113659743046</c:v>
                </c:pt>
                <c:pt idx="8">
                  <c:v>0.99571869736103313</c:v>
                </c:pt>
                <c:pt idx="9">
                  <c:v>1.0503184573967477</c:v>
                </c:pt>
                <c:pt idx="10">
                  <c:v>0.99057147234564003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FE-4363-ABB2-DE68B5483670}"/>
            </c:ext>
          </c:extLst>
        </c:ser>
        <c:ser>
          <c:idx val="1"/>
          <c:order val="1"/>
          <c:tx>
            <c:strRef>
              <c:f>'Figure 2_enzyme_stability '!$F$66</c:f>
              <c:strCache>
                <c:ptCount val="1"/>
                <c:pt idx="0">
                  <c:v>POXC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6">
                  <a:lumMod val="75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6">
                    <a:lumMod val="50000"/>
                  </a:schemeClr>
                </a:solidFill>
              </a:ln>
              <a:effectLst/>
            </c:spPr>
            <c:trendlineType val="exp"/>
            <c:intercept val="1"/>
            <c:dispRSqr val="0"/>
            <c:dispEq val="1"/>
            <c:trendlineLbl>
              <c:layout>
                <c:manualLayout>
                  <c:x val="2.8988208694280492E-2"/>
                  <c:y val="-4.509423759216027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2_enzyme_stability '!$I$68:$I$78</c:f>
                <c:numCache>
                  <c:formatCode>General</c:formatCode>
                  <c:ptCount val="11"/>
                  <c:pt idx="0">
                    <c:v>0</c:v>
                  </c:pt>
                  <c:pt idx="1">
                    <c:v>4.2503686300830769E-2</c:v>
                  </c:pt>
                  <c:pt idx="2">
                    <c:v>7.1808859487193122E-2</c:v>
                  </c:pt>
                  <c:pt idx="3">
                    <c:v>1.4947468627325659E-2</c:v>
                  </c:pt>
                  <c:pt idx="4">
                    <c:v>0.10579755021846871</c:v>
                  </c:pt>
                  <c:pt idx="5">
                    <c:v>8.264018165170145E-2</c:v>
                  </c:pt>
                  <c:pt idx="6">
                    <c:v>4.2585033068870543E-2</c:v>
                  </c:pt>
                  <c:pt idx="7">
                    <c:v>2.5644568624568268E-2</c:v>
                  </c:pt>
                  <c:pt idx="8">
                    <c:v>6.8022472757927194E-3</c:v>
                  </c:pt>
                  <c:pt idx="9">
                    <c:v>1.2294699375374018E-2</c:v>
                  </c:pt>
                  <c:pt idx="10">
                    <c:v>3.4021946190087179E-3</c:v>
                  </c:pt>
                </c:numCache>
              </c:numRef>
            </c:plus>
            <c:minus>
              <c:numRef>
                <c:f>'Figure 2_enzyme_stability '!$I$68:$I$78</c:f>
                <c:numCache>
                  <c:formatCode>General</c:formatCode>
                  <c:ptCount val="11"/>
                  <c:pt idx="0">
                    <c:v>0</c:v>
                  </c:pt>
                  <c:pt idx="1">
                    <c:v>4.2503686300830769E-2</c:v>
                  </c:pt>
                  <c:pt idx="2">
                    <c:v>7.1808859487193122E-2</c:v>
                  </c:pt>
                  <c:pt idx="3">
                    <c:v>1.4947468627325659E-2</c:v>
                  </c:pt>
                  <c:pt idx="4">
                    <c:v>0.10579755021846871</c:v>
                  </c:pt>
                  <c:pt idx="5">
                    <c:v>8.264018165170145E-2</c:v>
                  </c:pt>
                  <c:pt idx="6">
                    <c:v>4.2585033068870543E-2</c:v>
                  </c:pt>
                  <c:pt idx="7">
                    <c:v>2.5644568624568268E-2</c:v>
                  </c:pt>
                  <c:pt idx="8">
                    <c:v>6.8022472757927194E-3</c:v>
                  </c:pt>
                  <c:pt idx="9">
                    <c:v>1.2294699375374018E-2</c:v>
                  </c:pt>
                  <c:pt idx="10">
                    <c:v>3.4021946190087179E-3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xVal>
            <c:numRef>
              <c:f>'Figure 2_enzyme_stability '!$A$68:$A$78</c:f>
              <c:numCache>
                <c:formatCode>General</c:formatCode>
                <c:ptCount val="11"/>
                <c:pt idx="0">
                  <c:v>0.01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16</c:v>
                </c:pt>
                <c:pt idx="5">
                  <c:v>24</c:v>
                </c:pt>
                <c:pt idx="6">
                  <c:v>30</c:v>
                </c:pt>
                <c:pt idx="7">
                  <c:v>48</c:v>
                </c:pt>
                <c:pt idx="8">
                  <c:v>64</c:v>
                </c:pt>
                <c:pt idx="9">
                  <c:v>72</c:v>
                </c:pt>
                <c:pt idx="10">
                  <c:v>96</c:v>
                </c:pt>
              </c:numCache>
            </c:numRef>
          </c:xVal>
          <c:yVal>
            <c:numRef>
              <c:f>'Figure 2_enzyme_stability '!$H$68:$H$78</c:f>
              <c:numCache>
                <c:formatCode>0.00%</c:formatCode>
                <c:ptCount val="11"/>
                <c:pt idx="0">
                  <c:v>1</c:v>
                </c:pt>
                <c:pt idx="1">
                  <c:v>0.83661202185792372</c:v>
                </c:pt>
                <c:pt idx="2">
                  <c:v>0.9229076790336499</c:v>
                </c:pt>
                <c:pt idx="3">
                  <c:v>0.73679896462467653</c:v>
                </c:pt>
                <c:pt idx="4">
                  <c:v>0.57668684079562049</c:v>
                </c:pt>
                <c:pt idx="5">
                  <c:v>0.33384526890997995</c:v>
                </c:pt>
                <c:pt idx="6">
                  <c:v>0.25830888697152721</c:v>
                </c:pt>
                <c:pt idx="7">
                  <c:v>0.12993672706356055</c:v>
                </c:pt>
                <c:pt idx="8">
                  <c:v>0.14207533072561862</c:v>
                </c:pt>
                <c:pt idx="9">
                  <c:v>6.2885282067444065E-2</c:v>
                </c:pt>
                <c:pt idx="10">
                  <c:v>4.6717092131526416E-2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FE-4363-ABB2-DE68B5483670}"/>
            </c:ext>
          </c:extLst>
        </c:ser>
        <c:ser>
          <c:idx val="2"/>
          <c:order val="2"/>
          <c:tx>
            <c:strRef>
              <c:f>'Figure 2_enzyme_stability '!$J$66:$N$66</c:f>
              <c:strCache>
                <c:ptCount val="1"/>
                <c:pt idx="0">
                  <c:v>LTv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3"/>
                </a:solidFill>
              </a:ln>
              <a:effectLst/>
            </c:spPr>
            <c:trendlineType val="exp"/>
            <c:intercept val="1"/>
            <c:dispRSqr val="0"/>
            <c:dispEq val="1"/>
            <c:trendlineLbl>
              <c:layout>
                <c:manualLayout>
                  <c:x val="-1.0388705585424526E-3"/>
                  <c:y val="-7.124599374826889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2_enzyme_stability '!$M$68:$M$89</c:f>
                <c:numCache>
                  <c:formatCode>General</c:formatCode>
                  <c:ptCount val="22"/>
                  <c:pt idx="0">
                    <c:v>0</c:v>
                  </c:pt>
                  <c:pt idx="1">
                    <c:v>9.994715794642034E-2</c:v>
                  </c:pt>
                  <c:pt idx="2">
                    <c:v>0.10692575753347379</c:v>
                  </c:pt>
                  <c:pt idx="3">
                    <c:v>3.1336067740740235E-2</c:v>
                  </c:pt>
                  <c:pt idx="4">
                    <c:v>3.090867392741229E-2</c:v>
                  </c:pt>
                  <c:pt idx="5">
                    <c:v>2.5919755376415495E-2</c:v>
                  </c:pt>
                  <c:pt idx="6">
                    <c:v>3.41795132501908E-2</c:v>
                  </c:pt>
                  <c:pt idx="7">
                    <c:v>2.5633589689598779E-2</c:v>
                  </c:pt>
                  <c:pt idx="8">
                    <c:v>3.6061449632600086E-2</c:v>
                  </c:pt>
                  <c:pt idx="9">
                    <c:v>1.1083419058643318E-2</c:v>
                  </c:pt>
                  <c:pt idx="10">
                    <c:v>1.1415836462043524E-2</c:v>
                  </c:pt>
                  <c:pt idx="11">
                    <c:v>2.9079933456038511E-2</c:v>
                  </c:pt>
                  <c:pt idx="12">
                    <c:v>5.425572120986813E-2</c:v>
                  </c:pt>
                  <c:pt idx="13">
                    <c:v>1.8197096070852455E-4</c:v>
                  </c:pt>
                  <c:pt idx="14">
                    <c:v>8.8556389099757327E-3</c:v>
                  </c:pt>
                  <c:pt idx="15">
                    <c:v>3.9914986909189508E-2</c:v>
                  </c:pt>
                  <c:pt idx="16">
                    <c:v>2.7494196409250226E-2</c:v>
                  </c:pt>
                  <c:pt idx="17">
                    <c:v>2.4159125715324338E-2</c:v>
                  </c:pt>
                  <c:pt idx="18">
                    <c:v>1.5950880436203671E-2</c:v>
                  </c:pt>
                  <c:pt idx="19">
                    <c:v>1.6082149735437874E-2</c:v>
                  </c:pt>
                  <c:pt idx="20">
                    <c:v>1.0911118170485791E-2</c:v>
                  </c:pt>
                  <c:pt idx="21">
                    <c:v>9.1691644227959845E-3</c:v>
                  </c:pt>
                </c:numCache>
              </c:numRef>
            </c:plus>
            <c:minus>
              <c:numRef>
                <c:f>'Figure 2_enzyme_stability '!$M$68:$M$89</c:f>
                <c:numCache>
                  <c:formatCode>General</c:formatCode>
                  <c:ptCount val="22"/>
                  <c:pt idx="0">
                    <c:v>0</c:v>
                  </c:pt>
                  <c:pt idx="1">
                    <c:v>9.994715794642034E-2</c:v>
                  </c:pt>
                  <c:pt idx="2">
                    <c:v>0.10692575753347379</c:v>
                  </c:pt>
                  <c:pt idx="3">
                    <c:v>3.1336067740740235E-2</c:v>
                  </c:pt>
                  <c:pt idx="4">
                    <c:v>3.090867392741229E-2</c:v>
                  </c:pt>
                  <c:pt idx="5">
                    <c:v>2.5919755376415495E-2</c:v>
                  </c:pt>
                  <c:pt idx="6">
                    <c:v>3.41795132501908E-2</c:v>
                  </c:pt>
                  <c:pt idx="7">
                    <c:v>2.5633589689598779E-2</c:v>
                  </c:pt>
                  <c:pt idx="8">
                    <c:v>3.6061449632600086E-2</c:v>
                  </c:pt>
                  <c:pt idx="9">
                    <c:v>1.1083419058643318E-2</c:v>
                  </c:pt>
                  <c:pt idx="10">
                    <c:v>1.1415836462043524E-2</c:v>
                  </c:pt>
                  <c:pt idx="11">
                    <c:v>2.9079933456038511E-2</c:v>
                  </c:pt>
                  <c:pt idx="12">
                    <c:v>5.425572120986813E-2</c:v>
                  </c:pt>
                  <c:pt idx="13">
                    <c:v>1.8197096070852455E-4</c:v>
                  </c:pt>
                  <c:pt idx="14">
                    <c:v>8.8556389099757327E-3</c:v>
                  </c:pt>
                  <c:pt idx="15">
                    <c:v>3.9914986909189508E-2</c:v>
                  </c:pt>
                  <c:pt idx="16">
                    <c:v>2.7494196409250226E-2</c:v>
                  </c:pt>
                  <c:pt idx="17">
                    <c:v>2.4159125715324338E-2</c:v>
                  </c:pt>
                  <c:pt idx="18">
                    <c:v>1.5950880436203671E-2</c:v>
                  </c:pt>
                  <c:pt idx="19">
                    <c:v>1.6082149735437874E-2</c:v>
                  </c:pt>
                  <c:pt idx="20">
                    <c:v>1.0911118170485791E-2</c:v>
                  </c:pt>
                  <c:pt idx="21">
                    <c:v>9.1691644227959845E-3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xVal>
            <c:numRef>
              <c:f>'Figure 2_enzyme_stability '!$N$68:$N$79</c:f>
              <c:numCache>
                <c:formatCode>General</c:formatCode>
                <c:ptCount val="12"/>
                <c:pt idx="0">
                  <c:v>0.01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16</c:v>
                </c:pt>
                <c:pt idx="5">
                  <c:v>24</c:v>
                </c:pt>
                <c:pt idx="6">
                  <c:v>30</c:v>
                </c:pt>
                <c:pt idx="7">
                  <c:v>48</c:v>
                </c:pt>
                <c:pt idx="8">
                  <c:v>56</c:v>
                </c:pt>
                <c:pt idx="9">
                  <c:v>72</c:v>
                </c:pt>
                <c:pt idx="10">
                  <c:v>96</c:v>
                </c:pt>
                <c:pt idx="11">
                  <c:v>103</c:v>
                </c:pt>
              </c:numCache>
            </c:numRef>
          </c:xVal>
          <c:yVal>
            <c:numRef>
              <c:f>'Figure 2_enzyme_stability '!$L$68:$L$79</c:f>
              <c:numCache>
                <c:formatCode>0.0%</c:formatCode>
                <c:ptCount val="12"/>
                <c:pt idx="0">
                  <c:v>1</c:v>
                </c:pt>
                <c:pt idx="1">
                  <c:v>0.98873018020960246</c:v>
                </c:pt>
                <c:pt idx="2">
                  <c:v>0.9430417412640999</c:v>
                </c:pt>
                <c:pt idx="3">
                  <c:v>0.93549337774422803</c:v>
                </c:pt>
                <c:pt idx="4">
                  <c:v>0.91027678556313585</c:v>
                </c:pt>
                <c:pt idx="5">
                  <c:v>0.84223224219751225</c:v>
                </c:pt>
                <c:pt idx="6">
                  <c:v>0.7695258208691349</c:v>
                </c:pt>
                <c:pt idx="7">
                  <c:v>0.65363087867451686</c:v>
                </c:pt>
                <c:pt idx="8">
                  <c:v>0.5263180090249211</c:v>
                </c:pt>
                <c:pt idx="9">
                  <c:v>0.45102255580185369</c:v>
                </c:pt>
                <c:pt idx="10">
                  <c:v>0.41958490350002159</c:v>
                </c:pt>
                <c:pt idx="11">
                  <c:v>0.38589679084283024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00F-4B8B-809B-68C0A78650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6605535"/>
        <c:axId val="191566207"/>
      </c:scatterChart>
      <c:valAx>
        <c:axId val="306605535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0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95000"/>
                <a:lumOff val="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66207"/>
        <c:crosses val="autoZero"/>
        <c:crossBetween val="midCat"/>
        <c:majorUnit val="10"/>
      </c:valAx>
      <c:valAx>
        <c:axId val="191566207"/>
        <c:scaling>
          <c:orientation val="minMax"/>
          <c:max val="1.100000000000000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0"/>
                  <a:t>Residual activity (U)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solidFill>
              <a:schemeClr val="tx1">
                <a:lumMod val="95000"/>
                <a:lumOff val="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6605535"/>
        <c:crosses val="autoZero"/>
        <c:crossBetween val="midCat"/>
        <c:majorUnit val="0.1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1200" b="0" i="1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1" i="0" u="none" strike="noStrike" kern="1200" baseline="0">
                <a:solidFill>
                  <a:schemeClr val="tx2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r>
              <a:rPr lang="en-GB"/>
              <a:t>BSA calibration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1" i="0" u="none" strike="noStrike" kern="1200" baseline="0">
              <a:solidFill>
                <a:schemeClr val="tx2"/>
              </a:solidFill>
              <a:latin typeface="Georgia" panose="02040502050405020303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hade val="51000"/>
                      <a:satMod val="130000"/>
                    </a:schemeClr>
                  </a:gs>
                  <a:gs pos="80000">
                    <a:schemeClr val="accent1">
                      <a:shade val="93000"/>
                      <a:satMod val="130000"/>
                    </a:schemeClr>
                  </a:gs>
                  <a:gs pos="100000">
                    <a:schemeClr val="accent1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 w="9525">
                <a:solidFill>
                  <a:schemeClr val="accent1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7149979382253039"/>
                  <c:y val="-0.171712962962962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0" i="0" u="none" strike="noStrike" kern="1200" baseline="0">
                      <a:solidFill>
                        <a:schemeClr val="tx2"/>
                      </a:solidFill>
                      <a:latin typeface="Georgia" panose="02040502050405020303" pitchFamily="18" charset="0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BSA!$G$3:$G$13</c:f>
                <c:numCache>
                  <c:formatCode>General</c:formatCode>
                  <c:ptCount val="11"/>
                  <c:pt idx="0">
                    <c:v>1.9287301521985906E-2</c:v>
                  </c:pt>
                  <c:pt idx="1">
                    <c:v>3.5118845842842497E-3</c:v>
                  </c:pt>
                  <c:pt idx="2">
                    <c:v>4.1605288125429456E-2</c:v>
                  </c:pt>
                  <c:pt idx="3">
                    <c:v>8.5440037453175383E-3</c:v>
                  </c:pt>
                  <c:pt idx="4">
                    <c:v>1.0785793124908967E-2</c:v>
                  </c:pt>
                  <c:pt idx="5">
                    <c:v>3.5019042438840832E-2</c:v>
                  </c:pt>
                  <c:pt idx="6">
                    <c:v>1.8717193521821961E-2</c:v>
                  </c:pt>
                  <c:pt idx="7">
                    <c:v>1.6522711641858322E-2</c:v>
                  </c:pt>
                  <c:pt idx="8">
                    <c:v>9.1651513899116879E-3</c:v>
                  </c:pt>
                  <c:pt idx="9">
                    <c:v>4.9325449820554076E-2</c:v>
                  </c:pt>
                </c:numCache>
              </c:numRef>
            </c:plus>
            <c:minus>
              <c:numRef>
                <c:f>BSA!$G$3:$G$13</c:f>
                <c:numCache>
                  <c:formatCode>General</c:formatCode>
                  <c:ptCount val="11"/>
                  <c:pt idx="0">
                    <c:v>1.9287301521985906E-2</c:v>
                  </c:pt>
                  <c:pt idx="1">
                    <c:v>3.5118845842842497E-3</c:v>
                  </c:pt>
                  <c:pt idx="2">
                    <c:v>4.1605288125429456E-2</c:v>
                  </c:pt>
                  <c:pt idx="3">
                    <c:v>8.5440037453175383E-3</c:v>
                  </c:pt>
                  <c:pt idx="4">
                    <c:v>1.0785793124908967E-2</c:v>
                  </c:pt>
                  <c:pt idx="5">
                    <c:v>3.5019042438840832E-2</c:v>
                  </c:pt>
                  <c:pt idx="6">
                    <c:v>1.8717193521821961E-2</c:v>
                  </c:pt>
                  <c:pt idx="7">
                    <c:v>1.6522711641858322E-2</c:v>
                  </c:pt>
                  <c:pt idx="8">
                    <c:v>9.1651513899116879E-3</c:v>
                  </c:pt>
                  <c:pt idx="9">
                    <c:v>4.9325449820554076E-2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xVal>
            <c:numRef>
              <c:f>BSA!$A$3:$A$11</c:f>
              <c:numCache>
                <c:formatCode>General</c:formatCode>
                <c:ptCount val="9"/>
                <c:pt idx="0">
                  <c:v>0</c:v>
                </c:pt>
                <c:pt idx="1">
                  <c:v>2.5000000000000001E-2</c:v>
                </c:pt>
                <c:pt idx="2">
                  <c:v>0.05</c:v>
                </c:pt>
                <c:pt idx="3">
                  <c:v>0.1</c:v>
                </c:pt>
                <c:pt idx="4">
                  <c:v>0.125</c:v>
                </c:pt>
                <c:pt idx="5">
                  <c:v>0.2</c:v>
                </c:pt>
                <c:pt idx="6">
                  <c:v>0.25</c:v>
                </c:pt>
                <c:pt idx="7">
                  <c:v>0.4</c:v>
                </c:pt>
                <c:pt idx="8">
                  <c:v>0.5</c:v>
                </c:pt>
              </c:numCache>
            </c:numRef>
          </c:xVal>
          <c:yVal>
            <c:numRef>
              <c:f>BSA!$F$3:$F$11</c:f>
              <c:numCache>
                <c:formatCode>General</c:formatCode>
                <c:ptCount val="9"/>
                <c:pt idx="0">
                  <c:v>0</c:v>
                </c:pt>
                <c:pt idx="1">
                  <c:v>3.0666666666666731E-2</c:v>
                </c:pt>
                <c:pt idx="2">
                  <c:v>7.4000000000000066E-2</c:v>
                </c:pt>
                <c:pt idx="3">
                  <c:v>0.11300000000000004</c:v>
                </c:pt>
                <c:pt idx="4">
                  <c:v>0.12266666666666676</c:v>
                </c:pt>
                <c:pt idx="5">
                  <c:v>0.1923333333333333</c:v>
                </c:pt>
                <c:pt idx="6">
                  <c:v>0.21433333333333332</c:v>
                </c:pt>
                <c:pt idx="7">
                  <c:v>0.33600000000000013</c:v>
                </c:pt>
                <c:pt idx="8">
                  <c:v>0.38200000000000006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23A-4784-887C-F98E17BC7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42741456"/>
        <c:axId val="1542742288"/>
      </c:scatterChart>
      <c:valAx>
        <c:axId val="1542741456"/>
        <c:scaling>
          <c:orientation val="minMax"/>
          <c:max val="0.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2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/>
                  <a:t>[mg/mL]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2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2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endParaRPr lang="en-US"/>
          </a:p>
        </c:txPr>
        <c:crossAx val="1542742288"/>
        <c:crosses val="autoZero"/>
        <c:crossBetween val="midCat"/>
      </c:valAx>
      <c:valAx>
        <c:axId val="154274228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2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/>
                  <a:t>Abs 595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2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2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endParaRPr lang="en-US"/>
          </a:p>
        </c:txPr>
        <c:crossAx val="15427414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latin typeface="Georgia" panose="02040502050405020303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cap="none" spc="2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b. POXC</a:t>
            </a:r>
            <a:endParaRPr lang="en-GB" baseline="30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cap="none" spc="2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3_solvents'!$L$2</c:f>
              <c:strCache>
                <c:ptCount val="1"/>
                <c:pt idx="0">
                  <c:v>Conversion (%)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 w="9525" cap="flat" cmpd="sng" algn="ctr">
              <a:solidFill>
                <a:schemeClr val="bg1">
                  <a:lumMod val="50000"/>
                  <a:alpha val="99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3_solvents'!$M$3:$M$16</c:f>
                <c:numCache>
                  <c:formatCode>General</c:formatCode>
                  <c:ptCount val="14"/>
                  <c:pt idx="0">
                    <c:v>2.333452377915609E-2</c:v>
                  </c:pt>
                  <c:pt idx="1">
                    <c:v>2.8284271247461901E-3</c:v>
                  </c:pt>
                  <c:pt idx="2">
                    <c:v>3.3234018715767762E-2</c:v>
                  </c:pt>
                  <c:pt idx="3">
                    <c:v>2.2627416997969541E-2</c:v>
                  </c:pt>
                  <c:pt idx="4">
                    <c:v>3.5355339059327411E-2</c:v>
                  </c:pt>
                  <c:pt idx="5">
                    <c:v>5.3033008588991111E-3</c:v>
                  </c:pt>
                  <c:pt idx="6">
                    <c:v>7.7074639149333782E-2</c:v>
                  </c:pt>
                  <c:pt idx="7">
                    <c:v>2.4890158697766479E-2</c:v>
                  </c:pt>
                  <c:pt idx="8">
                    <c:v>6.7882250993908544E-2</c:v>
                  </c:pt>
                  <c:pt idx="9">
                    <c:v>6.3639610306789343E-2</c:v>
                  </c:pt>
                  <c:pt idx="10">
                    <c:v>2.616295090390228E-2</c:v>
                  </c:pt>
                  <c:pt idx="11">
                    <c:v>3.302188668141174E-2</c:v>
                  </c:pt>
                  <c:pt idx="12">
                    <c:v>3.981011178080264E-2</c:v>
                  </c:pt>
                  <c:pt idx="13">
                    <c:v>4.2426406871192892E-3</c:v>
                  </c:pt>
                </c:numCache>
              </c:numRef>
            </c:plus>
            <c:minus>
              <c:numRef>
                <c:f>'Figure 3_solvents'!$M$3:$M$16</c:f>
                <c:numCache>
                  <c:formatCode>General</c:formatCode>
                  <c:ptCount val="14"/>
                  <c:pt idx="0">
                    <c:v>2.333452377915609E-2</c:v>
                  </c:pt>
                  <c:pt idx="1">
                    <c:v>2.8284271247461901E-3</c:v>
                  </c:pt>
                  <c:pt idx="2">
                    <c:v>3.3234018715767762E-2</c:v>
                  </c:pt>
                  <c:pt idx="3">
                    <c:v>2.2627416997969541E-2</c:v>
                  </c:pt>
                  <c:pt idx="4">
                    <c:v>3.5355339059327411E-2</c:v>
                  </c:pt>
                  <c:pt idx="5">
                    <c:v>5.3033008588991111E-3</c:v>
                  </c:pt>
                  <c:pt idx="6">
                    <c:v>7.7074639149333782E-2</c:v>
                  </c:pt>
                  <c:pt idx="7">
                    <c:v>2.4890158697766479E-2</c:v>
                  </c:pt>
                  <c:pt idx="8">
                    <c:v>6.7882250993908544E-2</c:v>
                  </c:pt>
                  <c:pt idx="9">
                    <c:v>6.3639610306789343E-2</c:v>
                  </c:pt>
                  <c:pt idx="10">
                    <c:v>2.616295090390228E-2</c:v>
                  </c:pt>
                  <c:pt idx="11">
                    <c:v>3.302188668141174E-2</c:v>
                  </c:pt>
                  <c:pt idx="12">
                    <c:v>3.981011178080264E-2</c:v>
                  </c:pt>
                  <c:pt idx="13">
                    <c:v>4.2426406871192892E-3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</a:ln>
              <a:effectLst/>
            </c:spPr>
          </c:errBars>
          <c:cat>
            <c:strRef>
              <c:f>'Figure 3_solvents'!$A$3:$A$16</c:f>
              <c:strCache>
                <c:ptCount val="14"/>
                <c:pt idx="0">
                  <c:v>Plain buffer</c:v>
                </c:pt>
                <c:pt idx="1">
                  <c:v>Cyrene</c:v>
                </c:pt>
                <c:pt idx="2">
                  <c:v>DMSO</c:v>
                </c:pt>
                <c:pt idx="3">
                  <c:v>Dioxane</c:v>
                </c:pt>
                <c:pt idx="4">
                  <c:v>DMF</c:v>
                </c:pt>
                <c:pt idx="5">
                  <c:v>MeCN</c:v>
                </c:pt>
                <c:pt idx="6">
                  <c:v>Acetone</c:v>
                </c:pt>
                <c:pt idx="7">
                  <c:v>EtOAc</c:v>
                </c:pt>
                <c:pt idx="8">
                  <c:v>MTBE</c:v>
                </c:pt>
                <c:pt idx="9">
                  <c:v>2-MeTHF </c:v>
                </c:pt>
                <c:pt idx="10">
                  <c:v>CPME </c:v>
                </c:pt>
                <c:pt idx="11">
                  <c:v>Toluene</c:v>
                </c:pt>
                <c:pt idx="12">
                  <c:v>Cyclohexane</c:v>
                </c:pt>
                <c:pt idx="13">
                  <c:v>Heptane</c:v>
                </c:pt>
              </c:strCache>
            </c:strRef>
          </c:cat>
          <c:val>
            <c:numRef>
              <c:f>'Figure 3_solvents'!$L$3:$L$16</c:f>
              <c:numCache>
                <c:formatCode>0.0%</c:formatCode>
                <c:ptCount val="14"/>
                <c:pt idx="0">
                  <c:v>0.87349999999999994</c:v>
                </c:pt>
                <c:pt idx="1">
                  <c:v>1.5000000000000001E-2</c:v>
                </c:pt>
                <c:pt idx="2">
                  <c:v>0.43049999999999999</c:v>
                </c:pt>
                <c:pt idx="3">
                  <c:v>0.49099999999999999</c:v>
                </c:pt>
                <c:pt idx="4">
                  <c:v>0.66</c:v>
                </c:pt>
                <c:pt idx="5">
                  <c:v>0.47424999999999995</c:v>
                </c:pt>
                <c:pt idx="6">
                  <c:v>0.35949999999999999</c:v>
                </c:pt>
                <c:pt idx="7">
                  <c:v>0.87359999999999993</c:v>
                </c:pt>
                <c:pt idx="8">
                  <c:v>0.91599999999999993</c:v>
                </c:pt>
                <c:pt idx="9">
                  <c:v>0.745</c:v>
                </c:pt>
                <c:pt idx="10">
                  <c:v>0.63149999999999995</c:v>
                </c:pt>
                <c:pt idx="11">
                  <c:v>0.67835000000000001</c:v>
                </c:pt>
                <c:pt idx="12">
                  <c:v>0.87314999999999998</c:v>
                </c:pt>
                <c:pt idx="13">
                  <c:v>0.72799999999999998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80-4C02-A8CC-4BDE3214F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06593055"/>
        <c:axId val="306585151"/>
      </c:barChart>
      <c:scatterChart>
        <c:scatterStyle val="lineMarker"/>
        <c:varyColors val="0"/>
        <c:ser>
          <c:idx val="1"/>
          <c:order val="1"/>
          <c:tx>
            <c:strRef>
              <c:f>'Figure 3_solvents'!$P$2</c:f>
              <c:strCache>
                <c:ptCount val="1"/>
                <c:pt idx="0">
                  <c:v>Residual activity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tx1">
                  <a:lumMod val="65000"/>
                  <a:lumOff val="35000"/>
                </a:schemeClr>
              </a:solidFill>
              <a:ln w="9525" cap="flat" cmpd="sng" algn="ctr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'Figure 3_solvents'!$Q$3:$Q$16</c:f>
                <c:numCache>
                  <c:formatCode>General</c:formatCode>
                  <c:ptCount val="14"/>
                  <c:pt idx="0">
                    <c:v>0.10579755021846871</c:v>
                  </c:pt>
                  <c:pt idx="1">
                    <c:v>0.1264308415761618</c:v>
                  </c:pt>
                  <c:pt idx="2">
                    <c:v>9.6394894048690366E-2</c:v>
                  </c:pt>
                  <c:pt idx="3">
                    <c:v>0.13694664749750773</c:v>
                  </c:pt>
                  <c:pt idx="4">
                    <c:v>4.4626563796281299E-2</c:v>
                  </c:pt>
                  <c:pt idx="5">
                    <c:v>1.9644687311983839E-2</c:v>
                  </c:pt>
                  <c:pt idx="6">
                    <c:v>3.5373386141910303E-2</c:v>
                  </c:pt>
                  <c:pt idx="7">
                    <c:v>1.6778987395278968E-2</c:v>
                  </c:pt>
                  <c:pt idx="8">
                    <c:v>6.0918850649253814E-2</c:v>
                  </c:pt>
                  <c:pt idx="9">
                    <c:v>0.12685556938451528</c:v>
                  </c:pt>
                  <c:pt idx="10">
                    <c:v>1.9905736489633435E-2</c:v>
                  </c:pt>
                  <c:pt idx="11">
                    <c:v>6.9318899201512912E-3</c:v>
                  </c:pt>
                  <c:pt idx="12">
                    <c:v>2.0203050891044183E-2</c:v>
                  </c:pt>
                  <c:pt idx="13">
                    <c:v>7.7588985025022691E-2</c:v>
                  </c:pt>
                </c:numCache>
              </c:numRef>
            </c:plus>
            <c:minus>
              <c:numRef>
                <c:f>'Figure 3_solvents'!$Q$3:$Q$16</c:f>
                <c:numCache>
                  <c:formatCode>General</c:formatCode>
                  <c:ptCount val="14"/>
                  <c:pt idx="0">
                    <c:v>0.10579755021846871</c:v>
                  </c:pt>
                  <c:pt idx="1">
                    <c:v>0.1264308415761618</c:v>
                  </c:pt>
                  <c:pt idx="2">
                    <c:v>9.6394894048690366E-2</c:v>
                  </c:pt>
                  <c:pt idx="3">
                    <c:v>0.13694664749750773</c:v>
                  </c:pt>
                  <c:pt idx="4">
                    <c:v>4.4626563796281299E-2</c:v>
                  </c:pt>
                  <c:pt idx="5">
                    <c:v>1.9644687311983839E-2</c:v>
                  </c:pt>
                  <c:pt idx="6">
                    <c:v>3.5373386141910303E-2</c:v>
                  </c:pt>
                  <c:pt idx="7">
                    <c:v>1.6778987395278968E-2</c:v>
                  </c:pt>
                  <c:pt idx="8">
                    <c:v>6.0918850649253814E-2</c:v>
                  </c:pt>
                  <c:pt idx="9">
                    <c:v>0.12685556938451528</c:v>
                  </c:pt>
                  <c:pt idx="10">
                    <c:v>1.9905736489633435E-2</c:v>
                  </c:pt>
                  <c:pt idx="11">
                    <c:v>6.9318899201512912E-3</c:v>
                  </c:pt>
                  <c:pt idx="12">
                    <c:v>2.0203050891044183E-2</c:v>
                  </c:pt>
                  <c:pt idx="13">
                    <c:v>7.7588985025022691E-2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</a:ln>
              <a:effectLst/>
            </c:spPr>
          </c:errBars>
          <c:xVal>
            <c:strRef>
              <c:f>'Figure 3_solvents'!$A$3:$A$16</c:f>
              <c:strCache>
                <c:ptCount val="14"/>
                <c:pt idx="0">
                  <c:v>Plain buffer</c:v>
                </c:pt>
                <c:pt idx="1">
                  <c:v>Cyrene</c:v>
                </c:pt>
                <c:pt idx="2">
                  <c:v>DMSO</c:v>
                </c:pt>
                <c:pt idx="3">
                  <c:v>Dioxane</c:v>
                </c:pt>
                <c:pt idx="4">
                  <c:v>DMF</c:v>
                </c:pt>
                <c:pt idx="5">
                  <c:v>MeCN</c:v>
                </c:pt>
                <c:pt idx="6">
                  <c:v>Acetone</c:v>
                </c:pt>
                <c:pt idx="7">
                  <c:v>EtOAc</c:v>
                </c:pt>
                <c:pt idx="8">
                  <c:v>MTBE</c:v>
                </c:pt>
                <c:pt idx="9">
                  <c:v>2-MeTHF </c:v>
                </c:pt>
                <c:pt idx="10">
                  <c:v>CPME </c:v>
                </c:pt>
                <c:pt idx="11">
                  <c:v>Toluene</c:v>
                </c:pt>
                <c:pt idx="12">
                  <c:v>Cyclohexane</c:v>
                </c:pt>
                <c:pt idx="13">
                  <c:v>Heptane</c:v>
                </c:pt>
              </c:strCache>
            </c:strRef>
          </c:xVal>
          <c:yVal>
            <c:numRef>
              <c:f>'Figure 3_solvents'!$P$3:$P$16</c:f>
              <c:numCache>
                <c:formatCode>0.0%</c:formatCode>
                <c:ptCount val="14"/>
                <c:pt idx="0">
                  <c:v>0.57668684079562049</c:v>
                </c:pt>
                <c:pt idx="1">
                  <c:v>0.78882867685819713</c:v>
                </c:pt>
                <c:pt idx="2">
                  <c:v>0.57533851674641157</c:v>
                </c:pt>
                <c:pt idx="3">
                  <c:v>0.25453395990744732</c:v>
                </c:pt>
                <c:pt idx="4">
                  <c:v>0.59887903672729115</c:v>
                </c:pt>
                <c:pt idx="5">
                  <c:v>0.36213650564768091</c:v>
                </c:pt>
                <c:pt idx="6">
                  <c:v>0.22603490772214108</c:v>
                </c:pt>
                <c:pt idx="7">
                  <c:v>0.11964231354642314</c:v>
                </c:pt>
                <c:pt idx="8">
                  <c:v>0.19390303427048877</c:v>
                </c:pt>
                <c:pt idx="9">
                  <c:v>0.2604979793553413</c:v>
                </c:pt>
                <c:pt idx="10">
                  <c:v>0.18354356636271529</c:v>
                </c:pt>
                <c:pt idx="11">
                  <c:v>0.21131462984723853</c:v>
                </c:pt>
                <c:pt idx="12">
                  <c:v>0.2116402116402116</c:v>
                </c:pt>
                <c:pt idx="13">
                  <c:v>0.27498948362009706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F80-4C02-A8CC-4BDE3214F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6593055"/>
        <c:axId val="306585151"/>
      </c:scatterChart>
      <c:catAx>
        <c:axId val="3065930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95000"/>
                <a:lumOff val="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6585151"/>
        <c:crosses val="autoZero"/>
        <c:auto val="1"/>
        <c:lblAlgn val="ctr"/>
        <c:lblOffset val="100"/>
        <c:noMultiLvlLbl val="0"/>
      </c:catAx>
      <c:valAx>
        <c:axId val="306585151"/>
        <c:scaling>
          <c:orientation val="minMax"/>
          <c:max val="1"/>
        </c:scaling>
        <c:delete val="0"/>
        <c:axPos val="l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6593055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40" b="0" i="0" u="none" strike="noStrike" kern="1200" cap="none" spc="2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a. POXA1b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40" b="0" i="0" u="none" strike="noStrike" kern="1200" cap="none" spc="2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3_solvents'!$D$2</c:f>
              <c:strCache>
                <c:ptCount val="1"/>
                <c:pt idx="0">
                  <c:v>Conversion (%)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3_solvents'!$M$3:$M$16</c:f>
                <c:numCache>
                  <c:formatCode>General</c:formatCode>
                  <c:ptCount val="14"/>
                  <c:pt idx="0">
                    <c:v>2.333452377915609E-2</c:v>
                  </c:pt>
                  <c:pt idx="1">
                    <c:v>2.8284271247461901E-3</c:v>
                  </c:pt>
                  <c:pt idx="2">
                    <c:v>3.3234018715767762E-2</c:v>
                  </c:pt>
                  <c:pt idx="3">
                    <c:v>2.2627416997969541E-2</c:v>
                  </c:pt>
                  <c:pt idx="4">
                    <c:v>3.5355339059327411E-2</c:v>
                  </c:pt>
                  <c:pt idx="5">
                    <c:v>5.3033008588991111E-3</c:v>
                  </c:pt>
                  <c:pt idx="6">
                    <c:v>7.7074639149333782E-2</c:v>
                  </c:pt>
                  <c:pt idx="7">
                    <c:v>2.4890158697766479E-2</c:v>
                  </c:pt>
                  <c:pt idx="8">
                    <c:v>6.7882250993908544E-2</c:v>
                  </c:pt>
                  <c:pt idx="9">
                    <c:v>6.3639610306789343E-2</c:v>
                  </c:pt>
                  <c:pt idx="10">
                    <c:v>2.616295090390228E-2</c:v>
                  </c:pt>
                  <c:pt idx="11">
                    <c:v>3.302188668141174E-2</c:v>
                  </c:pt>
                  <c:pt idx="12">
                    <c:v>3.981011178080264E-2</c:v>
                  </c:pt>
                  <c:pt idx="13">
                    <c:v>4.2426406871192892E-3</c:v>
                  </c:pt>
                </c:numCache>
              </c:numRef>
            </c:plus>
            <c:minus>
              <c:numRef>
                <c:f>'Figure 3_solvents'!$M$3:$M$16</c:f>
                <c:numCache>
                  <c:formatCode>General</c:formatCode>
                  <c:ptCount val="14"/>
                  <c:pt idx="0">
                    <c:v>2.333452377915609E-2</c:v>
                  </c:pt>
                  <c:pt idx="1">
                    <c:v>2.8284271247461901E-3</c:v>
                  </c:pt>
                  <c:pt idx="2">
                    <c:v>3.3234018715767762E-2</c:v>
                  </c:pt>
                  <c:pt idx="3">
                    <c:v>2.2627416997969541E-2</c:v>
                  </c:pt>
                  <c:pt idx="4">
                    <c:v>3.5355339059327411E-2</c:v>
                  </c:pt>
                  <c:pt idx="5">
                    <c:v>5.3033008588991111E-3</c:v>
                  </c:pt>
                  <c:pt idx="6">
                    <c:v>7.7074639149333782E-2</c:v>
                  </c:pt>
                  <c:pt idx="7">
                    <c:v>2.4890158697766479E-2</c:v>
                  </c:pt>
                  <c:pt idx="8">
                    <c:v>6.7882250993908544E-2</c:v>
                  </c:pt>
                  <c:pt idx="9">
                    <c:v>6.3639610306789343E-2</c:v>
                  </c:pt>
                  <c:pt idx="10">
                    <c:v>2.616295090390228E-2</c:v>
                  </c:pt>
                  <c:pt idx="11">
                    <c:v>3.302188668141174E-2</c:v>
                  </c:pt>
                  <c:pt idx="12">
                    <c:v>3.981011178080264E-2</c:v>
                  </c:pt>
                  <c:pt idx="13">
                    <c:v>4.2426406871192892E-3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</a:ln>
              <a:effectLst/>
            </c:spPr>
          </c:errBars>
          <c:cat>
            <c:strRef>
              <c:f>'Figure 3_solvents'!$A$3:$A$16</c:f>
              <c:strCache>
                <c:ptCount val="14"/>
                <c:pt idx="0">
                  <c:v>Plain buffer</c:v>
                </c:pt>
                <c:pt idx="1">
                  <c:v>Cyrene</c:v>
                </c:pt>
                <c:pt idx="2">
                  <c:v>DMSO</c:v>
                </c:pt>
                <c:pt idx="3">
                  <c:v>Dioxane</c:v>
                </c:pt>
                <c:pt idx="4">
                  <c:v>DMF</c:v>
                </c:pt>
                <c:pt idx="5">
                  <c:v>MeCN</c:v>
                </c:pt>
                <c:pt idx="6">
                  <c:v>Acetone</c:v>
                </c:pt>
                <c:pt idx="7">
                  <c:v>EtOAc</c:v>
                </c:pt>
                <c:pt idx="8">
                  <c:v>MTBE</c:v>
                </c:pt>
                <c:pt idx="9">
                  <c:v>2-MeTHF </c:v>
                </c:pt>
                <c:pt idx="10">
                  <c:v>CPME </c:v>
                </c:pt>
                <c:pt idx="11">
                  <c:v>Toluene</c:v>
                </c:pt>
                <c:pt idx="12">
                  <c:v>Cyclohexane</c:v>
                </c:pt>
                <c:pt idx="13">
                  <c:v>Heptane</c:v>
                </c:pt>
              </c:strCache>
            </c:strRef>
          </c:cat>
          <c:val>
            <c:numRef>
              <c:f>'Figure 3_solvents'!$D$3:$D$16</c:f>
              <c:numCache>
                <c:formatCode>0.0%</c:formatCode>
                <c:ptCount val="14"/>
                <c:pt idx="0">
                  <c:v>0.39856234602959051</c:v>
                </c:pt>
                <c:pt idx="1">
                  <c:v>1.8592295425943539E-2</c:v>
                </c:pt>
                <c:pt idx="2">
                  <c:v>0.26793499361815076</c:v>
                </c:pt>
                <c:pt idx="3">
                  <c:v>0.25017947027350623</c:v>
                </c:pt>
                <c:pt idx="4">
                  <c:v>0.18389168283728932</c:v>
                </c:pt>
                <c:pt idx="5">
                  <c:v>0.35870161911074266</c:v>
                </c:pt>
                <c:pt idx="6">
                  <c:v>0.27972023854087869</c:v>
                </c:pt>
                <c:pt idx="7">
                  <c:v>0.38486432246450197</c:v>
                </c:pt>
                <c:pt idx="8">
                  <c:v>0.81343623478631222</c:v>
                </c:pt>
                <c:pt idx="9">
                  <c:v>0.2832755174651071</c:v>
                </c:pt>
                <c:pt idx="10">
                  <c:v>0.14420390040598269</c:v>
                </c:pt>
                <c:pt idx="11">
                  <c:v>0.35854516376218826</c:v>
                </c:pt>
                <c:pt idx="12">
                  <c:v>0.58723176840161428</c:v>
                </c:pt>
                <c:pt idx="13">
                  <c:v>0.4233418171310655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DC-43AF-949F-7BD67BA98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06593055"/>
        <c:axId val="306585151"/>
      </c:barChart>
      <c:scatterChart>
        <c:scatterStyle val="lineMarker"/>
        <c:varyColors val="0"/>
        <c:ser>
          <c:idx val="1"/>
          <c:order val="1"/>
          <c:tx>
            <c:strRef>
              <c:f>'Figure 3_solvents'!$H$2</c:f>
              <c:strCache>
                <c:ptCount val="1"/>
                <c:pt idx="0">
                  <c:v>Residual activity (%)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tx1">
                  <a:lumMod val="65000"/>
                  <a:lumOff val="35000"/>
                </a:schemeClr>
              </a:solidFill>
              <a:ln w="9525" cap="flat" cmpd="sng" algn="ctr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'Figure 3_solvents'!$I$3:$I$16</c:f>
                <c:numCache>
                  <c:formatCode>General</c:formatCode>
                  <c:ptCount val="14"/>
                  <c:pt idx="0">
                    <c:v>9.4845566133325968E-2</c:v>
                  </c:pt>
                  <c:pt idx="1">
                    <c:v>0.14548295543832737</c:v>
                  </c:pt>
                  <c:pt idx="2">
                    <c:v>1.5497211825776813E-3</c:v>
                  </c:pt>
                  <c:pt idx="3">
                    <c:v>0.14408960974286261</c:v>
                  </c:pt>
                  <c:pt idx="4">
                    <c:v>0.14723351319174127</c:v>
                  </c:pt>
                  <c:pt idx="5">
                    <c:v>0.10097508338418312</c:v>
                  </c:pt>
                  <c:pt idx="6">
                    <c:v>0.15021789992671097</c:v>
                  </c:pt>
                  <c:pt idx="7">
                    <c:v>2.3562549712899228E-2</c:v>
                  </c:pt>
                  <c:pt idx="8">
                    <c:v>6.1694550595097084E-2</c:v>
                  </c:pt>
                  <c:pt idx="9">
                    <c:v>0.14628597291377715</c:v>
                  </c:pt>
                  <c:pt idx="10">
                    <c:v>0.14806567511324145</c:v>
                  </c:pt>
                  <c:pt idx="11">
                    <c:v>1.9694306045117651E-2</c:v>
                  </c:pt>
                  <c:pt idx="12">
                    <c:v>5.8846048014322087E-3</c:v>
                  </c:pt>
                  <c:pt idx="13">
                    <c:v>9.6078989410077489E-2</c:v>
                  </c:pt>
                </c:numCache>
              </c:numRef>
            </c:plus>
            <c:minus>
              <c:numRef>
                <c:f>'Figure 3_solvents'!$I$3:$I$16</c:f>
                <c:numCache>
                  <c:formatCode>General</c:formatCode>
                  <c:ptCount val="14"/>
                  <c:pt idx="0">
                    <c:v>9.4845566133325968E-2</c:v>
                  </c:pt>
                  <c:pt idx="1">
                    <c:v>0.14548295543832737</c:v>
                  </c:pt>
                  <c:pt idx="2">
                    <c:v>1.5497211825776813E-3</c:v>
                  </c:pt>
                  <c:pt idx="3">
                    <c:v>0.14408960974286261</c:v>
                  </c:pt>
                  <c:pt idx="4">
                    <c:v>0.14723351319174127</c:v>
                  </c:pt>
                  <c:pt idx="5">
                    <c:v>0.10097508338418312</c:v>
                  </c:pt>
                  <c:pt idx="6">
                    <c:v>0.15021789992671097</c:v>
                  </c:pt>
                  <c:pt idx="7">
                    <c:v>2.3562549712899228E-2</c:v>
                  </c:pt>
                  <c:pt idx="8">
                    <c:v>6.1694550595097084E-2</c:v>
                  </c:pt>
                  <c:pt idx="9">
                    <c:v>0.14628597291377715</c:v>
                  </c:pt>
                  <c:pt idx="10">
                    <c:v>0.14806567511324145</c:v>
                  </c:pt>
                  <c:pt idx="11">
                    <c:v>1.9694306045117651E-2</c:v>
                  </c:pt>
                  <c:pt idx="12">
                    <c:v>5.8846048014322087E-3</c:v>
                  </c:pt>
                  <c:pt idx="13">
                    <c:v>9.6078989410077489E-2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</a:ln>
              <a:effectLst/>
            </c:spPr>
          </c:errBars>
          <c:xVal>
            <c:strRef>
              <c:f>'Figure 3_solvents'!$A$3:$A$16</c:f>
              <c:strCache>
                <c:ptCount val="14"/>
                <c:pt idx="0">
                  <c:v>Plain buffer</c:v>
                </c:pt>
                <c:pt idx="1">
                  <c:v>Cyrene</c:v>
                </c:pt>
                <c:pt idx="2">
                  <c:v>DMSO</c:v>
                </c:pt>
                <c:pt idx="3">
                  <c:v>Dioxane</c:v>
                </c:pt>
                <c:pt idx="4">
                  <c:v>DMF</c:v>
                </c:pt>
                <c:pt idx="5">
                  <c:v>MeCN</c:v>
                </c:pt>
                <c:pt idx="6">
                  <c:v>Acetone</c:v>
                </c:pt>
                <c:pt idx="7">
                  <c:v>EtOAc</c:v>
                </c:pt>
                <c:pt idx="8">
                  <c:v>MTBE</c:v>
                </c:pt>
                <c:pt idx="9">
                  <c:v>2-MeTHF </c:v>
                </c:pt>
                <c:pt idx="10">
                  <c:v>CPME </c:v>
                </c:pt>
                <c:pt idx="11">
                  <c:v>Toluene</c:v>
                </c:pt>
                <c:pt idx="12">
                  <c:v>Cyclohexane</c:v>
                </c:pt>
                <c:pt idx="13">
                  <c:v>Heptane</c:v>
                </c:pt>
              </c:strCache>
            </c:strRef>
          </c:xVal>
          <c:yVal>
            <c:numRef>
              <c:f>'Figure 3_solvents'!$H$3:$H$16</c:f>
              <c:numCache>
                <c:formatCode>0.0%</c:formatCode>
                <c:ptCount val="14"/>
                <c:pt idx="0">
                  <c:v>0.98159585750826617</c:v>
                </c:pt>
                <c:pt idx="1">
                  <c:v>0.81058955412403688</c:v>
                </c:pt>
                <c:pt idx="2">
                  <c:v>0.85136319803629368</c:v>
                </c:pt>
                <c:pt idx="3">
                  <c:v>0.77796400612095529</c:v>
                </c:pt>
                <c:pt idx="4">
                  <c:v>0.81675349375671868</c:v>
                </c:pt>
                <c:pt idx="5">
                  <c:v>0.38004214150047483</c:v>
                </c:pt>
                <c:pt idx="6">
                  <c:v>0.84832535885167482</c:v>
                </c:pt>
                <c:pt idx="7">
                  <c:v>0.67344695296975043</c:v>
                </c:pt>
                <c:pt idx="8">
                  <c:v>0.81003390149731613</c:v>
                </c:pt>
                <c:pt idx="9">
                  <c:v>0.36019656019656021</c:v>
                </c:pt>
                <c:pt idx="10">
                  <c:v>0.72417876241405654</c:v>
                </c:pt>
                <c:pt idx="11">
                  <c:v>0.46591273232215341</c:v>
                </c:pt>
                <c:pt idx="12">
                  <c:v>0.60194702181947435</c:v>
                </c:pt>
                <c:pt idx="13">
                  <c:v>0.78139964340295476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CDC-43AF-949F-7BD67BA98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6593055"/>
        <c:axId val="306585151"/>
      </c:scatterChart>
      <c:catAx>
        <c:axId val="3065930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95000"/>
                <a:lumOff val="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6585151"/>
        <c:crosses val="autoZero"/>
        <c:auto val="1"/>
        <c:lblAlgn val="ctr"/>
        <c:lblOffset val="100"/>
        <c:noMultiLvlLbl val="0"/>
      </c:catAx>
      <c:valAx>
        <c:axId val="306585151"/>
        <c:scaling>
          <c:orientation val="minMax"/>
          <c:max val="1"/>
        </c:scaling>
        <c:delete val="0"/>
        <c:axPos val="l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6593055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200" b="0" i="0" u="none" strike="noStrike" kern="1200" baseline="0">
          <a:solidFill>
            <a:sysClr val="windowText" lastClr="000000"/>
          </a:solidFill>
          <a:latin typeface="Arial" panose="020B0604020202020204" pitchFamily="34" charset="0"/>
          <a:ea typeface="+mn-ea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a. </a:t>
            </a:r>
            <a:r>
              <a:rPr lang="en-GB" b="0"/>
              <a:t>POXA1b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'Figure 4. mediator reduction'!$A$15:$A$18</c:f>
              <c:strCache>
                <c:ptCount val="4"/>
                <c:pt idx="0">
                  <c:v>2.5% TEMPO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reduction'!$F$15:$F$18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4.2426406871192866E-3</c:v>
                  </c:pt>
                  <c:pt idx="2">
                    <c:v>7.0710678118654537E-3</c:v>
                  </c:pt>
                  <c:pt idx="3">
                    <c:v>4.242640687119284E-3</c:v>
                  </c:pt>
                </c:numCache>
              </c:numRef>
            </c:plus>
            <c:minus>
              <c:numRef>
                <c:f>'Figure 4. mediator reduction'!$F$15:$F$18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4.2426406871192866E-3</c:v>
                  </c:pt>
                  <c:pt idx="2">
                    <c:v>7.0710678118654537E-3</c:v>
                  </c:pt>
                  <c:pt idx="3">
                    <c:v>4.242640687119284E-3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reduction'!$E$15:$E$18</c:f>
              <c:numCache>
                <c:formatCode>0.00%</c:formatCode>
                <c:ptCount val="4"/>
                <c:pt idx="0">
                  <c:v>0</c:v>
                </c:pt>
                <c:pt idx="1">
                  <c:v>2.6599999999999999E-2</c:v>
                </c:pt>
                <c:pt idx="2">
                  <c:v>2.5000000000000001E-2</c:v>
                </c:pt>
                <c:pt idx="3">
                  <c:v>2.4E-2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4EF-4C56-B7F7-C3909756C63D}"/>
            </c:ext>
          </c:extLst>
        </c:ser>
        <c:ser>
          <c:idx val="1"/>
          <c:order val="1"/>
          <c:tx>
            <c:strRef>
              <c:f>'Figure 4. mediator reduction'!$A$11:$A$14</c:f>
              <c:strCache>
                <c:ptCount val="4"/>
                <c:pt idx="0">
                  <c:v>5% TEMPO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reduction'!$F$11:$F$14</c:f>
                <c:numCache>
                  <c:formatCode>General</c:formatCode>
                  <c:ptCount val="4"/>
                  <c:pt idx="0">
                    <c:v>7.778174593052023E-2</c:v>
                  </c:pt>
                  <c:pt idx="1">
                    <c:v>2.8284271247461849E-2</c:v>
                  </c:pt>
                  <c:pt idx="2">
                    <c:v>1.4142135623730963E-2</c:v>
                  </c:pt>
                  <c:pt idx="3">
                    <c:v>0</c:v>
                  </c:pt>
                </c:numCache>
              </c:numRef>
            </c:plus>
            <c:minus>
              <c:numRef>
                <c:f>'Figure 4. mediator reduction'!$F$11:$F$14</c:f>
                <c:numCache>
                  <c:formatCode>General</c:formatCode>
                  <c:ptCount val="4"/>
                  <c:pt idx="0">
                    <c:v>7.778174593052023E-2</c:v>
                  </c:pt>
                  <c:pt idx="1">
                    <c:v>2.8284271247461849E-2</c:v>
                  </c:pt>
                  <c:pt idx="2">
                    <c:v>1.4142135623730963E-2</c:v>
                  </c:pt>
                  <c:pt idx="3">
                    <c:v>0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reduction'!$D$11:$D$14</c:f>
              <c:numCache>
                <c:formatCode>0.00%</c:formatCode>
                <c:ptCount val="4"/>
                <c:pt idx="0">
                  <c:v>0.26</c:v>
                </c:pt>
                <c:pt idx="1">
                  <c:v>0.7</c:v>
                </c:pt>
                <c:pt idx="2">
                  <c:v>0.78</c:v>
                </c:pt>
                <c:pt idx="3">
                  <c:v>0.92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EF-4C56-B7F7-C3909756C63D}"/>
            </c:ext>
          </c:extLst>
        </c:ser>
        <c:ser>
          <c:idx val="0"/>
          <c:order val="2"/>
          <c:tx>
            <c:strRef>
              <c:f>'Figure 4. mediator reduction'!$A$7:$A$10</c:f>
              <c:strCache>
                <c:ptCount val="4"/>
                <c:pt idx="0">
                  <c:v>10% TEMPO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chemeClr val="accent5">
                  <a:lumMod val="75000"/>
                  <a:alpha val="99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reduction'!$F$7:$F$10</c:f>
                <c:numCache>
                  <c:formatCode>General</c:formatCode>
                  <c:ptCount val="4"/>
                  <c:pt idx="0">
                    <c:v>0.12020815280171315</c:v>
                  </c:pt>
                  <c:pt idx="1">
                    <c:v>7.0710678118654814E-3</c:v>
                  </c:pt>
                  <c:pt idx="2">
                    <c:v>7.0710678118654814E-3</c:v>
                  </c:pt>
                  <c:pt idx="3">
                    <c:v>7.0710678118654814E-3</c:v>
                  </c:pt>
                </c:numCache>
              </c:numRef>
            </c:plus>
            <c:minus>
              <c:numRef>
                <c:f>'Figure 4. mediator reduction'!$F$7:$F$10</c:f>
                <c:numCache>
                  <c:formatCode>General</c:formatCode>
                  <c:ptCount val="4"/>
                  <c:pt idx="0">
                    <c:v>0.12020815280171315</c:v>
                  </c:pt>
                  <c:pt idx="1">
                    <c:v>7.0710678118654814E-3</c:v>
                  </c:pt>
                  <c:pt idx="2">
                    <c:v>7.0710678118654814E-3</c:v>
                  </c:pt>
                  <c:pt idx="3">
                    <c:v>7.0710678118654814E-3</c:v>
                  </c:pt>
                </c:numCache>
              </c:numRef>
            </c:minus>
            <c:spPr>
              <a:noFill/>
              <a:ln w="9525">
                <a:solidFill>
                  <a:srgbClr xmlns:mc="http://schemas.openxmlformats.org/markup-compatibility/2006" xmlns:a14="http://schemas.microsoft.com/office/drawing/2010/main" val="000000" mc:Ignorable="a14" a14:legacySpreadsheetColorIndex="64">
                    <a:alpha val="99000"/>
                  </a:srgb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reduction'!$E$7:$E$10</c:f>
              <c:numCache>
                <c:formatCode>0.00%</c:formatCode>
                <c:ptCount val="4"/>
                <c:pt idx="0">
                  <c:v>0.48499999999999999</c:v>
                </c:pt>
                <c:pt idx="1">
                  <c:v>0.92500000000000004</c:v>
                </c:pt>
                <c:pt idx="2">
                  <c:v>0.96499999999999997</c:v>
                </c:pt>
                <c:pt idx="3">
                  <c:v>0.98499999999999999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EF-4C56-B7F7-C3909756C63D}"/>
            </c:ext>
          </c:extLst>
        </c:ser>
        <c:ser>
          <c:idx val="3"/>
          <c:order val="3"/>
          <c:tx>
            <c:strRef>
              <c:f>'Figure 4. mediator reduction'!$A$3:$A$6</c:f>
              <c:strCache>
                <c:ptCount val="4"/>
                <c:pt idx="0">
                  <c:v>20% TEMPO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reduction'!$F$3:$F$6</c:f>
                <c:numCache>
                  <c:formatCode>General</c:formatCode>
                  <c:ptCount val="4"/>
                  <c:pt idx="0">
                    <c:v>2.1213203435596444E-2</c:v>
                  </c:pt>
                  <c:pt idx="1">
                    <c:v>3.5355339059327411E-2</c:v>
                  </c:pt>
                  <c:pt idx="2">
                    <c:v>2.1213203435596444E-2</c:v>
                  </c:pt>
                  <c:pt idx="3">
                    <c:v>7.0710678118654814E-3</c:v>
                  </c:pt>
                </c:numCache>
              </c:numRef>
            </c:plus>
            <c:minus>
              <c:numRef>
                <c:f>'Figure 4. mediator reduction'!$F$3:$F$6</c:f>
                <c:numCache>
                  <c:formatCode>General</c:formatCode>
                  <c:ptCount val="4"/>
                  <c:pt idx="0">
                    <c:v>2.1213203435596444E-2</c:v>
                  </c:pt>
                  <c:pt idx="1">
                    <c:v>3.5355339059327411E-2</c:v>
                  </c:pt>
                  <c:pt idx="2">
                    <c:v>2.1213203435596444E-2</c:v>
                  </c:pt>
                  <c:pt idx="3">
                    <c:v>7.0710678118654814E-3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reduction'!$E$3:$E$6</c:f>
              <c:numCache>
                <c:formatCode>0.00%</c:formatCode>
                <c:ptCount val="4"/>
                <c:pt idx="0">
                  <c:v>0.96499999999999997</c:v>
                </c:pt>
                <c:pt idx="1">
                  <c:v>0.96499999999999997</c:v>
                </c:pt>
                <c:pt idx="2">
                  <c:v>0.97499999999999998</c:v>
                </c:pt>
                <c:pt idx="3">
                  <c:v>0.98499999999999999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9E-4572-9F7A-0F766355A3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3532543"/>
        <c:axId val="863534207"/>
      </c:barChart>
      <c:catAx>
        <c:axId val="8635325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0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63534207"/>
        <c:crosses val="autoZero"/>
        <c:auto val="1"/>
        <c:lblAlgn val="ctr"/>
        <c:lblOffset val="100"/>
        <c:noMultiLvlLbl val="0"/>
      </c:catAx>
      <c:valAx>
        <c:axId val="863534207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0"/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solidFill>
              <a:schemeClr val="bg2">
                <a:lumMod val="1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6353254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b. </a:t>
            </a:r>
            <a:r>
              <a:rPr lang="en-GB" b="0"/>
              <a:t>POXC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'Figure 4. mediator reduction'!$A$15:$A$18</c:f>
              <c:strCache>
                <c:ptCount val="4"/>
                <c:pt idx="0">
                  <c:v>2.5% TEMPO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reduction'!$J$15:$J$18</c:f>
                <c:numCache>
                  <c:formatCode>General</c:formatCode>
                  <c:ptCount val="4"/>
                  <c:pt idx="0">
                    <c:v>2.8284271247461912E-4</c:v>
                  </c:pt>
                  <c:pt idx="1">
                    <c:v>2.333452377915601E-2</c:v>
                  </c:pt>
                  <c:pt idx="2">
                    <c:v>1.6970562748477077E-2</c:v>
                  </c:pt>
                  <c:pt idx="3">
                    <c:v>9.0651089348115596E-2</c:v>
                  </c:pt>
                </c:numCache>
              </c:numRef>
            </c:plus>
            <c:minus>
              <c:numRef>
                <c:f>'Figure 4. mediator reduction'!$J$15:$J$18</c:f>
                <c:numCache>
                  <c:formatCode>General</c:formatCode>
                  <c:ptCount val="4"/>
                  <c:pt idx="0">
                    <c:v>2.8284271247461912E-4</c:v>
                  </c:pt>
                  <c:pt idx="1">
                    <c:v>2.333452377915601E-2</c:v>
                  </c:pt>
                  <c:pt idx="2">
                    <c:v>1.6970562748477077E-2</c:v>
                  </c:pt>
                  <c:pt idx="3">
                    <c:v>9.0651089348115596E-2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reduction'!$I$15:$I$18</c:f>
              <c:numCache>
                <c:formatCode>0.00%</c:formatCode>
                <c:ptCount val="4"/>
                <c:pt idx="0">
                  <c:v>2.5000000000000001E-3</c:v>
                </c:pt>
                <c:pt idx="1">
                  <c:v>0.54949999999999999</c:v>
                </c:pt>
                <c:pt idx="2">
                  <c:v>0.56800000000000006</c:v>
                </c:pt>
                <c:pt idx="3">
                  <c:v>0.6119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EC-4E53-81D4-D9E6DAF549CC}"/>
            </c:ext>
          </c:extLst>
        </c:ser>
        <c:ser>
          <c:idx val="1"/>
          <c:order val="1"/>
          <c:tx>
            <c:strRef>
              <c:f>'Figure 4. mediator reduction'!$A$11:$A$14</c:f>
              <c:strCache>
                <c:ptCount val="4"/>
                <c:pt idx="0">
                  <c:v>5% TEMPO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reduction'!$J$11:$J$14</c:f>
                <c:numCache>
                  <c:formatCode>General</c:formatCode>
                  <c:ptCount val="4"/>
                  <c:pt idx="0">
                    <c:v>5.9396969619669969E-2</c:v>
                  </c:pt>
                  <c:pt idx="1">
                    <c:v>1.4142135623730963E-2</c:v>
                  </c:pt>
                  <c:pt idx="2">
                    <c:v>5.6568542494923851E-2</c:v>
                  </c:pt>
                  <c:pt idx="3">
                    <c:v>3.5355339059327411E-2</c:v>
                  </c:pt>
                </c:numCache>
              </c:numRef>
            </c:plus>
            <c:minus>
              <c:numRef>
                <c:f>'Figure 4. mediator reduction'!$J$11:$J$14</c:f>
                <c:numCache>
                  <c:formatCode>General</c:formatCode>
                  <c:ptCount val="4"/>
                  <c:pt idx="0">
                    <c:v>5.9396969619669969E-2</c:v>
                  </c:pt>
                  <c:pt idx="1">
                    <c:v>1.4142135623730963E-2</c:v>
                  </c:pt>
                  <c:pt idx="2">
                    <c:v>5.6568542494923851E-2</c:v>
                  </c:pt>
                  <c:pt idx="3">
                    <c:v>3.5355339059327411E-2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reduction'!$I$11:$I$14</c:f>
              <c:numCache>
                <c:formatCode>0.00%</c:formatCode>
                <c:ptCount val="4"/>
                <c:pt idx="0">
                  <c:v>0.83200000000000007</c:v>
                </c:pt>
                <c:pt idx="1">
                  <c:v>0.85</c:v>
                </c:pt>
                <c:pt idx="2">
                  <c:v>0.88</c:v>
                </c:pt>
                <c:pt idx="3">
                  <c:v>0.89500000000000002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EC-4E53-81D4-D9E6DAF549CC}"/>
            </c:ext>
          </c:extLst>
        </c:ser>
        <c:ser>
          <c:idx val="0"/>
          <c:order val="2"/>
          <c:tx>
            <c:strRef>
              <c:f>'Figure 4. mediator reduction'!$A$7:$A$10</c:f>
              <c:strCache>
                <c:ptCount val="4"/>
                <c:pt idx="0">
                  <c:v>10% TEMPO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reduction'!$J$7:$J$10</c:f>
                <c:numCache>
                  <c:formatCode>General</c:formatCode>
                  <c:ptCount val="4"/>
                  <c:pt idx="0">
                    <c:v>1.4142135623730963E-2</c:v>
                  </c:pt>
                  <c:pt idx="1">
                    <c:v>0</c:v>
                  </c:pt>
                  <c:pt idx="2">
                    <c:v>2.8284271247461926E-2</c:v>
                  </c:pt>
                  <c:pt idx="3">
                    <c:v>5.6568542494923775E-2</c:v>
                  </c:pt>
                </c:numCache>
              </c:numRef>
            </c:plus>
            <c:minus>
              <c:numRef>
                <c:f>'Figure 4. mediator reduction'!$J$7:$J$10</c:f>
                <c:numCache>
                  <c:formatCode>General</c:formatCode>
                  <c:ptCount val="4"/>
                  <c:pt idx="0">
                    <c:v>1.4142135623730963E-2</c:v>
                  </c:pt>
                  <c:pt idx="1">
                    <c:v>0</c:v>
                  </c:pt>
                  <c:pt idx="2">
                    <c:v>2.8284271247461926E-2</c:v>
                  </c:pt>
                  <c:pt idx="3">
                    <c:v>5.6568542494923775E-2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reduction'!$I$7:$I$10</c:f>
              <c:numCache>
                <c:formatCode>0.00%</c:formatCode>
                <c:ptCount val="4"/>
                <c:pt idx="0">
                  <c:v>0.94499999999999995</c:v>
                </c:pt>
                <c:pt idx="1">
                  <c:v>0.96799999999999997</c:v>
                </c:pt>
                <c:pt idx="2">
                  <c:v>0.97199999999999998</c:v>
                </c:pt>
                <c:pt idx="3">
                  <c:v>0.94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9EC-4E53-81D4-D9E6DAF549CC}"/>
            </c:ext>
          </c:extLst>
        </c:ser>
        <c:ser>
          <c:idx val="3"/>
          <c:order val="3"/>
          <c:tx>
            <c:strRef>
              <c:f>'Figure 4. mediator reduction'!$A$3:$A$6</c:f>
              <c:strCache>
                <c:ptCount val="4"/>
                <c:pt idx="0">
                  <c:v>20% TEMPO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4. mediator reduction'!$J$3:$J$6</c:f>
                <c:numCache>
                  <c:formatCode>General</c:formatCode>
                  <c:ptCount val="4"/>
                  <c:pt idx="0">
                    <c:v>2.1213203435596444E-2</c:v>
                  </c:pt>
                  <c:pt idx="1">
                    <c:v>1.4142135623730963E-2</c:v>
                  </c:pt>
                  <c:pt idx="2">
                    <c:v>7.0710678118654814E-3</c:v>
                  </c:pt>
                  <c:pt idx="3">
                    <c:v>7.0710678118654814E-3</c:v>
                  </c:pt>
                </c:numCache>
              </c:numRef>
            </c:plus>
            <c:minus>
              <c:numRef>
                <c:f>'Figure 4. mediator reduction'!$J$3:$J$6</c:f>
                <c:numCache>
                  <c:formatCode>General</c:formatCode>
                  <c:ptCount val="4"/>
                  <c:pt idx="0">
                    <c:v>2.1213203435596444E-2</c:v>
                  </c:pt>
                  <c:pt idx="1">
                    <c:v>1.4142135623730963E-2</c:v>
                  </c:pt>
                  <c:pt idx="2">
                    <c:v>7.0710678118654814E-3</c:v>
                  </c:pt>
                  <c:pt idx="3">
                    <c:v>7.0710678118654814E-3</c:v>
                  </c:pt>
                </c:numCache>
              </c:numRef>
            </c:minus>
            <c:spPr>
              <a:noFill/>
              <a:ln w="9525">
                <a:solidFill>
                  <a:schemeClr val="tx2">
                    <a:lumMod val="75000"/>
                  </a:schemeClr>
                </a:solidFill>
                <a:round/>
              </a:ln>
              <a:effectLst/>
            </c:spPr>
          </c:errBars>
          <c:cat>
            <c:numRef>
              <c:f>'Figure 4. mediator reduction'!$B$3:$B$6</c:f>
              <c:numCache>
                <c:formatCode>General</c:formatCode>
                <c:ptCount val="4"/>
                <c:pt idx="0">
                  <c:v>16</c:v>
                </c:pt>
                <c:pt idx="1">
                  <c:v>24</c:v>
                </c:pt>
                <c:pt idx="2">
                  <c:v>48</c:v>
                </c:pt>
                <c:pt idx="3">
                  <c:v>72</c:v>
                </c:pt>
              </c:numCache>
            </c:numRef>
          </c:cat>
          <c:val>
            <c:numRef>
              <c:f>'Figure 4. mediator reduction'!$I$3:$I$6</c:f>
              <c:numCache>
                <c:formatCode>0.00%</c:formatCode>
                <c:ptCount val="4"/>
                <c:pt idx="0">
                  <c:v>0.97499999999999998</c:v>
                </c:pt>
                <c:pt idx="1">
                  <c:v>0.98</c:v>
                </c:pt>
                <c:pt idx="2">
                  <c:v>0.98499999999999999</c:v>
                </c:pt>
                <c:pt idx="3">
                  <c:v>0.98499999999999999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28-421A-B776-20EBA1979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3532543"/>
        <c:axId val="863534207"/>
      </c:barChart>
      <c:catAx>
        <c:axId val="8635325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0"/>
                  <a:t>Time</a:t>
                </a:r>
                <a:r>
                  <a:rPr lang="en-GB" b="0" baseline="0"/>
                  <a:t> (h)</a:t>
                </a:r>
                <a:endParaRPr lang="en-GB" b="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63534207"/>
        <c:crosses val="autoZero"/>
        <c:auto val="1"/>
        <c:lblAlgn val="ctr"/>
        <c:lblOffset val="100"/>
        <c:noMultiLvlLbl val="0"/>
      </c:catAx>
      <c:valAx>
        <c:axId val="863534207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0"/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solidFill>
              <a:schemeClr val="bg2">
                <a:lumMod val="1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6353254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974892306696755E-2"/>
          <c:y val="8.610053906143464E-4"/>
          <c:w val="0.80761036627178362"/>
          <c:h val="0.7679125255024703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'E-factor contribution'!$A$16</c:f>
              <c:strCache>
                <c:ptCount val="1"/>
                <c:pt idx="0">
                  <c:v>Non isolated product</c:v>
                </c:pt>
              </c:strCache>
            </c:strRef>
          </c:tx>
          <c:spPr>
            <a:solidFill>
              <a:schemeClr val="accent6">
                <a:lumMod val="75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contribution'!$D$16</c:f>
              <c:numCache>
                <c:formatCode>0%</c:formatCode>
                <c:ptCount val="1"/>
                <c:pt idx="0">
                  <c:v>4.8615823365998796E-7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F566-4778-9112-8FA6CA8F3F4F}"/>
            </c:ext>
          </c:extLst>
        </c:ser>
        <c:ser>
          <c:idx val="1"/>
          <c:order val="1"/>
          <c:tx>
            <c:strRef>
              <c:f>'E-factor contribution'!$A$17</c:f>
              <c:strCache>
                <c:ptCount val="1"/>
                <c:pt idx="0">
                  <c:v>O2 - water</c:v>
                </c:pt>
              </c:strCache>
            </c:strRef>
          </c:tx>
          <c:spPr>
            <a:solidFill>
              <a:schemeClr val="accent2">
                <a:lumMod val="75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contribution'!$D$17</c:f>
              <c:numCache>
                <c:formatCode>0%</c:formatCode>
                <c:ptCount val="1"/>
                <c:pt idx="0">
                  <c:v>2.4681879555045548E-4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F566-4778-9112-8FA6CA8F3F4F}"/>
            </c:ext>
          </c:extLst>
        </c:ser>
        <c:ser>
          <c:idx val="2"/>
          <c:order val="2"/>
          <c:tx>
            <c:strRef>
              <c:f>'E-factor contribution'!$A$18</c:f>
              <c:strCache>
                <c:ptCount val="1"/>
                <c:pt idx="0">
                  <c:v>Buffer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contribution'!$D$18</c:f>
              <c:numCache>
                <c:formatCode>0%</c:formatCode>
                <c:ptCount val="1"/>
                <c:pt idx="0">
                  <c:v>0.10386134916763168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66-4778-9112-8FA6CA8F3F4F}"/>
            </c:ext>
          </c:extLst>
        </c:ser>
        <c:ser>
          <c:idx val="3"/>
          <c:order val="3"/>
          <c:tx>
            <c:strRef>
              <c:f>'E-factor contribution'!$A$19</c:f>
              <c:strCache>
                <c:ptCount val="1"/>
                <c:pt idx="0">
                  <c:v>Laccase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contribution'!$D$19</c:f>
              <c:numCache>
                <c:formatCode>0%</c:formatCode>
                <c:ptCount val="1"/>
                <c:pt idx="0">
                  <c:v>6.1704698887613874E-6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F566-4778-9112-8FA6CA8F3F4F}"/>
            </c:ext>
          </c:extLst>
        </c:ser>
        <c:ser>
          <c:idx val="4"/>
          <c:order val="4"/>
          <c:tx>
            <c:strRef>
              <c:f>'E-factor contribution'!$A$20</c:f>
              <c:strCache>
                <c:ptCount val="1"/>
                <c:pt idx="0">
                  <c:v>IPA - Acetone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contribution'!$D$20</c:f>
              <c:numCache>
                <c:formatCode>0%</c:formatCode>
                <c:ptCount val="1"/>
                <c:pt idx="0">
                  <c:v>9.3297504718072161E-3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F566-4778-9112-8FA6CA8F3F4F}"/>
            </c:ext>
          </c:extLst>
        </c:ser>
        <c:ser>
          <c:idx val="5"/>
          <c:order val="5"/>
          <c:tx>
            <c:strRef>
              <c:f>'E-factor contribution'!$A$21</c:f>
              <c:strCache>
                <c:ptCount val="1"/>
                <c:pt idx="0">
                  <c:v>TEMPO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contribution'!$D$21</c:f>
              <c:numCache>
                <c:formatCode>0%</c:formatCode>
                <c:ptCount val="1"/>
                <c:pt idx="0">
                  <c:v>1.4809127733027329E-4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F566-4778-9112-8FA6CA8F3F4F}"/>
            </c:ext>
          </c:extLst>
        </c:ser>
        <c:ser>
          <c:idx val="6"/>
          <c:order val="6"/>
          <c:tx>
            <c:strRef>
              <c:f>'E-factor contribution'!$A$22</c:f>
              <c:strCache>
                <c:ptCount val="1"/>
                <c:pt idx="0">
                  <c:v>ATA</c:v>
                </c:pt>
              </c:strCache>
            </c:strRef>
          </c:tx>
          <c:spPr>
            <a:solidFill>
              <a:srgbClr val="CCCCFF">
                <a:alpha val="84706"/>
              </a:srgb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contribution'!$D$22</c:f>
              <c:numCache>
                <c:formatCode>0%</c:formatCode>
                <c:ptCount val="1"/>
                <c:pt idx="0">
                  <c:v>2.4681879555045548E-4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6-F566-4778-9112-8FA6CA8F3F4F}"/>
            </c:ext>
          </c:extLst>
        </c:ser>
        <c:ser>
          <c:idx val="8"/>
          <c:order val="7"/>
          <c:tx>
            <c:strRef>
              <c:f>'E-factor contribution'!$A$23</c:f>
              <c:strCache>
                <c:ptCount val="1"/>
                <c:pt idx="0">
                  <c:v>PLP</c:v>
                </c:pt>
              </c:strCache>
            </c:strRef>
          </c:tx>
          <c:spPr>
            <a:solidFill>
              <a:schemeClr val="tx1">
                <a:lumMod val="95000"/>
                <a:lumOff val="5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contribution'!$D$23</c:f>
              <c:numCache>
                <c:formatCode>0%</c:formatCode>
                <c:ptCount val="1"/>
                <c:pt idx="0">
                  <c:v>4.9363759110091099E-5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F566-4778-9112-8FA6CA8F3F4F}"/>
            </c:ext>
          </c:extLst>
        </c:ser>
        <c:ser>
          <c:idx val="9"/>
          <c:order val="8"/>
          <c:tx>
            <c:strRef>
              <c:f>'E-factor contribution'!$A$24</c:f>
              <c:strCache>
                <c:ptCount val="1"/>
                <c:pt idx="0">
                  <c:v>Water (extraction)</c:v>
                </c:pt>
              </c:strCache>
            </c:strRef>
          </c:tx>
          <c:spPr>
            <a:solidFill>
              <a:srgbClr val="584300">
                <a:alpha val="84706"/>
              </a:srgb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contribution'!$E$24</c:f>
              <c:numCache>
                <c:formatCode>0%</c:formatCode>
                <c:ptCount val="1"/>
                <c:pt idx="0">
                  <c:v>0.14399408532413574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66-4778-9112-8FA6CA8F3F4F}"/>
            </c:ext>
          </c:extLst>
        </c:ser>
        <c:ser>
          <c:idx val="10"/>
          <c:order val="9"/>
          <c:tx>
            <c:strRef>
              <c:f>'E-factor contribution'!$A$25</c:f>
              <c:strCache>
                <c:ptCount val="1"/>
                <c:pt idx="0">
                  <c:v>EtOAc</c:v>
                </c:pt>
              </c:strCache>
            </c:strRef>
          </c:tx>
          <c:spPr>
            <a:solidFill>
              <a:schemeClr val="accent5">
                <a:lumMod val="75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Full process</c:v>
              </c:pt>
            </c:strLit>
          </c:cat>
          <c:val>
            <c:numRef>
              <c:f>'E-factor contribution'!$E$25</c:f>
              <c:numCache>
                <c:formatCode>0%</c:formatCode>
                <c:ptCount val="1"/>
                <c:pt idx="0">
                  <c:v>0.74208539070199941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566-4778-9112-8FA6CA8F3F4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27367376"/>
        <c:axId val="627366960"/>
        <c:extLst/>
      </c:barChart>
      <c:catAx>
        <c:axId val="62736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27366960"/>
        <c:crosses val="autoZero"/>
        <c:auto val="1"/>
        <c:lblAlgn val="ctr"/>
        <c:lblOffset val="100"/>
        <c:noMultiLvlLbl val="0"/>
      </c:catAx>
      <c:valAx>
        <c:axId val="627366960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E factor: Kg Kg-1</a:t>
                </a:r>
              </a:p>
            </c:rich>
          </c:tx>
          <c:layout>
            <c:manualLayout>
              <c:xMode val="edge"/>
              <c:yMode val="edge"/>
              <c:x val="7.3583126253704972E-2"/>
              <c:y val="0.294554264633004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crossAx val="62736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9.2459605276742921E-2"/>
          <c:y val="0.8125863186582728"/>
          <c:w val="0.82170831886246021"/>
          <c:h val="0.18330980877246386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noFill/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E- factor contribution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'E-factor contribution'!$B$15</c:f>
              <c:strCache>
                <c:ptCount val="1"/>
                <c:pt idx="0">
                  <c:v>Upstream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6FE1-4988-AC36-E5FFFCA3A1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FE1-4988-AC36-E5FFFCA3A1D4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'E-factor contribution'!$B$15:$C$15</c:f>
              <c:strCache>
                <c:ptCount val="2"/>
                <c:pt idx="0">
                  <c:v>Upstream </c:v>
                </c:pt>
                <c:pt idx="1">
                  <c:v>Downstream</c:v>
                </c:pt>
              </c:strCache>
            </c:strRef>
          </c:cat>
          <c:val>
            <c:numRef>
              <c:f>'E-factor contribution'!$B$28:$C$28</c:f>
              <c:numCache>
                <c:formatCode>0.0%</c:formatCode>
                <c:ptCount val="2"/>
                <c:pt idx="0">
                  <c:v>0.11388884889510259</c:v>
                </c:pt>
                <c:pt idx="1">
                  <c:v>0.88607947602613524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FE1-4988-AC36-E5FFFCA3A1D4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'E-factor contribution'!$C$15</c15:sqref>
                        </c15:formulaRef>
                      </c:ext>
                    </c:extLst>
                    <c:strCache>
                      <c:ptCount val="1"/>
                      <c:pt idx="0">
                        <c:v>Downstream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6-6FE1-4988-AC36-E5FFFCA3A1D4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8-6FE1-4988-AC36-E5FFFCA3A1D4}"/>
                    </c:ext>
                  </c:extLst>
                </c:dPt>
                <c:dLbls>
                  <c:spPr>
                    <a:pattFill prst="pct75">
                      <a:fgClr>
                        <a:schemeClr val="dk1">
                          <a:lumMod val="75000"/>
                          <a:lumOff val="25000"/>
                        </a:schemeClr>
                      </a:fgClr>
                      <a:bgClr>
                        <a:schemeClr val="dk1">
                          <a:lumMod val="65000"/>
                          <a:lumOff val="35000"/>
                        </a:schemeClr>
                      </a:bgClr>
                    </a:pattFill>
                    <a:ln>
                      <a:noFill/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</a:effectLst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000" b="1" i="0" u="none" strike="noStrike" kern="1200" baseline="0">
                          <a:solidFill>
                            <a:schemeClr val="lt1"/>
                          </a:solidFill>
                          <a:latin typeface="Arial" panose="020B0604020202020204" pitchFamily="34" charset="0"/>
                          <a:ea typeface="+mn-ea"/>
                          <a:cs typeface="Arial" panose="020B0604020202020204" pitchFamily="34" charset="0"/>
                        </a:defRPr>
                      </a:pPr>
                      <a:endParaRPr lang="en-US"/>
                    </a:p>
                  </c:txPr>
                  <c:dLblPos val="ctr"/>
                  <c:showLegendKey val="0"/>
                  <c:showVal val="0"/>
                  <c:showCatName val="0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>
                        <a:solidFill>
                          <a:schemeClr val="dk1">
                            <a:lumMod val="50000"/>
                            <a:lumOff val="50000"/>
                          </a:schemeClr>
                        </a:solidFill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'E-factor contribution'!$B$15:$C$15</c15:sqref>
                        </c15:formulaRef>
                      </c:ext>
                    </c:extLst>
                    <c:strCache>
                      <c:ptCount val="2"/>
                      <c:pt idx="0">
                        <c:v>Upstream </c:v>
                      </c:pt>
                      <c:pt idx="1">
                        <c:v>Downstream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'E-factor contribution'!$B$28:$C$28</c15:sqref>
                        </c15:formulaRef>
                      </c:ext>
                    </c:extLst>
                    <c:numCache>
                      <c:formatCode>0.0%</c:formatCode>
                      <c:ptCount val="2"/>
                      <c:pt idx="0">
                        <c:v>0.11388884889510259</c:v>
                      </c:pt>
                      <c:pt idx="1">
                        <c:v>0.88607947602613524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9-6FE1-4988-AC36-E5FFFCA3A1D4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00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193675</xdr:colOff>
      <xdr:row>2</xdr:row>
      <xdr:rowOff>92362</xdr:rowOff>
    </xdr:from>
    <xdr:to>
      <xdr:col>30</xdr:col>
      <xdr:colOff>498475</xdr:colOff>
      <xdr:row>17</xdr:row>
      <xdr:rowOff>73312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589397</xdr:colOff>
      <xdr:row>2</xdr:row>
      <xdr:rowOff>69273</xdr:rowOff>
    </xdr:from>
    <xdr:to>
      <xdr:col>23</xdr:col>
      <xdr:colOff>282287</xdr:colOff>
      <xdr:row>17</xdr:row>
      <xdr:rowOff>50223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114300</xdr:colOff>
      <xdr:row>94</xdr:row>
      <xdr:rowOff>57150</xdr:rowOff>
    </xdr:from>
    <xdr:to>
      <xdr:col>23</xdr:col>
      <xdr:colOff>431800</xdr:colOff>
      <xdr:row>114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526864</xdr:colOff>
      <xdr:row>12</xdr:row>
      <xdr:rowOff>152400</xdr:rowOff>
    </xdr:from>
    <xdr:to>
      <xdr:col>5</xdr:col>
      <xdr:colOff>121397</xdr:colOff>
      <xdr:row>27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126546</xdr:colOff>
      <xdr:row>18</xdr:row>
      <xdr:rowOff>146051</xdr:rowOff>
    </xdr:from>
    <xdr:to>
      <xdr:col>19</xdr:col>
      <xdr:colOff>191408</xdr:colOff>
      <xdr:row>43</xdr:row>
      <xdr:rowOff>114301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163287</xdr:rowOff>
    </xdr:from>
    <xdr:to>
      <xdr:col>9</xdr:col>
      <xdr:colOff>355147</xdr:colOff>
      <xdr:row>43</xdr:row>
      <xdr:rowOff>131537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213360</xdr:colOff>
          <xdr:row>0</xdr:row>
          <xdr:rowOff>160020</xdr:rowOff>
        </xdr:from>
        <xdr:to>
          <xdr:col>24</xdr:col>
          <xdr:colOff>121920</xdr:colOff>
          <xdr:row>5</xdr:row>
          <xdr:rowOff>22860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3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298824</xdr:colOff>
      <xdr:row>1</xdr:row>
      <xdr:rowOff>48184</xdr:rowOff>
    </xdr:from>
    <xdr:to>
      <xdr:col>19</xdr:col>
      <xdr:colOff>358588</xdr:colOff>
      <xdr:row>24</xdr:row>
      <xdr:rowOff>82177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567765</xdr:colOff>
      <xdr:row>1</xdr:row>
      <xdr:rowOff>22412</xdr:rowOff>
    </xdr:from>
    <xdr:to>
      <xdr:col>29</xdr:col>
      <xdr:colOff>14940</xdr:colOff>
      <xdr:row>24</xdr:row>
      <xdr:rowOff>56405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440765</xdr:colOff>
      <xdr:row>16</xdr:row>
      <xdr:rowOff>178386</xdr:rowOff>
    </xdr:from>
    <xdr:to>
      <xdr:col>10</xdr:col>
      <xdr:colOff>530412</xdr:colOff>
      <xdr:row>49</xdr:row>
      <xdr:rowOff>182015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373530</xdr:colOff>
      <xdr:row>34</xdr:row>
      <xdr:rowOff>47811</xdr:rowOff>
    </xdr:from>
    <xdr:to>
      <xdr:col>3</xdr:col>
      <xdr:colOff>1045882</xdr:colOff>
      <xdr:row>50</xdr:row>
      <xdr:rowOff>104588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zoomScale="70" zoomScaleNormal="70" workbookViewId="0"/>
  </sheetViews>
  <sheetFormatPr baseColWidth="10" defaultColWidth="8.88671875" defaultRowHeight="14.4" x14ac:dyDescent="0.3"/>
  <sheetData>
    <row r="1" spans="1:12" x14ac:dyDescent="0.3">
      <c r="A1" s="1" t="s">
        <v>0</v>
      </c>
      <c r="B1" s="43" t="s">
        <v>6</v>
      </c>
      <c r="C1" s="43"/>
      <c r="D1" s="43"/>
      <c r="E1" s="43"/>
      <c r="F1" s="43" t="s">
        <v>11</v>
      </c>
      <c r="G1" s="43"/>
      <c r="H1" s="43"/>
      <c r="I1" s="43"/>
      <c r="J1" s="2" t="s">
        <v>14</v>
      </c>
      <c r="K1" s="2"/>
      <c r="L1" s="1" t="s">
        <v>13</v>
      </c>
    </row>
    <row r="2" spans="1:12" x14ac:dyDescent="0.3">
      <c r="B2" s="2" t="s">
        <v>7</v>
      </c>
      <c r="C2" s="2" t="s">
        <v>8</v>
      </c>
      <c r="D2" s="2" t="s">
        <v>9</v>
      </c>
      <c r="E2" s="2" t="s">
        <v>10</v>
      </c>
      <c r="F2" s="2" t="s">
        <v>7</v>
      </c>
      <c r="G2" s="2" t="s">
        <v>8</v>
      </c>
      <c r="H2" s="2" t="s">
        <v>9</v>
      </c>
      <c r="I2" s="2" t="s">
        <v>10</v>
      </c>
    </row>
    <row r="3" spans="1:12" x14ac:dyDescent="0.3">
      <c r="A3" s="2" t="s">
        <v>1</v>
      </c>
      <c r="B3" s="3">
        <v>0.51229999999999998</v>
      </c>
      <c r="C3" s="3">
        <v>0.48099999999999998</v>
      </c>
      <c r="D3" s="3">
        <f>AVERAGE(B3:C3)</f>
        <v>0.49664999999999998</v>
      </c>
      <c r="E3" s="3">
        <f>STDEV(B3:C3)</f>
        <v>2.2132442251138935E-2</v>
      </c>
      <c r="F3" s="3">
        <v>0.55000000000000004</v>
      </c>
      <c r="G3" s="3">
        <v>0.7</v>
      </c>
      <c r="H3" s="3">
        <f>AVERAGE(F3:G3)</f>
        <v>0.625</v>
      </c>
      <c r="I3" s="3">
        <f>STDEV(F3:G3)</f>
        <v>0.10606601717798204</v>
      </c>
      <c r="K3" s="2" t="s">
        <v>12</v>
      </c>
      <c r="L3" s="3">
        <v>0.13</v>
      </c>
    </row>
    <row r="4" spans="1:12" x14ac:dyDescent="0.3">
      <c r="A4" s="2">
        <v>5</v>
      </c>
      <c r="B4" s="3">
        <v>0.64800000000000002</v>
      </c>
      <c r="C4" s="3">
        <v>0.55900000000000005</v>
      </c>
      <c r="D4" s="3">
        <f t="shared" ref="D4:D10" si="0">AVERAGE(B4:C4)</f>
        <v>0.60350000000000004</v>
      </c>
      <c r="E4" s="3">
        <f t="shared" ref="E4:E10" si="1">STDEV(B4:C4)</f>
        <v>6.2932503525602701E-2</v>
      </c>
      <c r="F4" s="3">
        <v>0.45</v>
      </c>
      <c r="G4" s="3">
        <v>0.73</v>
      </c>
      <c r="H4" s="3">
        <f t="shared" ref="H4:H10" si="2">AVERAGE(F4:G4)</f>
        <v>0.59</v>
      </c>
      <c r="I4" s="3">
        <f t="shared" ref="I4:I10" si="3">STDEV(F4:G4)</f>
        <v>0.19798989873223333</v>
      </c>
      <c r="K4" s="2">
        <v>4</v>
      </c>
      <c r="L4" s="3">
        <v>0.26</v>
      </c>
    </row>
    <row r="5" spans="1:12" x14ac:dyDescent="0.3">
      <c r="A5" s="2" t="s">
        <v>2</v>
      </c>
      <c r="B5" s="3">
        <v>0.82599999999999996</v>
      </c>
      <c r="C5" s="3">
        <v>0.80700000000000005</v>
      </c>
      <c r="D5" s="3">
        <f t="shared" si="0"/>
        <v>0.8165</v>
      </c>
      <c r="E5" s="3">
        <f t="shared" si="1"/>
        <v>1.3435028842544336E-2</v>
      </c>
      <c r="F5" s="3">
        <v>0.56999999999999995</v>
      </c>
      <c r="G5" s="3">
        <v>0.81</v>
      </c>
      <c r="H5" s="3">
        <f t="shared" si="2"/>
        <v>0.69</v>
      </c>
      <c r="I5" s="3">
        <f t="shared" si="3"/>
        <v>0.16970562748477219</v>
      </c>
      <c r="K5" s="2" t="s">
        <v>1</v>
      </c>
      <c r="L5" s="3">
        <v>0.53</v>
      </c>
    </row>
    <row r="6" spans="1:12" x14ac:dyDescent="0.3">
      <c r="A6" s="2" t="s">
        <v>3</v>
      </c>
      <c r="B6" s="3">
        <v>0.45200000000000001</v>
      </c>
      <c r="C6" s="3">
        <v>0.51529999999999998</v>
      </c>
      <c r="D6" s="3">
        <f t="shared" si="0"/>
        <v>0.48365000000000002</v>
      </c>
      <c r="E6" s="3">
        <f t="shared" si="1"/>
        <v>4.4759859249108434E-2</v>
      </c>
      <c r="F6" s="3">
        <v>0.28999999999999998</v>
      </c>
      <c r="G6" s="3">
        <v>0.37</v>
      </c>
      <c r="H6" s="3">
        <f t="shared" si="2"/>
        <v>0.32999999999999996</v>
      </c>
      <c r="I6" s="3">
        <f t="shared" si="3"/>
        <v>5.6568542494924122E-2</v>
      </c>
      <c r="K6" s="2" t="s">
        <v>2</v>
      </c>
      <c r="L6" s="3">
        <v>0.37</v>
      </c>
    </row>
    <row r="7" spans="1:12" x14ac:dyDescent="0.3">
      <c r="A7" s="2" t="s">
        <v>4</v>
      </c>
      <c r="B7" s="3">
        <v>0.89</v>
      </c>
      <c r="C7" s="3">
        <v>0.85699999999999998</v>
      </c>
      <c r="D7" s="3">
        <f t="shared" si="0"/>
        <v>0.87349999999999994</v>
      </c>
      <c r="E7" s="3">
        <f t="shared" si="1"/>
        <v>2.333452377915609E-2</v>
      </c>
      <c r="F7" s="3">
        <v>0.27</v>
      </c>
      <c r="G7" s="3">
        <v>0.16</v>
      </c>
      <c r="H7" s="3">
        <f t="shared" si="2"/>
        <v>0.21500000000000002</v>
      </c>
      <c r="I7" s="3">
        <f t="shared" si="3"/>
        <v>7.7781745930520133E-2</v>
      </c>
      <c r="K7" s="2">
        <v>6</v>
      </c>
      <c r="L7" s="3">
        <v>0.23</v>
      </c>
    </row>
    <row r="8" spans="1:12" x14ac:dyDescent="0.3">
      <c r="A8" s="2">
        <v>7</v>
      </c>
      <c r="B8" s="3">
        <v>0.85</v>
      </c>
      <c r="C8" s="3">
        <v>0.74299999999999999</v>
      </c>
      <c r="D8" s="3">
        <f t="shared" si="0"/>
        <v>0.79649999999999999</v>
      </c>
      <c r="E8" s="3">
        <f t="shared" si="1"/>
        <v>7.5660425586960581E-2</v>
      </c>
      <c r="F8" s="3">
        <v>0.1</v>
      </c>
      <c r="G8" s="3">
        <v>0.15</v>
      </c>
      <c r="H8" s="3">
        <f t="shared" si="2"/>
        <v>0.125</v>
      </c>
      <c r="I8" s="3">
        <f t="shared" si="3"/>
        <v>3.535533905932739E-2</v>
      </c>
      <c r="K8" s="2"/>
    </row>
    <row r="9" spans="1:12" x14ac:dyDescent="0.3">
      <c r="A9" s="2" t="s">
        <v>5</v>
      </c>
      <c r="B9" s="3">
        <v>0.61299999999999999</v>
      </c>
      <c r="C9" s="3">
        <v>0.76200000000000001</v>
      </c>
      <c r="D9" s="3">
        <f t="shared" si="0"/>
        <v>0.6875</v>
      </c>
      <c r="E9" s="3">
        <f t="shared" si="1"/>
        <v>0.10535891039679537</v>
      </c>
      <c r="F9" s="3">
        <v>0.04</v>
      </c>
      <c r="G9" s="3">
        <v>7.0000000000000007E-2</v>
      </c>
      <c r="H9" s="3">
        <f t="shared" si="2"/>
        <v>5.5000000000000007E-2</v>
      </c>
      <c r="I9" s="3">
        <f t="shared" si="3"/>
        <v>2.1213203435596403E-2</v>
      </c>
      <c r="K9" s="2"/>
    </row>
    <row r="10" spans="1:12" x14ac:dyDescent="0.3">
      <c r="A10" s="2">
        <v>8</v>
      </c>
      <c r="B10" s="3">
        <v>0.73299999999999998</v>
      </c>
      <c r="C10" s="3">
        <v>0.74199999999999999</v>
      </c>
      <c r="D10" s="3">
        <f t="shared" si="0"/>
        <v>0.73750000000000004</v>
      </c>
      <c r="E10" s="3">
        <f t="shared" si="1"/>
        <v>6.3639610306789338E-3</v>
      </c>
      <c r="F10" s="3">
        <v>0.04</v>
      </c>
      <c r="G10" s="3">
        <v>0.05</v>
      </c>
      <c r="H10" s="3">
        <f t="shared" si="2"/>
        <v>4.4999999999999998E-2</v>
      </c>
      <c r="I10" s="3">
        <f t="shared" si="3"/>
        <v>7.0710678118655152E-3</v>
      </c>
      <c r="K10" s="2"/>
    </row>
    <row r="14" spans="1:12" x14ac:dyDescent="0.3">
      <c r="B14" s="4"/>
    </row>
  </sheetData>
  <mergeCells count="2">
    <mergeCell ref="B1:E1"/>
    <mergeCell ref="F1:I1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8F36D-87D0-4FD2-802B-39A95E9D2931}">
  <dimension ref="A1:AT120"/>
  <sheetViews>
    <sheetView zoomScale="50" workbookViewId="0"/>
  </sheetViews>
  <sheetFormatPr baseColWidth="10" defaultColWidth="8.88671875" defaultRowHeight="14.4" x14ac:dyDescent="0.3"/>
  <cols>
    <col min="2" max="2" width="15.6640625" bestFit="1" customWidth="1"/>
    <col min="4" max="5" width="15.6640625" bestFit="1" customWidth="1"/>
    <col min="8" max="8" width="15.6640625" bestFit="1" customWidth="1"/>
    <col min="12" max="12" width="15.6640625" bestFit="1" customWidth="1"/>
    <col min="19" max="19" width="10.44140625" bestFit="1" customWidth="1"/>
  </cols>
  <sheetData>
    <row r="1" spans="1:46" x14ac:dyDescent="0.3">
      <c r="B1" s="45" t="s">
        <v>42</v>
      </c>
      <c r="C1" s="45"/>
      <c r="D1" s="45" t="s">
        <v>6</v>
      </c>
      <c r="E1" s="45"/>
      <c r="F1" s="45" t="s">
        <v>89</v>
      </c>
      <c r="G1" s="45"/>
      <c r="H1" s="45" t="s">
        <v>90</v>
      </c>
      <c r="I1" s="45"/>
      <c r="J1" t="s">
        <v>91</v>
      </c>
      <c r="Q1" s="45" t="s">
        <v>14</v>
      </c>
      <c r="R1" s="45"/>
      <c r="S1" s="5" t="s">
        <v>95</v>
      </c>
      <c r="T1" s="5"/>
      <c r="U1" s="2" t="s">
        <v>91</v>
      </c>
      <c r="V1" s="2"/>
      <c r="AJ1" t="s">
        <v>96</v>
      </c>
      <c r="AK1" s="46" t="s">
        <v>42</v>
      </c>
      <c r="AL1" s="46"/>
      <c r="AM1" s="46" t="s">
        <v>6</v>
      </c>
      <c r="AN1" s="46"/>
      <c r="AO1" s="45" t="s">
        <v>89</v>
      </c>
      <c r="AP1" s="45"/>
      <c r="AQ1" s="45" t="s">
        <v>90</v>
      </c>
      <c r="AR1" s="45"/>
      <c r="AS1" t="s">
        <v>91</v>
      </c>
      <c r="AT1" t="s">
        <v>97</v>
      </c>
    </row>
    <row r="2" spans="1:46" x14ac:dyDescent="0.3">
      <c r="A2">
        <v>0</v>
      </c>
      <c r="B2">
        <v>0.42799999999999999</v>
      </c>
      <c r="C2">
        <v>0.42699999999999999</v>
      </c>
      <c r="D2">
        <v>0.30499999999999999</v>
      </c>
      <c r="E2">
        <v>0.28499999999999998</v>
      </c>
      <c r="F2">
        <f t="shared" ref="F2:F13" si="0">(B2/$AJ$2)*(1000/J2)</f>
        <v>5.9444444444444438</v>
      </c>
      <c r="G2">
        <f>(C2/$AJ$2)*(1000/J2)</f>
        <v>5.9305555555555554</v>
      </c>
      <c r="H2">
        <f>(D2/$AJ$2)*(1000/J2)</f>
        <v>4.2361111111111107</v>
      </c>
      <c r="I2">
        <f>(E2/$AJ$2)*(1000/J2)</f>
        <v>3.9583333333333326</v>
      </c>
      <c r="J2">
        <v>2</v>
      </c>
      <c r="Q2" s="27">
        <v>0.9103</v>
      </c>
      <c r="R2" s="27">
        <v>0.95309999999999995</v>
      </c>
      <c r="S2" s="28">
        <f t="shared" ref="S2:T17" si="1">(Q2/$AJ$2)*(1000/U2)</f>
        <v>5.0572222222222223</v>
      </c>
      <c r="T2" s="28">
        <f t="shared" si="1"/>
        <v>5.2949999999999999</v>
      </c>
      <c r="U2">
        <v>5</v>
      </c>
      <c r="V2">
        <v>5</v>
      </c>
      <c r="W2">
        <v>0</v>
      </c>
      <c r="AI2">
        <v>10</v>
      </c>
      <c r="AJ2">
        <v>36</v>
      </c>
      <c r="AK2">
        <v>0.46800000000000003</v>
      </c>
      <c r="AL2">
        <v>0.41099999999999998</v>
      </c>
      <c r="AM2">
        <v>0.33400000000000002</v>
      </c>
      <c r="AN2">
        <v>0.373</v>
      </c>
      <c r="AO2">
        <f>AK2/$AJ$2*(1000/$AS$2)</f>
        <v>6.5000000000000009</v>
      </c>
      <c r="AP2">
        <f>AL2/$AJ$2*(1000/$AS$2)</f>
        <v>5.708333333333333</v>
      </c>
      <c r="AQ2">
        <f>AM2/$AJ$2*(1000/$AS$2)</f>
        <v>4.6388888888888893</v>
      </c>
      <c r="AR2">
        <f>AN2/$AJ$2*(1000/$AS$2)</f>
        <v>5.1805555555555554</v>
      </c>
      <c r="AS2">
        <v>2</v>
      </c>
    </row>
    <row r="3" spans="1:46" x14ac:dyDescent="0.3">
      <c r="A3">
        <v>2</v>
      </c>
      <c r="B3">
        <v>0.41899999999999998</v>
      </c>
      <c r="C3">
        <v>0.38900000000000001</v>
      </c>
      <c r="D3">
        <v>0.246</v>
      </c>
      <c r="E3">
        <v>0.247</v>
      </c>
      <c r="F3">
        <f>(B3/$AJ$2)*(1000/J3)</f>
        <v>5.8194444444444438</v>
      </c>
      <c r="G3">
        <f t="shared" ref="G3:H13" si="2">(C3/$AJ$2)*(1000/J3)</f>
        <v>5.4027777777777777</v>
      </c>
      <c r="H3">
        <f>(D3/$AJ$2)*(1000/J3)</f>
        <v>3.416666666666667</v>
      </c>
      <c r="I3">
        <f>(E3/$AJ$2)*(1000/J3)</f>
        <v>3.4305555555555558</v>
      </c>
      <c r="J3">
        <v>2</v>
      </c>
      <c r="Q3" s="27">
        <v>0.77149999999999996</v>
      </c>
      <c r="R3" s="27">
        <v>0.7</v>
      </c>
      <c r="S3" s="28">
        <f t="shared" si="1"/>
        <v>5.3576388888888884</v>
      </c>
      <c r="T3" s="28">
        <f t="shared" si="1"/>
        <v>4.8611111111111116</v>
      </c>
      <c r="U3">
        <v>4</v>
      </c>
      <c r="V3">
        <v>4</v>
      </c>
      <c r="W3">
        <v>2</v>
      </c>
    </row>
    <row r="4" spans="1:46" x14ac:dyDescent="0.3">
      <c r="A4">
        <v>4</v>
      </c>
      <c r="B4">
        <v>0.41899999999999998</v>
      </c>
      <c r="C4">
        <v>0.46100000000000002</v>
      </c>
      <c r="D4">
        <v>0.53200000000000003</v>
      </c>
      <c r="E4">
        <v>0.55500000000000005</v>
      </c>
      <c r="F4">
        <f t="shared" si="0"/>
        <v>5.8194444444444438</v>
      </c>
      <c r="G4">
        <f t="shared" si="2"/>
        <v>6.4027777777777777</v>
      </c>
      <c r="H4">
        <f t="shared" si="2"/>
        <v>3.6944444444444446</v>
      </c>
      <c r="I4">
        <f>(E4/$AJ$2)*(1000/K4)</f>
        <v>3.8541666666666674</v>
      </c>
      <c r="J4">
        <v>2</v>
      </c>
      <c r="K4">
        <v>4</v>
      </c>
      <c r="Q4" s="27">
        <v>0.63170000000000004</v>
      </c>
      <c r="R4" s="27">
        <v>0.77669999999999995</v>
      </c>
      <c r="S4" s="28">
        <f t="shared" si="1"/>
        <v>4.3868055555555561</v>
      </c>
      <c r="T4" s="28">
        <f t="shared" si="1"/>
        <v>5.3937499999999989</v>
      </c>
      <c r="U4">
        <v>4</v>
      </c>
      <c r="V4">
        <v>4</v>
      </c>
      <c r="W4">
        <v>4</v>
      </c>
    </row>
    <row r="5" spans="1:46" x14ac:dyDescent="0.3">
      <c r="A5">
        <v>6</v>
      </c>
      <c r="B5">
        <v>0.39800000000000002</v>
      </c>
      <c r="C5">
        <v>0.44800000000000001</v>
      </c>
      <c r="D5">
        <v>0.443</v>
      </c>
      <c r="E5">
        <v>0.42599999999999999</v>
      </c>
      <c r="F5">
        <f t="shared" si="0"/>
        <v>5.5277777777777786</v>
      </c>
      <c r="G5">
        <f t="shared" si="2"/>
        <v>6.2222222222222223</v>
      </c>
      <c r="H5">
        <f t="shared" si="2"/>
        <v>3.0763888888888888</v>
      </c>
      <c r="I5">
        <f>(E5/$AJ$2)*(1000/K5)</f>
        <v>2.958333333333333</v>
      </c>
      <c r="J5">
        <v>2</v>
      </c>
      <c r="K5">
        <v>4</v>
      </c>
      <c r="Q5" s="27">
        <v>0.69740000000000002</v>
      </c>
      <c r="R5" s="27">
        <v>0.69640000000000002</v>
      </c>
      <c r="S5" s="28">
        <f t="shared" si="1"/>
        <v>4.843055555555555</v>
      </c>
      <c r="T5" s="28">
        <f t="shared" si="1"/>
        <v>4.8361111111111112</v>
      </c>
      <c r="U5">
        <v>4</v>
      </c>
      <c r="V5">
        <v>4</v>
      </c>
      <c r="W5">
        <v>6</v>
      </c>
      <c r="AK5" s="46" t="s">
        <v>98</v>
      </c>
      <c r="AL5" s="46"/>
      <c r="AM5" s="45" t="s">
        <v>95</v>
      </c>
      <c r="AN5" s="45"/>
      <c r="AS5" t="s">
        <v>91</v>
      </c>
    </row>
    <row r="6" spans="1:46" x14ac:dyDescent="0.3">
      <c r="A6">
        <v>16</v>
      </c>
      <c r="B6">
        <v>0.42799999999999999</v>
      </c>
      <c r="C6">
        <v>0.43099999999999999</v>
      </c>
      <c r="D6">
        <v>0.54400000000000004</v>
      </c>
      <c r="E6">
        <v>0.46800000000000003</v>
      </c>
      <c r="F6">
        <f t="shared" si="0"/>
        <v>5.9444444444444438</v>
      </c>
      <c r="G6">
        <f t="shared" si="2"/>
        <v>5.9861111111111116</v>
      </c>
      <c r="H6">
        <f t="shared" si="2"/>
        <v>3.0222222222222221</v>
      </c>
      <c r="I6">
        <f>(E6/$AJ$2)*(1000/K6)</f>
        <v>2.6</v>
      </c>
      <c r="J6">
        <v>2</v>
      </c>
      <c r="K6">
        <v>5</v>
      </c>
      <c r="Q6" s="27">
        <v>0.75960000000000005</v>
      </c>
      <c r="R6" s="27">
        <v>0.72450000000000003</v>
      </c>
      <c r="S6" s="28">
        <f t="shared" si="1"/>
        <v>4.22</v>
      </c>
      <c r="T6" s="28">
        <f t="shared" si="1"/>
        <v>4.0250000000000004</v>
      </c>
      <c r="U6">
        <v>5</v>
      </c>
      <c r="V6">
        <v>5</v>
      </c>
      <c r="W6">
        <v>16</v>
      </c>
      <c r="AK6">
        <v>0.68400000000000005</v>
      </c>
      <c r="AL6">
        <v>0.62180000000000002</v>
      </c>
      <c r="AM6">
        <f>(AK6/$AJ$2)*(1000/$AS$6)</f>
        <v>4.7500000000000009</v>
      </c>
      <c r="AN6">
        <f>(AL6/$AJ$2)*(1000/$AS$6)</f>
        <v>4.3180555555555555</v>
      </c>
      <c r="AS6">
        <v>4</v>
      </c>
    </row>
    <row r="7" spans="1:46" x14ac:dyDescent="0.3">
      <c r="A7">
        <v>24</v>
      </c>
      <c r="B7">
        <v>0.42</v>
      </c>
      <c r="C7">
        <v>0.439</v>
      </c>
      <c r="D7">
        <v>0.21</v>
      </c>
      <c r="E7">
        <v>0.55900000000000005</v>
      </c>
      <c r="F7">
        <f t="shared" si="0"/>
        <v>5.833333333333333</v>
      </c>
      <c r="G7">
        <f t="shared" si="2"/>
        <v>6.0972222222222223</v>
      </c>
      <c r="H7">
        <f t="shared" si="2"/>
        <v>1.1666666666666665</v>
      </c>
      <c r="I7">
        <f>(E7/$AJ$2)*(1000/AI2)</f>
        <v>1.552777777777778</v>
      </c>
      <c r="J7">
        <v>2</v>
      </c>
      <c r="K7">
        <v>5</v>
      </c>
      <c r="Q7" s="27">
        <v>1.5</v>
      </c>
      <c r="R7" s="27">
        <v>0.82020000000000004</v>
      </c>
      <c r="S7" s="28">
        <f t="shared" si="1"/>
        <v>4.1666666666666661</v>
      </c>
      <c r="T7" s="28">
        <f t="shared" si="1"/>
        <v>4.5566666666666675</v>
      </c>
      <c r="U7">
        <v>10</v>
      </c>
      <c r="V7">
        <v>5</v>
      </c>
      <c r="W7">
        <v>24</v>
      </c>
    </row>
    <row r="8" spans="1:46" x14ac:dyDescent="0.3">
      <c r="A8">
        <v>30</v>
      </c>
      <c r="B8">
        <v>0.41699999999999998</v>
      </c>
      <c r="C8">
        <v>0.39800000000000002</v>
      </c>
      <c r="D8">
        <v>0.34799999999999998</v>
      </c>
      <c r="E8">
        <v>0.41099999999999998</v>
      </c>
      <c r="F8">
        <f t="shared" si="0"/>
        <v>5.7916666666666661</v>
      </c>
      <c r="G8">
        <f t="shared" si="2"/>
        <v>5.5277777777777786</v>
      </c>
      <c r="H8">
        <f t="shared" si="2"/>
        <v>0.96666666666666656</v>
      </c>
      <c r="I8">
        <f t="shared" ref="I8:I13" si="3">(E8/$AJ$2)*(1000/K8)</f>
        <v>1.1416666666666666</v>
      </c>
      <c r="J8">
        <v>2</v>
      </c>
      <c r="K8">
        <v>10</v>
      </c>
      <c r="Q8" s="27">
        <v>0.72250000000000003</v>
      </c>
      <c r="R8" s="27">
        <v>0.71040000000000003</v>
      </c>
      <c r="S8" s="28">
        <f t="shared" si="1"/>
        <v>4.0138888888888893</v>
      </c>
      <c r="T8" s="28">
        <f t="shared" si="1"/>
        <v>3.9466666666666672</v>
      </c>
      <c r="U8">
        <v>5</v>
      </c>
      <c r="V8">
        <v>5</v>
      </c>
      <c r="W8">
        <v>30</v>
      </c>
    </row>
    <row r="9" spans="1:46" x14ac:dyDescent="0.3">
      <c r="A9">
        <v>48</v>
      </c>
      <c r="B9">
        <v>0.45800000000000002</v>
      </c>
      <c r="C9">
        <v>0.41099999999999998</v>
      </c>
      <c r="D9">
        <v>0.34100000000000003</v>
      </c>
      <c r="E9">
        <v>0.42199999999999999</v>
      </c>
      <c r="F9">
        <f t="shared" si="0"/>
        <v>6.3611111111111116</v>
      </c>
      <c r="G9">
        <f t="shared" si="2"/>
        <v>5.708333333333333</v>
      </c>
      <c r="H9">
        <f t="shared" si="2"/>
        <v>0.47361111111111109</v>
      </c>
      <c r="I9">
        <f t="shared" si="3"/>
        <v>0.58611111111111114</v>
      </c>
      <c r="J9">
        <v>2</v>
      </c>
      <c r="K9">
        <v>20</v>
      </c>
      <c r="Q9" s="27">
        <v>0.61150000000000004</v>
      </c>
      <c r="R9" s="27">
        <v>0.60570000000000002</v>
      </c>
      <c r="S9" s="28">
        <f t="shared" si="1"/>
        <v>3.3972222222222221</v>
      </c>
      <c r="T9" s="28">
        <f t="shared" si="1"/>
        <v>3.3649999999999998</v>
      </c>
      <c r="U9">
        <v>5</v>
      </c>
      <c r="V9">
        <v>5</v>
      </c>
      <c r="W9">
        <v>48</v>
      </c>
    </row>
    <row r="10" spans="1:46" x14ac:dyDescent="0.3">
      <c r="A10">
        <v>64</v>
      </c>
      <c r="B10">
        <v>0.42299999999999999</v>
      </c>
      <c r="C10">
        <v>0.44700000000000001</v>
      </c>
      <c r="D10">
        <v>0.44800000000000001</v>
      </c>
      <c r="E10">
        <v>0.51200000000000001</v>
      </c>
      <c r="F10">
        <f t="shared" si="0"/>
        <v>5.875</v>
      </c>
      <c r="G10">
        <f t="shared" si="2"/>
        <v>6.208333333333333</v>
      </c>
      <c r="H10">
        <f t="shared" si="2"/>
        <v>0.62222222222222223</v>
      </c>
      <c r="I10">
        <f t="shared" si="3"/>
        <v>0.71111111111111114</v>
      </c>
      <c r="J10">
        <v>2</v>
      </c>
      <c r="K10">
        <v>20</v>
      </c>
      <c r="Q10" s="27">
        <v>0.42820000000000003</v>
      </c>
      <c r="R10" s="27">
        <v>0.4289</v>
      </c>
      <c r="S10" s="28">
        <f>(Q10/$AJ$2)*(1000/U10)</f>
        <v>2.3788888888888891</v>
      </c>
      <c r="T10" s="28">
        <f>(R10/$AJ$2)*(1000/V10)</f>
        <v>2.3827777777777777</v>
      </c>
      <c r="U10">
        <v>5</v>
      </c>
      <c r="V10">
        <v>5</v>
      </c>
      <c r="W10">
        <v>56</v>
      </c>
    </row>
    <row r="11" spans="1:46" x14ac:dyDescent="0.3">
      <c r="A11">
        <v>72</v>
      </c>
      <c r="B11">
        <v>0.44</v>
      </c>
      <c r="C11">
        <v>0.45800000000000002</v>
      </c>
      <c r="D11">
        <v>0.18099999999999999</v>
      </c>
      <c r="E11">
        <v>0.20399999999999999</v>
      </c>
      <c r="F11">
        <f t="shared" si="0"/>
        <v>6.1111111111111116</v>
      </c>
      <c r="G11">
        <f t="shared" si="2"/>
        <v>6.3611111111111116</v>
      </c>
      <c r="H11">
        <f t="shared" si="2"/>
        <v>0.25138888888888888</v>
      </c>
      <c r="I11">
        <f t="shared" si="3"/>
        <v>0.28333333333333333</v>
      </c>
      <c r="J11">
        <v>2</v>
      </c>
      <c r="K11">
        <v>20</v>
      </c>
      <c r="Q11" s="27">
        <v>0.41770000000000002</v>
      </c>
      <c r="R11" s="27">
        <v>0.4224</v>
      </c>
      <c r="S11" s="28">
        <f t="shared" si="1"/>
        <v>2.3205555555555555</v>
      </c>
      <c r="T11" s="28">
        <f t="shared" si="1"/>
        <v>2.3466666666666667</v>
      </c>
      <c r="U11">
        <v>5</v>
      </c>
      <c r="V11">
        <v>5</v>
      </c>
      <c r="W11">
        <v>72</v>
      </c>
    </row>
    <row r="12" spans="1:46" x14ac:dyDescent="0.3">
      <c r="A12">
        <v>96</v>
      </c>
      <c r="B12">
        <v>0.41599999999999998</v>
      </c>
      <c r="C12">
        <v>0.44800000000000001</v>
      </c>
      <c r="D12">
        <v>0.37</v>
      </c>
      <c r="E12">
        <v>0.35</v>
      </c>
      <c r="F12">
        <f t="shared" si="0"/>
        <v>5.7777777777777777</v>
      </c>
      <c r="G12">
        <f t="shared" si="2"/>
        <v>6.2222222222222223</v>
      </c>
      <c r="H12">
        <f t="shared" si="2"/>
        <v>0.20555555555555555</v>
      </c>
      <c r="I12">
        <f t="shared" si="3"/>
        <v>0.19444444444444445</v>
      </c>
      <c r="J12">
        <v>2</v>
      </c>
      <c r="K12">
        <v>50</v>
      </c>
      <c r="Q12" s="27">
        <v>0.37459999999999999</v>
      </c>
      <c r="R12" s="27">
        <v>0.40760000000000002</v>
      </c>
      <c r="S12" s="28">
        <f t="shared" si="1"/>
        <v>2.0811111111111109</v>
      </c>
      <c r="T12" s="28">
        <f t="shared" si="1"/>
        <v>2.2644444444444445</v>
      </c>
      <c r="U12">
        <v>5</v>
      </c>
      <c r="V12">
        <v>5</v>
      </c>
      <c r="W12">
        <v>96</v>
      </c>
    </row>
    <row r="13" spans="1:46" x14ac:dyDescent="0.3">
      <c r="A13">
        <v>168</v>
      </c>
      <c r="B13">
        <v>0.45300000000000001</v>
      </c>
      <c r="C13">
        <v>0.40500000000000003</v>
      </c>
      <c r="D13">
        <v>0.35499999999999998</v>
      </c>
      <c r="E13">
        <v>0.51100000000000001</v>
      </c>
      <c r="F13">
        <f t="shared" si="0"/>
        <v>6.291666666666667</v>
      </c>
      <c r="G13">
        <f t="shared" si="2"/>
        <v>5.6250000000000009</v>
      </c>
      <c r="H13">
        <f t="shared" si="2"/>
        <v>9.8611111111111108E-2</v>
      </c>
      <c r="I13">
        <f t="shared" si="3"/>
        <v>0.14194444444444446</v>
      </c>
      <c r="J13">
        <v>2</v>
      </c>
      <c r="K13">
        <v>100</v>
      </c>
      <c r="Q13" s="27">
        <v>0.37</v>
      </c>
      <c r="R13" s="27">
        <v>0.34820000000000001</v>
      </c>
      <c r="S13" s="28">
        <f t="shared" si="1"/>
        <v>2.0555555555555558</v>
      </c>
      <c r="T13" s="28">
        <f t="shared" si="1"/>
        <v>1.9344444444444446</v>
      </c>
      <c r="U13">
        <v>5</v>
      </c>
      <c r="V13">
        <v>5</v>
      </c>
      <c r="W13">
        <v>103</v>
      </c>
    </row>
    <row r="14" spans="1:46" x14ac:dyDescent="0.3">
      <c r="Q14" s="27">
        <v>0.65190999999999999</v>
      </c>
      <c r="R14" s="27">
        <v>0.5363</v>
      </c>
      <c r="S14" s="28">
        <f t="shared" si="1"/>
        <v>1.810861111111111</v>
      </c>
      <c r="T14" s="28">
        <f t="shared" si="1"/>
        <v>1.4897222222222222</v>
      </c>
      <c r="U14">
        <v>10</v>
      </c>
      <c r="V14">
        <v>10</v>
      </c>
      <c r="W14">
        <v>168</v>
      </c>
    </row>
    <row r="15" spans="1:46" x14ac:dyDescent="0.3">
      <c r="A15" t="s">
        <v>92</v>
      </c>
      <c r="Q15" s="27">
        <v>0.56979999999999997</v>
      </c>
      <c r="R15" s="27">
        <v>0.59609999999999996</v>
      </c>
      <c r="S15" s="28">
        <f t="shared" si="1"/>
        <v>1.5827777777777778</v>
      </c>
      <c r="T15" s="28">
        <f t="shared" si="1"/>
        <v>1.655833333333333</v>
      </c>
      <c r="U15">
        <v>10</v>
      </c>
      <c r="V15">
        <v>10</v>
      </c>
      <c r="W15">
        <v>175</v>
      </c>
    </row>
    <row r="16" spans="1:46" x14ac:dyDescent="0.3">
      <c r="B16" s="44" t="s">
        <v>42</v>
      </c>
      <c r="C16" s="44"/>
      <c r="D16" s="5" t="s">
        <v>9</v>
      </c>
      <c r="E16" s="5" t="s">
        <v>93</v>
      </c>
      <c r="F16" s="44" t="s">
        <v>6</v>
      </c>
      <c r="G16" s="44"/>
      <c r="H16" s="5" t="s">
        <v>94</v>
      </c>
      <c r="I16" s="5" t="s">
        <v>93</v>
      </c>
      <c r="J16" s="44" t="s">
        <v>14</v>
      </c>
      <c r="K16" s="44"/>
      <c r="L16" s="5" t="s">
        <v>9</v>
      </c>
      <c r="M16" s="5" t="s">
        <v>93</v>
      </c>
      <c r="Q16" s="27">
        <v>0.54390000000000005</v>
      </c>
      <c r="R16" s="27">
        <v>0.54559999999999997</v>
      </c>
      <c r="S16" s="28">
        <f t="shared" si="1"/>
        <v>1.5108333333333335</v>
      </c>
      <c r="T16" s="28">
        <f t="shared" si="1"/>
        <v>1.5155555555555553</v>
      </c>
      <c r="U16">
        <v>10</v>
      </c>
      <c r="V16">
        <v>10</v>
      </c>
      <c r="W16">
        <v>193</v>
      </c>
    </row>
    <row r="17" spans="1:30" x14ac:dyDescent="0.3">
      <c r="A17">
        <v>0.01</v>
      </c>
      <c r="B17" s="29">
        <f>F2/$F$2</f>
        <v>1</v>
      </c>
      <c r="C17" s="29">
        <f>G2/$G$2</f>
        <v>1</v>
      </c>
      <c r="D17" s="29">
        <f t="shared" ref="D17:D28" si="4">AVERAGE(B17:C17)</f>
        <v>1</v>
      </c>
      <c r="E17" s="29">
        <f t="shared" ref="E17:E28" si="5">STDEV(B17:C17)</f>
        <v>0</v>
      </c>
      <c r="F17" s="29">
        <f>H2/$H$2</f>
        <v>1</v>
      </c>
      <c r="G17" s="29">
        <f>I2/$I$2</f>
        <v>1</v>
      </c>
      <c r="H17" s="29">
        <f t="shared" ref="H17:H28" si="6">AVERAGE(F17:G17)</f>
        <v>1</v>
      </c>
      <c r="I17" s="29">
        <f t="shared" ref="I17:I28" si="7">STDEV(F17:G17)</f>
        <v>0</v>
      </c>
      <c r="J17" s="9">
        <f>S2/$S$2</f>
        <v>1</v>
      </c>
      <c r="K17" s="9">
        <f>T2/$T$2</f>
        <v>1</v>
      </c>
      <c r="L17" s="14">
        <f t="shared" ref="L17:L35" si="8">AVERAGE(J17:K17)</f>
        <v>1</v>
      </c>
      <c r="M17" s="14">
        <f>STDEV(J17:K17)</f>
        <v>0</v>
      </c>
      <c r="N17">
        <v>0.01</v>
      </c>
      <c r="Q17" s="27">
        <v>0.58279999999999998</v>
      </c>
      <c r="R17" s="27">
        <v>0.50260000000000005</v>
      </c>
      <c r="S17" s="28">
        <f t="shared" si="1"/>
        <v>1.6188888888888888</v>
      </c>
      <c r="T17" s="28">
        <f t="shared" si="1"/>
        <v>1.3961111111111111</v>
      </c>
      <c r="U17">
        <v>10</v>
      </c>
      <c r="V17">
        <v>10</v>
      </c>
      <c r="W17">
        <v>199</v>
      </c>
    </row>
    <row r="18" spans="1:30" x14ac:dyDescent="0.3">
      <c r="A18">
        <v>2</v>
      </c>
      <c r="B18" s="29">
        <f>F3/$F$2</f>
        <v>0.9789719626168224</v>
      </c>
      <c r="C18" s="29">
        <f>G3/$G$2</f>
        <v>0.91100702576112413</v>
      </c>
      <c r="D18" s="29">
        <f t="shared" si="4"/>
        <v>0.94498949418897327</v>
      </c>
      <c r="E18" s="29">
        <f t="shared" si="5"/>
        <v>4.8058467733579753E-2</v>
      </c>
      <c r="F18" s="29">
        <f>H3/$H$2</f>
        <v>0.80655737704918051</v>
      </c>
      <c r="G18" s="29">
        <f>I3/$I$2</f>
        <v>0.86666666666666692</v>
      </c>
      <c r="H18" s="29">
        <f t="shared" si="6"/>
        <v>0.83661202185792372</v>
      </c>
      <c r="I18" s="29">
        <f t="shared" si="7"/>
        <v>4.2503686300830769E-2</v>
      </c>
      <c r="J18" s="9">
        <f>S3/$S$2</f>
        <v>1.0594034933538392</v>
      </c>
      <c r="K18" s="9">
        <f>T3/$T$2</f>
        <v>0.91805686706536571</v>
      </c>
      <c r="L18" s="14">
        <f t="shared" si="8"/>
        <v>0.98873018020960246</v>
      </c>
      <c r="M18" s="14">
        <f t="shared" ref="M18:M35" si="9">STDEV(J18:K18)</f>
        <v>9.994715794642034E-2</v>
      </c>
      <c r="N18">
        <v>2</v>
      </c>
      <c r="Q18" s="27">
        <v>0.50019999999999998</v>
      </c>
      <c r="R18" s="30">
        <v>0.4496</v>
      </c>
      <c r="S18" s="28">
        <f>(Q18/$AJ$2)*(1000/U18)</f>
        <v>1.3894444444444443</v>
      </c>
      <c r="T18" s="28">
        <f t="shared" ref="T18:T26" si="10">(R18/$AJ$2)*(1000/V18)</f>
        <v>1.2488888888888889</v>
      </c>
      <c r="U18">
        <v>10</v>
      </c>
      <c r="V18">
        <v>10</v>
      </c>
      <c r="W18">
        <v>216</v>
      </c>
    </row>
    <row r="19" spans="1:30" x14ac:dyDescent="0.3">
      <c r="A19">
        <v>4</v>
      </c>
      <c r="B19" s="29">
        <f>F4/$F$2</f>
        <v>0.9789719626168224</v>
      </c>
      <c r="C19" s="29">
        <f>G4/$G$2</f>
        <v>1.0796252927400469</v>
      </c>
      <c r="D19" s="29">
        <f t="shared" si="4"/>
        <v>1.0292986276784346</v>
      </c>
      <c r="E19" s="29">
        <f t="shared" si="5"/>
        <v>7.1172652279140255E-2</v>
      </c>
      <c r="F19" s="29">
        <f>H4/$H$2</f>
        <v>0.87213114754098375</v>
      </c>
      <c r="G19" s="29">
        <f>I4/$I$2</f>
        <v>0.97368421052631615</v>
      </c>
      <c r="H19" s="29">
        <f t="shared" si="6"/>
        <v>0.9229076790336499</v>
      </c>
      <c r="I19" s="29">
        <f t="shared" si="7"/>
        <v>7.1808859487193122E-2</v>
      </c>
      <c r="J19" s="9">
        <f>S4/$S$2</f>
        <v>0.86743381302867195</v>
      </c>
      <c r="K19" s="9">
        <f>T4/$T$2</f>
        <v>1.0186496694995277</v>
      </c>
      <c r="L19" s="14">
        <f t="shared" si="8"/>
        <v>0.9430417412640999</v>
      </c>
      <c r="M19" s="14">
        <f t="shared" si="9"/>
        <v>0.10692575753347379</v>
      </c>
      <c r="N19">
        <v>4</v>
      </c>
      <c r="Q19" s="27">
        <v>0.50039999999999996</v>
      </c>
      <c r="R19" s="27">
        <v>0.45879999999999999</v>
      </c>
      <c r="S19" s="28">
        <f>(Q19/$AJ$2)*(1000/U19)</f>
        <v>1.39</v>
      </c>
      <c r="T19" s="28">
        <f t="shared" si="10"/>
        <v>1.2744444444444443</v>
      </c>
      <c r="U19">
        <v>10</v>
      </c>
      <c r="V19">
        <v>10</v>
      </c>
      <c r="W19">
        <v>223</v>
      </c>
    </row>
    <row r="20" spans="1:30" x14ac:dyDescent="0.3">
      <c r="A20">
        <v>6</v>
      </c>
      <c r="B20" s="29">
        <f>F5/$F$2</f>
        <v>0.92990654205607504</v>
      </c>
      <c r="C20" s="29">
        <f>G5/$G$2</f>
        <v>1.0491803278688525</v>
      </c>
      <c r="D20" s="29">
        <f t="shared" si="4"/>
        <v>0.98954343496246377</v>
      </c>
      <c r="E20" s="29">
        <f t="shared" si="5"/>
        <v>8.4339302766006777E-2</v>
      </c>
      <c r="F20" s="29">
        <f>H5/$H$2</f>
        <v>0.72622950819672139</v>
      </c>
      <c r="G20" s="29">
        <f>I5/$I$2</f>
        <v>0.74736842105263168</v>
      </c>
      <c r="H20" s="29">
        <f t="shared" si="6"/>
        <v>0.73679896462467653</v>
      </c>
      <c r="I20" s="29">
        <f t="shared" si="7"/>
        <v>1.4947468627325659E-2</v>
      </c>
      <c r="J20" s="9">
        <f>S5/$S$2</f>
        <v>0.95765132373942641</v>
      </c>
      <c r="K20" s="9">
        <f>T5/$T$2</f>
        <v>0.91333543174902954</v>
      </c>
      <c r="L20" s="14">
        <f t="shared" si="8"/>
        <v>0.93549337774422803</v>
      </c>
      <c r="M20" s="14">
        <f t="shared" si="9"/>
        <v>3.1336067740740235E-2</v>
      </c>
      <c r="N20">
        <v>6</v>
      </c>
      <c r="Q20" s="27">
        <v>0.42749999999999999</v>
      </c>
      <c r="R20" s="27">
        <v>0.40460000000000002</v>
      </c>
      <c r="S20" s="28">
        <f>(Q20/$AJ$2)*(1000/U20)</f>
        <v>1.1875</v>
      </c>
      <c r="T20" s="28">
        <f t="shared" si="10"/>
        <v>1.1238888888888889</v>
      </c>
      <c r="U20">
        <v>10</v>
      </c>
      <c r="V20">
        <v>10</v>
      </c>
      <c r="W20">
        <v>264</v>
      </c>
      <c r="AA20" s="27"/>
      <c r="AB20" s="27"/>
      <c r="AC20" s="28"/>
      <c r="AD20" s="28"/>
    </row>
    <row r="21" spans="1:30" x14ac:dyDescent="0.3">
      <c r="A21">
        <v>16</v>
      </c>
      <c r="B21" s="29">
        <f>F6/$AO$2</f>
        <v>0.91452991452991428</v>
      </c>
      <c r="C21" s="29">
        <f>G6/$AP$2</f>
        <v>1.0486618004866182</v>
      </c>
      <c r="D21" s="29">
        <f t="shared" si="4"/>
        <v>0.98159585750826617</v>
      </c>
      <c r="E21" s="29">
        <f t="shared" si="5"/>
        <v>9.4845566133325968E-2</v>
      </c>
      <c r="F21" s="29">
        <f>H6/$AQ$2</f>
        <v>0.65149700598802385</v>
      </c>
      <c r="G21" s="29">
        <f>I6/$AR$2</f>
        <v>0.50187667560321725</v>
      </c>
      <c r="H21" s="29">
        <f t="shared" si="6"/>
        <v>0.57668684079562049</v>
      </c>
      <c r="I21" s="29">
        <f t="shared" si="7"/>
        <v>0.10579755021846871</v>
      </c>
      <c r="J21" s="9">
        <f>S6/$AM$6</f>
        <v>0.88842105263157878</v>
      </c>
      <c r="K21" s="9">
        <f>T6/$AN$6</f>
        <v>0.93213251849469292</v>
      </c>
      <c r="L21" s="14">
        <f t="shared" si="8"/>
        <v>0.91027678556313585</v>
      </c>
      <c r="M21" s="14">
        <f t="shared" si="9"/>
        <v>3.090867392741229E-2</v>
      </c>
      <c r="N21">
        <v>16</v>
      </c>
      <c r="Q21" s="27">
        <v>0.57989999999999997</v>
      </c>
      <c r="R21" s="27">
        <v>0.49320000000000003</v>
      </c>
      <c r="S21" s="28">
        <f>(Q21/$AJ$2)*(1000/U21)</f>
        <v>1.0738888888888889</v>
      </c>
      <c r="T21" s="28">
        <f t="shared" si="10"/>
        <v>1.1416666666666666</v>
      </c>
      <c r="U21">
        <v>15</v>
      </c>
      <c r="V21">
        <v>12</v>
      </c>
      <c r="W21">
        <v>300</v>
      </c>
    </row>
    <row r="22" spans="1:30" x14ac:dyDescent="0.3">
      <c r="A22">
        <v>24</v>
      </c>
      <c r="B22" s="29">
        <f>F7/$F$2</f>
        <v>0.98130841121495338</v>
      </c>
      <c r="C22" s="29">
        <f>G7/$G$2</f>
        <v>1.0281030444964872</v>
      </c>
      <c r="D22" s="29">
        <f t="shared" si="4"/>
        <v>1.0047057278557203</v>
      </c>
      <c r="E22" s="29">
        <f t="shared" si="5"/>
        <v>3.3088802516510231E-2</v>
      </c>
      <c r="F22" s="29">
        <f>H7/$H$2</f>
        <v>0.27540983606557379</v>
      </c>
      <c r="G22" s="29">
        <f>I7/$I$2</f>
        <v>0.39228070175438612</v>
      </c>
      <c r="H22" s="29">
        <f t="shared" si="6"/>
        <v>0.33384526890997995</v>
      </c>
      <c r="I22" s="29">
        <f t="shared" si="7"/>
        <v>8.264018165170145E-2</v>
      </c>
      <c r="J22" s="9">
        <f>S7/$S$2</f>
        <v>0.82390420740415238</v>
      </c>
      <c r="K22" s="9">
        <f>T7/$T$2</f>
        <v>0.86056027699087212</v>
      </c>
      <c r="L22" s="14">
        <f t="shared" si="8"/>
        <v>0.84223224219751225</v>
      </c>
      <c r="M22" s="14">
        <f t="shared" si="9"/>
        <v>2.5919755376415495E-2</v>
      </c>
      <c r="N22">
        <v>24</v>
      </c>
      <c r="Q22" s="27">
        <v>0.62170000000000003</v>
      </c>
      <c r="R22" s="31">
        <v>0.58589999999999998</v>
      </c>
      <c r="S22" s="28">
        <f t="shared" ref="S22:S26" si="11">(Q22/$AJ$2)*(1000/U22)</f>
        <v>1.1512962962962965</v>
      </c>
      <c r="T22" s="28">
        <f t="shared" si="10"/>
        <v>1.085</v>
      </c>
      <c r="U22">
        <v>15</v>
      </c>
      <c r="V22">
        <v>15</v>
      </c>
      <c r="W22">
        <v>336</v>
      </c>
    </row>
    <row r="23" spans="1:30" x14ac:dyDescent="0.3">
      <c r="A23">
        <v>30</v>
      </c>
      <c r="B23" s="29">
        <f>F8/$F$2</f>
        <v>0.97429906542056077</v>
      </c>
      <c r="C23" s="29">
        <f>G8/$G$2</f>
        <v>0.93208430913348961</v>
      </c>
      <c r="D23" s="29">
        <f t="shared" si="4"/>
        <v>0.95319168727702519</v>
      </c>
      <c r="E23" s="29">
        <f t="shared" si="5"/>
        <v>2.9850340436725461E-2</v>
      </c>
      <c r="F23" s="29">
        <f>H8/$H$2</f>
        <v>0.22819672131147542</v>
      </c>
      <c r="G23" s="29">
        <f>I8/$I$2</f>
        <v>0.28842105263157897</v>
      </c>
      <c r="H23" s="29">
        <f t="shared" si="6"/>
        <v>0.25830888697152721</v>
      </c>
      <c r="I23" s="29">
        <f t="shared" si="7"/>
        <v>4.2585033068870543E-2</v>
      </c>
      <c r="J23" s="9">
        <f>S8/$S$2</f>
        <v>0.79369438646600032</v>
      </c>
      <c r="K23" s="9">
        <f>T8/$T$2</f>
        <v>0.74535725527226959</v>
      </c>
      <c r="L23" s="14">
        <f t="shared" si="8"/>
        <v>0.7695258208691349</v>
      </c>
      <c r="M23" s="14">
        <f t="shared" si="9"/>
        <v>3.41795132501908E-2</v>
      </c>
      <c r="N23">
        <v>30</v>
      </c>
      <c r="Q23" s="27">
        <v>0.58499999999999996</v>
      </c>
      <c r="R23" s="27">
        <v>0.54849999999999999</v>
      </c>
      <c r="S23" s="28">
        <f t="shared" si="11"/>
        <v>1.0833333333333335</v>
      </c>
      <c r="T23" s="28">
        <f t="shared" si="10"/>
        <v>1.0157407407407408</v>
      </c>
      <c r="U23">
        <v>15</v>
      </c>
      <c r="V23">
        <v>15</v>
      </c>
      <c r="W23">
        <v>384</v>
      </c>
    </row>
    <row r="24" spans="1:30" x14ac:dyDescent="0.3">
      <c r="A24">
        <v>48</v>
      </c>
      <c r="B24" s="29">
        <f>F9/$F$2</f>
        <v>1.0700934579439254</v>
      </c>
      <c r="C24" s="29">
        <f>G9/$G$2</f>
        <v>0.9625292740046838</v>
      </c>
      <c r="D24" s="29">
        <f t="shared" si="4"/>
        <v>1.0163113659743046</v>
      </c>
      <c r="E24" s="29">
        <f t="shared" si="5"/>
        <v>7.6059363876234867E-2</v>
      </c>
      <c r="F24" s="29">
        <f>H9/$H$2</f>
        <v>0.11180327868852459</v>
      </c>
      <c r="G24" s="29">
        <f>I9/$I$2</f>
        <v>0.14807017543859652</v>
      </c>
      <c r="H24" s="29">
        <f t="shared" si="6"/>
        <v>0.12993672706356055</v>
      </c>
      <c r="I24" s="29">
        <f t="shared" si="7"/>
        <v>2.5644568624568268E-2</v>
      </c>
      <c r="J24" s="9">
        <f>S9/$S$2</f>
        <v>0.67175656377018567</v>
      </c>
      <c r="K24" s="9">
        <f>T9/$T$2</f>
        <v>0.63550519357884794</v>
      </c>
      <c r="L24" s="14">
        <f t="shared" si="8"/>
        <v>0.65363087867451686</v>
      </c>
      <c r="M24" s="14">
        <f t="shared" si="9"/>
        <v>2.5633589689598779E-2</v>
      </c>
      <c r="N24">
        <v>48</v>
      </c>
      <c r="Q24" s="27">
        <v>0.33119999999999999</v>
      </c>
      <c r="R24" s="27">
        <v>0.40560000000000002</v>
      </c>
      <c r="S24" s="28">
        <f t="shared" si="11"/>
        <v>0.45999999999999996</v>
      </c>
      <c r="T24" s="28">
        <f t="shared" si="10"/>
        <v>0.56333333333333335</v>
      </c>
      <c r="U24">
        <v>20</v>
      </c>
      <c r="V24">
        <v>20</v>
      </c>
      <c r="W24">
        <v>420</v>
      </c>
    </row>
    <row r="25" spans="1:30" x14ac:dyDescent="0.3">
      <c r="A25">
        <v>64</v>
      </c>
      <c r="B25" s="29">
        <f>F10/$AO$2</f>
        <v>0.90384615384615374</v>
      </c>
      <c r="C25" s="29">
        <f>G10/$AP$2</f>
        <v>1.0875912408759125</v>
      </c>
      <c r="D25" s="29">
        <f t="shared" si="4"/>
        <v>0.99571869736103313</v>
      </c>
      <c r="E25" s="29">
        <f t="shared" si="5"/>
        <v>0.12992739704845477</v>
      </c>
      <c r="F25" s="29">
        <f>H10/$H$2</f>
        <v>0.14688524590163937</v>
      </c>
      <c r="G25" s="29">
        <f>I10/$AR$2</f>
        <v>0.13726541554959787</v>
      </c>
      <c r="H25" s="29">
        <f t="shared" si="6"/>
        <v>0.14207533072561862</v>
      </c>
      <c r="I25" s="29">
        <f t="shared" si="7"/>
        <v>6.8022472757927194E-3</v>
      </c>
      <c r="J25" s="9">
        <f>S10/$AM$6</f>
        <v>0.50081871345029239</v>
      </c>
      <c r="K25" s="9">
        <f>T10/$AN$6</f>
        <v>0.5518173045995497</v>
      </c>
      <c r="L25" s="14">
        <f t="shared" si="8"/>
        <v>0.5263180090249211</v>
      </c>
      <c r="M25" s="14">
        <f t="shared" si="9"/>
        <v>3.6061449632600086E-2</v>
      </c>
      <c r="N25">
        <v>56</v>
      </c>
      <c r="Q25" s="27">
        <v>0.50219999999999998</v>
      </c>
      <c r="R25" s="27">
        <v>0.55289999999999995</v>
      </c>
      <c r="S25" s="28">
        <f t="shared" si="11"/>
        <v>0.6974999999999999</v>
      </c>
      <c r="T25" s="28">
        <f t="shared" si="10"/>
        <v>0.76791666666666658</v>
      </c>
      <c r="U25">
        <v>20</v>
      </c>
      <c r="V25">
        <v>20</v>
      </c>
      <c r="W25">
        <v>496</v>
      </c>
    </row>
    <row r="26" spans="1:30" x14ac:dyDescent="0.3">
      <c r="A26">
        <v>72</v>
      </c>
      <c r="B26" s="29">
        <f>F11/$F$2</f>
        <v>1.0280373831775702</v>
      </c>
      <c r="C26" s="29">
        <f>G11/$G$2</f>
        <v>1.0725995316159251</v>
      </c>
      <c r="D26" s="29">
        <f t="shared" si="4"/>
        <v>1.0503184573967477</v>
      </c>
      <c r="E26" s="29">
        <f t="shared" si="5"/>
        <v>3.1510197345002294E-2</v>
      </c>
      <c r="F26" s="29">
        <f>H11/$AQ$2</f>
        <v>5.4191616766467061E-2</v>
      </c>
      <c r="G26" s="29">
        <f>I11/$I$2</f>
        <v>7.1578947368421061E-2</v>
      </c>
      <c r="H26" s="29">
        <f t="shared" si="6"/>
        <v>6.2885282067444065E-2</v>
      </c>
      <c r="I26" s="29">
        <f t="shared" si="7"/>
        <v>1.2294699375374018E-2</v>
      </c>
      <c r="J26" s="9">
        <f t="shared" ref="J26:J31" si="12">S11/$S$2</f>
        <v>0.45885971657695263</v>
      </c>
      <c r="K26" s="9">
        <f t="shared" ref="K26:K35" si="13">T11/$T$2</f>
        <v>0.4431853950267548</v>
      </c>
      <c r="L26" s="14">
        <f t="shared" si="8"/>
        <v>0.45102255580185369</v>
      </c>
      <c r="M26" s="14">
        <f t="shared" si="9"/>
        <v>1.1083419058643318E-2</v>
      </c>
      <c r="N26">
        <v>72</v>
      </c>
      <c r="Q26" s="27">
        <v>0.2243</v>
      </c>
      <c r="R26" s="27">
        <v>0.309</v>
      </c>
      <c r="S26" s="28">
        <f t="shared" si="11"/>
        <v>0.20768518518518519</v>
      </c>
      <c r="T26" s="28">
        <f t="shared" si="10"/>
        <v>0.28611111111111115</v>
      </c>
      <c r="U26">
        <v>30</v>
      </c>
      <c r="V26">
        <v>30</v>
      </c>
      <c r="W26">
        <v>528</v>
      </c>
    </row>
    <row r="27" spans="1:30" x14ac:dyDescent="0.3">
      <c r="A27">
        <v>96</v>
      </c>
      <c r="B27" s="29">
        <f>F12/$F$2</f>
        <v>0.97196261682243001</v>
      </c>
      <c r="C27" s="29">
        <f>G12/$G$2</f>
        <v>1.0491803278688525</v>
      </c>
      <c r="D27" s="29">
        <f t="shared" si="4"/>
        <v>1.0105714723456414</v>
      </c>
      <c r="E27" s="29">
        <f t="shared" si="5"/>
        <v>5.4601167108628723E-2</v>
      </c>
      <c r="F27" s="29">
        <f>H12/$AQ$2</f>
        <v>4.4311377245508973E-2</v>
      </c>
      <c r="G27" s="29">
        <f>I12/$I$2</f>
        <v>4.9122807017543867E-2</v>
      </c>
      <c r="H27" s="29">
        <f t="shared" si="6"/>
        <v>4.6717092131526416E-2</v>
      </c>
      <c r="I27" s="29">
        <f t="shared" si="7"/>
        <v>3.4021946190087179E-3</v>
      </c>
      <c r="J27" s="9">
        <f t="shared" si="12"/>
        <v>0.41151268812479397</v>
      </c>
      <c r="K27" s="9">
        <f t="shared" si="13"/>
        <v>0.42765711887524921</v>
      </c>
      <c r="L27" s="14">
        <f t="shared" si="8"/>
        <v>0.41958490350002159</v>
      </c>
      <c r="M27" s="14">
        <f t="shared" si="9"/>
        <v>1.1415836462043524E-2</v>
      </c>
      <c r="N27">
        <v>96</v>
      </c>
    </row>
    <row r="28" spans="1:30" x14ac:dyDescent="0.3">
      <c r="A28">
        <v>168</v>
      </c>
      <c r="B28" s="29">
        <f>F13/$F$2</f>
        <v>1.0584112149532712</v>
      </c>
      <c r="C28" s="29">
        <f>G13/$G$2</f>
        <v>0.94847775175644045</v>
      </c>
      <c r="D28" s="29">
        <f t="shared" si="4"/>
        <v>1.0034444833548557</v>
      </c>
      <c r="E28" s="29">
        <f t="shared" si="5"/>
        <v>7.7734697305800765E-2</v>
      </c>
      <c r="F28" s="29">
        <f>H13/$AQ$2</f>
        <v>2.1257485029940116E-2</v>
      </c>
      <c r="G28" s="29">
        <f>I13/$I$2</f>
        <v>3.5859649122807029E-2</v>
      </c>
      <c r="H28" s="29">
        <f t="shared" si="6"/>
        <v>2.8558567076373574E-2</v>
      </c>
      <c r="I28" s="29">
        <f t="shared" si="7"/>
        <v>1.0325289250064908E-2</v>
      </c>
      <c r="J28" s="9">
        <f t="shared" si="12"/>
        <v>0.4064594089860486</v>
      </c>
      <c r="K28" s="9">
        <f t="shared" si="13"/>
        <v>0.36533417269961183</v>
      </c>
      <c r="L28" s="14">
        <f t="shared" si="8"/>
        <v>0.38589679084283024</v>
      </c>
      <c r="M28" s="14">
        <f t="shared" si="9"/>
        <v>2.9079933456038511E-2</v>
      </c>
      <c r="N28">
        <v>103</v>
      </c>
    </row>
    <row r="29" spans="1:30" x14ac:dyDescent="0.3">
      <c r="B29" s="29"/>
      <c r="C29" s="29"/>
      <c r="D29" s="29"/>
      <c r="E29" s="29"/>
      <c r="F29" s="29"/>
      <c r="G29" s="29"/>
      <c r="H29" s="29"/>
      <c r="I29" s="29"/>
      <c r="J29" s="9">
        <f t="shared" si="12"/>
        <v>0.3580742612325607</v>
      </c>
      <c r="K29" s="9">
        <f t="shared" si="13"/>
        <v>0.28134508446123174</v>
      </c>
      <c r="L29" s="14">
        <f t="shared" si="8"/>
        <v>0.31970967284689622</v>
      </c>
      <c r="M29" s="14">
        <f t="shared" si="9"/>
        <v>5.425572120986813E-2</v>
      </c>
      <c r="N29">
        <v>168</v>
      </c>
    </row>
    <row r="30" spans="1:30" x14ac:dyDescent="0.3">
      <c r="J30" s="9">
        <f t="shared" si="12"/>
        <v>0.31297374491925739</v>
      </c>
      <c r="K30" s="9">
        <f t="shared" si="13"/>
        <v>0.31271639911866533</v>
      </c>
      <c r="L30" s="14">
        <f t="shared" si="8"/>
        <v>0.31284507201896139</v>
      </c>
      <c r="M30" s="14">
        <f t="shared" si="9"/>
        <v>1.8197096070852455E-4</v>
      </c>
      <c r="N30">
        <v>175</v>
      </c>
    </row>
    <row r="31" spans="1:30" x14ac:dyDescent="0.3">
      <c r="J31" s="9">
        <f t="shared" si="12"/>
        <v>0.29874766560474569</v>
      </c>
      <c r="K31" s="9">
        <f t="shared" si="13"/>
        <v>0.28622390095477912</v>
      </c>
      <c r="L31" s="14">
        <f t="shared" si="8"/>
        <v>0.29248578327976238</v>
      </c>
      <c r="M31" s="14">
        <f t="shared" si="9"/>
        <v>8.8556389099757327E-3</v>
      </c>
      <c r="N31">
        <v>193</v>
      </c>
    </row>
    <row r="32" spans="1:30" x14ac:dyDescent="0.3">
      <c r="J32" s="9">
        <f>S17/$S$2</f>
        <v>0.32011424805009336</v>
      </c>
      <c r="K32" s="9">
        <f t="shared" si="13"/>
        <v>0.26366593222117302</v>
      </c>
      <c r="L32" s="14">
        <f t="shared" si="8"/>
        <v>0.29189009013563316</v>
      </c>
      <c r="M32" s="14">
        <f t="shared" si="9"/>
        <v>3.9914986909189508E-2</v>
      </c>
      <c r="N32">
        <v>199</v>
      </c>
    </row>
    <row r="33" spans="10:14" x14ac:dyDescent="0.3">
      <c r="J33" s="9">
        <f t="shared" ref="J33:J35" si="14">S18/$S$2</f>
        <v>0.2747445896957047</v>
      </c>
      <c r="K33" s="9">
        <f t="shared" si="13"/>
        <v>0.23586192424719338</v>
      </c>
      <c r="L33" s="14">
        <f t="shared" si="8"/>
        <v>0.25530325697144907</v>
      </c>
      <c r="M33" s="14">
        <f t="shared" si="9"/>
        <v>2.7494196409250226E-2</v>
      </c>
      <c r="N33">
        <v>216</v>
      </c>
    </row>
    <row r="34" spans="10:14" x14ac:dyDescent="0.3">
      <c r="J34" s="9">
        <f t="shared" si="14"/>
        <v>0.27485444359002525</v>
      </c>
      <c r="K34" s="9">
        <f t="shared" si="13"/>
        <v>0.24068828034833697</v>
      </c>
      <c r="L34" s="14">
        <f t="shared" si="8"/>
        <v>0.2577713619691811</v>
      </c>
      <c r="M34" s="14">
        <f t="shared" si="9"/>
        <v>2.4159125715324338E-2</v>
      </c>
      <c r="N34">
        <v>223</v>
      </c>
    </row>
    <row r="35" spans="10:14" x14ac:dyDescent="0.3">
      <c r="J35" s="9">
        <f t="shared" si="14"/>
        <v>0.23481269911018346</v>
      </c>
      <c r="K35" s="9">
        <f t="shared" si="13"/>
        <v>0.21225474766551256</v>
      </c>
      <c r="L35" s="14">
        <f t="shared" si="8"/>
        <v>0.22353372338784799</v>
      </c>
      <c r="M35" s="14">
        <f t="shared" si="9"/>
        <v>1.5950880436203671E-2</v>
      </c>
      <c r="N35">
        <v>264</v>
      </c>
    </row>
    <row r="36" spans="10:14" x14ac:dyDescent="0.3">
      <c r="J36" s="9">
        <f>S22/$S$2</f>
        <v>0.22765388699696074</v>
      </c>
      <c r="K36" s="9">
        <f>T22/$T$2</f>
        <v>0.20491029272898961</v>
      </c>
      <c r="L36" s="14">
        <f>AVERAGE(J36:K36)</f>
        <v>0.21628208986297517</v>
      </c>
      <c r="M36" s="14">
        <f>STDEV(J36:K36)</f>
        <v>1.6082149735437874E-2</v>
      </c>
      <c r="N36">
        <v>336</v>
      </c>
    </row>
    <row r="37" spans="10:14" x14ac:dyDescent="0.3">
      <c r="J37" s="9">
        <f>S24/$S$2</f>
        <v>9.0959024497418425E-2</v>
      </c>
      <c r="K37" s="9">
        <f>T24/$T$2</f>
        <v>0.10638967579477494</v>
      </c>
      <c r="L37" s="14">
        <f>AVERAGE(J37:K37)</f>
        <v>9.8674350146096684E-2</v>
      </c>
      <c r="M37" s="14">
        <f>STDEV(J37:K37)</f>
        <v>1.0911118170485791E-2</v>
      </c>
      <c r="N37">
        <v>420</v>
      </c>
    </row>
    <row r="38" spans="10:14" x14ac:dyDescent="0.3">
      <c r="J38" s="9">
        <f>S26/$S$2</f>
        <v>4.1067047493500312E-2</v>
      </c>
      <c r="K38" s="9">
        <f>T26/$T$2</f>
        <v>5.4034204175847242E-2</v>
      </c>
      <c r="L38" s="14">
        <f>AVERAGE(J38:K38)</f>
        <v>4.7550625834673774E-2</v>
      </c>
      <c r="M38" s="14">
        <f>STDEV(J38:K38)</f>
        <v>9.1691644227959845E-3</v>
      </c>
      <c r="N38">
        <v>528</v>
      </c>
    </row>
    <row r="40" spans="10:14" x14ac:dyDescent="0.3">
      <c r="J40" s="9"/>
      <c r="K40" s="9"/>
      <c r="L40" s="14"/>
      <c r="M40" s="14"/>
    </row>
    <row r="66" spans="1:14" x14ac:dyDescent="0.3">
      <c r="B66" s="44" t="s">
        <v>11</v>
      </c>
      <c r="C66" s="44"/>
      <c r="D66" s="44"/>
      <c r="E66" s="44"/>
      <c r="F66" s="44" t="s">
        <v>6</v>
      </c>
      <c r="G66" s="44"/>
      <c r="H66" s="44"/>
      <c r="I66" s="44"/>
      <c r="J66" s="44" t="s">
        <v>62</v>
      </c>
      <c r="K66" s="44"/>
      <c r="L66" s="44"/>
      <c r="M66" s="44"/>
      <c r="N66" s="44"/>
    </row>
    <row r="67" spans="1:14" x14ac:dyDescent="0.3">
      <c r="A67" t="s">
        <v>39</v>
      </c>
      <c r="B67" t="s">
        <v>29</v>
      </c>
      <c r="C67" t="s">
        <v>30</v>
      </c>
      <c r="D67" t="s">
        <v>40</v>
      </c>
      <c r="E67" t="s">
        <v>10</v>
      </c>
      <c r="F67" t="s">
        <v>29</v>
      </c>
      <c r="G67" t="s">
        <v>30</v>
      </c>
      <c r="H67" t="s">
        <v>40</v>
      </c>
      <c r="I67" t="s">
        <v>10</v>
      </c>
      <c r="J67" t="s">
        <v>29</v>
      </c>
      <c r="K67" t="s">
        <v>30</v>
      </c>
      <c r="L67" t="s">
        <v>40</v>
      </c>
      <c r="M67" t="s">
        <v>10</v>
      </c>
      <c r="N67" t="s">
        <v>63</v>
      </c>
    </row>
    <row r="68" spans="1:14" x14ac:dyDescent="0.3">
      <c r="A68">
        <v>0.01</v>
      </c>
      <c r="B68" s="3">
        <v>1</v>
      </c>
      <c r="C68" s="3">
        <v>1</v>
      </c>
      <c r="D68" s="3">
        <f>AVERAGE(B68:C68)</f>
        <v>1</v>
      </c>
      <c r="E68" s="3">
        <f>STDEV(B68:C68)</f>
        <v>0</v>
      </c>
      <c r="F68" s="3">
        <v>1</v>
      </c>
      <c r="G68" s="3">
        <v>1</v>
      </c>
      <c r="H68" s="3">
        <f>AVERAGE(F68:G68)</f>
        <v>1</v>
      </c>
      <c r="I68" s="3">
        <f>STDEV(F68:G68)</f>
        <v>0</v>
      </c>
      <c r="J68" s="3">
        <v>1</v>
      </c>
      <c r="K68" s="3">
        <v>1</v>
      </c>
      <c r="L68" s="14">
        <v>1</v>
      </c>
      <c r="M68" s="14">
        <v>0</v>
      </c>
      <c r="N68">
        <v>0.01</v>
      </c>
    </row>
    <row r="69" spans="1:14" x14ac:dyDescent="0.3">
      <c r="A69">
        <v>2</v>
      </c>
      <c r="B69" s="3">
        <v>0.9789719626168224</v>
      </c>
      <c r="C69" s="3">
        <v>0.91100702576112413</v>
      </c>
      <c r="D69" s="3">
        <f t="shared" ref="D69:D78" si="15">AVERAGE(B69:C69)</f>
        <v>0.94498949418897327</v>
      </c>
      <c r="E69" s="3">
        <f t="shared" ref="E69:E78" si="16">STDEV(B69:C69)</f>
        <v>4.8058467733579753E-2</v>
      </c>
      <c r="F69" s="3">
        <v>0.80655737704918051</v>
      </c>
      <c r="G69" s="3">
        <v>0.86666666666666692</v>
      </c>
      <c r="H69" s="3">
        <f t="shared" ref="H69:H78" si="17">AVERAGE(F69:G69)</f>
        <v>0.83661202185792372</v>
      </c>
      <c r="I69" s="3">
        <f t="shared" ref="I69:I78" si="18">STDEV(F69:G69)</f>
        <v>4.2503686300830769E-2</v>
      </c>
      <c r="J69" s="3">
        <v>1.0594034933538392</v>
      </c>
      <c r="K69" s="3">
        <v>0.91805686706536571</v>
      </c>
      <c r="L69" s="14">
        <v>0.98873018020960246</v>
      </c>
      <c r="M69" s="14">
        <v>9.994715794642034E-2</v>
      </c>
      <c r="N69">
        <v>2</v>
      </c>
    </row>
    <row r="70" spans="1:14" x14ac:dyDescent="0.3">
      <c r="A70">
        <v>4</v>
      </c>
      <c r="B70" s="3">
        <v>0.9789719626168224</v>
      </c>
      <c r="C70" s="3">
        <v>1.0796252927400469</v>
      </c>
      <c r="D70" s="3">
        <f t="shared" si="15"/>
        <v>1.0292986276784346</v>
      </c>
      <c r="E70" s="3">
        <f t="shared" si="16"/>
        <v>7.1172652279140255E-2</v>
      </c>
      <c r="F70" s="3">
        <v>0.87213114754098375</v>
      </c>
      <c r="G70" s="3">
        <v>0.97368421052631615</v>
      </c>
      <c r="H70" s="3">
        <f t="shared" si="17"/>
        <v>0.9229076790336499</v>
      </c>
      <c r="I70" s="3">
        <f t="shared" si="18"/>
        <v>7.1808859487193122E-2</v>
      </c>
      <c r="J70" s="3">
        <v>0.86743381302867195</v>
      </c>
      <c r="K70" s="3">
        <v>1.0186496694995277</v>
      </c>
      <c r="L70" s="14">
        <v>0.9430417412640999</v>
      </c>
      <c r="M70" s="14">
        <v>0.10692575753347379</v>
      </c>
      <c r="N70">
        <v>4</v>
      </c>
    </row>
    <row r="71" spans="1:14" x14ac:dyDescent="0.3">
      <c r="A71">
        <v>6</v>
      </c>
      <c r="B71" s="3">
        <v>0.92990654205607504</v>
      </c>
      <c r="C71" s="3">
        <v>1.0491803278688525</v>
      </c>
      <c r="D71" s="3">
        <f t="shared" si="15"/>
        <v>0.98954343496246377</v>
      </c>
      <c r="E71" s="3">
        <f t="shared" si="16"/>
        <v>8.4339302766006777E-2</v>
      </c>
      <c r="F71" s="3">
        <v>0.72622950819672139</v>
      </c>
      <c r="G71" s="3">
        <v>0.74736842105263168</v>
      </c>
      <c r="H71" s="3">
        <f t="shared" si="17"/>
        <v>0.73679896462467653</v>
      </c>
      <c r="I71" s="3">
        <f t="shared" si="18"/>
        <v>1.4947468627325659E-2</v>
      </c>
      <c r="J71" s="3">
        <v>0.95765132373942641</v>
      </c>
      <c r="K71" s="3">
        <v>0.91333543174902954</v>
      </c>
      <c r="L71" s="14">
        <v>0.93549337774422803</v>
      </c>
      <c r="M71" s="14">
        <v>3.1336067740740235E-2</v>
      </c>
      <c r="N71">
        <v>6</v>
      </c>
    </row>
    <row r="72" spans="1:14" x14ac:dyDescent="0.3">
      <c r="A72">
        <v>16</v>
      </c>
      <c r="B72" s="3">
        <v>0.91452991452991428</v>
      </c>
      <c r="C72" s="3">
        <v>1.0486618004866182</v>
      </c>
      <c r="D72" s="3">
        <f t="shared" si="15"/>
        <v>0.98159585750826617</v>
      </c>
      <c r="E72" s="3">
        <f t="shared" si="16"/>
        <v>9.4845566133325968E-2</v>
      </c>
      <c r="F72" s="3">
        <v>0.65149700598802385</v>
      </c>
      <c r="G72" s="3">
        <v>0.50187667560321725</v>
      </c>
      <c r="H72" s="3">
        <f t="shared" si="17"/>
        <v>0.57668684079562049</v>
      </c>
      <c r="I72" s="3">
        <f t="shared" si="18"/>
        <v>0.10579755021846871</v>
      </c>
      <c r="J72" s="3">
        <v>0.88842105263157878</v>
      </c>
      <c r="K72" s="3">
        <v>0.93213251849469292</v>
      </c>
      <c r="L72" s="14">
        <v>0.91027678556313585</v>
      </c>
      <c r="M72" s="14">
        <v>3.090867392741229E-2</v>
      </c>
      <c r="N72">
        <v>16</v>
      </c>
    </row>
    <row r="73" spans="1:14" x14ac:dyDescent="0.3">
      <c r="A73">
        <v>24</v>
      </c>
      <c r="B73" s="3">
        <v>0.98130841121495338</v>
      </c>
      <c r="C73" s="3">
        <v>1.0281030444964872</v>
      </c>
      <c r="D73" s="3">
        <f t="shared" si="15"/>
        <v>1.0047057278557203</v>
      </c>
      <c r="E73" s="3">
        <f t="shared" si="16"/>
        <v>3.3088802516510231E-2</v>
      </c>
      <c r="F73" s="3">
        <v>0.27540983606557379</v>
      </c>
      <c r="G73" s="3">
        <v>0.39228070175438612</v>
      </c>
      <c r="H73" s="3">
        <f t="shared" si="17"/>
        <v>0.33384526890997995</v>
      </c>
      <c r="I73" s="3">
        <f t="shared" si="18"/>
        <v>8.264018165170145E-2</v>
      </c>
      <c r="J73" s="3">
        <v>0.82390420740415238</v>
      </c>
      <c r="K73" s="3">
        <v>0.86056027699087212</v>
      </c>
      <c r="L73" s="14">
        <v>0.84223224219751225</v>
      </c>
      <c r="M73" s="14">
        <v>2.5919755376415495E-2</v>
      </c>
      <c r="N73">
        <v>24</v>
      </c>
    </row>
    <row r="74" spans="1:14" x14ac:dyDescent="0.3">
      <c r="A74">
        <v>30</v>
      </c>
      <c r="B74" s="3">
        <v>0.97429906542056077</v>
      </c>
      <c r="C74" s="3">
        <v>0.93208430913348961</v>
      </c>
      <c r="D74" s="3">
        <f t="shared" si="15"/>
        <v>0.95319168727702519</v>
      </c>
      <c r="E74" s="3">
        <f t="shared" si="16"/>
        <v>2.9850340436725461E-2</v>
      </c>
      <c r="F74" s="3">
        <v>0.22819672131147542</v>
      </c>
      <c r="G74" s="3">
        <v>0.28842105263157897</v>
      </c>
      <c r="H74" s="3">
        <f t="shared" si="17"/>
        <v>0.25830888697152721</v>
      </c>
      <c r="I74" s="3">
        <f t="shared" si="18"/>
        <v>4.2585033068870543E-2</v>
      </c>
      <c r="J74" s="3">
        <v>0.79369438646600032</v>
      </c>
      <c r="K74" s="3">
        <v>0.74535725527226959</v>
      </c>
      <c r="L74" s="14">
        <v>0.7695258208691349</v>
      </c>
      <c r="M74" s="14">
        <v>3.41795132501908E-2</v>
      </c>
      <c r="N74">
        <v>30</v>
      </c>
    </row>
    <row r="75" spans="1:14" x14ac:dyDescent="0.3">
      <c r="A75">
        <v>48</v>
      </c>
      <c r="B75" s="3">
        <v>1.0700934579439254</v>
      </c>
      <c r="C75" s="3">
        <v>0.9625292740046838</v>
      </c>
      <c r="D75" s="3">
        <f t="shared" si="15"/>
        <v>1.0163113659743046</v>
      </c>
      <c r="E75" s="3">
        <f t="shared" si="16"/>
        <v>7.6059363876234867E-2</v>
      </c>
      <c r="F75" s="3">
        <v>0.11180327868852459</v>
      </c>
      <c r="G75" s="3">
        <v>0.14807017543859652</v>
      </c>
      <c r="H75" s="3">
        <f t="shared" si="17"/>
        <v>0.12993672706356055</v>
      </c>
      <c r="I75" s="3">
        <f t="shared" si="18"/>
        <v>2.5644568624568268E-2</v>
      </c>
      <c r="J75" s="3">
        <v>0.67175656377018567</v>
      </c>
      <c r="K75" s="3">
        <v>0.63550519357884794</v>
      </c>
      <c r="L75" s="14">
        <v>0.65363087867451686</v>
      </c>
      <c r="M75" s="14">
        <v>2.5633589689598779E-2</v>
      </c>
      <c r="N75">
        <v>48</v>
      </c>
    </row>
    <row r="76" spans="1:14" x14ac:dyDescent="0.3">
      <c r="A76">
        <v>64</v>
      </c>
      <c r="B76" s="3">
        <v>0.90384615384615374</v>
      </c>
      <c r="C76" s="3">
        <v>1.0875912408759125</v>
      </c>
      <c r="D76" s="3">
        <f t="shared" si="15"/>
        <v>0.99571869736103313</v>
      </c>
      <c r="E76" s="3">
        <f t="shared" si="16"/>
        <v>0.12992739704845477</v>
      </c>
      <c r="F76" s="3">
        <v>0.14688524590163937</v>
      </c>
      <c r="G76" s="3">
        <v>0.13726541554959787</v>
      </c>
      <c r="H76" s="3">
        <f t="shared" si="17"/>
        <v>0.14207533072561862</v>
      </c>
      <c r="I76" s="3">
        <f t="shared" si="18"/>
        <v>6.8022472757927194E-3</v>
      </c>
      <c r="J76" s="3">
        <v>0.50081871345029239</v>
      </c>
      <c r="K76" s="3">
        <v>0.5518173045995497</v>
      </c>
      <c r="L76" s="14">
        <v>0.5263180090249211</v>
      </c>
      <c r="M76" s="14">
        <v>3.6061449632600086E-2</v>
      </c>
      <c r="N76">
        <v>56</v>
      </c>
    </row>
    <row r="77" spans="1:14" x14ac:dyDescent="0.3">
      <c r="A77">
        <v>72</v>
      </c>
      <c r="B77" s="3">
        <v>1.0280373831775702</v>
      </c>
      <c r="C77" s="3">
        <v>1.0725995316159251</v>
      </c>
      <c r="D77" s="3">
        <f t="shared" si="15"/>
        <v>1.0503184573967477</v>
      </c>
      <c r="E77" s="3">
        <f t="shared" si="16"/>
        <v>3.1510197345002294E-2</v>
      </c>
      <c r="F77" s="3">
        <v>5.4191616766467061E-2</v>
      </c>
      <c r="G77" s="3">
        <v>7.1578947368421061E-2</v>
      </c>
      <c r="H77" s="3">
        <f t="shared" si="17"/>
        <v>6.2885282067444065E-2</v>
      </c>
      <c r="I77" s="3">
        <f t="shared" si="18"/>
        <v>1.2294699375374018E-2</v>
      </c>
      <c r="J77" s="3">
        <v>0.45885971657695263</v>
      </c>
      <c r="K77" s="3">
        <v>0.4431853950267548</v>
      </c>
      <c r="L77" s="14">
        <v>0.45102255580185369</v>
      </c>
      <c r="M77" s="14">
        <v>1.1083419058643318E-2</v>
      </c>
      <c r="N77">
        <v>72</v>
      </c>
    </row>
    <row r="78" spans="1:14" x14ac:dyDescent="0.3">
      <c r="A78">
        <v>96</v>
      </c>
      <c r="B78" s="3">
        <v>0.97196261682243001</v>
      </c>
      <c r="C78" s="3">
        <v>1.00918032786885</v>
      </c>
      <c r="D78" s="3">
        <f t="shared" si="15"/>
        <v>0.99057147234564003</v>
      </c>
      <c r="E78" s="3">
        <f t="shared" si="16"/>
        <v>2.6316895861165073E-2</v>
      </c>
      <c r="F78" s="3">
        <v>4.4311377245508973E-2</v>
      </c>
      <c r="G78" s="3">
        <v>4.9122807017543867E-2</v>
      </c>
      <c r="H78" s="3">
        <f t="shared" si="17"/>
        <v>4.6717092131526416E-2</v>
      </c>
      <c r="I78" s="3">
        <f t="shared" si="18"/>
        <v>3.4021946190087179E-3</v>
      </c>
      <c r="J78" s="3">
        <v>0.41151268812479397</v>
      </c>
      <c r="K78" s="3">
        <v>0.42765711887524921</v>
      </c>
      <c r="L78" s="14">
        <v>0.41958490350002159</v>
      </c>
      <c r="M78" s="14">
        <v>1.1415836462043524E-2</v>
      </c>
      <c r="N78">
        <v>96</v>
      </c>
    </row>
    <row r="79" spans="1:14" x14ac:dyDescent="0.3">
      <c r="E79" s="3"/>
      <c r="J79" s="3">
        <v>0.4064594089860486</v>
      </c>
      <c r="K79" s="3">
        <v>0.36533417269961183</v>
      </c>
      <c r="L79" s="14">
        <v>0.38589679084283024</v>
      </c>
      <c r="M79" s="14">
        <v>2.9079933456038511E-2</v>
      </c>
      <c r="N79">
        <v>103</v>
      </c>
    </row>
    <row r="80" spans="1:14" x14ac:dyDescent="0.3">
      <c r="J80" s="3">
        <v>0.3580742612325607</v>
      </c>
      <c r="K80" s="3">
        <v>0.28134508446123174</v>
      </c>
      <c r="L80" s="14">
        <v>0.31970967284689622</v>
      </c>
      <c r="M80" s="14">
        <v>5.425572120986813E-2</v>
      </c>
      <c r="N80">
        <v>168</v>
      </c>
    </row>
    <row r="81" spans="10:14" x14ac:dyDescent="0.3">
      <c r="J81" s="3">
        <v>0.31297374491925739</v>
      </c>
      <c r="K81" s="3">
        <v>0.31271639911866533</v>
      </c>
      <c r="L81" s="14">
        <v>0.31284507201896139</v>
      </c>
      <c r="M81" s="14">
        <v>1.8197096070852455E-4</v>
      </c>
      <c r="N81">
        <v>175</v>
      </c>
    </row>
    <row r="82" spans="10:14" x14ac:dyDescent="0.3">
      <c r="J82" s="3">
        <v>0.29874766560474569</v>
      </c>
      <c r="K82" s="3">
        <v>0.28622390095477912</v>
      </c>
      <c r="L82" s="14">
        <v>0.29248578327976238</v>
      </c>
      <c r="M82" s="14">
        <v>8.8556389099757327E-3</v>
      </c>
      <c r="N82">
        <v>193</v>
      </c>
    </row>
    <row r="83" spans="10:14" x14ac:dyDescent="0.3">
      <c r="J83" s="3">
        <v>0.32011424805009336</v>
      </c>
      <c r="K83" s="3">
        <v>0.26366593222117302</v>
      </c>
      <c r="L83" s="14">
        <v>0.29189009013563316</v>
      </c>
      <c r="M83" s="14">
        <v>3.9914986909189508E-2</v>
      </c>
      <c r="N83">
        <v>199</v>
      </c>
    </row>
    <row r="84" spans="10:14" x14ac:dyDescent="0.3">
      <c r="J84" s="3">
        <v>0.2747445896957047</v>
      </c>
      <c r="K84" s="3">
        <v>0.23586192424719338</v>
      </c>
      <c r="L84" s="14">
        <v>0.25530325697144907</v>
      </c>
      <c r="M84" s="14">
        <v>2.7494196409250226E-2</v>
      </c>
      <c r="N84">
        <v>216</v>
      </c>
    </row>
    <row r="85" spans="10:14" x14ac:dyDescent="0.3">
      <c r="J85" s="3">
        <v>0.27485444359002525</v>
      </c>
      <c r="K85" s="3">
        <v>0.24068828034833697</v>
      </c>
      <c r="L85" s="14">
        <v>0.2577713619691811</v>
      </c>
      <c r="M85" s="14">
        <v>2.4159125715324338E-2</v>
      </c>
      <c r="N85">
        <v>223</v>
      </c>
    </row>
    <row r="86" spans="10:14" x14ac:dyDescent="0.3">
      <c r="J86" s="3">
        <v>0.23481269911018346</v>
      </c>
      <c r="K86" s="3">
        <v>0.21225474766551256</v>
      </c>
      <c r="L86" s="14">
        <v>0.22353372338784799</v>
      </c>
      <c r="M86" s="14">
        <v>1.5950880436203671E-2</v>
      </c>
      <c r="N86">
        <v>264</v>
      </c>
    </row>
    <row r="87" spans="10:14" x14ac:dyDescent="0.3">
      <c r="J87" s="3">
        <v>0.22765388699696074</v>
      </c>
      <c r="K87" s="3">
        <v>0.20491029272898961</v>
      </c>
      <c r="L87" s="14">
        <v>0.21628208986297517</v>
      </c>
      <c r="M87" s="14">
        <v>1.6082149735437874E-2</v>
      </c>
      <c r="N87">
        <v>336</v>
      </c>
    </row>
    <row r="88" spans="10:14" x14ac:dyDescent="0.3">
      <c r="J88" s="3">
        <v>9.0959024497418425E-2</v>
      </c>
      <c r="K88" s="3">
        <v>0.10638967579477494</v>
      </c>
      <c r="L88" s="14">
        <v>9.8674350146096684E-2</v>
      </c>
      <c r="M88" s="14">
        <v>1.0911118170485791E-2</v>
      </c>
      <c r="N88">
        <v>420</v>
      </c>
    </row>
    <row r="89" spans="10:14" x14ac:dyDescent="0.3">
      <c r="J89" s="3">
        <v>4.1067047493500312E-2</v>
      </c>
      <c r="K89" s="3">
        <v>5.4034204175847242E-2</v>
      </c>
      <c r="L89" s="14">
        <v>4.7550625834673774E-2</v>
      </c>
      <c r="M89" s="14">
        <v>9.1691644227959845E-3</v>
      </c>
      <c r="N89">
        <v>528</v>
      </c>
    </row>
    <row r="107" spans="1:9" x14ac:dyDescent="0.3">
      <c r="B107" s="2" t="s">
        <v>11</v>
      </c>
      <c r="C107" s="2"/>
      <c r="D107" s="2" t="s">
        <v>6</v>
      </c>
      <c r="H107" s="2" t="s">
        <v>14</v>
      </c>
    </row>
    <row r="108" spans="1:9" x14ac:dyDescent="0.3">
      <c r="A108" t="s">
        <v>39</v>
      </c>
      <c r="B108" t="s">
        <v>40</v>
      </c>
      <c r="C108" t="s">
        <v>10</v>
      </c>
      <c r="D108" t="s">
        <v>40</v>
      </c>
      <c r="E108" t="s">
        <v>10</v>
      </c>
      <c r="G108" t="s">
        <v>39</v>
      </c>
      <c r="H108" t="s">
        <v>40</v>
      </c>
      <c r="I108" t="s">
        <v>10</v>
      </c>
    </row>
    <row r="109" spans="1:9" x14ac:dyDescent="0.3">
      <c r="A109">
        <v>0.01</v>
      </c>
      <c r="B109">
        <f>D68*100</f>
        <v>100</v>
      </c>
      <c r="C109">
        <f>E68*100</f>
        <v>0</v>
      </c>
      <c r="D109">
        <f>H68*100</f>
        <v>100</v>
      </c>
      <c r="E109">
        <f>I68*100</f>
        <v>0</v>
      </c>
      <c r="G109">
        <v>0.01</v>
      </c>
      <c r="H109">
        <f t="shared" ref="H109:H120" si="19">L68*100</f>
        <v>100</v>
      </c>
      <c r="I109">
        <f t="shared" ref="I109:I120" si="20">M68*100</f>
        <v>0</v>
      </c>
    </row>
    <row r="110" spans="1:9" x14ac:dyDescent="0.3">
      <c r="A110">
        <v>2</v>
      </c>
      <c r="B110">
        <f t="shared" ref="B110:B119" si="21">D69*100</f>
        <v>94.498949418897325</v>
      </c>
      <c r="C110">
        <f t="shared" ref="C110:C119" si="22">E69*100</f>
        <v>4.8058467733579757</v>
      </c>
      <c r="D110">
        <f t="shared" ref="D110:D119" si="23">H69*100</f>
        <v>83.661202185792376</v>
      </c>
      <c r="E110">
        <f t="shared" ref="E110:E119" si="24">I69*100</f>
        <v>4.2503686300830772</v>
      </c>
      <c r="G110">
        <v>2</v>
      </c>
      <c r="H110">
        <f t="shared" si="19"/>
        <v>98.873018020960245</v>
      </c>
      <c r="I110">
        <f t="shared" si="20"/>
        <v>9.9947157946420333</v>
      </c>
    </row>
    <row r="111" spans="1:9" x14ac:dyDescent="0.3">
      <c r="A111">
        <v>4</v>
      </c>
      <c r="B111">
        <f t="shared" si="21"/>
        <v>102.92986276784346</v>
      </c>
      <c r="C111">
        <f t="shared" si="22"/>
        <v>7.1172652279140252</v>
      </c>
      <c r="D111">
        <f t="shared" si="23"/>
        <v>92.290767903364994</v>
      </c>
      <c r="E111">
        <f t="shared" si="24"/>
        <v>7.180885948719312</v>
      </c>
      <c r="G111">
        <v>4</v>
      </c>
      <c r="H111">
        <f t="shared" si="19"/>
        <v>94.30417412640999</v>
      </c>
      <c r="I111">
        <f t="shared" si="20"/>
        <v>10.692575753347379</v>
      </c>
    </row>
    <row r="112" spans="1:9" x14ac:dyDescent="0.3">
      <c r="A112">
        <v>6</v>
      </c>
      <c r="B112">
        <f t="shared" si="21"/>
        <v>98.954343496246381</v>
      </c>
      <c r="C112">
        <f t="shared" si="22"/>
        <v>8.4339302766006785</v>
      </c>
      <c r="D112">
        <f t="shared" si="23"/>
        <v>73.679896462467653</v>
      </c>
      <c r="E112">
        <f t="shared" si="24"/>
        <v>1.494746862732566</v>
      </c>
      <c r="G112">
        <v>6</v>
      </c>
      <c r="H112">
        <f t="shared" si="19"/>
        <v>93.54933777442281</v>
      </c>
      <c r="I112">
        <f t="shared" si="20"/>
        <v>3.1336067740740234</v>
      </c>
    </row>
    <row r="113" spans="1:9" x14ac:dyDescent="0.3">
      <c r="A113">
        <v>16</v>
      </c>
      <c r="B113">
        <f t="shared" si="21"/>
        <v>98.159585750826622</v>
      </c>
      <c r="C113">
        <f t="shared" si="22"/>
        <v>9.4845566133325967</v>
      </c>
      <c r="D113">
        <f t="shared" si="23"/>
        <v>57.668684079562048</v>
      </c>
      <c r="E113">
        <f t="shared" si="24"/>
        <v>10.579755021846871</v>
      </c>
      <c r="G113">
        <v>16</v>
      </c>
      <c r="H113">
        <f t="shared" si="19"/>
        <v>91.027678556313589</v>
      </c>
      <c r="I113">
        <f t="shared" si="20"/>
        <v>3.0908673927412291</v>
      </c>
    </row>
    <row r="114" spans="1:9" x14ac:dyDescent="0.3">
      <c r="A114">
        <v>24</v>
      </c>
      <c r="B114">
        <f t="shared" si="21"/>
        <v>100.47057278557203</v>
      </c>
      <c r="C114">
        <f t="shared" si="22"/>
        <v>3.308880251651023</v>
      </c>
      <c r="D114">
        <f t="shared" si="23"/>
        <v>33.384526890997996</v>
      </c>
      <c r="E114">
        <f t="shared" si="24"/>
        <v>8.2640181651701443</v>
      </c>
      <c r="G114">
        <v>24</v>
      </c>
      <c r="H114">
        <f t="shared" si="19"/>
        <v>84.223224219751231</v>
      </c>
      <c r="I114">
        <f t="shared" si="20"/>
        <v>2.5919755376415496</v>
      </c>
    </row>
    <row r="115" spans="1:9" x14ac:dyDescent="0.3">
      <c r="A115">
        <v>30</v>
      </c>
      <c r="B115">
        <f t="shared" si="21"/>
        <v>95.319168727702518</v>
      </c>
      <c r="C115">
        <f t="shared" si="22"/>
        <v>2.9850340436725462</v>
      </c>
      <c r="D115">
        <f t="shared" si="23"/>
        <v>25.830888697152719</v>
      </c>
      <c r="E115">
        <f t="shared" si="24"/>
        <v>4.2585033068870546</v>
      </c>
      <c r="G115">
        <v>30</v>
      </c>
      <c r="H115">
        <f t="shared" si="19"/>
        <v>76.952582086913495</v>
      </c>
      <c r="I115">
        <f t="shared" si="20"/>
        <v>3.4179513250190801</v>
      </c>
    </row>
    <row r="116" spans="1:9" x14ac:dyDescent="0.3">
      <c r="A116">
        <v>48</v>
      </c>
      <c r="B116">
        <f t="shared" si="21"/>
        <v>101.63113659743046</v>
      </c>
      <c r="C116">
        <f t="shared" si="22"/>
        <v>7.6059363876234869</v>
      </c>
      <c r="D116">
        <f t="shared" si="23"/>
        <v>12.993672706356055</v>
      </c>
      <c r="E116">
        <f t="shared" si="24"/>
        <v>2.5644568624568267</v>
      </c>
      <c r="G116">
        <v>48</v>
      </c>
      <c r="H116">
        <f t="shared" si="19"/>
        <v>65.363087867451682</v>
      </c>
      <c r="I116">
        <f t="shared" si="20"/>
        <v>2.5633589689598777</v>
      </c>
    </row>
    <row r="117" spans="1:9" x14ac:dyDescent="0.3">
      <c r="A117">
        <v>64</v>
      </c>
      <c r="B117">
        <f t="shared" si="21"/>
        <v>99.571869736103309</v>
      </c>
      <c r="C117">
        <f t="shared" si="22"/>
        <v>12.992739704845476</v>
      </c>
      <c r="D117">
        <f t="shared" si="23"/>
        <v>14.207533072561862</v>
      </c>
      <c r="E117">
        <f t="shared" si="24"/>
        <v>0.68022472757927188</v>
      </c>
      <c r="G117">
        <v>56</v>
      </c>
      <c r="H117">
        <f t="shared" si="19"/>
        <v>52.63180090249211</v>
      </c>
      <c r="I117">
        <f t="shared" si="20"/>
        <v>3.6061449632600087</v>
      </c>
    </row>
    <row r="118" spans="1:9" x14ac:dyDescent="0.3">
      <c r="A118">
        <v>72</v>
      </c>
      <c r="B118">
        <f t="shared" si="21"/>
        <v>105.03184573967476</v>
      </c>
      <c r="C118">
        <f t="shared" si="22"/>
        <v>3.1510197345002293</v>
      </c>
      <c r="D118">
        <f t="shared" si="23"/>
        <v>6.2885282067444068</v>
      </c>
      <c r="E118">
        <f t="shared" si="24"/>
        <v>1.2294699375374019</v>
      </c>
      <c r="G118">
        <v>72</v>
      </c>
      <c r="H118">
        <f t="shared" si="19"/>
        <v>45.102255580185371</v>
      </c>
      <c r="I118">
        <f t="shared" si="20"/>
        <v>1.1083419058643318</v>
      </c>
    </row>
    <row r="119" spans="1:9" x14ac:dyDescent="0.3">
      <c r="A119">
        <v>96</v>
      </c>
      <c r="B119">
        <f t="shared" si="21"/>
        <v>99.057147234563999</v>
      </c>
      <c r="C119">
        <f t="shared" si="22"/>
        <v>2.6316895861165075</v>
      </c>
      <c r="D119">
        <f t="shared" si="23"/>
        <v>4.6717092131526421</v>
      </c>
      <c r="E119">
        <f t="shared" si="24"/>
        <v>0.34021946190087177</v>
      </c>
      <c r="G119">
        <v>96</v>
      </c>
      <c r="H119">
        <f t="shared" si="19"/>
        <v>41.958490350002158</v>
      </c>
      <c r="I119">
        <f t="shared" si="20"/>
        <v>1.1415836462043523</v>
      </c>
    </row>
    <row r="120" spans="1:9" x14ac:dyDescent="0.3">
      <c r="G120">
        <v>103</v>
      </c>
      <c r="H120">
        <f t="shared" si="19"/>
        <v>38.589679084283027</v>
      </c>
      <c r="I120">
        <f t="shared" si="20"/>
        <v>2.9079933456038511</v>
      </c>
    </row>
  </sheetData>
  <mergeCells count="17">
    <mergeCell ref="AM1:AN1"/>
    <mergeCell ref="B66:E66"/>
    <mergeCell ref="F66:I66"/>
    <mergeCell ref="J66:N66"/>
    <mergeCell ref="AO1:AP1"/>
    <mergeCell ref="AQ1:AR1"/>
    <mergeCell ref="AK5:AL5"/>
    <mergeCell ref="AM5:AN5"/>
    <mergeCell ref="B1:C1"/>
    <mergeCell ref="D1:E1"/>
    <mergeCell ref="F1:G1"/>
    <mergeCell ref="H1:I1"/>
    <mergeCell ref="Q1:R1"/>
    <mergeCell ref="B16:C16"/>
    <mergeCell ref="F16:G16"/>
    <mergeCell ref="J16:K16"/>
    <mergeCell ref="AK1:AL1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F415D-9E55-4472-BF7C-D95B69A42FCA}">
  <dimension ref="A1:O26"/>
  <sheetViews>
    <sheetView zoomScale="68" workbookViewId="0">
      <selection sqref="A1:A2"/>
    </sheetView>
  </sheetViews>
  <sheetFormatPr baseColWidth="10" defaultColWidth="8.88671875" defaultRowHeight="14.4" x14ac:dyDescent="0.3"/>
  <cols>
    <col min="1" max="1" width="11.5546875" bestFit="1" customWidth="1"/>
    <col min="2" max="2" width="16.109375" bestFit="1" customWidth="1"/>
    <col min="3" max="3" width="13.6640625" bestFit="1" customWidth="1"/>
    <col min="4" max="4" width="17.109375" bestFit="1" customWidth="1"/>
    <col min="5" max="5" width="33.5546875" bestFit="1" customWidth="1"/>
    <col min="9" max="10" width="19.77734375" bestFit="1" customWidth="1"/>
    <col min="12" max="12" width="12.44140625" bestFit="1" customWidth="1"/>
    <col min="13" max="13" width="12.5546875" bestFit="1" customWidth="1"/>
    <col min="15" max="15" width="12.44140625" bestFit="1" customWidth="1"/>
  </cols>
  <sheetData>
    <row r="1" spans="1:15" x14ac:dyDescent="0.3">
      <c r="A1" s="44" t="s">
        <v>57</v>
      </c>
      <c r="B1" s="44" t="s">
        <v>56</v>
      </c>
      <c r="C1" s="44"/>
      <c r="D1" s="44"/>
      <c r="E1" s="5" t="s">
        <v>55</v>
      </c>
      <c r="F1" s="5" t="s">
        <v>54</v>
      </c>
      <c r="G1" t="s">
        <v>10</v>
      </c>
      <c r="H1" s="47" t="s">
        <v>53</v>
      </c>
      <c r="I1" s="47"/>
      <c r="K1" s="5"/>
      <c r="N1" s="12" t="s">
        <v>52</v>
      </c>
    </row>
    <row r="2" spans="1:15" x14ac:dyDescent="0.3">
      <c r="A2" s="44"/>
      <c r="B2" s="5" t="s">
        <v>51</v>
      </c>
      <c r="C2" s="5" t="s">
        <v>50</v>
      </c>
      <c r="D2" s="5" t="s">
        <v>49</v>
      </c>
      <c r="E2" s="5"/>
      <c r="H2" s="5" t="s">
        <v>48</v>
      </c>
      <c r="I2" s="5" t="s">
        <v>47</v>
      </c>
      <c r="K2" s="5" t="s">
        <v>46</v>
      </c>
      <c r="L2" s="5" t="s">
        <v>45</v>
      </c>
      <c r="M2" s="11" t="s">
        <v>44</v>
      </c>
      <c r="N2" s="5" t="s">
        <v>41</v>
      </c>
      <c r="O2" s="7" t="s">
        <v>43</v>
      </c>
    </row>
    <row r="3" spans="1:15" x14ac:dyDescent="0.3">
      <c r="A3">
        <v>0</v>
      </c>
      <c r="B3">
        <v>0.438</v>
      </c>
      <c r="C3">
        <v>0.40200000000000002</v>
      </c>
      <c r="D3">
        <v>0.40799999999999997</v>
      </c>
      <c r="E3">
        <f t="shared" ref="E3:E12" si="0">AVERAGE(B3:D3)</f>
        <v>0.41599999999999998</v>
      </c>
      <c r="F3">
        <f t="shared" ref="F3:F12" si="1">E3-$E$3</f>
        <v>0</v>
      </c>
      <c r="G3">
        <f t="shared" ref="G3:G12" si="2">STDEV(B3:D3)</f>
        <v>1.9287301521985906E-2</v>
      </c>
      <c r="H3" s="5">
        <v>0.75380000000000003</v>
      </c>
      <c r="I3" s="5">
        <v>2.46E-2</v>
      </c>
      <c r="K3" s="5">
        <v>0.57899999999999996</v>
      </c>
      <c r="L3" s="5">
        <f>(AVERAGE(K3,K4))-E3</f>
        <v>0.14850000000000002</v>
      </c>
      <c r="M3" s="5">
        <f>(L3-$I$3)/$H$3</f>
        <v>0.16436720615547892</v>
      </c>
      <c r="N3" s="5">
        <v>17</v>
      </c>
      <c r="O3" s="10">
        <f>N3/M3</f>
        <v>103.42695722356738</v>
      </c>
    </row>
    <row r="4" spans="1:15" x14ac:dyDescent="0.3">
      <c r="A4">
        <v>2.5000000000000001E-2</v>
      </c>
      <c r="B4">
        <v>0.443</v>
      </c>
      <c r="C4">
        <v>0.44700000000000001</v>
      </c>
      <c r="D4">
        <v>0.45</v>
      </c>
      <c r="E4">
        <f t="shared" si="0"/>
        <v>0.44666666666666671</v>
      </c>
      <c r="F4">
        <f t="shared" si="1"/>
        <v>3.0666666666666731E-2</v>
      </c>
      <c r="G4">
        <f t="shared" si="2"/>
        <v>3.5118845842842497E-3</v>
      </c>
      <c r="J4" s="5"/>
      <c r="K4" s="5">
        <v>0.55000000000000004</v>
      </c>
      <c r="L4" s="5"/>
      <c r="M4" s="5"/>
      <c r="N4" s="5"/>
      <c r="O4" s="5"/>
    </row>
    <row r="5" spans="1:15" x14ac:dyDescent="0.3">
      <c r="A5">
        <v>0.05</v>
      </c>
      <c r="B5">
        <v>0.53600000000000003</v>
      </c>
      <c r="C5">
        <v>0.47899999999999998</v>
      </c>
      <c r="D5">
        <v>0.45500000000000002</v>
      </c>
      <c r="E5">
        <f t="shared" si="0"/>
        <v>0.49000000000000005</v>
      </c>
      <c r="F5">
        <f t="shared" si="1"/>
        <v>7.4000000000000066E-2</v>
      </c>
      <c r="G5">
        <f t="shared" si="2"/>
        <v>4.1605288125429456E-2</v>
      </c>
    </row>
    <row r="6" spans="1:15" x14ac:dyDescent="0.3">
      <c r="A6">
        <v>0.1</v>
      </c>
      <c r="B6">
        <v>0.52800000000000002</v>
      </c>
      <c r="C6">
        <v>0.52100000000000002</v>
      </c>
      <c r="D6">
        <v>0.53800000000000003</v>
      </c>
      <c r="E6">
        <f t="shared" si="0"/>
        <v>0.52900000000000003</v>
      </c>
      <c r="F6">
        <f t="shared" si="1"/>
        <v>0.11300000000000004</v>
      </c>
      <c r="G6">
        <f t="shared" si="2"/>
        <v>8.5440037453175383E-3</v>
      </c>
      <c r="J6" s="2" t="s">
        <v>6</v>
      </c>
      <c r="K6" s="2">
        <v>0.48</v>
      </c>
      <c r="L6" s="2">
        <f>K6-E3</f>
        <v>6.4000000000000001E-2</v>
      </c>
      <c r="M6" s="5">
        <f>(L6-$I$3)/$H$3</f>
        <v>5.2268506235075618E-2</v>
      </c>
      <c r="N6">
        <v>35</v>
      </c>
      <c r="O6" s="13">
        <f>N6/M6</f>
        <v>669.61928934010155</v>
      </c>
    </row>
    <row r="7" spans="1:15" x14ac:dyDescent="0.3">
      <c r="A7">
        <v>0.125</v>
      </c>
      <c r="B7">
        <v>0.53100000000000003</v>
      </c>
      <c r="C7">
        <v>0.55100000000000005</v>
      </c>
      <c r="D7">
        <v>0.53400000000000003</v>
      </c>
      <c r="E7">
        <f t="shared" si="0"/>
        <v>0.53866666666666674</v>
      </c>
      <c r="F7">
        <f t="shared" si="1"/>
        <v>0.12266666666666676</v>
      </c>
      <c r="G7">
        <f t="shared" si="2"/>
        <v>1.0785793124908967E-2</v>
      </c>
      <c r="J7" s="5" t="s">
        <v>42</v>
      </c>
      <c r="K7" s="2">
        <v>0.5</v>
      </c>
      <c r="L7" s="2">
        <f>K7-E4</f>
        <v>5.3333333333333288E-2</v>
      </c>
      <c r="M7" s="5">
        <f>(L7-$I$3)/$H$3</f>
        <v>3.8117980012381647E-2</v>
      </c>
      <c r="N7">
        <v>21</v>
      </c>
      <c r="O7" s="13">
        <f>N7/M7</f>
        <v>550.92111368909605</v>
      </c>
    </row>
    <row r="8" spans="1:15" x14ac:dyDescent="0.3">
      <c r="A8">
        <v>0.2</v>
      </c>
      <c r="B8">
        <v>0.60699999999999998</v>
      </c>
      <c r="C8">
        <v>0.64400000000000002</v>
      </c>
      <c r="D8">
        <v>0.57399999999999995</v>
      </c>
      <c r="E8">
        <f t="shared" si="0"/>
        <v>0.60833333333333328</v>
      </c>
      <c r="F8">
        <f t="shared" si="1"/>
        <v>0.1923333333333333</v>
      </c>
      <c r="G8">
        <f t="shared" si="2"/>
        <v>3.5019042438840832E-2</v>
      </c>
    </row>
    <row r="9" spans="1:15" x14ac:dyDescent="0.3">
      <c r="A9">
        <v>0.25</v>
      </c>
      <c r="B9">
        <v>0.60899999999999999</v>
      </c>
      <c r="C9">
        <v>0.64400000000000002</v>
      </c>
      <c r="D9">
        <v>0.63800000000000001</v>
      </c>
      <c r="E9">
        <f t="shared" si="0"/>
        <v>0.6303333333333333</v>
      </c>
      <c r="F9">
        <f t="shared" si="1"/>
        <v>0.21433333333333332</v>
      </c>
      <c r="G9">
        <f t="shared" si="2"/>
        <v>1.8717193521821961E-2</v>
      </c>
    </row>
    <row r="10" spans="1:15" x14ac:dyDescent="0.3">
      <c r="A10">
        <v>0.4</v>
      </c>
      <c r="B10">
        <v>0.76800000000000002</v>
      </c>
      <c r="C10">
        <v>0.73499999999999999</v>
      </c>
      <c r="D10">
        <v>0.753</v>
      </c>
      <c r="E10">
        <f t="shared" si="0"/>
        <v>0.75200000000000011</v>
      </c>
      <c r="F10">
        <f t="shared" si="1"/>
        <v>0.33600000000000013</v>
      </c>
      <c r="G10">
        <f t="shared" si="2"/>
        <v>1.6522711641858322E-2</v>
      </c>
    </row>
    <row r="11" spans="1:15" x14ac:dyDescent="0.3">
      <c r="A11">
        <v>0.5</v>
      </c>
      <c r="B11">
        <v>0.79</v>
      </c>
      <c r="C11">
        <v>0.79600000000000004</v>
      </c>
      <c r="D11">
        <v>0.80800000000000005</v>
      </c>
      <c r="E11">
        <f t="shared" si="0"/>
        <v>0.79800000000000004</v>
      </c>
      <c r="F11">
        <f t="shared" si="1"/>
        <v>0.38200000000000006</v>
      </c>
      <c r="G11">
        <f t="shared" si="2"/>
        <v>9.1651513899116879E-3</v>
      </c>
    </row>
    <row r="12" spans="1:15" x14ac:dyDescent="0.3">
      <c r="A12">
        <v>0.8</v>
      </c>
      <c r="B12">
        <v>0.90700000000000003</v>
      </c>
      <c r="C12">
        <v>0.88900000000000001</v>
      </c>
      <c r="D12">
        <v>0.98199999999999998</v>
      </c>
      <c r="E12">
        <f t="shared" si="0"/>
        <v>0.92600000000000005</v>
      </c>
      <c r="F12">
        <f t="shared" si="1"/>
        <v>0.51</v>
      </c>
      <c r="G12">
        <f t="shared" si="2"/>
        <v>4.9325449820554076E-2</v>
      </c>
    </row>
    <row r="26" spans="2:8" x14ac:dyDescent="0.3">
      <c r="B26" s="2"/>
      <c r="C26" s="2"/>
      <c r="D26" s="2"/>
      <c r="E26" s="2"/>
      <c r="G26" s="5"/>
      <c r="H26" s="5"/>
    </row>
  </sheetData>
  <mergeCells count="3">
    <mergeCell ref="A1:A2"/>
    <mergeCell ref="B1:D1"/>
    <mergeCell ref="H1:I1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45103-C277-4739-9E76-922A044ED21B}">
  <dimension ref="A1:Q66"/>
  <sheetViews>
    <sheetView zoomScale="55" zoomScaleNormal="55" workbookViewId="0"/>
  </sheetViews>
  <sheetFormatPr baseColWidth="10" defaultColWidth="8.88671875" defaultRowHeight="14.4" x14ac:dyDescent="0.3"/>
  <cols>
    <col min="1" max="1" width="11.21875" bestFit="1" customWidth="1"/>
    <col min="4" max="4" width="13.44140625" bestFit="1" customWidth="1"/>
    <col min="6" max="6" width="9.5546875" bestFit="1" customWidth="1"/>
    <col min="7" max="7" width="12" bestFit="1" customWidth="1"/>
    <col min="8" max="8" width="14.21875" bestFit="1" customWidth="1"/>
    <col min="12" max="12" width="13.44140625" bestFit="1" customWidth="1"/>
    <col min="15" max="15" width="8.88671875" bestFit="1" customWidth="1"/>
    <col min="16" max="16" width="17.44140625" bestFit="1" customWidth="1"/>
  </cols>
  <sheetData>
    <row r="1" spans="1:17" ht="21" x14ac:dyDescent="0.3">
      <c r="B1" s="48" t="s">
        <v>11</v>
      </c>
      <c r="C1" s="48"/>
      <c r="D1" s="48"/>
      <c r="E1" s="48"/>
      <c r="F1" s="48"/>
      <c r="G1" s="48"/>
      <c r="H1" s="48"/>
      <c r="I1" s="48"/>
      <c r="J1" s="48" t="s">
        <v>6</v>
      </c>
      <c r="K1" s="48"/>
      <c r="L1" s="48"/>
      <c r="M1" s="48"/>
      <c r="N1" s="48"/>
      <c r="O1" s="48"/>
      <c r="P1" s="48"/>
      <c r="Q1" s="48"/>
    </row>
    <row r="2" spans="1:17" x14ac:dyDescent="0.3">
      <c r="B2" s="2" t="s">
        <v>31</v>
      </c>
      <c r="C2" s="2" t="s">
        <v>32</v>
      </c>
      <c r="D2" s="7" t="s">
        <v>37</v>
      </c>
      <c r="E2" s="7" t="s">
        <v>10</v>
      </c>
      <c r="F2" s="2" t="s">
        <v>33</v>
      </c>
      <c r="G2" s="2" t="s">
        <v>34</v>
      </c>
      <c r="H2" s="6" t="s">
        <v>38</v>
      </c>
      <c r="I2" s="6" t="s">
        <v>10</v>
      </c>
      <c r="J2" s="2" t="s">
        <v>31</v>
      </c>
      <c r="K2" s="2" t="s">
        <v>32</v>
      </c>
      <c r="L2" s="7" t="s">
        <v>37</v>
      </c>
      <c r="M2" s="7" t="s">
        <v>10</v>
      </c>
      <c r="N2" s="2" t="s">
        <v>33</v>
      </c>
      <c r="O2" s="2" t="s">
        <v>34</v>
      </c>
      <c r="P2" s="6" t="s">
        <v>36</v>
      </c>
      <c r="Q2" s="6" t="s">
        <v>10</v>
      </c>
    </row>
    <row r="3" spans="1:17" x14ac:dyDescent="0.3">
      <c r="A3" s="5" t="s">
        <v>35</v>
      </c>
      <c r="B3" s="14">
        <v>0.47267413425279953</v>
      </c>
      <c r="C3" s="14">
        <v>0.32445055780638143</v>
      </c>
      <c r="D3" s="15">
        <f t="shared" ref="D3:D9" si="0">AVERAGE(B3:C3)</f>
        <v>0.39856234602959051</v>
      </c>
      <c r="E3" s="15">
        <f t="shared" ref="E3:E9" si="1">STDEV(B3:C3)</f>
        <v>0.10480989603698447</v>
      </c>
      <c r="F3" s="14">
        <v>0.91452991452991428</v>
      </c>
      <c r="G3" s="14">
        <v>1.0486618004866182</v>
      </c>
      <c r="H3" s="16">
        <f>AVERAGE(F3:G3)</f>
        <v>0.98159585750826617</v>
      </c>
      <c r="I3" s="16">
        <f>STDEV(F3:G3)</f>
        <v>9.4845566133325968E-2</v>
      </c>
      <c r="J3" s="14">
        <v>0.89</v>
      </c>
      <c r="K3" s="14">
        <v>0.85699999999999998</v>
      </c>
      <c r="L3" s="15">
        <f t="shared" ref="L3:L9" si="2">AVERAGE(J3:K3)</f>
        <v>0.87349999999999994</v>
      </c>
      <c r="M3" s="15">
        <f t="shared" ref="M3:M9" si="3">STDEV(J3:K3)</f>
        <v>2.333452377915609E-2</v>
      </c>
      <c r="N3" s="14">
        <v>0.65149700598802385</v>
      </c>
      <c r="O3" s="14">
        <v>0.50187667560321725</v>
      </c>
      <c r="P3" s="16">
        <f>AVERAGE(N3:O3)</f>
        <v>0.57668684079562049</v>
      </c>
      <c r="Q3" s="16">
        <f>STDEV(N3:O3)</f>
        <v>0.10579755021846871</v>
      </c>
    </row>
    <row r="4" spans="1:17" x14ac:dyDescent="0.3">
      <c r="A4" s="5" t="s">
        <v>17</v>
      </c>
      <c r="B4" s="14">
        <v>1.8894780721699436E-2</v>
      </c>
      <c r="C4" s="14">
        <v>1.8289810130187639E-2</v>
      </c>
      <c r="D4" s="15">
        <f t="shared" si="0"/>
        <v>1.8592295425943539E-2</v>
      </c>
      <c r="E4" s="15">
        <f t="shared" si="1"/>
        <v>4.2777880767642896E-4</v>
      </c>
      <c r="F4" s="14">
        <v>0.91346153846153844</v>
      </c>
      <c r="G4" s="14">
        <v>0.70771756978653533</v>
      </c>
      <c r="H4" s="16">
        <f t="shared" ref="H4:H16" si="4">AVERAGE(F4:G4)</f>
        <v>0.81058955412403688</v>
      </c>
      <c r="I4" s="16">
        <f t="shared" ref="I4:I16" si="5">STDEV(F4:G4)</f>
        <v>0.14548295543832737</v>
      </c>
      <c r="J4" s="14">
        <v>1.3000000000000001E-2</v>
      </c>
      <c r="K4" s="14">
        <v>1.7000000000000001E-2</v>
      </c>
      <c r="L4" s="15">
        <f t="shared" si="2"/>
        <v>1.5000000000000001E-2</v>
      </c>
      <c r="M4" s="15">
        <f t="shared" si="3"/>
        <v>2.8284271247461901E-3</v>
      </c>
      <c r="N4" s="14">
        <v>0.69942857142857151</v>
      </c>
      <c r="O4" s="14">
        <v>0.87822878228782286</v>
      </c>
      <c r="P4" s="16">
        <f t="shared" ref="P4:P16" si="6">AVERAGE(N4:O4)</f>
        <v>0.78882867685819713</v>
      </c>
      <c r="Q4" s="16">
        <f t="shared" ref="Q4:Q15" si="7">STDEV(N4:O4)</f>
        <v>0.1264308415761618</v>
      </c>
    </row>
    <row r="5" spans="1:17" x14ac:dyDescent="0.3">
      <c r="A5" s="5" t="s">
        <v>15</v>
      </c>
      <c r="B5" s="14">
        <v>0.24991159766304671</v>
      </c>
      <c r="C5" s="14">
        <v>0.28595838957325487</v>
      </c>
      <c r="D5" s="15">
        <f t="shared" si="0"/>
        <v>0.26793499361815076</v>
      </c>
      <c r="E5" s="15">
        <f t="shared" si="1"/>
        <v>2.5488930999728567E-2</v>
      </c>
      <c r="F5" s="14">
        <v>0.85245901639344279</v>
      </c>
      <c r="G5" s="14">
        <v>0.85026737967914456</v>
      </c>
      <c r="H5" s="16">
        <f t="shared" si="4"/>
        <v>0.85136319803629368</v>
      </c>
      <c r="I5" s="16">
        <f t="shared" si="5"/>
        <v>1.5497211825776813E-3</v>
      </c>
      <c r="J5" s="14">
        <v>0.45400000000000001</v>
      </c>
      <c r="K5" s="14">
        <v>0.40699999999999997</v>
      </c>
      <c r="L5" s="15">
        <f t="shared" si="2"/>
        <v>0.43049999999999999</v>
      </c>
      <c r="M5" s="15">
        <f t="shared" si="3"/>
        <v>3.3234018715767762E-2</v>
      </c>
      <c r="N5" s="14">
        <v>0.64349999999999996</v>
      </c>
      <c r="O5" s="14">
        <v>0.50717703349282306</v>
      </c>
      <c r="P5" s="16">
        <f t="shared" si="6"/>
        <v>0.57533851674641157</v>
      </c>
      <c r="Q5" s="16">
        <f t="shared" si="7"/>
        <v>9.6394894048690366E-2</v>
      </c>
    </row>
    <row r="6" spans="1:17" x14ac:dyDescent="0.3">
      <c r="A6" s="5" t="s">
        <v>19</v>
      </c>
      <c r="B6" s="14">
        <v>0.29473468684644544</v>
      </c>
      <c r="C6" s="14">
        <v>0.20562425370056703</v>
      </c>
      <c r="D6" s="15">
        <f t="shared" si="0"/>
        <v>0.25017947027350623</v>
      </c>
      <c r="E6" s="15">
        <f t="shared" si="1"/>
        <v>6.3010591551921125E-2</v>
      </c>
      <c r="F6" s="14">
        <v>0.87985074626865656</v>
      </c>
      <c r="G6" s="14">
        <v>0.67607726597325402</v>
      </c>
      <c r="H6" s="16">
        <f t="shared" si="4"/>
        <v>0.77796400612095529</v>
      </c>
      <c r="I6" s="16">
        <f t="shared" si="5"/>
        <v>0.14408960974286261</v>
      </c>
      <c r="J6" s="14">
        <v>0.47499999999999998</v>
      </c>
      <c r="K6" s="14">
        <v>0.50700000000000001</v>
      </c>
      <c r="L6" s="15">
        <f t="shared" si="2"/>
        <v>0.49099999999999999</v>
      </c>
      <c r="M6" s="15">
        <f t="shared" si="3"/>
        <v>2.2627416997969541E-2</v>
      </c>
      <c r="N6" s="14">
        <v>0.35136986301369877</v>
      </c>
      <c r="O6" s="14">
        <v>0.15769805680119584</v>
      </c>
      <c r="P6" s="16">
        <f t="shared" si="6"/>
        <v>0.25453395990744732</v>
      </c>
      <c r="Q6" s="16">
        <f t="shared" si="7"/>
        <v>0.13694664749750773</v>
      </c>
    </row>
    <row r="7" spans="1:17" x14ac:dyDescent="0.3">
      <c r="A7" s="5" t="s">
        <v>16</v>
      </c>
      <c r="B7" s="14">
        <v>0.17632213161752064</v>
      </c>
      <c r="C7" s="14">
        <v>0.19146123405705801</v>
      </c>
      <c r="D7" s="15">
        <f t="shared" si="0"/>
        <v>0.18389168283728932</v>
      </c>
      <c r="E7" s="15">
        <f t="shared" si="1"/>
        <v>1.0704961996074677E-2</v>
      </c>
      <c r="F7" s="14">
        <v>0.92086330935251803</v>
      </c>
      <c r="G7" s="14">
        <v>0.71264367816091934</v>
      </c>
      <c r="H7" s="16">
        <f t="shared" si="4"/>
        <v>0.81675349375671868</v>
      </c>
      <c r="I7" s="16">
        <f t="shared" si="5"/>
        <v>0.14723351319174127</v>
      </c>
      <c r="J7" s="14">
        <v>0.68500000000000005</v>
      </c>
      <c r="K7" s="14">
        <v>0.63500000000000001</v>
      </c>
      <c r="L7" s="15">
        <f t="shared" si="2"/>
        <v>0.66</v>
      </c>
      <c r="M7" s="15">
        <f t="shared" si="3"/>
        <v>3.5355339059327411E-2</v>
      </c>
      <c r="N7" s="14">
        <v>0.56732329084588651</v>
      </c>
      <c r="O7" s="14">
        <v>0.63043478260869568</v>
      </c>
      <c r="P7" s="16">
        <f t="shared" si="6"/>
        <v>0.59887903672729115</v>
      </c>
      <c r="Q7" s="16">
        <f t="shared" si="7"/>
        <v>4.4626563796281299E-2</v>
      </c>
    </row>
    <row r="8" spans="1:17" x14ac:dyDescent="0.3">
      <c r="A8" s="5" t="s">
        <v>20</v>
      </c>
      <c r="B8" s="14">
        <v>0.37773560159245317</v>
      </c>
      <c r="C8" s="14">
        <v>0.33966763662903215</v>
      </c>
      <c r="D8" s="15">
        <f t="shared" si="0"/>
        <v>0.35870161911074266</v>
      </c>
      <c r="E8" s="15">
        <f t="shared" si="1"/>
        <v>2.6918116171606905E-2</v>
      </c>
      <c r="F8" s="14">
        <v>0.4514423076923077</v>
      </c>
      <c r="G8" s="14">
        <v>0.30864197530864196</v>
      </c>
      <c r="H8" s="16">
        <f t="shared" si="4"/>
        <v>0.38004214150047483</v>
      </c>
      <c r="I8" s="16">
        <f t="shared" si="5"/>
        <v>0.10097508338418312</v>
      </c>
      <c r="J8" s="14">
        <v>0.47049999999999997</v>
      </c>
      <c r="K8" s="14">
        <v>0.47799999999999998</v>
      </c>
      <c r="L8" s="15">
        <f t="shared" si="2"/>
        <v>0.47424999999999995</v>
      </c>
      <c r="M8" s="15">
        <f t="shared" si="3"/>
        <v>5.3033008588991111E-3</v>
      </c>
      <c r="N8" s="14">
        <v>0.37602739726027401</v>
      </c>
      <c r="O8" s="14">
        <v>0.3482456140350878</v>
      </c>
      <c r="P8" s="16">
        <f t="shared" si="6"/>
        <v>0.36213650564768091</v>
      </c>
      <c r="Q8" s="16">
        <f t="shared" si="7"/>
        <v>1.9644687311983839E-2</v>
      </c>
    </row>
    <row r="9" spans="1:17" x14ac:dyDescent="0.3">
      <c r="A9" s="5" t="s">
        <v>18</v>
      </c>
      <c r="B9" s="14">
        <v>0.26885082630484886</v>
      </c>
      <c r="C9" s="14">
        <v>0.29058965077690846</v>
      </c>
      <c r="D9" s="15">
        <f t="shared" si="0"/>
        <v>0.27972023854087869</v>
      </c>
      <c r="E9" s="15">
        <f t="shared" si="1"/>
        <v>1.5371670199217416E-2</v>
      </c>
      <c r="F9" s="14">
        <v>0.95454545454545459</v>
      </c>
      <c r="G9" s="14">
        <v>0.74210526315789493</v>
      </c>
      <c r="H9" s="16">
        <f t="shared" si="4"/>
        <v>0.84832535885167482</v>
      </c>
      <c r="I9" s="16">
        <f t="shared" si="5"/>
        <v>0.15021789992671097</v>
      </c>
      <c r="J9" s="14">
        <v>0.30499999999999999</v>
      </c>
      <c r="K9" s="14">
        <v>0.41399999999999998</v>
      </c>
      <c r="L9" s="15">
        <f t="shared" si="2"/>
        <v>0.35949999999999999</v>
      </c>
      <c r="M9" s="15">
        <f t="shared" si="3"/>
        <v>7.7074639149333782E-2</v>
      </c>
      <c r="N9" s="14">
        <v>0.25104766893661606</v>
      </c>
      <c r="O9" s="14">
        <v>0.20102214650766609</v>
      </c>
      <c r="P9" s="16">
        <f t="shared" si="6"/>
        <v>0.22603490772214108</v>
      </c>
      <c r="Q9" s="16">
        <f t="shared" si="7"/>
        <v>3.5373386141910303E-2</v>
      </c>
    </row>
    <row r="10" spans="1:17" x14ac:dyDescent="0.3">
      <c r="A10" s="5" t="s">
        <v>21</v>
      </c>
      <c r="B10" s="14">
        <v>0.42155065352279852</v>
      </c>
      <c r="C10" s="14">
        <v>0.34817799140620542</v>
      </c>
      <c r="D10" s="15">
        <f t="shared" ref="D10:D16" si="8">AVERAGE(B10:C10)</f>
        <v>0.38486432246450197</v>
      </c>
      <c r="E10" s="15">
        <f t="shared" ref="E10:E16" si="9">STDEV(B10:C10)</f>
        <v>5.1882306936352283E-2</v>
      </c>
      <c r="F10" s="14">
        <v>0.65678571428571431</v>
      </c>
      <c r="G10" s="14">
        <v>0.69010819165378667</v>
      </c>
      <c r="H10" s="16">
        <f t="shared" si="4"/>
        <v>0.67344695296975043</v>
      </c>
      <c r="I10" s="16">
        <f t="shared" si="5"/>
        <v>2.3562549712899228E-2</v>
      </c>
      <c r="J10" s="14">
        <v>0.85599999999999998</v>
      </c>
      <c r="K10" s="14">
        <v>0.89119999999999999</v>
      </c>
      <c r="L10" s="15">
        <f t="shared" ref="L10:L16" si="10">AVERAGE(J10:K10)</f>
        <v>0.87359999999999993</v>
      </c>
      <c r="M10" s="15">
        <f t="shared" ref="M10:M16" si="11">STDEV(J10:K10)</f>
        <v>2.4890158697766479E-2</v>
      </c>
      <c r="N10" s="14">
        <v>0.13150684931506851</v>
      </c>
      <c r="O10" s="14">
        <v>0.10777777777777778</v>
      </c>
      <c r="P10" s="16">
        <f t="shared" si="6"/>
        <v>0.11964231354642314</v>
      </c>
      <c r="Q10" s="16">
        <f t="shared" si="7"/>
        <v>1.6778987395278968E-2</v>
      </c>
    </row>
    <row r="11" spans="1:17" x14ac:dyDescent="0.3">
      <c r="A11" s="5" t="s">
        <v>23</v>
      </c>
      <c r="B11" s="14">
        <v>0.79357329234783958</v>
      </c>
      <c r="C11" s="14">
        <v>0.83329917722478486</v>
      </c>
      <c r="D11" s="15">
        <f>AVERAGE(B11:C11)</f>
        <v>0.81343623478631222</v>
      </c>
      <c r="E11" s="15">
        <f>STDEV(B11:C11)</f>
        <v>2.8090442585124126E-2</v>
      </c>
      <c r="F11" s="14">
        <v>0.85365853658536583</v>
      </c>
      <c r="G11" s="14">
        <v>0.76640926640926643</v>
      </c>
      <c r="H11" s="16">
        <f t="shared" si="4"/>
        <v>0.81003390149731613</v>
      </c>
      <c r="I11" s="16">
        <f t="shared" si="5"/>
        <v>6.1694550595097084E-2</v>
      </c>
      <c r="J11" s="14">
        <v>0.96399999999999997</v>
      </c>
      <c r="K11" s="14">
        <v>0.86799999999999999</v>
      </c>
      <c r="L11" s="15">
        <f>AVERAGE(J11:K11)</f>
        <v>0.91599999999999993</v>
      </c>
      <c r="M11" s="15">
        <f>STDEV(J11:K11)</f>
        <v>6.7882250993908544E-2</v>
      </c>
      <c r="N11" s="14">
        <v>0.15082690187431089</v>
      </c>
      <c r="O11" s="14">
        <v>0.23697916666666666</v>
      </c>
      <c r="P11" s="16">
        <f t="shared" si="6"/>
        <v>0.19390303427048877</v>
      </c>
      <c r="Q11" s="16">
        <f t="shared" si="7"/>
        <v>6.0918850649253814E-2</v>
      </c>
    </row>
    <row r="12" spans="1:17" x14ac:dyDescent="0.3">
      <c r="A12" s="5" t="s">
        <v>22</v>
      </c>
      <c r="B12" s="14">
        <v>0.2669545815629103</v>
      </c>
      <c r="C12" s="14">
        <v>0.29959645336730389</v>
      </c>
      <c r="D12" s="15">
        <f>AVERAGE(B12:C12)</f>
        <v>0.2832755174651071</v>
      </c>
      <c r="E12" s="15">
        <f>STDEV(B12:C12)</f>
        <v>2.3081288903508676E-2</v>
      </c>
      <c r="F12" s="14">
        <v>0.46363636363636362</v>
      </c>
      <c r="G12" s="14">
        <v>0.2567567567567568</v>
      </c>
      <c r="H12" s="16">
        <f t="shared" si="4"/>
        <v>0.36019656019656021</v>
      </c>
      <c r="I12" s="16">
        <f t="shared" si="5"/>
        <v>0.14628597291377715</v>
      </c>
      <c r="J12" s="14">
        <v>0.79</v>
      </c>
      <c r="K12" s="14">
        <v>0.7</v>
      </c>
      <c r="L12" s="15">
        <f>AVERAGE(J12:K12)</f>
        <v>0.745</v>
      </c>
      <c r="M12" s="15">
        <f>STDEV(J12:K12)</f>
        <v>6.3639610306789343E-2</v>
      </c>
      <c r="N12" s="14">
        <v>0.17079754601226996</v>
      </c>
      <c r="O12" s="14">
        <v>0.35019841269841262</v>
      </c>
      <c r="P12" s="16">
        <f t="shared" si="6"/>
        <v>0.2604979793553413</v>
      </c>
      <c r="Q12" s="16">
        <f t="shared" si="7"/>
        <v>0.12685556938451528</v>
      </c>
    </row>
    <row r="13" spans="1:17" x14ac:dyDescent="0.3">
      <c r="A13" s="5" t="s">
        <v>24</v>
      </c>
      <c r="B13" s="14">
        <v>0.10301326676443232</v>
      </c>
      <c r="C13" s="14">
        <v>0.18539453404753303</v>
      </c>
      <c r="D13" s="15">
        <f t="shared" si="8"/>
        <v>0.14420390040598269</v>
      </c>
      <c r="E13" s="15">
        <f t="shared" si="9"/>
        <v>5.8252352738621838E-2</v>
      </c>
      <c r="F13" s="14">
        <v>0.61948051948051941</v>
      </c>
      <c r="G13" s="14">
        <v>0.82887700534759368</v>
      </c>
      <c r="H13" s="16">
        <f t="shared" si="4"/>
        <v>0.72417876241405654</v>
      </c>
      <c r="I13" s="16">
        <f t="shared" si="5"/>
        <v>0.14806567511324145</v>
      </c>
      <c r="J13" s="14">
        <v>0.61299999999999999</v>
      </c>
      <c r="K13" s="14">
        <v>0.65</v>
      </c>
      <c r="L13" s="15">
        <f t="shared" si="10"/>
        <v>0.63149999999999995</v>
      </c>
      <c r="M13" s="15">
        <f t="shared" si="11"/>
        <v>2.616295090390228E-2</v>
      </c>
      <c r="N13" s="14">
        <v>0.169468085106383</v>
      </c>
      <c r="O13" s="14">
        <v>0.19761904761904761</v>
      </c>
      <c r="P13" s="16">
        <f t="shared" si="6"/>
        <v>0.18354356636271529</v>
      </c>
      <c r="Q13" s="16">
        <f t="shared" si="7"/>
        <v>1.9905736489633435E-2</v>
      </c>
    </row>
    <row r="14" spans="1:17" x14ac:dyDescent="0.3">
      <c r="A14" s="5" t="s">
        <v>25</v>
      </c>
      <c r="B14" s="14">
        <v>0.33639928257402402</v>
      </c>
      <c r="C14" s="14">
        <v>0.38069104495035255</v>
      </c>
      <c r="D14" s="15">
        <f t="shared" si="8"/>
        <v>0.35854516376218826</v>
      </c>
      <c r="E14" s="15">
        <f t="shared" si="9"/>
        <v>3.1319005527005103E-2</v>
      </c>
      <c r="F14" s="14">
        <v>0.47983870967741932</v>
      </c>
      <c r="G14" s="14">
        <v>0.45198675496688751</v>
      </c>
      <c r="H14" s="16">
        <f t="shared" si="4"/>
        <v>0.46591273232215341</v>
      </c>
      <c r="I14" s="16">
        <f t="shared" si="5"/>
        <v>1.9694306045117651E-2</v>
      </c>
      <c r="J14" s="14">
        <v>0.70169999999999999</v>
      </c>
      <c r="K14" s="14">
        <v>0.65500000000000003</v>
      </c>
      <c r="L14" s="15">
        <f t="shared" si="10"/>
        <v>0.67835000000000001</v>
      </c>
      <c r="M14" s="15">
        <f t="shared" si="11"/>
        <v>3.302188668141174E-2</v>
      </c>
      <c r="N14" s="14">
        <v>0.20641304347826087</v>
      </c>
      <c r="O14" s="14">
        <v>0.21621621621621617</v>
      </c>
      <c r="P14" s="16">
        <f t="shared" si="6"/>
        <v>0.21131462984723853</v>
      </c>
      <c r="Q14" s="16">
        <f t="shared" si="7"/>
        <v>6.9318899201512912E-3</v>
      </c>
    </row>
    <row r="15" spans="1:17" x14ac:dyDescent="0.3">
      <c r="A15" s="5" t="s">
        <v>26</v>
      </c>
      <c r="B15" s="14">
        <v>0.57154936164675618</v>
      </c>
      <c r="C15" s="14">
        <v>0.60291417515647239</v>
      </c>
      <c r="D15" s="15">
        <f t="shared" si="8"/>
        <v>0.58723176840161428</v>
      </c>
      <c r="E15" s="15">
        <f t="shared" si="9"/>
        <v>2.2178272323371766E-2</v>
      </c>
      <c r="F15" s="14">
        <v>0.60610806577916998</v>
      </c>
      <c r="G15" s="14">
        <v>0.59778597785977872</v>
      </c>
      <c r="H15" s="16">
        <f t="shared" si="4"/>
        <v>0.60194702181947435</v>
      </c>
      <c r="I15" s="16">
        <f t="shared" si="5"/>
        <v>5.8846048014322087E-3</v>
      </c>
      <c r="J15" s="14">
        <v>0.90129999999999999</v>
      </c>
      <c r="K15" s="14">
        <v>0.84499999999999997</v>
      </c>
      <c r="L15" s="15">
        <f t="shared" si="10"/>
        <v>0.87314999999999998</v>
      </c>
      <c r="M15" s="15">
        <f t="shared" si="11"/>
        <v>3.981011178080264E-2</v>
      </c>
      <c r="N15" s="14">
        <v>0.22592592592592586</v>
      </c>
      <c r="O15" s="14">
        <v>0.19735449735449734</v>
      </c>
      <c r="P15" s="16">
        <f t="shared" si="6"/>
        <v>0.2116402116402116</v>
      </c>
      <c r="Q15" s="16">
        <f t="shared" si="7"/>
        <v>2.0203050891044183E-2</v>
      </c>
    </row>
    <row r="16" spans="1:17" x14ac:dyDescent="0.3">
      <c r="A16" s="5" t="s">
        <v>27</v>
      </c>
      <c r="B16" s="14">
        <v>0.48930594674702332</v>
      </c>
      <c r="C16" s="14">
        <v>0.35737768751510768</v>
      </c>
      <c r="D16" s="15">
        <f t="shared" si="8"/>
        <v>0.4233418171310655</v>
      </c>
      <c r="E16" s="15">
        <f t="shared" si="9"/>
        <v>9.3287366733024166E-2</v>
      </c>
      <c r="F16" s="14">
        <v>0.71346153846153848</v>
      </c>
      <c r="G16" s="14">
        <v>0.84933774834437104</v>
      </c>
      <c r="H16" s="16">
        <f t="shared" si="4"/>
        <v>0.78139964340295476</v>
      </c>
      <c r="I16" s="16">
        <f t="shared" si="5"/>
        <v>9.6078989410077489E-2</v>
      </c>
      <c r="J16" s="14">
        <v>0.73099999999999998</v>
      </c>
      <c r="K16" s="14">
        <v>0.72499999999999998</v>
      </c>
      <c r="L16" s="15">
        <f t="shared" si="10"/>
        <v>0.72799999999999998</v>
      </c>
      <c r="M16" s="15">
        <f t="shared" si="11"/>
        <v>4.2426406871192892E-3</v>
      </c>
      <c r="N16" s="14">
        <v>0.32985318107667211</v>
      </c>
      <c r="O16" s="14">
        <v>0.22012578616352205</v>
      </c>
      <c r="P16" s="16">
        <f t="shared" si="6"/>
        <v>0.27498948362009706</v>
      </c>
      <c r="Q16" s="16">
        <f>STDEV(N16:O16)</f>
        <v>7.7588985025022691E-2</v>
      </c>
    </row>
    <row r="51" spans="1:9" ht="21" x14ac:dyDescent="0.3">
      <c r="B51" s="48" t="s">
        <v>11</v>
      </c>
      <c r="C51" s="48"/>
      <c r="D51" s="48"/>
      <c r="E51" s="48"/>
      <c r="F51" s="48" t="s">
        <v>6</v>
      </c>
      <c r="G51" s="48"/>
      <c r="H51" s="48"/>
      <c r="I51" s="48"/>
    </row>
    <row r="52" spans="1:9" x14ac:dyDescent="0.3">
      <c r="B52" s="44" t="s">
        <v>64</v>
      </c>
      <c r="C52" s="44"/>
      <c r="D52" s="44" t="s">
        <v>36</v>
      </c>
      <c r="E52" s="44"/>
      <c r="F52" s="44" t="s">
        <v>64</v>
      </c>
      <c r="G52" s="44"/>
      <c r="H52" s="44" t="s">
        <v>36</v>
      </c>
      <c r="I52" s="44"/>
    </row>
    <row r="53" spans="1:9" x14ac:dyDescent="0.3">
      <c r="A53" s="5" t="s">
        <v>35</v>
      </c>
      <c r="B53">
        <f>D3*100</f>
        <v>39.856234602959049</v>
      </c>
      <c r="C53">
        <f>E3*100</f>
        <v>10.480989603698447</v>
      </c>
      <c r="D53">
        <f>H3*100</f>
        <v>98.159585750826622</v>
      </c>
      <c r="E53">
        <f>I3*100</f>
        <v>9.4845566133325967</v>
      </c>
      <c r="F53">
        <f>L3*100</f>
        <v>87.35</v>
      </c>
      <c r="G53">
        <f>M3*100</f>
        <v>2.3334523779156089</v>
      </c>
      <c r="H53">
        <f>P3*100</f>
        <v>57.668684079562048</v>
      </c>
      <c r="I53">
        <f>Q3*100</f>
        <v>10.579755021846871</v>
      </c>
    </row>
    <row r="54" spans="1:9" x14ac:dyDescent="0.3">
      <c r="A54" s="5" t="s">
        <v>15</v>
      </c>
      <c r="B54">
        <f>D5*100</f>
        <v>26.793499361815076</v>
      </c>
      <c r="C54">
        <f>E5*100</f>
        <v>2.5488930999728567</v>
      </c>
      <c r="D54">
        <f>H5*100</f>
        <v>85.136319803629362</v>
      </c>
      <c r="E54">
        <f>I5*100</f>
        <v>0.15497211825776813</v>
      </c>
      <c r="F54">
        <f>L5*100</f>
        <v>43.05</v>
      </c>
      <c r="G54">
        <f>M5*100</f>
        <v>3.3234018715767761</v>
      </c>
      <c r="H54">
        <f>P5*100</f>
        <v>57.533851674641156</v>
      </c>
      <c r="I54">
        <f>Q5*100</f>
        <v>9.6394894048690372</v>
      </c>
    </row>
    <row r="55" spans="1:9" x14ac:dyDescent="0.3">
      <c r="A55" s="5" t="s">
        <v>16</v>
      </c>
      <c r="B55">
        <f>D7*100</f>
        <v>18.389168283728932</v>
      </c>
      <c r="C55">
        <f>E7*100</f>
        <v>1.0704961996074676</v>
      </c>
      <c r="D55">
        <f>H7*100</f>
        <v>81.675349375671871</v>
      </c>
      <c r="E55">
        <f>I7*100</f>
        <v>14.723351319174128</v>
      </c>
      <c r="F55">
        <f>L7*100</f>
        <v>66</v>
      </c>
      <c r="G55">
        <f>M7*100</f>
        <v>3.5355339059327409</v>
      </c>
      <c r="H55">
        <f>P7*100</f>
        <v>59.887903672729117</v>
      </c>
      <c r="I55">
        <f>Q7*100</f>
        <v>4.4626563796281298</v>
      </c>
    </row>
    <row r="56" spans="1:9" x14ac:dyDescent="0.3">
      <c r="A56" s="5" t="s">
        <v>17</v>
      </c>
      <c r="B56">
        <f>D4*100</f>
        <v>1.8592295425943539</v>
      </c>
      <c r="C56">
        <f>E4*100</f>
        <v>4.2777880767642898E-2</v>
      </c>
      <c r="D56">
        <f>H4*100</f>
        <v>81.058955412403691</v>
      </c>
      <c r="E56">
        <f>I4*100</f>
        <v>14.548295543832737</v>
      </c>
      <c r="F56">
        <f>L4*100</f>
        <v>1.5000000000000002</v>
      </c>
      <c r="G56">
        <f>M4*100</f>
        <v>0.28284271247461901</v>
      </c>
      <c r="H56">
        <f>P4*100</f>
        <v>78.882867685819718</v>
      </c>
      <c r="I56">
        <f>Q4*100</f>
        <v>12.64308415761618</v>
      </c>
    </row>
    <row r="57" spans="1:9" x14ac:dyDescent="0.3">
      <c r="A57" s="5" t="s">
        <v>18</v>
      </c>
      <c r="B57">
        <f>D9*100</f>
        <v>27.972023854087869</v>
      </c>
      <c r="C57">
        <f>E9*100</f>
        <v>1.5371670199217415</v>
      </c>
      <c r="D57">
        <f>H9*100</f>
        <v>84.832535885167488</v>
      </c>
      <c r="E57">
        <f>I9*100</f>
        <v>15.021789992671097</v>
      </c>
      <c r="F57">
        <f>L9*100</f>
        <v>35.949999999999996</v>
      </c>
      <c r="G57">
        <f>M9*100</f>
        <v>7.7074639149333786</v>
      </c>
      <c r="H57">
        <f>P9*100</f>
        <v>22.603490772214109</v>
      </c>
      <c r="I57">
        <f>Q9*100</f>
        <v>3.5373386141910301</v>
      </c>
    </row>
    <row r="58" spans="1:9" x14ac:dyDescent="0.3">
      <c r="A58" s="5" t="s">
        <v>19</v>
      </c>
      <c r="B58">
        <f>D6*100</f>
        <v>25.017947027350623</v>
      </c>
      <c r="C58">
        <f>E6*100</f>
        <v>6.301059155192112</v>
      </c>
      <c r="D58">
        <f>H6*100</f>
        <v>77.796400612095525</v>
      </c>
      <c r="E58">
        <f>I6*100</f>
        <v>14.408960974286261</v>
      </c>
      <c r="F58">
        <f>L6*100</f>
        <v>49.1</v>
      </c>
      <c r="G58">
        <f>M6*100</f>
        <v>2.2627416997969543</v>
      </c>
      <c r="H58">
        <f>P6*100</f>
        <v>25.453395990744731</v>
      </c>
      <c r="I58">
        <f>Q6*100</f>
        <v>13.694664749750773</v>
      </c>
    </row>
    <row r="59" spans="1:9" x14ac:dyDescent="0.3">
      <c r="A59" s="5" t="s">
        <v>20</v>
      </c>
      <c r="B59">
        <f>D8*100</f>
        <v>35.87016191107427</v>
      </c>
      <c r="C59">
        <f>E8*100</f>
        <v>2.6918116171606905</v>
      </c>
      <c r="D59">
        <f>H8*100</f>
        <v>38.004214150047481</v>
      </c>
      <c r="E59">
        <f>I8*100</f>
        <v>10.097508338418312</v>
      </c>
      <c r="F59">
        <f>L8*100</f>
        <v>47.424999999999997</v>
      </c>
      <c r="G59">
        <f>M8*100</f>
        <v>0.53033008588991115</v>
      </c>
      <c r="H59">
        <f>P8*100</f>
        <v>36.213650564768088</v>
      </c>
      <c r="I59">
        <f>Q8*100</f>
        <v>1.9644687311983839</v>
      </c>
    </row>
    <row r="60" spans="1:9" x14ac:dyDescent="0.3">
      <c r="A60" s="5" t="s">
        <v>21</v>
      </c>
      <c r="B60">
        <f t="shared" ref="B60:C65" si="12">D10*100</f>
        <v>38.4864322464502</v>
      </c>
      <c r="C60">
        <f t="shared" si="12"/>
        <v>5.1882306936352283</v>
      </c>
      <c r="D60">
        <f t="shared" ref="D60:E66" si="13">H10*100</f>
        <v>67.344695296975047</v>
      </c>
      <c r="E60">
        <f t="shared" si="13"/>
        <v>2.356254971289923</v>
      </c>
      <c r="F60">
        <f t="shared" ref="F60:G66" si="14">L10*100</f>
        <v>87.36</v>
      </c>
      <c r="G60">
        <f t="shared" si="14"/>
        <v>2.4890158697766478</v>
      </c>
      <c r="H60">
        <f t="shared" ref="H60:I66" si="15">P10*100</f>
        <v>11.964231354642314</v>
      </c>
      <c r="I60">
        <f t="shared" si="15"/>
        <v>1.6778987395278968</v>
      </c>
    </row>
    <row r="61" spans="1:9" x14ac:dyDescent="0.3">
      <c r="A61" s="5" t="s">
        <v>22</v>
      </c>
      <c r="B61">
        <f>D12*100</f>
        <v>28.327551746510711</v>
      </c>
      <c r="C61">
        <f>E12*100</f>
        <v>2.3081288903508677</v>
      </c>
      <c r="D61">
        <f>H12*100</f>
        <v>36.019656019656018</v>
      </c>
      <c r="E61">
        <f>I12*100</f>
        <v>14.628597291377716</v>
      </c>
      <c r="F61">
        <f>L12*100</f>
        <v>74.5</v>
      </c>
      <c r="G61">
        <f>M12*100</f>
        <v>6.3639610306789347</v>
      </c>
      <c r="H61">
        <f>P12*100</f>
        <v>26.04979793553413</v>
      </c>
      <c r="I61">
        <f>Q12*100</f>
        <v>12.685556938451528</v>
      </c>
    </row>
    <row r="62" spans="1:9" x14ac:dyDescent="0.3">
      <c r="A62" s="5" t="s">
        <v>23</v>
      </c>
      <c r="B62">
        <f>D11*100</f>
        <v>81.343623478631216</v>
      </c>
      <c r="C62">
        <f>E11*100</f>
        <v>2.8090442585124125</v>
      </c>
      <c r="D62">
        <f>H11*100</f>
        <v>81.003390149731615</v>
      </c>
      <c r="E62">
        <f>I11*100</f>
        <v>6.1694550595097084</v>
      </c>
      <c r="F62">
        <f>L11*100</f>
        <v>91.6</v>
      </c>
      <c r="G62">
        <f>M11*100</f>
        <v>6.7882250993908544</v>
      </c>
      <c r="H62">
        <f>P11*100</f>
        <v>19.390303427048877</v>
      </c>
      <c r="I62">
        <f>Q11*100</f>
        <v>6.0918850649253811</v>
      </c>
    </row>
    <row r="63" spans="1:9" x14ac:dyDescent="0.3">
      <c r="A63" s="5" t="s">
        <v>24</v>
      </c>
      <c r="B63">
        <f t="shared" si="12"/>
        <v>14.420390040598269</v>
      </c>
      <c r="C63">
        <f t="shared" si="12"/>
        <v>5.8252352738621838</v>
      </c>
      <c r="D63">
        <f t="shared" si="13"/>
        <v>72.417876241405651</v>
      </c>
      <c r="E63">
        <f t="shared" si="13"/>
        <v>14.806567511324145</v>
      </c>
      <c r="F63">
        <f t="shared" si="14"/>
        <v>63.149999999999991</v>
      </c>
      <c r="G63">
        <f t="shared" si="14"/>
        <v>2.6162950903902282</v>
      </c>
      <c r="H63">
        <f t="shared" si="15"/>
        <v>18.354356636271529</v>
      </c>
      <c r="I63">
        <f t="shared" si="15"/>
        <v>1.9905736489633434</v>
      </c>
    </row>
    <row r="64" spans="1:9" x14ac:dyDescent="0.3">
      <c r="A64" s="5" t="s">
        <v>25</v>
      </c>
      <c r="B64">
        <f t="shared" si="12"/>
        <v>35.854516376218825</v>
      </c>
      <c r="C64">
        <f t="shared" si="12"/>
        <v>3.1319005527005102</v>
      </c>
      <c r="D64">
        <f t="shared" si="13"/>
        <v>46.591273232215343</v>
      </c>
      <c r="E64">
        <f t="shared" si="13"/>
        <v>1.9694306045117651</v>
      </c>
      <c r="F64">
        <f t="shared" si="14"/>
        <v>67.835000000000008</v>
      </c>
      <c r="G64">
        <f t="shared" si="14"/>
        <v>3.3021886681411741</v>
      </c>
      <c r="H64">
        <f t="shared" si="15"/>
        <v>21.131462984723854</v>
      </c>
      <c r="I64">
        <f t="shared" si="15"/>
        <v>0.69318899201512907</v>
      </c>
    </row>
    <row r="65" spans="1:9" x14ac:dyDescent="0.3">
      <c r="A65" s="5" t="s">
        <v>26</v>
      </c>
      <c r="B65">
        <f t="shared" si="12"/>
        <v>58.723176840161429</v>
      </c>
      <c r="C65">
        <f t="shared" si="12"/>
        <v>2.2178272323371764</v>
      </c>
      <c r="D65">
        <f t="shared" si="13"/>
        <v>60.194702181947434</v>
      </c>
      <c r="E65">
        <f t="shared" si="13"/>
        <v>0.58846048014322083</v>
      </c>
      <c r="F65">
        <f t="shared" si="14"/>
        <v>87.314999999999998</v>
      </c>
      <c r="G65">
        <f t="shared" si="14"/>
        <v>3.9810111780802639</v>
      </c>
      <c r="H65">
        <f t="shared" si="15"/>
        <v>21.164021164021161</v>
      </c>
      <c r="I65">
        <f t="shared" si="15"/>
        <v>2.0203050891044185</v>
      </c>
    </row>
    <row r="66" spans="1:9" x14ac:dyDescent="0.3">
      <c r="A66" s="5" t="s">
        <v>27</v>
      </c>
      <c r="B66">
        <f>D16*100</f>
        <v>42.334181713106553</v>
      </c>
      <c r="C66">
        <f>E16*100</f>
        <v>9.3287366733024157</v>
      </c>
      <c r="D66">
        <f t="shared" si="13"/>
        <v>78.139964340295478</v>
      </c>
      <c r="E66">
        <f t="shared" si="13"/>
        <v>9.6078989410077487</v>
      </c>
      <c r="F66">
        <f t="shared" si="14"/>
        <v>72.8</v>
      </c>
      <c r="G66">
        <f t="shared" si="14"/>
        <v>0.4242640687119289</v>
      </c>
      <c r="H66">
        <f t="shared" si="15"/>
        <v>27.498948362009706</v>
      </c>
      <c r="I66">
        <f t="shared" si="15"/>
        <v>7.7588985025022694</v>
      </c>
    </row>
  </sheetData>
  <mergeCells count="8">
    <mergeCell ref="J1:Q1"/>
    <mergeCell ref="B1:I1"/>
    <mergeCell ref="B52:C52"/>
    <mergeCell ref="D52:E52"/>
    <mergeCell ref="F52:G52"/>
    <mergeCell ref="H52:I52"/>
    <mergeCell ref="F51:I51"/>
    <mergeCell ref="B51:E51"/>
  </mergeCells>
  <pageMargins left="0.7" right="0.7" top="0.75" bottom="0.75" header="0.3" footer="0.3"/>
  <pageSetup paperSize="9" orientation="portrait" horizontalDpi="360" verticalDpi="360" r:id="rId1"/>
  <drawing r:id="rId2"/>
  <legacyDrawing r:id="rId3"/>
  <oleObjects>
    <mc:AlternateContent xmlns:mc="http://schemas.openxmlformats.org/markup-compatibility/2006">
      <mc:Choice Requires="x14">
        <oleObject progId="ChemDraw.Document.6.0" shapeId="2049" r:id="rId4">
          <objectPr defaultSize="0" autoPict="0" r:id="rId5">
            <anchor moveWithCells="1" sizeWithCells="1">
              <from>
                <xdr:col>19</xdr:col>
                <xdr:colOff>213360</xdr:colOff>
                <xdr:row>0</xdr:row>
                <xdr:rowOff>160020</xdr:rowOff>
              </from>
              <to>
                <xdr:col>24</xdr:col>
                <xdr:colOff>121920</xdr:colOff>
                <xdr:row>5</xdr:row>
                <xdr:rowOff>22860</xdr:rowOff>
              </to>
            </anchor>
          </objectPr>
        </oleObject>
      </mc:Choice>
      <mc:Fallback>
        <oleObject progId="ChemDraw.Document.6.0" shapeId="2049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24176-1118-4CF9-B8DE-81B569A8EE3B}">
  <dimension ref="A1:J41"/>
  <sheetViews>
    <sheetView zoomScale="70" zoomScaleNormal="70" workbookViewId="0"/>
  </sheetViews>
  <sheetFormatPr baseColWidth="10" defaultColWidth="8.88671875" defaultRowHeight="14.4" x14ac:dyDescent="0.3"/>
  <sheetData>
    <row r="1" spans="1:10" ht="18" x14ac:dyDescent="0.3">
      <c r="C1" s="49" t="s">
        <v>11</v>
      </c>
      <c r="D1" s="49"/>
      <c r="E1" s="49"/>
      <c r="F1" s="49"/>
      <c r="G1" s="49" t="s">
        <v>6</v>
      </c>
      <c r="H1" s="49"/>
      <c r="I1" s="49"/>
      <c r="J1" s="49"/>
    </row>
    <row r="2" spans="1:10" x14ac:dyDescent="0.3">
      <c r="B2" t="s">
        <v>39</v>
      </c>
      <c r="C2" t="s">
        <v>29</v>
      </c>
      <c r="D2" t="s">
        <v>30</v>
      </c>
      <c r="E2" t="s">
        <v>28</v>
      </c>
      <c r="F2" t="s">
        <v>10</v>
      </c>
      <c r="G2" t="s">
        <v>29</v>
      </c>
      <c r="H2" t="s">
        <v>30</v>
      </c>
      <c r="I2" t="s">
        <v>28</v>
      </c>
      <c r="J2" t="s">
        <v>10</v>
      </c>
    </row>
    <row r="3" spans="1:10" x14ac:dyDescent="0.3">
      <c r="A3" s="50" t="s">
        <v>58</v>
      </c>
      <c r="B3">
        <v>16</v>
      </c>
      <c r="C3" s="3">
        <v>0.95</v>
      </c>
      <c r="D3" s="3">
        <v>0.98</v>
      </c>
      <c r="E3" s="3">
        <f>AVERAGE(C3:D3)</f>
        <v>0.96499999999999997</v>
      </c>
      <c r="F3" s="3">
        <f>STDEV(C3:D3)</f>
        <v>2.1213203435596444E-2</v>
      </c>
      <c r="G3" s="3">
        <v>0.99</v>
      </c>
      <c r="H3" s="3">
        <v>0.96</v>
      </c>
      <c r="I3" s="3">
        <f>AVERAGE(G3:H3)</f>
        <v>0.97499999999999998</v>
      </c>
      <c r="J3" s="3">
        <f>STDEV(G3:H3)</f>
        <v>2.1213203435596444E-2</v>
      </c>
    </row>
    <row r="4" spans="1:10" x14ac:dyDescent="0.3">
      <c r="A4" s="50"/>
      <c r="B4">
        <v>24</v>
      </c>
      <c r="C4" s="3">
        <v>0.94</v>
      </c>
      <c r="D4" s="3">
        <v>0.99</v>
      </c>
      <c r="E4" s="3">
        <f t="shared" ref="E4:E6" si="0">AVERAGE(C4:D4)</f>
        <v>0.96499999999999997</v>
      </c>
      <c r="F4" s="3">
        <f t="shared" ref="F4:F6" si="1">STDEV(C4:D4)</f>
        <v>3.5355339059327411E-2</v>
      </c>
      <c r="G4" s="3">
        <v>0.99</v>
      </c>
      <c r="H4" s="3">
        <v>0.97</v>
      </c>
      <c r="I4" s="3">
        <f t="shared" ref="I4:I6" si="2">AVERAGE(G4:H4)</f>
        <v>0.98</v>
      </c>
      <c r="J4" s="3">
        <f t="shared" ref="J4:J6" si="3">STDEV(G4:H4)</f>
        <v>1.4142135623730963E-2</v>
      </c>
    </row>
    <row r="5" spans="1:10" x14ac:dyDescent="0.3">
      <c r="A5" s="50"/>
      <c r="B5">
        <v>48</v>
      </c>
      <c r="C5" s="3">
        <v>0.96</v>
      </c>
      <c r="D5" s="3">
        <v>0.99</v>
      </c>
      <c r="E5" s="3">
        <f t="shared" si="0"/>
        <v>0.97499999999999998</v>
      </c>
      <c r="F5" s="3">
        <f t="shared" si="1"/>
        <v>2.1213203435596444E-2</v>
      </c>
      <c r="G5" s="3">
        <v>0.98</v>
      </c>
      <c r="H5" s="3">
        <v>0.99</v>
      </c>
      <c r="I5" s="3">
        <f t="shared" si="2"/>
        <v>0.98499999999999999</v>
      </c>
      <c r="J5" s="3">
        <f t="shared" si="3"/>
        <v>7.0710678118654814E-3</v>
      </c>
    </row>
    <row r="6" spans="1:10" x14ac:dyDescent="0.3">
      <c r="A6" s="50"/>
      <c r="B6">
        <v>72</v>
      </c>
      <c r="C6" s="3">
        <v>0.99</v>
      </c>
      <c r="D6" s="3">
        <v>0.98</v>
      </c>
      <c r="E6" s="3">
        <f t="shared" si="0"/>
        <v>0.98499999999999999</v>
      </c>
      <c r="F6" s="3">
        <f t="shared" si="1"/>
        <v>7.0710678118654814E-3</v>
      </c>
      <c r="G6" s="3">
        <v>0.98</v>
      </c>
      <c r="H6" s="3">
        <v>0.99</v>
      </c>
      <c r="I6" s="3">
        <f t="shared" si="2"/>
        <v>0.98499999999999999</v>
      </c>
      <c r="J6" s="3">
        <f t="shared" si="3"/>
        <v>7.0710678118654814E-3</v>
      </c>
    </row>
    <row r="7" spans="1:10" ht="14.55" customHeight="1" x14ac:dyDescent="0.3">
      <c r="A7" s="50" t="s">
        <v>59</v>
      </c>
      <c r="B7">
        <v>16</v>
      </c>
      <c r="C7" s="9">
        <v>0.56999999999999995</v>
      </c>
      <c r="D7" s="9">
        <v>0.4</v>
      </c>
      <c r="E7" s="3">
        <f>AVERAGE(C7:D7)</f>
        <v>0.48499999999999999</v>
      </c>
      <c r="F7" s="3">
        <f>STDEV(C7:D7)</f>
        <v>0.12020815280171315</v>
      </c>
      <c r="G7" s="8">
        <v>0.97</v>
      </c>
      <c r="H7" s="3">
        <v>0.95</v>
      </c>
      <c r="I7" s="3">
        <v>0.94499999999999995</v>
      </c>
      <c r="J7" s="3">
        <f>STDEV(G7:H7)</f>
        <v>1.4142135623730963E-2</v>
      </c>
    </row>
    <row r="8" spans="1:10" x14ac:dyDescent="0.3">
      <c r="A8" s="50"/>
      <c r="B8">
        <v>24</v>
      </c>
      <c r="C8" s="9">
        <v>0.92</v>
      </c>
      <c r="D8" s="9">
        <v>0.93</v>
      </c>
      <c r="E8" s="3">
        <f t="shared" ref="E8:E10" si="4">AVERAGE(C8:D8)</f>
        <v>0.92500000000000004</v>
      </c>
      <c r="F8" s="3">
        <f t="shared" ref="F8:F18" si="5">STDEV(C8:D8)</f>
        <v>7.0710678118654814E-3</v>
      </c>
      <c r="G8" s="8">
        <v>0.98</v>
      </c>
      <c r="H8" s="3">
        <v>0.98</v>
      </c>
      <c r="I8" s="3">
        <v>0.96799999999999997</v>
      </c>
      <c r="J8" s="3">
        <f t="shared" ref="J8:J10" si="6">STDEV(G8:H8)</f>
        <v>0</v>
      </c>
    </row>
    <row r="9" spans="1:10" x14ac:dyDescent="0.3">
      <c r="A9" s="50"/>
      <c r="B9">
        <v>48</v>
      </c>
      <c r="C9" s="9">
        <v>0.97</v>
      </c>
      <c r="D9" s="9">
        <v>0.96</v>
      </c>
      <c r="E9" s="3">
        <f t="shared" si="4"/>
        <v>0.96499999999999997</v>
      </c>
      <c r="F9" s="3">
        <f t="shared" si="5"/>
        <v>7.0710678118654814E-3</v>
      </c>
      <c r="G9" s="8">
        <v>0.95</v>
      </c>
      <c r="H9" s="3">
        <v>0.99</v>
      </c>
      <c r="I9" s="3">
        <v>0.97199999999999998</v>
      </c>
      <c r="J9" s="3">
        <f t="shared" si="6"/>
        <v>2.8284271247461926E-2</v>
      </c>
    </row>
    <row r="10" spans="1:10" x14ac:dyDescent="0.3">
      <c r="A10" s="50"/>
      <c r="B10">
        <v>72</v>
      </c>
      <c r="C10" s="9">
        <v>0.99</v>
      </c>
      <c r="D10" s="9">
        <v>0.98</v>
      </c>
      <c r="E10" s="3">
        <f t="shared" si="4"/>
        <v>0.98499999999999999</v>
      </c>
      <c r="F10" s="3">
        <f t="shared" si="5"/>
        <v>7.0710678118654814E-3</v>
      </c>
      <c r="G10" s="8">
        <v>0.9</v>
      </c>
      <c r="H10" s="3">
        <v>0.98</v>
      </c>
      <c r="I10" s="3">
        <f t="shared" ref="I10" si="7">AVERAGE(G10:H10)</f>
        <v>0.94</v>
      </c>
      <c r="J10" s="3">
        <f t="shared" si="6"/>
        <v>5.6568542494923775E-2</v>
      </c>
    </row>
    <row r="11" spans="1:10" ht="14.55" customHeight="1" x14ac:dyDescent="0.3">
      <c r="A11" s="50" t="s">
        <v>60</v>
      </c>
      <c r="B11">
        <v>16</v>
      </c>
      <c r="C11" s="3">
        <v>0.37</v>
      </c>
      <c r="D11" s="9">
        <v>0.26</v>
      </c>
      <c r="E11" s="3">
        <f>AVERAGE(C11:D11)</f>
        <v>0.315</v>
      </c>
      <c r="F11" s="3">
        <f>STDEV(C11:D11)</f>
        <v>7.778174593052023E-2</v>
      </c>
      <c r="G11" s="8">
        <v>0.874</v>
      </c>
      <c r="H11" s="8">
        <v>0.79</v>
      </c>
      <c r="I11" s="3">
        <f>AVERAGE(G11:H11)</f>
        <v>0.83200000000000007</v>
      </c>
      <c r="J11" s="3">
        <f>STDEV(G11:H11)</f>
        <v>5.9396969619669969E-2</v>
      </c>
    </row>
    <row r="12" spans="1:10" x14ac:dyDescent="0.3">
      <c r="A12" s="50"/>
      <c r="B12">
        <v>24</v>
      </c>
      <c r="C12" s="3">
        <v>0.66</v>
      </c>
      <c r="D12" s="9">
        <v>0.7</v>
      </c>
      <c r="E12" s="3">
        <f>AVERAGE(C12:D12)</f>
        <v>0.67999999999999994</v>
      </c>
      <c r="F12" s="3">
        <f>STDEV(C12:D12)</f>
        <v>2.8284271247461849E-2</v>
      </c>
      <c r="G12" s="8">
        <v>0.86</v>
      </c>
      <c r="H12" s="8">
        <v>0.84</v>
      </c>
      <c r="I12" s="3">
        <f t="shared" ref="I12:I14" si="8">AVERAGE(G12:H12)</f>
        <v>0.85</v>
      </c>
      <c r="J12" s="3">
        <f t="shared" ref="J12:J18" si="9">STDEV(G12:H12)</f>
        <v>1.4142135623730963E-2</v>
      </c>
    </row>
    <row r="13" spans="1:10" x14ac:dyDescent="0.3">
      <c r="A13" s="50"/>
      <c r="B13">
        <v>48</v>
      </c>
      <c r="C13" s="3">
        <v>0.8</v>
      </c>
      <c r="D13" s="9">
        <v>0.78</v>
      </c>
      <c r="E13" s="3">
        <f>AVERAGE(C13:D13)</f>
        <v>0.79</v>
      </c>
      <c r="F13" s="3">
        <f>STDEV(C13:D13)</f>
        <v>1.4142135623730963E-2</v>
      </c>
      <c r="G13" s="8">
        <v>0.84</v>
      </c>
      <c r="H13" s="8">
        <v>0.92</v>
      </c>
      <c r="I13" s="3">
        <f t="shared" si="8"/>
        <v>0.88</v>
      </c>
      <c r="J13" s="3">
        <f t="shared" si="9"/>
        <v>5.6568542494923851E-2</v>
      </c>
    </row>
    <row r="14" spans="1:10" x14ac:dyDescent="0.3">
      <c r="A14" s="50"/>
      <c r="B14">
        <v>72</v>
      </c>
      <c r="C14" s="3">
        <v>0.92</v>
      </c>
      <c r="D14" s="3">
        <v>0.92</v>
      </c>
      <c r="E14" s="3">
        <f>AVERAGE(C14:D14)</f>
        <v>0.92</v>
      </c>
      <c r="F14" s="3">
        <f>STDEV(C14:D14)</f>
        <v>0</v>
      </c>
      <c r="G14" s="8">
        <v>0.87</v>
      </c>
      <c r="H14" s="8">
        <v>0.92</v>
      </c>
      <c r="I14" s="3">
        <f t="shared" si="8"/>
        <v>0.89500000000000002</v>
      </c>
      <c r="J14" s="3">
        <f t="shared" si="9"/>
        <v>3.5355339059327411E-2</v>
      </c>
    </row>
    <row r="15" spans="1:10" ht="12.45" customHeight="1" x14ac:dyDescent="0.3">
      <c r="A15" s="50" t="s">
        <v>61</v>
      </c>
      <c r="B15">
        <v>16</v>
      </c>
      <c r="C15" s="3">
        <v>0</v>
      </c>
      <c r="D15" s="3">
        <v>0</v>
      </c>
      <c r="E15" s="3">
        <f t="shared" ref="E15:E18" si="10">AVERAGE(C15:D15)</f>
        <v>0</v>
      </c>
      <c r="F15" s="3">
        <f t="shared" si="5"/>
        <v>0</v>
      </c>
      <c r="G15" s="3">
        <v>2.3E-3</v>
      </c>
      <c r="H15" s="3">
        <v>2.7000000000000001E-3</v>
      </c>
      <c r="I15" s="3">
        <f>AVERAGE(G15:H15)</f>
        <v>2.5000000000000001E-3</v>
      </c>
      <c r="J15" s="3">
        <f t="shared" si="9"/>
        <v>2.8284271247461912E-4</v>
      </c>
    </row>
    <row r="16" spans="1:10" x14ac:dyDescent="0.3">
      <c r="A16" s="50"/>
      <c r="B16">
        <v>24</v>
      </c>
      <c r="C16" s="3">
        <v>2.3599999999999999E-2</v>
      </c>
      <c r="D16" s="3">
        <v>2.9600000000000001E-2</v>
      </c>
      <c r="E16" s="3">
        <f t="shared" si="10"/>
        <v>2.6599999999999999E-2</v>
      </c>
      <c r="F16" s="3">
        <f t="shared" si="5"/>
        <v>4.2426406871192866E-3</v>
      </c>
      <c r="G16" s="3">
        <v>0.53300000000000003</v>
      </c>
      <c r="H16" s="3">
        <v>0.56599999999999995</v>
      </c>
      <c r="I16" s="3">
        <f t="shared" ref="I16:I18" si="11">AVERAGE(G16:H16)</f>
        <v>0.54949999999999999</v>
      </c>
      <c r="J16" s="3">
        <f t="shared" si="9"/>
        <v>2.333452377915601E-2</v>
      </c>
    </row>
    <row r="17" spans="1:10" x14ac:dyDescent="0.3">
      <c r="A17" s="50"/>
      <c r="B17">
        <v>48</v>
      </c>
      <c r="C17" s="3">
        <v>0.02</v>
      </c>
      <c r="D17" s="3">
        <v>0.03</v>
      </c>
      <c r="E17" s="3">
        <f t="shared" si="10"/>
        <v>2.5000000000000001E-2</v>
      </c>
      <c r="F17" s="3">
        <f t="shared" si="5"/>
        <v>7.0710678118654537E-3</v>
      </c>
      <c r="G17" s="3">
        <v>0.55600000000000005</v>
      </c>
      <c r="H17" s="3">
        <v>0.57999999999999996</v>
      </c>
      <c r="I17" s="3">
        <f t="shared" si="11"/>
        <v>0.56800000000000006</v>
      </c>
      <c r="J17" s="3">
        <f t="shared" si="9"/>
        <v>1.6970562748477077E-2</v>
      </c>
    </row>
    <row r="18" spans="1:10" x14ac:dyDescent="0.3">
      <c r="A18" s="50"/>
      <c r="B18">
        <v>72</v>
      </c>
      <c r="C18" s="3">
        <v>2.7E-2</v>
      </c>
      <c r="D18" s="3">
        <v>2.1000000000000001E-2</v>
      </c>
      <c r="E18" s="3">
        <f t="shared" si="10"/>
        <v>2.4E-2</v>
      </c>
      <c r="F18" s="3">
        <f t="shared" si="5"/>
        <v>4.242640687119284E-3</v>
      </c>
      <c r="G18" s="3">
        <v>0.54779999999999995</v>
      </c>
      <c r="H18" s="3">
        <v>0.67600000000000005</v>
      </c>
      <c r="I18" s="3">
        <f t="shared" si="11"/>
        <v>0.6119</v>
      </c>
      <c r="J18" s="3">
        <f t="shared" si="9"/>
        <v>9.0651089348115596E-2</v>
      </c>
    </row>
    <row r="22" spans="1:10" x14ac:dyDescent="0.3">
      <c r="B22" t="s">
        <v>39</v>
      </c>
      <c r="C22" s="44" t="s">
        <v>11</v>
      </c>
      <c r="D22" s="44"/>
      <c r="E22" s="45" t="s">
        <v>6</v>
      </c>
      <c r="F22" s="45"/>
    </row>
    <row r="23" spans="1:10" x14ac:dyDescent="0.3">
      <c r="A23" s="50" t="s">
        <v>58</v>
      </c>
      <c r="B23" s="2">
        <v>16</v>
      </c>
      <c r="C23" s="2">
        <f t="shared" ref="C23:C38" si="12">E3*100</f>
        <v>96.5</v>
      </c>
      <c r="D23" s="2">
        <f t="shared" ref="D23:D38" si="13">F3*100</f>
        <v>2.1213203435596446</v>
      </c>
      <c r="E23" s="2">
        <f t="shared" ref="E23:E38" si="14">I3*100</f>
        <v>97.5</v>
      </c>
      <c r="F23" s="2">
        <f t="shared" ref="F23:F38" si="15">J3*100</f>
        <v>2.1213203435596446</v>
      </c>
      <c r="G23" s="2"/>
    </row>
    <row r="24" spans="1:10" x14ac:dyDescent="0.3">
      <c r="A24" s="50"/>
      <c r="B24" s="2">
        <v>24</v>
      </c>
      <c r="C24" s="2">
        <f t="shared" si="12"/>
        <v>96.5</v>
      </c>
      <c r="D24" s="2">
        <f t="shared" si="13"/>
        <v>3.5355339059327409</v>
      </c>
      <c r="E24" s="2">
        <f t="shared" si="14"/>
        <v>98</v>
      </c>
      <c r="F24" s="2">
        <f t="shared" si="15"/>
        <v>1.4142135623730963</v>
      </c>
      <c r="G24" s="2"/>
    </row>
    <row r="25" spans="1:10" x14ac:dyDescent="0.3">
      <c r="A25" s="50"/>
      <c r="B25" s="2">
        <v>48</v>
      </c>
      <c r="C25" s="2">
        <f t="shared" si="12"/>
        <v>97.5</v>
      </c>
      <c r="D25" s="2">
        <f t="shared" si="13"/>
        <v>2.1213203435596446</v>
      </c>
      <c r="E25" s="2">
        <f t="shared" si="14"/>
        <v>98.5</v>
      </c>
      <c r="F25" s="2">
        <f t="shared" si="15"/>
        <v>0.70710678118654813</v>
      </c>
      <c r="G25" s="2"/>
    </row>
    <row r="26" spans="1:10" x14ac:dyDescent="0.3">
      <c r="A26" s="50"/>
      <c r="B26" s="2">
        <v>72</v>
      </c>
      <c r="C26" s="2">
        <f t="shared" si="12"/>
        <v>98.5</v>
      </c>
      <c r="D26" s="2">
        <f t="shared" si="13"/>
        <v>0.70710678118654813</v>
      </c>
      <c r="E26" s="2">
        <f t="shared" si="14"/>
        <v>98.5</v>
      </c>
      <c r="F26" s="2">
        <f t="shared" si="15"/>
        <v>0.70710678118654813</v>
      </c>
      <c r="G26" s="2"/>
    </row>
    <row r="27" spans="1:10" x14ac:dyDescent="0.3">
      <c r="A27" s="50" t="s">
        <v>59</v>
      </c>
      <c r="B27" s="2">
        <v>16</v>
      </c>
      <c r="C27" s="2">
        <f t="shared" si="12"/>
        <v>48.5</v>
      </c>
      <c r="D27" s="2">
        <f t="shared" si="13"/>
        <v>12.020815280171316</v>
      </c>
      <c r="E27" s="2">
        <f t="shared" si="14"/>
        <v>94.5</v>
      </c>
      <c r="F27" s="2">
        <f t="shared" si="15"/>
        <v>1.4142135623730963</v>
      </c>
      <c r="G27" s="2"/>
    </row>
    <row r="28" spans="1:10" x14ac:dyDescent="0.3">
      <c r="A28" s="50"/>
      <c r="B28" s="2">
        <v>24</v>
      </c>
      <c r="C28" s="2">
        <f t="shared" si="12"/>
        <v>92.5</v>
      </c>
      <c r="D28" s="2">
        <f t="shared" si="13"/>
        <v>0.70710678118654813</v>
      </c>
      <c r="E28" s="2">
        <f t="shared" si="14"/>
        <v>96.8</v>
      </c>
      <c r="F28" s="2">
        <f t="shared" si="15"/>
        <v>0</v>
      </c>
      <c r="G28" s="2"/>
    </row>
    <row r="29" spans="1:10" x14ac:dyDescent="0.3">
      <c r="A29" s="50"/>
      <c r="B29" s="2">
        <v>48</v>
      </c>
      <c r="C29" s="2">
        <f t="shared" si="12"/>
        <v>96.5</v>
      </c>
      <c r="D29" s="2">
        <f t="shared" si="13"/>
        <v>0.70710678118654813</v>
      </c>
      <c r="E29" s="2">
        <f t="shared" si="14"/>
        <v>97.2</v>
      </c>
      <c r="F29" s="2">
        <f t="shared" si="15"/>
        <v>2.8284271247461925</v>
      </c>
      <c r="G29" s="2"/>
    </row>
    <row r="30" spans="1:10" x14ac:dyDescent="0.3">
      <c r="A30" s="50"/>
      <c r="B30" s="2">
        <v>72</v>
      </c>
      <c r="C30" s="2">
        <f t="shared" si="12"/>
        <v>98.5</v>
      </c>
      <c r="D30" s="2">
        <f t="shared" si="13"/>
        <v>0.70710678118654813</v>
      </c>
      <c r="E30" s="2">
        <f t="shared" si="14"/>
        <v>94</v>
      </c>
      <c r="F30" s="2">
        <f t="shared" si="15"/>
        <v>5.6568542494923779</v>
      </c>
      <c r="G30" s="2"/>
    </row>
    <row r="31" spans="1:10" x14ac:dyDescent="0.3">
      <c r="A31" s="50" t="s">
        <v>60</v>
      </c>
      <c r="B31" s="2">
        <v>16</v>
      </c>
      <c r="C31" s="2">
        <f t="shared" si="12"/>
        <v>31.5</v>
      </c>
      <c r="D31" s="2">
        <f t="shared" si="13"/>
        <v>7.7781745930520234</v>
      </c>
      <c r="E31" s="2">
        <f t="shared" si="14"/>
        <v>83.2</v>
      </c>
      <c r="F31" s="2">
        <f t="shared" si="15"/>
        <v>5.9396969619669973</v>
      </c>
      <c r="G31" s="2"/>
    </row>
    <row r="32" spans="1:10" x14ac:dyDescent="0.3">
      <c r="A32" s="50"/>
      <c r="B32" s="2">
        <v>24</v>
      </c>
      <c r="C32" s="2">
        <f t="shared" si="12"/>
        <v>68</v>
      </c>
      <c r="D32" s="2">
        <f t="shared" si="13"/>
        <v>2.828427124746185</v>
      </c>
      <c r="E32" s="2">
        <f t="shared" si="14"/>
        <v>85</v>
      </c>
      <c r="F32" s="2">
        <f t="shared" si="15"/>
        <v>1.4142135623730963</v>
      </c>
      <c r="G32" s="2"/>
    </row>
    <row r="33" spans="1:7" x14ac:dyDescent="0.3">
      <c r="A33" s="50"/>
      <c r="B33" s="2">
        <v>48</v>
      </c>
      <c r="C33" s="2">
        <f t="shared" si="12"/>
        <v>79</v>
      </c>
      <c r="D33" s="2">
        <f t="shared" si="13"/>
        <v>1.4142135623730963</v>
      </c>
      <c r="E33" s="2">
        <f t="shared" si="14"/>
        <v>88</v>
      </c>
      <c r="F33" s="2">
        <f t="shared" si="15"/>
        <v>5.656854249492385</v>
      </c>
      <c r="G33" s="2"/>
    </row>
    <row r="34" spans="1:7" x14ac:dyDescent="0.3">
      <c r="A34" s="50"/>
      <c r="B34" s="2">
        <v>72</v>
      </c>
      <c r="C34" s="2">
        <f t="shared" si="12"/>
        <v>92</v>
      </c>
      <c r="D34" s="2">
        <f t="shared" si="13"/>
        <v>0</v>
      </c>
      <c r="E34" s="2">
        <f t="shared" si="14"/>
        <v>89.5</v>
      </c>
      <c r="F34" s="2">
        <f t="shared" si="15"/>
        <v>3.5355339059327409</v>
      </c>
      <c r="G34" s="2"/>
    </row>
    <row r="35" spans="1:7" x14ac:dyDescent="0.3">
      <c r="A35" s="50" t="s">
        <v>61</v>
      </c>
      <c r="B35" s="2">
        <v>16</v>
      </c>
      <c r="C35" s="2">
        <f t="shared" si="12"/>
        <v>0</v>
      </c>
      <c r="D35" s="2">
        <f t="shared" si="13"/>
        <v>0</v>
      </c>
      <c r="E35" s="2">
        <f t="shared" si="14"/>
        <v>0.25</v>
      </c>
      <c r="F35" s="2">
        <f t="shared" si="15"/>
        <v>2.8284271247461912E-2</v>
      </c>
      <c r="G35" s="2"/>
    </row>
    <row r="36" spans="1:7" x14ac:dyDescent="0.3">
      <c r="A36" s="50"/>
      <c r="B36" s="2">
        <v>24</v>
      </c>
      <c r="C36" s="2">
        <f t="shared" si="12"/>
        <v>2.6599999999999997</v>
      </c>
      <c r="D36" s="2">
        <f t="shared" si="13"/>
        <v>0.42426406871192868</v>
      </c>
      <c r="E36" s="2">
        <f t="shared" si="14"/>
        <v>54.949999999999996</v>
      </c>
      <c r="F36" s="2">
        <f t="shared" si="15"/>
        <v>2.3334523779156009</v>
      </c>
      <c r="G36" s="2"/>
    </row>
    <row r="37" spans="1:7" x14ac:dyDescent="0.3">
      <c r="A37" s="50"/>
      <c r="B37" s="2">
        <v>48</v>
      </c>
      <c r="C37" s="2">
        <f t="shared" si="12"/>
        <v>2.5</v>
      </c>
      <c r="D37" s="2">
        <f t="shared" si="13"/>
        <v>0.70710678118654535</v>
      </c>
      <c r="E37" s="2">
        <f t="shared" si="14"/>
        <v>56.800000000000004</v>
      </c>
      <c r="F37" s="2">
        <f t="shared" si="15"/>
        <v>1.6970562748477076</v>
      </c>
      <c r="G37" s="2"/>
    </row>
    <row r="38" spans="1:7" x14ac:dyDescent="0.3">
      <c r="A38" s="50"/>
      <c r="B38" s="2">
        <v>72</v>
      </c>
      <c r="C38" s="2">
        <f t="shared" si="12"/>
        <v>2.4</v>
      </c>
      <c r="D38" s="2">
        <f t="shared" si="13"/>
        <v>0.4242640687119284</v>
      </c>
      <c r="E38" s="2">
        <f t="shared" si="14"/>
        <v>61.19</v>
      </c>
      <c r="F38" s="2">
        <f t="shared" si="15"/>
        <v>9.0651089348115601</v>
      </c>
      <c r="G38" s="2"/>
    </row>
    <row r="39" spans="1:7" x14ac:dyDescent="0.3">
      <c r="D39" s="3"/>
    </row>
    <row r="40" spans="1:7" x14ac:dyDescent="0.3">
      <c r="D40" s="3"/>
    </row>
    <row r="41" spans="1:7" x14ac:dyDescent="0.3">
      <c r="D41" s="3"/>
      <c r="E41" s="3"/>
    </row>
  </sheetData>
  <mergeCells count="12">
    <mergeCell ref="A35:A38"/>
    <mergeCell ref="E22:F22"/>
    <mergeCell ref="C22:D22"/>
    <mergeCell ref="A23:A26"/>
    <mergeCell ref="A27:A30"/>
    <mergeCell ref="A31:A34"/>
    <mergeCell ref="G1:J1"/>
    <mergeCell ref="A3:A6"/>
    <mergeCell ref="A11:A14"/>
    <mergeCell ref="A15:A18"/>
    <mergeCell ref="C1:F1"/>
    <mergeCell ref="A7:A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70FAA-F6B2-40C7-9D79-71247B1F5BCA}">
  <dimension ref="A1:N32"/>
  <sheetViews>
    <sheetView zoomScale="75" workbookViewId="0"/>
  </sheetViews>
  <sheetFormatPr baseColWidth="10" defaultColWidth="8.77734375" defaultRowHeight="14.4" x14ac:dyDescent="0.3"/>
  <cols>
    <col min="1" max="1" width="8.5546875" style="2" bestFit="1" customWidth="1"/>
    <col min="2" max="2" width="13.6640625" style="2" bestFit="1" customWidth="1"/>
    <col min="3" max="3" width="19.5546875" style="2" bestFit="1" customWidth="1"/>
    <col min="4" max="4" width="10.6640625" style="2" bestFit="1" customWidth="1"/>
    <col min="5" max="5" width="14.77734375" style="2" bestFit="1" customWidth="1"/>
    <col min="6" max="6" width="11.33203125" style="2" bestFit="1" customWidth="1"/>
    <col min="7" max="16384" width="8.77734375" style="2"/>
  </cols>
  <sheetData>
    <row r="1" spans="1:9" x14ac:dyDescent="0.3">
      <c r="A1" s="2" t="s">
        <v>14</v>
      </c>
    </row>
    <row r="2" spans="1:9" x14ac:dyDescent="0.3">
      <c r="A2" s="2" t="s">
        <v>65</v>
      </c>
      <c r="B2" s="2" t="s">
        <v>67</v>
      </c>
      <c r="C2" s="2" t="s">
        <v>66</v>
      </c>
      <c r="D2" s="2" t="s">
        <v>69</v>
      </c>
      <c r="E2" s="2" t="s">
        <v>68</v>
      </c>
    </row>
    <row r="3" spans="1:9" x14ac:dyDescent="0.3">
      <c r="A3" s="2">
        <v>2.9</v>
      </c>
      <c r="B3" s="2">
        <v>33</v>
      </c>
      <c r="C3" s="18">
        <v>0</v>
      </c>
      <c r="D3" s="18">
        <v>0.752</v>
      </c>
      <c r="E3" s="18">
        <v>0.248</v>
      </c>
    </row>
    <row r="4" spans="1:9" x14ac:dyDescent="0.3">
      <c r="A4" s="2">
        <v>2.9</v>
      </c>
      <c r="B4" s="2">
        <v>20</v>
      </c>
      <c r="C4" s="18">
        <v>0</v>
      </c>
      <c r="D4" s="18">
        <v>0.91900000000000004</v>
      </c>
      <c r="E4" s="18">
        <v>8.1000000000000003E-2</v>
      </c>
    </row>
    <row r="5" spans="1:9" x14ac:dyDescent="0.3">
      <c r="A5" s="2">
        <v>2.9</v>
      </c>
      <c r="B5" s="2">
        <v>10</v>
      </c>
      <c r="C5" s="19">
        <v>0.02</v>
      </c>
      <c r="D5" s="19">
        <v>0.98</v>
      </c>
      <c r="E5" s="19">
        <v>0</v>
      </c>
    </row>
    <row r="6" spans="1:9" x14ac:dyDescent="0.3">
      <c r="A6" s="20">
        <v>5.8</v>
      </c>
      <c r="B6" s="20">
        <v>33</v>
      </c>
      <c r="C6" s="21">
        <v>0</v>
      </c>
      <c r="D6" s="22">
        <v>0.79699999999999993</v>
      </c>
      <c r="E6" s="22">
        <v>0.20300000000000001</v>
      </c>
    </row>
    <row r="7" spans="1:9" x14ac:dyDescent="0.3">
      <c r="A7" s="20">
        <v>5.8</v>
      </c>
      <c r="B7" s="20">
        <v>20</v>
      </c>
      <c r="C7" s="21">
        <v>0</v>
      </c>
      <c r="D7" s="22">
        <v>0.89100000000000001</v>
      </c>
      <c r="E7" s="22">
        <v>0.109</v>
      </c>
    </row>
    <row r="8" spans="1:9" x14ac:dyDescent="0.3">
      <c r="A8" s="20">
        <v>5.8</v>
      </c>
      <c r="B8" s="20">
        <v>10</v>
      </c>
      <c r="C8" s="21">
        <v>0</v>
      </c>
      <c r="D8" s="23">
        <v>0.99</v>
      </c>
      <c r="E8" s="23">
        <v>0</v>
      </c>
    </row>
    <row r="9" spans="1:9" x14ac:dyDescent="0.3">
      <c r="C9" s="20"/>
    </row>
    <row r="10" spans="1:9" x14ac:dyDescent="0.3">
      <c r="A10" s="2" t="s">
        <v>6</v>
      </c>
    </row>
    <row r="11" spans="1:9" x14ac:dyDescent="0.3">
      <c r="A11" s="2" t="s">
        <v>65</v>
      </c>
      <c r="B11" s="2" t="s">
        <v>67</v>
      </c>
      <c r="C11" s="44" t="s">
        <v>66</v>
      </c>
      <c r="D11" s="44"/>
      <c r="E11" s="44" t="s">
        <v>69</v>
      </c>
      <c r="F11" s="44"/>
      <c r="G11" s="44" t="s">
        <v>68</v>
      </c>
      <c r="H11" s="44"/>
    </row>
    <row r="12" spans="1:9" x14ac:dyDescent="0.3">
      <c r="A12" s="2">
        <v>2.9</v>
      </c>
      <c r="B12" s="2">
        <v>33</v>
      </c>
      <c r="D12" s="18">
        <f>1-F12</f>
        <v>0.44999999999999996</v>
      </c>
      <c r="F12" s="18">
        <v>0.55000000000000004</v>
      </c>
      <c r="G12" s="18"/>
      <c r="H12" s="18">
        <v>0</v>
      </c>
    </row>
    <row r="13" spans="1:9" x14ac:dyDescent="0.3">
      <c r="A13" s="2">
        <v>2.9</v>
      </c>
      <c r="B13" s="2">
        <v>20</v>
      </c>
      <c r="D13" s="18">
        <f>1-F13</f>
        <v>0.43999999999999995</v>
      </c>
      <c r="F13" s="18">
        <v>0.56000000000000005</v>
      </c>
      <c r="G13" s="18"/>
      <c r="H13" s="18">
        <v>0</v>
      </c>
      <c r="I13" s="18"/>
    </row>
    <row r="14" spans="1:9" x14ac:dyDescent="0.3">
      <c r="A14" s="2">
        <v>2.9</v>
      </c>
      <c r="B14" s="2">
        <v>10</v>
      </c>
      <c r="D14" s="18">
        <f>1-F14</f>
        <v>0.26</v>
      </c>
      <c r="F14" s="18">
        <v>0.74</v>
      </c>
      <c r="G14" s="18"/>
      <c r="H14" s="18">
        <v>0</v>
      </c>
    </row>
    <row r="15" spans="1:9" x14ac:dyDescent="0.3">
      <c r="A15" s="20">
        <v>5.8</v>
      </c>
      <c r="B15" s="20">
        <v>33</v>
      </c>
      <c r="C15" s="21">
        <v>0.01</v>
      </c>
      <c r="D15" s="21">
        <v>0.01</v>
      </c>
      <c r="E15" s="21">
        <v>0.99</v>
      </c>
      <c r="F15" s="21">
        <v>0.99</v>
      </c>
      <c r="G15" s="21">
        <v>0</v>
      </c>
      <c r="H15" s="21">
        <v>0</v>
      </c>
      <c r="I15" s="20"/>
    </row>
    <row r="16" spans="1:9" x14ac:dyDescent="0.3">
      <c r="A16" s="20">
        <v>5.8</v>
      </c>
      <c r="B16" s="20">
        <v>20</v>
      </c>
      <c r="C16" s="21">
        <v>0.02</v>
      </c>
      <c r="D16" s="21">
        <v>0</v>
      </c>
      <c r="E16" s="21">
        <v>0.95699999999999996</v>
      </c>
      <c r="F16" s="21">
        <v>1</v>
      </c>
      <c r="G16" s="21">
        <v>0</v>
      </c>
      <c r="H16" s="21">
        <v>0</v>
      </c>
      <c r="I16" s="20"/>
    </row>
    <row r="17" spans="1:14" x14ac:dyDescent="0.3">
      <c r="A17" s="20">
        <v>5.8</v>
      </c>
      <c r="B17" s="20">
        <v>10</v>
      </c>
      <c r="C17" s="20"/>
      <c r="D17" s="21">
        <v>0.13</v>
      </c>
      <c r="E17" s="20"/>
      <c r="F17" s="21">
        <v>0.87</v>
      </c>
      <c r="G17" s="21"/>
      <c r="H17" s="21">
        <v>0</v>
      </c>
      <c r="I17" s="20"/>
    </row>
    <row r="18" spans="1:14" x14ac:dyDescent="0.3">
      <c r="G18" s="18"/>
      <c r="H18" s="18"/>
    </row>
    <row r="20" spans="1:14" x14ac:dyDescent="0.3">
      <c r="F20" s="18"/>
    </row>
    <row r="21" spans="1:14" x14ac:dyDescent="0.3">
      <c r="A21" s="2" t="s">
        <v>11</v>
      </c>
    </row>
    <row r="22" spans="1:14" x14ac:dyDescent="0.3">
      <c r="A22" s="2" t="s">
        <v>65</v>
      </c>
      <c r="B22" s="2" t="s">
        <v>67</v>
      </c>
      <c r="C22" s="44" t="s">
        <v>66</v>
      </c>
      <c r="D22" s="44"/>
      <c r="E22" s="44" t="s">
        <v>69</v>
      </c>
      <c r="F22" s="44"/>
      <c r="G22" s="44" t="s">
        <v>68</v>
      </c>
      <c r="H22" s="44"/>
      <c r="J22" s="2" t="s">
        <v>71</v>
      </c>
      <c r="K22" s="2" t="s">
        <v>72</v>
      </c>
      <c r="L22" s="2" t="s">
        <v>70</v>
      </c>
      <c r="M22" s="2" t="s">
        <v>72</v>
      </c>
    </row>
    <row r="23" spans="1:14" x14ac:dyDescent="0.3">
      <c r="A23" s="2">
        <v>2.9</v>
      </c>
      <c r="B23" s="2">
        <v>33</v>
      </c>
      <c r="C23" s="9">
        <v>0.11499999999999999</v>
      </c>
      <c r="D23" s="18">
        <v>0.3</v>
      </c>
      <c r="E23" s="9">
        <v>0.88500000000000001</v>
      </c>
      <c r="F23" s="18">
        <v>0.7</v>
      </c>
      <c r="G23" s="18">
        <v>0</v>
      </c>
      <c r="H23" s="18">
        <v>0</v>
      </c>
      <c r="J23" s="18">
        <f t="shared" ref="J23:J28" si="0">AVERAGE(C23:D23)</f>
        <v>0.20749999999999999</v>
      </c>
      <c r="K23" s="9">
        <f t="shared" ref="K23:K28" si="1">STDEV(C23:D23)</f>
        <v>0.1308147545195113</v>
      </c>
      <c r="L23" s="18">
        <f t="shared" ref="L23:L28" si="2">AVERAGE(E23:F23)</f>
        <v>0.79249999999999998</v>
      </c>
      <c r="M23" s="9">
        <f>STDEV(E23:F23)</f>
        <v>0.13081475451951163</v>
      </c>
    </row>
    <row r="24" spans="1:14" x14ac:dyDescent="0.3">
      <c r="A24" s="2">
        <v>2.9</v>
      </c>
      <c r="B24" s="2">
        <v>20</v>
      </c>
      <c r="C24" s="18">
        <v>0.26</v>
      </c>
      <c r="D24" s="18">
        <v>0.55000000000000004</v>
      </c>
      <c r="E24" s="18">
        <v>0.74</v>
      </c>
      <c r="F24" s="18">
        <v>0.45</v>
      </c>
      <c r="G24" s="18">
        <v>0</v>
      </c>
      <c r="H24" s="18">
        <v>0</v>
      </c>
      <c r="J24" s="18">
        <f t="shared" si="0"/>
        <v>0.40500000000000003</v>
      </c>
      <c r="K24" s="9">
        <f t="shared" si="1"/>
        <v>0.20506096654409872</v>
      </c>
      <c r="L24" s="18">
        <f t="shared" si="2"/>
        <v>0.59499999999999997</v>
      </c>
      <c r="M24" s="9">
        <f>STDEV(E24:F24)</f>
        <v>0.20506096654409886</v>
      </c>
    </row>
    <row r="25" spans="1:14" x14ac:dyDescent="0.3">
      <c r="A25" s="2">
        <v>2.9</v>
      </c>
      <c r="B25" s="2">
        <v>10</v>
      </c>
      <c r="C25" s="18">
        <v>0.5</v>
      </c>
      <c r="D25" s="18">
        <v>0.35</v>
      </c>
      <c r="E25" s="18">
        <v>0.5</v>
      </c>
      <c r="F25" s="18">
        <v>0.65</v>
      </c>
      <c r="G25" s="18">
        <v>0</v>
      </c>
      <c r="H25" s="18">
        <v>0</v>
      </c>
      <c r="J25" s="18">
        <f t="shared" si="0"/>
        <v>0.42499999999999999</v>
      </c>
      <c r="K25" s="9">
        <f t="shared" si="1"/>
        <v>0.10606601717798231</v>
      </c>
      <c r="L25" s="18">
        <f t="shared" si="2"/>
        <v>0.57499999999999996</v>
      </c>
      <c r="M25" s="9">
        <f>STDEV(E25:F25)</f>
        <v>0.10606601717798309</v>
      </c>
    </row>
    <row r="26" spans="1:14" x14ac:dyDescent="0.3">
      <c r="A26" s="20">
        <v>5.8</v>
      </c>
      <c r="B26" s="20">
        <v>33</v>
      </c>
      <c r="C26" s="21">
        <v>0</v>
      </c>
      <c r="D26" s="21">
        <v>0</v>
      </c>
      <c r="E26" s="21">
        <v>0.99</v>
      </c>
      <c r="F26" s="21">
        <v>0.99</v>
      </c>
      <c r="G26" s="21">
        <v>0</v>
      </c>
      <c r="H26" s="21">
        <v>0</v>
      </c>
      <c r="I26" s="20"/>
      <c r="J26" s="21">
        <f t="shared" si="0"/>
        <v>0</v>
      </c>
      <c r="K26" s="24">
        <f t="shared" si="1"/>
        <v>0</v>
      </c>
      <c r="L26" s="21">
        <f t="shared" si="2"/>
        <v>0.99</v>
      </c>
      <c r="M26" s="24">
        <f>STDEV(E26:F26)</f>
        <v>0</v>
      </c>
      <c r="N26" s="20"/>
    </row>
    <row r="27" spans="1:14" x14ac:dyDescent="0.3">
      <c r="A27" s="20">
        <v>5.8</v>
      </c>
      <c r="B27" s="20">
        <v>20</v>
      </c>
      <c r="C27" s="21">
        <v>0</v>
      </c>
      <c r="D27" s="21">
        <v>0</v>
      </c>
      <c r="E27" s="21">
        <v>0.99</v>
      </c>
      <c r="F27" s="21">
        <v>0.99</v>
      </c>
      <c r="G27" s="21">
        <v>0</v>
      </c>
      <c r="H27" s="21">
        <v>0</v>
      </c>
      <c r="I27" s="20"/>
      <c r="J27" s="21">
        <f t="shared" si="0"/>
        <v>0</v>
      </c>
      <c r="K27" s="24">
        <f t="shared" si="1"/>
        <v>0</v>
      </c>
      <c r="L27" s="21">
        <f t="shared" si="2"/>
        <v>0.99</v>
      </c>
      <c r="M27" s="24">
        <f>STDEV(E26:F26)</f>
        <v>0</v>
      </c>
      <c r="N27" s="20"/>
    </row>
    <row r="28" spans="1:14" x14ac:dyDescent="0.3">
      <c r="A28" s="20">
        <v>5.8</v>
      </c>
      <c r="B28" s="20">
        <v>10</v>
      </c>
      <c r="C28" s="21">
        <v>0.6</v>
      </c>
      <c r="D28" s="21">
        <v>0.44</v>
      </c>
      <c r="E28" s="21">
        <v>0.4</v>
      </c>
      <c r="F28" s="21">
        <v>0.56000000000000005</v>
      </c>
      <c r="G28" s="21">
        <v>0</v>
      </c>
      <c r="H28" s="21">
        <v>0</v>
      </c>
      <c r="I28" s="20"/>
      <c r="J28" s="21">
        <f t="shared" si="0"/>
        <v>0.52</v>
      </c>
      <c r="K28" s="24">
        <f t="shared" si="1"/>
        <v>0.11313708498984726</v>
      </c>
      <c r="L28" s="21">
        <f t="shared" si="2"/>
        <v>0.48000000000000004</v>
      </c>
      <c r="M28" s="24">
        <f>STDEV(E28:F28)</f>
        <v>0.11313708498984751</v>
      </c>
      <c r="N28" s="20"/>
    </row>
    <row r="31" spans="1:14" x14ac:dyDescent="0.3">
      <c r="G31" s="18"/>
    </row>
    <row r="32" spans="1:14" x14ac:dyDescent="0.3">
      <c r="E32" s="18"/>
      <c r="F32" s="18"/>
    </row>
  </sheetData>
  <mergeCells count="6">
    <mergeCell ref="C11:D11"/>
    <mergeCell ref="E11:F11"/>
    <mergeCell ref="G11:H11"/>
    <mergeCell ref="C22:D22"/>
    <mergeCell ref="E22:F22"/>
    <mergeCell ref="G22:H2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72276-E4F8-4DA5-A494-E005AAFF87C7}">
  <dimension ref="A1:S18"/>
  <sheetViews>
    <sheetView zoomScale="54" workbookViewId="0"/>
  </sheetViews>
  <sheetFormatPr baseColWidth="10" defaultColWidth="8.88671875" defaultRowHeight="14.4" x14ac:dyDescent="0.3"/>
  <cols>
    <col min="1" max="1" width="17.88671875" style="5" bestFit="1" customWidth="1"/>
    <col min="2" max="2" width="21.44140625" style="5" bestFit="1" customWidth="1"/>
    <col min="3" max="3" width="21.44140625" bestFit="1" customWidth="1"/>
    <col min="4" max="4" width="17" bestFit="1" customWidth="1"/>
    <col min="5" max="5" width="17.88671875" bestFit="1" customWidth="1"/>
    <col min="7" max="7" width="17.88671875" bestFit="1" customWidth="1"/>
    <col min="10" max="11" width="35" bestFit="1" customWidth="1"/>
    <col min="13" max="13" width="13.21875" bestFit="1" customWidth="1"/>
    <col min="14" max="14" width="33.109375" bestFit="1" customWidth="1"/>
    <col min="17" max="17" width="18.109375" bestFit="1" customWidth="1"/>
  </cols>
  <sheetData>
    <row r="1" spans="1:19" ht="18" x14ac:dyDescent="0.35">
      <c r="A1" s="2" t="s">
        <v>83</v>
      </c>
      <c r="B1" s="17" t="s">
        <v>84</v>
      </c>
      <c r="C1" s="2" t="s">
        <v>83</v>
      </c>
      <c r="D1" s="17" t="s">
        <v>85</v>
      </c>
      <c r="E1" s="2" t="s">
        <v>83</v>
      </c>
      <c r="F1" s="17" t="s">
        <v>87</v>
      </c>
      <c r="G1" s="2" t="s">
        <v>83</v>
      </c>
      <c r="H1" s="17" t="s">
        <v>86</v>
      </c>
      <c r="K1" s="25" t="s">
        <v>74</v>
      </c>
      <c r="L1" s="25">
        <v>74.37</v>
      </c>
      <c r="M1" s="25" t="s">
        <v>73</v>
      </c>
      <c r="N1" s="26" t="s">
        <v>88</v>
      </c>
      <c r="O1" s="26"/>
    </row>
    <row r="2" spans="1:19" ht="18" x14ac:dyDescent="0.35">
      <c r="A2" s="2">
        <f>A3/2</f>
        <v>1.5625</v>
      </c>
      <c r="B2" s="2">
        <v>93.4</v>
      </c>
      <c r="C2" s="2">
        <v>2.5</v>
      </c>
      <c r="D2" s="2">
        <v>172.6</v>
      </c>
      <c r="E2" s="2">
        <v>2.5</v>
      </c>
      <c r="F2" s="2">
        <v>88.536000000000001</v>
      </c>
      <c r="G2" s="2">
        <v>3.125</v>
      </c>
      <c r="H2" s="2">
        <v>296.39999999999998</v>
      </c>
      <c r="K2" s="25" t="s">
        <v>75</v>
      </c>
      <c r="L2" s="25">
        <v>85.381</v>
      </c>
      <c r="M2" s="25" t="s">
        <v>73</v>
      </c>
      <c r="N2" s="25" t="s">
        <v>79</v>
      </c>
      <c r="O2" s="25">
        <f>L2/L1</f>
        <v>1.1480570122361167</v>
      </c>
      <c r="P2" s="25" t="s">
        <v>77</v>
      </c>
    </row>
    <row r="3" spans="1:19" ht="18" x14ac:dyDescent="0.35">
      <c r="A3" s="2">
        <v>3.125</v>
      </c>
      <c r="B3" s="2">
        <v>202.6</v>
      </c>
      <c r="C3" s="2">
        <v>5</v>
      </c>
      <c r="D3" s="2">
        <v>368.2</v>
      </c>
      <c r="E3" s="2">
        <v>5</v>
      </c>
      <c r="F3" s="2">
        <v>199.23</v>
      </c>
      <c r="G3" s="2">
        <f>G2*2</f>
        <v>6.25</v>
      </c>
      <c r="H3" s="2">
        <v>616.70000000000005</v>
      </c>
      <c r="K3" s="25" t="s">
        <v>78</v>
      </c>
      <c r="L3" s="25">
        <v>61.593000000000004</v>
      </c>
      <c r="M3" t="s">
        <v>73</v>
      </c>
    </row>
    <row r="4" spans="1:19" ht="18" x14ac:dyDescent="0.35">
      <c r="A4" s="2">
        <v>6.125</v>
      </c>
      <c r="B4" s="2">
        <v>404.4</v>
      </c>
      <c r="C4" s="2">
        <v>10</v>
      </c>
      <c r="D4" s="2">
        <v>763.6</v>
      </c>
      <c r="E4" s="2">
        <v>10</v>
      </c>
      <c r="F4" s="2">
        <v>438.44</v>
      </c>
      <c r="G4" s="2">
        <f t="shared" ref="G4:G7" si="0">G3*2</f>
        <v>12.5</v>
      </c>
      <c r="H4" s="2">
        <v>1272.3</v>
      </c>
      <c r="K4" s="25" t="s">
        <v>76</v>
      </c>
      <c r="L4" s="25">
        <v>105.05</v>
      </c>
      <c r="M4" s="25" t="s">
        <v>73</v>
      </c>
      <c r="N4" s="25"/>
      <c r="O4" s="25"/>
    </row>
    <row r="5" spans="1:19" ht="18" x14ac:dyDescent="0.35">
      <c r="A5" s="2">
        <v>12.5</v>
      </c>
      <c r="B5" s="2">
        <v>841.5</v>
      </c>
      <c r="C5" s="2">
        <v>20</v>
      </c>
      <c r="D5" s="2">
        <v>1597.5</v>
      </c>
      <c r="E5" s="2">
        <v>20</v>
      </c>
      <c r="F5" s="2">
        <v>1081.29</v>
      </c>
      <c r="G5" s="2">
        <f t="shared" si="0"/>
        <v>25</v>
      </c>
      <c r="H5" s="2">
        <v>2664.7</v>
      </c>
      <c r="N5" s="25"/>
      <c r="O5" s="25"/>
      <c r="P5" s="25"/>
      <c r="Q5" s="25"/>
      <c r="R5" s="25"/>
      <c r="S5" s="25"/>
    </row>
    <row r="6" spans="1:19" x14ac:dyDescent="0.3">
      <c r="A6" s="2">
        <v>25</v>
      </c>
      <c r="B6" s="2">
        <v>1699.3</v>
      </c>
      <c r="C6" s="2">
        <v>25</v>
      </c>
      <c r="D6" s="2">
        <v>1984.6</v>
      </c>
      <c r="E6" s="2">
        <v>25</v>
      </c>
      <c r="F6" s="2">
        <v>1413.5</v>
      </c>
      <c r="G6" s="2">
        <f>G5*2</f>
        <v>50</v>
      </c>
      <c r="H6" s="2">
        <v>5238.5</v>
      </c>
    </row>
    <row r="7" spans="1:19" x14ac:dyDescent="0.3">
      <c r="A7" s="2">
        <v>40</v>
      </c>
      <c r="B7" s="2">
        <v>2878.2</v>
      </c>
      <c r="C7" s="2">
        <v>40</v>
      </c>
      <c r="D7" s="2">
        <v>3209.4</v>
      </c>
      <c r="E7" s="2">
        <v>40</v>
      </c>
      <c r="F7" s="2">
        <v>2396.39</v>
      </c>
      <c r="G7" s="2">
        <f t="shared" si="0"/>
        <v>100</v>
      </c>
      <c r="H7" s="2">
        <v>10616.3</v>
      </c>
    </row>
    <row r="8" spans="1:19" x14ac:dyDescent="0.3">
      <c r="A8" s="2">
        <v>50</v>
      </c>
      <c r="B8" s="2">
        <v>3769.78</v>
      </c>
      <c r="C8" s="2">
        <v>80</v>
      </c>
      <c r="D8" s="2">
        <v>6848.3</v>
      </c>
      <c r="E8" s="2">
        <v>50</v>
      </c>
      <c r="F8" s="2">
        <v>3306.54</v>
      </c>
      <c r="G8" s="2">
        <v>150</v>
      </c>
      <c r="H8" s="2">
        <v>15801.6</v>
      </c>
    </row>
    <row r="9" spans="1:19" x14ac:dyDescent="0.3">
      <c r="A9" s="2">
        <v>80</v>
      </c>
      <c r="B9" s="2">
        <v>6020.1</v>
      </c>
      <c r="C9" s="2">
        <v>100</v>
      </c>
      <c r="D9" s="2">
        <v>8678.6</v>
      </c>
      <c r="E9" s="2"/>
      <c r="F9" s="2"/>
      <c r="G9" s="2">
        <v>200</v>
      </c>
      <c r="H9" s="2">
        <v>20924.099999999999</v>
      </c>
    </row>
    <row r="10" spans="1:19" x14ac:dyDescent="0.3">
      <c r="A10" s="2">
        <v>100</v>
      </c>
      <c r="B10" s="2">
        <v>7449.1</v>
      </c>
      <c r="C10" s="2"/>
      <c r="D10" s="2"/>
      <c r="E10" s="2"/>
      <c r="F10" s="2"/>
      <c r="G10" s="2"/>
      <c r="H10" s="2"/>
    </row>
    <row r="11" spans="1:19" x14ac:dyDescent="0.3">
      <c r="A11" s="2"/>
      <c r="B11" s="2"/>
      <c r="C11" s="2"/>
      <c r="D11" s="2"/>
      <c r="E11" s="2"/>
      <c r="F11" s="2"/>
      <c r="G11" s="2"/>
      <c r="H11" s="2"/>
    </row>
    <row r="14" spans="1:19" x14ac:dyDescent="0.3">
      <c r="A14" s="5" t="s">
        <v>80</v>
      </c>
      <c r="B14" t="s">
        <v>81</v>
      </c>
      <c r="C14" t="s">
        <v>82</v>
      </c>
    </row>
    <row r="15" spans="1:19" x14ac:dyDescent="0.3">
      <c r="A15" s="5">
        <v>25</v>
      </c>
      <c r="B15">
        <v>1754.4</v>
      </c>
      <c r="C15">
        <v>1805</v>
      </c>
    </row>
    <row r="16" spans="1:19" x14ac:dyDescent="0.3">
      <c r="A16" s="5">
        <v>50</v>
      </c>
      <c r="B16">
        <v>3577.7</v>
      </c>
      <c r="C16">
        <v>3566.9</v>
      </c>
    </row>
    <row r="17" spans="1:3" x14ac:dyDescent="0.3">
      <c r="A17" s="5">
        <v>100</v>
      </c>
      <c r="B17">
        <v>7766.4</v>
      </c>
      <c r="C17">
        <v>6889.3</v>
      </c>
    </row>
    <row r="18" spans="1:3" x14ac:dyDescent="0.3">
      <c r="A18" s="5">
        <v>150</v>
      </c>
      <c r="B18">
        <v>11032.7</v>
      </c>
      <c r="C18">
        <v>10479.4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943F9-BFE9-4475-9A2C-F4A2F5C94B5D}">
  <dimension ref="A1:L29"/>
  <sheetViews>
    <sheetView zoomScale="85" zoomScaleNormal="85" workbookViewId="0"/>
  </sheetViews>
  <sheetFormatPr baseColWidth="10" defaultColWidth="8.77734375" defaultRowHeight="14.4" x14ac:dyDescent="0.3"/>
  <cols>
    <col min="1" max="1" width="17.77734375" customWidth="1"/>
    <col min="2" max="2" width="24.33203125" bestFit="1" customWidth="1"/>
    <col min="3" max="3" width="23.21875" customWidth="1"/>
    <col min="4" max="4" width="24.33203125" customWidth="1"/>
    <col min="5" max="5" width="21.77734375" customWidth="1"/>
    <col min="6" max="6" width="24.109375" bestFit="1" customWidth="1"/>
    <col min="7" max="7" width="11.77734375" bestFit="1" customWidth="1"/>
    <col min="8" max="8" width="18.21875" customWidth="1"/>
    <col min="9" max="9" width="11.33203125" bestFit="1" customWidth="1"/>
    <col min="11" max="11" width="23.109375" bestFit="1" customWidth="1"/>
    <col min="15" max="15" width="11.33203125" bestFit="1" customWidth="1"/>
  </cols>
  <sheetData>
    <row r="1" spans="1:12" x14ac:dyDescent="0.3">
      <c r="B1" s="32" t="s">
        <v>99</v>
      </c>
      <c r="C1" s="32" t="s">
        <v>100</v>
      </c>
      <c r="D1" s="32" t="s">
        <v>101</v>
      </c>
      <c r="E1" s="33" t="s">
        <v>102</v>
      </c>
      <c r="F1" s="33" t="s">
        <v>103</v>
      </c>
      <c r="G1" s="34" t="s">
        <v>104</v>
      </c>
      <c r="H1" s="32"/>
      <c r="I1" s="32"/>
      <c r="J1" s="32"/>
    </row>
    <row r="2" spans="1:12" x14ac:dyDescent="0.3">
      <c r="A2" s="13" t="s">
        <v>105</v>
      </c>
      <c r="B2" s="32">
        <f>50</f>
        <v>50</v>
      </c>
      <c r="C2" s="32">
        <f>(B2*$H$4)/$H$5</f>
        <v>2083333.3333333333</v>
      </c>
      <c r="D2" s="32">
        <f>C2/1000</f>
        <v>2083.333333333333</v>
      </c>
      <c r="E2" s="32">
        <f>(((D2/L13)*$J$6)/$I$7)</f>
        <v>9.8484848484848469E-4</v>
      </c>
      <c r="F2" s="32">
        <f>(((D2/L13)*$J$6)/$I$7)</f>
        <v>9.8484848484848469E-4</v>
      </c>
      <c r="G2" s="35" t="s">
        <v>106</v>
      </c>
      <c r="H2" s="32"/>
      <c r="I2" s="32"/>
      <c r="J2" s="32"/>
    </row>
    <row r="3" spans="1:12" ht="15.6" x14ac:dyDescent="0.35">
      <c r="A3" s="13" t="s">
        <v>107</v>
      </c>
      <c r="B3" s="32">
        <v>13</v>
      </c>
      <c r="C3" s="32">
        <f t="shared" ref="C3:C9" si="0">(B3*$H$4)/$H$5</f>
        <v>541666.66666666663</v>
      </c>
      <c r="D3" s="32">
        <f t="shared" ref="D3:D10" si="1">C3/1000</f>
        <v>541.66666666666663</v>
      </c>
      <c r="E3" s="32">
        <f>(D3/$I$7)</f>
        <v>0.54166666666666663</v>
      </c>
      <c r="F3" s="32">
        <f>(D3/$I$7)</f>
        <v>0.54166666666666663</v>
      </c>
      <c r="G3" s="32"/>
      <c r="H3" s="32" t="s">
        <v>108</v>
      </c>
      <c r="I3" s="32" t="s">
        <v>109</v>
      </c>
      <c r="J3" s="32"/>
    </row>
    <row r="4" spans="1:12" x14ac:dyDescent="0.3">
      <c r="A4" s="13" t="s">
        <v>110</v>
      </c>
      <c r="B4" s="32">
        <v>5050</v>
      </c>
      <c r="C4" s="32">
        <f t="shared" si="0"/>
        <v>210416666.66666666</v>
      </c>
      <c r="D4" s="32">
        <f t="shared" si="1"/>
        <v>210416.66666666666</v>
      </c>
      <c r="E4" s="32">
        <f t="shared" ref="E4:E10" si="2">(D4/$I$7)</f>
        <v>210.41666666666666</v>
      </c>
      <c r="F4" s="36">
        <v>2.1</v>
      </c>
      <c r="G4" s="32" t="s">
        <v>111</v>
      </c>
      <c r="H4" s="32">
        <v>1000000</v>
      </c>
      <c r="I4" s="32">
        <v>100</v>
      </c>
      <c r="J4" s="32"/>
    </row>
    <row r="5" spans="1:12" x14ac:dyDescent="0.3">
      <c r="A5" s="13" t="s">
        <v>112</v>
      </c>
      <c r="B5" s="32">
        <v>0.3</v>
      </c>
      <c r="C5" s="32">
        <f t="shared" si="0"/>
        <v>12500</v>
      </c>
      <c r="D5" s="32">
        <f t="shared" si="1"/>
        <v>12.5</v>
      </c>
      <c r="E5" s="32">
        <f t="shared" si="2"/>
        <v>1.2500000000000001E-2</v>
      </c>
      <c r="F5" s="32">
        <f t="shared" ref="F5:F9" si="3">(D5/$I$7)</f>
        <v>1.2500000000000001E-2</v>
      </c>
      <c r="G5" s="32">
        <v>0.48</v>
      </c>
      <c r="H5" s="32">
        <v>24</v>
      </c>
      <c r="I5" s="32">
        <v>5</v>
      </c>
      <c r="J5" s="32"/>
    </row>
    <row r="6" spans="1:12" x14ac:dyDescent="0.3">
      <c r="A6" s="13" t="s">
        <v>113</v>
      </c>
      <c r="B6" s="32">
        <v>454.3</v>
      </c>
      <c r="C6" s="32">
        <f>(B6*$H$4)/$H$5</f>
        <v>18929166.666666668</v>
      </c>
      <c r="D6" s="32">
        <f>C6/1000</f>
        <v>18929.166666666668</v>
      </c>
      <c r="E6" s="32">
        <f t="shared" si="2"/>
        <v>18.929166666666667</v>
      </c>
      <c r="F6" s="32">
        <f t="shared" si="3"/>
        <v>18.929166666666667</v>
      </c>
      <c r="G6" s="32"/>
      <c r="H6" s="32" t="s">
        <v>111</v>
      </c>
      <c r="I6" s="32">
        <v>0.48</v>
      </c>
      <c r="J6" s="32">
        <f>1-I6</f>
        <v>0.52</v>
      </c>
    </row>
    <row r="7" spans="1:12" x14ac:dyDescent="0.3">
      <c r="A7" s="13" t="s">
        <v>114</v>
      </c>
      <c r="B7" s="32">
        <v>7.8</v>
      </c>
      <c r="C7" s="32">
        <f t="shared" si="0"/>
        <v>325000</v>
      </c>
      <c r="D7" s="32">
        <f t="shared" si="1"/>
        <v>325</v>
      </c>
      <c r="E7" s="32">
        <f t="shared" si="2"/>
        <v>0.32500000000000001</v>
      </c>
      <c r="F7" s="32">
        <f t="shared" si="3"/>
        <v>0.32500000000000001</v>
      </c>
      <c r="G7" s="32"/>
      <c r="H7" s="32" t="s">
        <v>115</v>
      </c>
      <c r="I7" s="32">
        <v>1000</v>
      </c>
      <c r="J7" s="32"/>
    </row>
    <row r="8" spans="1:12" ht="15.6" x14ac:dyDescent="0.35">
      <c r="A8" s="13" t="s">
        <v>116</v>
      </c>
      <c r="B8" s="32">
        <v>12</v>
      </c>
      <c r="C8" s="32">
        <f t="shared" si="0"/>
        <v>500000</v>
      </c>
      <c r="D8" s="32">
        <f t="shared" si="1"/>
        <v>500</v>
      </c>
      <c r="E8" s="32">
        <f t="shared" si="2"/>
        <v>0.5</v>
      </c>
      <c r="F8" s="32">
        <f t="shared" si="3"/>
        <v>0.5</v>
      </c>
      <c r="G8" s="32"/>
      <c r="H8" s="32" t="s">
        <v>117</v>
      </c>
      <c r="I8" s="32"/>
      <c r="J8" s="32"/>
    </row>
    <row r="9" spans="1:12" ht="15.6" x14ac:dyDescent="0.35">
      <c r="A9" s="13" t="s">
        <v>118</v>
      </c>
      <c r="B9" s="32">
        <v>1.24</v>
      </c>
      <c r="C9" s="32">
        <f t="shared" si="0"/>
        <v>51666.666666666664</v>
      </c>
      <c r="D9" s="32">
        <f t="shared" si="1"/>
        <v>51.666666666666664</v>
      </c>
      <c r="E9" s="32">
        <f t="shared" si="2"/>
        <v>5.1666666666666666E-2</v>
      </c>
      <c r="F9" s="32">
        <f t="shared" si="3"/>
        <v>5.1666666666666666E-2</v>
      </c>
      <c r="G9" s="32"/>
      <c r="H9" s="32" t="s">
        <v>119</v>
      </c>
      <c r="I9" s="32"/>
      <c r="J9" s="32"/>
    </row>
    <row r="10" spans="1:12" x14ac:dyDescent="0.3">
      <c r="A10" s="37" t="s">
        <v>120</v>
      </c>
      <c r="B10" s="32">
        <f>(5+2)*1000</f>
        <v>7000</v>
      </c>
      <c r="C10" s="32">
        <f>(B10*$H$4)/$H$5</f>
        <v>291666666.66666669</v>
      </c>
      <c r="D10" s="32">
        <f t="shared" si="1"/>
        <v>291666.66666666669</v>
      </c>
      <c r="E10" s="32">
        <f t="shared" si="2"/>
        <v>291.66666666666669</v>
      </c>
      <c r="F10" s="32"/>
      <c r="G10" s="32"/>
      <c r="H10" s="32"/>
      <c r="I10" s="32"/>
      <c r="J10" s="32"/>
    </row>
    <row r="11" spans="1:12" x14ac:dyDescent="0.3">
      <c r="A11" s="37" t="s">
        <v>21</v>
      </c>
      <c r="B11">
        <f>40*L15*1000</f>
        <v>36080</v>
      </c>
      <c r="C11" s="32">
        <f>((B11*$H$4)/$H$5)</f>
        <v>1503333333.3333333</v>
      </c>
      <c r="D11" s="32">
        <f>C11/1000</f>
        <v>1503333.3333333333</v>
      </c>
      <c r="E11" s="32">
        <f>(D11/$I$7)</f>
        <v>1503.3333333333333</v>
      </c>
      <c r="F11" s="32"/>
      <c r="G11" s="32"/>
      <c r="H11" s="32"/>
      <c r="I11" s="32"/>
      <c r="J11" s="32"/>
    </row>
    <row r="12" spans="1:12" x14ac:dyDescent="0.3">
      <c r="B12" s="32"/>
      <c r="C12" s="32"/>
      <c r="D12" s="38" t="s">
        <v>121</v>
      </c>
      <c r="E12" s="39">
        <f>SUM(E2:E11)</f>
        <v>2025.7776515151513</v>
      </c>
      <c r="F12" s="39">
        <f>SUM(F2:F11)</f>
        <v>22.460984848484848</v>
      </c>
      <c r="G12" s="32"/>
      <c r="H12" s="32"/>
      <c r="I12" s="32"/>
      <c r="J12" s="32"/>
    </row>
    <row r="13" spans="1:12" x14ac:dyDescent="0.3">
      <c r="B13" s="32"/>
      <c r="C13" s="32"/>
      <c r="D13" s="32"/>
      <c r="E13" s="32"/>
      <c r="F13" s="40"/>
      <c r="G13" s="32"/>
      <c r="H13" s="32"/>
      <c r="I13" s="32"/>
      <c r="J13" s="32" t="s">
        <v>122</v>
      </c>
      <c r="L13">
        <v>1100</v>
      </c>
    </row>
    <row r="14" spans="1:12" ht="15.6" x14ac:dyDescent="0.35">
      <c r="B14" s="32"/>
      <c r="C14" s="32"/>
      <c r="D14" s="32"/>
      <c r="E14" s="32"/>
      <c r="F14" s="32"/>
      <c r="G14" s="32"/>
      <c r="H14" s="32"/>
      <c r="I14" s="32"/>
      <c r="J14" s="32" t="s">
        <v>123</v>
      </c>
      <c r="L14">
        <v>1</v>
      </c>
    </row>
    <row r="15" spans="1:12" ht="16.2" x14ac:dyDescent="0.3">
      <c r="B15" s="32" t="s">
        <v>124</v>
      </c>
      <c r="C15" s="32" t="s">
        <v>125</v>
      </c>
      <c r="D15" s="32" t="s">
        <v>126</v>
      </c>
      <c r="E15" s="32" t="s">
        <v>127</v>
      </c>
      <c r="F15" s="32"/>
      <c r="G15" s="32"/>
      <c r="H15" s="32"/>
      <c r="I15" s="32"/>
      <c r="J15" s="32" t="s">
        <v>128</v>
      </c>
      <c r="L15">
        <v>0.90200000000000002</v>
      </c>
    </row>
    <row r="16" spans="1:12" x14ac:dyDescent="0.3">
      <c r="A16" s="41" t="s">
        <v>129</v>
      </c>
      <c r="B16" s="33">
        <v>9.8484848484848469E-4</v>
      </c>
      <c r="C16" s="32"/>
      <c r="D16" s="8">
        <f>B16/$B$29</f>
        <v>4.8615823365998796E-7</v>
      </c>
      <c r="E16" s="8"/>
      <c r="F16" s="32"/>
      <c r="G16" s="32"/>
      <c r="H16" s="32"/>
      <c r="I16" s="32"/>
      <c r="J16" s="32" t="s">
        <v>130</v>
      </c>
      <c r="L16">
        <v>0.78600000000000003</v>
      </c>
    </row>
    <row r="17" spans="1:10" ht="15.6" x14ac:dyDescent="0.35">
      <c r="A17" s="41" t="s">
        <v>131</v>
      </c>
      <c r="B17" s="33">
        <v>0.5</v>
      </c>
      <c r="C17" s="32"/>
      <c r="D17" s="8">
        <f t="shared" ref="D17:D22" si="4">B17/$B$29</f>
        <v>2.4681879555045548E-4</v>
      </c>
      <c r="E17" s="8"/>
      <c r="F17" s="32"/>
      <c r="G17" s="32"/>
      <c r="H17" s="32"/>
      <c r="I17" s="32"/>
      <c r="J17" s="32"/>
    </row>
    <row r="18" spans="1:10" x14ac:dyDescent="0.3">
      <c r="A18" s="41" t="s">
        <v>132</v>
      </c>
      <c r="B18" s="33">
        <v>210.4</v>
      </c>
      <c r="C18" s="32"/>
      <c r="D18" s="8">
        <f t="shared" si="4"/>
        <v>0.10386134916763168</v>
      </c>
      <c r="E18" s="8"/>
      <c r="F18" s="32"/>
      <c r="G18" s="32"/>
      <c r="H18" s="32"/>
      <c r="I18" s="32"/>
      <c r="J18" s="32"/>
    </row>
    <row r="19" spans="1:10" x14ac:dyDescent="0.3">
      <c r="A19" s="41" t="s">
        <v>133</v>
      </c>
      <c r="B19" s="33">
        <v>1.2500000000000001E-2</v>
      </c>
      <c r="C19" s="32"/>
      <c r="D19" s="8">
        <f>B19/$B$29</f>
        <v>6.1704698887613874E-6</v>
      </c>
      <c r="E19" s="8"/>
      <c r="F19" s="32"/>
      <c r="G19" s="32"/>
      <c r="H19" s="32"/>
      <c r="I19" s="32"/>
      <c r="J19" s="32"/>
    </row>
    <row r="20" spans="1:10" x14ac:dyDescent="0.3">
      <c r="A20" s="41" t="s">
        <v>113</v>
      </c>
      <c r="B20" s="33">
        <v>18.899999999999999</v>
      </c>
      <c r="C20" s="32"/>
      <c r="D20" s="8">
        <f t="shared" si="4"/>
        <v>9.3297504718072161E-3</v>
      </c>
      <c r="E20" s="8"/>
      <c r="F20" s="32"/>
      <c r="G20" s="32"/>
      <c r="H20" s="32"/>
      <c r="I20" s="32"/>
      <c r="J20" s="32"/>
    </row>
    <row r="21" spans="1:10" x14ac:dyDescent="0.3">
      <c r="A21" s="41" t="s">
        <v>114</v>
      </c>
      <c r="B21" s="33">
        <v>0.3</v>
      </c>
      <c r="C21" s="32"/>
      <c r="D21" s="8">
        <f t="shared" si="4"/>
        <v>1.4809127733027329E-4</v>
      </c>
      <c r="E21" s="8"/>
      <c r="F21" s="32"/>
      <c r="G21" s="32"/>
      <c r="H21" s="32"/>
      <c r="I21" s="32"/>
      <c r="J21" s="32"/>
    </row>
    <row r="22" spans="1:10" x14ac:dyDescent="0.3">
      <c r="A22" s="41" t="s">
        <v>134</v>
      </c>
      <c r="B22" s="33">
        <v>0.5</v>
      </c>
      <c r="C22" s="32"/>
      <c r="D22" s="8">
        <f t="shared" si="4"/>
        <v>2.4681879555045548E-4</v>
      </c>
      <c r="E22" s="8"/>
      <c r="F22" s="32"/>
      <c r="G22" s="32"/>
      <c r="H22" s="32"/>
      <c r="I22" s="32"/>
      <c r="J22" s="32"/>
    </row>
    <row r="23" spans="1:10" x14ac:dyDescent="0.3">
      <c r="A23" s="41" t="s">
        <v>118</v>
      </c>
      <c r="B23" s="33">
        <v>0.1</v>
      </c>
      <c r="C23" s="32"/>
      <c r="D23" s="8">
        <f>B23/$B$29</f>
        <v>4.9363759110091099E-5</v>
      </c>
      <c r="E23" s="8"/>
      <c r="F23" s="32"/>
      <c r="G23" s="32"/>
      <c r="H23" s="32"/>
      <c r="I23" s="32"/>
      <c r="J23" s="32"/>
    </row>
    <row r="24" spans="1:10" x14ac:dyDescent="0.3">
      <c r="A24" s="37" t="s">
        <v>135</v>
      </c>
      <c r="B24" s="32"/>
      <c r="C24" s="42">
        <v>291.7</v>
      </c>
      <c r="D24" s="8"/>
      <c r="E24" s="8">
        <f>C24/$B$29</f>
        <v>0.14399408532413574</v>
      </c>
      <c r="F24" s="32"/>
      <c r="G24" s="32"/>
      <c r="H24" s="32"/>
      <c r="I24" s="32"/>
      <c r="J24" s="32"/>
    </row>
    <row r="25" spans="1:10" x14ac:dyDescent="0.3">
      <c r="A25" s="37" t="s">
        <v>21</v>
      </c>
      <c r="B25" s="32"/>
      <c r="C25" s="42">
        <v>1503.3</v>
      </c>
      <c r="D25" s="8"/>
      <c r="E25" s="8">
        <f>C25/$B$29</f>
        <v>0.74208539070199941</v>
      </c>
      <c r="F25" s="32"/>
      <c r="G25" s="32"/>
      <c r="H25" s="32"/>
      <c r="I25" s="32"/>
      <c r="J25" s="32"/>
    </row>
    <row r="26" spans="1:10" x14ac:dyDescent="0.3">
      <c r="B26" s="33"/>
      <c r="C26" s="32"/>
      <c r="D26" s="32"/>
      <c r="E26" s="32"/>
      <c r="F26" s="32"/>
      <c r="G26" s="32"/>
      <c r="H26" s="32"/>
      <c r="I26" s="32"/>
      <c r="J26" s="32"/>
    </row>
    <row r="27" spans="1:10" x14ac:dyDescent="0.3">
      <c r="B27" s="32"/>
      <c r="C27" s="32"/>
      <c r="D27" s="32"/>
      <c r="E27" s="32"/>
      <c r="F27" s="32"/>
      <c r="G27" s="32"/>
      <c r="H27" s="32"/>
      <c r="I27" s="32"/>
      <c r="J27" s="32"/>
    </row>
    <row r="28" spans="1:10" x14ac:dyDescent="0.3">
      <c r="A28" t="s">
        <v>136</v>
      </c>
      <c r="B28" s="14">
        <f>SUM(B16:B23)/B29</f>
        <v>0.11388884889510259</v>
      </c>
      <c r="C28" s="14">
        <f>SUM(C16:C25)/B29</f>
        <v>0.88607947602613524</v>
      </c>
      <c r="D28" s="32"/>
      <c r="E28" s="32"/>
      <c r="F28" s="32"/>
      <c r="G28" s="32"/>
      <c r="H28" s="32"/>
      <c r="I28" s="32"/>
      <c r="J28" s="32"/>
    </row>
    <row r="29" spans="1:10" x14ac:dyDescent="0.3">
      <c r="A29" t="s">
        <v>137</v>
      </c>
      <c r="B29" s="32">
        <f>E12</f>
        <v>2025.7776515151513</v>
      </c>
      <c r="C29" s="32"/>
      <c r="D29" s="32"/>
      <c r="E29" s="32"/>
      <c r="F29" s="32"/>
      <c r="G29" s="32"/>
      <c r="H29" s="32"/>
      <c r="I29" s="32"/>
      <c r="J29" s="32"/>
    </row>
  </sheetData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Figure1_pH</vt:lpstr>
      <vt:lpstr>Figure 2_enzyme_stability </vt:lpstr>
      <vt:lpstr>BSA</vt:lpstr>
      <vt:lpstr>Figure 3_solvents</vt:lpstr>
      <vt:lpstr>Figure 4. mediator reduction</vt:lpstr>
      <vt:lpstr>Table 1</vt:lpstr>
      <vt:lpstr>calibration curves</vt:lpstr>
      <vt:lpstr>E-factor contribution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Gianrocco Forestieri</dc:creator>
  <cp:lastModifiedBy>Philipp Petermeier</cp:lastModifiedBy>
  <dcterms:created xsi:type="dcterms:W3CDTF">2015-06-05T18:17:20Z</dcterms:created>
  <dcterms:modified xsi:type="dcterms:W3CDTF">2023-05-11T19:19:38Z</dcterms:modified>
</cp:coreProperties>
</file>