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antwerpen-my.sharepoint.com/personal/avienne_ad_ua_ac_be/Documents/labexp 1 (start nov 2020)/earthworm paper/zenodo/"/>
    </mc:Choice>
  </mc:AlternateContent>
  <xr:revisionPtr revIDLastSave="0" documentId="8_{D1BEA3F1-DBF1-450B-8768-091BFB96A963}" xr6:coauthVersionLast="47" xr6:coauthVersionMax="47" xr10:uidLastSave="{00000000-0000-0000-0000-000000000000}"/>
  <bookViews>
    <workbookView xWindow="-108" yWindow="-108" windowWidth="23256" windowHeight="12576" activeTab="4" xr2:uid="{1A4B6249-E6A9-4E99-873F-EC1EA18EE030}"/>
  </bookViews>
  <sheets>
    <sheet name="KELLAND" sheetId="1" r:id="rId1"/>
    <sheet name="Vienne 2022&amp;2023" sheetId="4" r:id="rId2"/>
    <sheet name="AMANN2022" sheetId="2" r:id="rId3"/>
    <sheet name="Buckingham 2022" sheetId="3" r:id="rId4"/>
    <sheet name="Reershemius 2023" sheetId="5" r:id="rId5"/>
    <sheet name="Te pas 2023" sheetId="7" r:id="rId6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2" i="7" l="1"/>
  <c r="B40" i="7"/>
  <c r="B38" i="7"/>
  <c r="B34" i="7"/>
  <c r="D29" i="7"/>
  <c r="D28" i="7"/>
  <c r="D26" i="7"/>
  <c r="D25" i="7"/>
  <c r="D24" i="7"/>
  <c r="D23" i="7"/>
  <c r="D22" i="7"/>
  <c r="D20" i="7"/>
  <c r="B21" i="7"/>
  <c r="B10" i="1"/>
  <c r="C29" i="1"/>
  <c r="C27" i="1"/>
  <c r="C30" i="1"/>
  <c r="C32" i="1"/>
  <c r="C33" i="1"/>
  <c r="C13" i="4"/>
  <c r="E10" i="4"/>
  <c r="C10" i="4"/>
  <c r="A51" i="7"/>
  <c r="A50" i="7"/>
  <c r="B43" i="7"/>
  <c r="B41" i="7"/>
  <c r="D27" i="7"/>
  <c r="B39" i="7"/>
  <c r="B37" i="7"/>
  <c r="B36" i="7"/>
  <c r="B35" i="7"/>
  <c r="B22" i="7"/>
  <c r="G25" i="7"/>
  <c r="B23" i="7"/>
  <c r="B15" i="7"/>
  <c r="B9" i="7"/>
  <c r="B8" i="7"/>
  <c r="B11" i="7"/>
  <c r="B14" i="7"/>
  <c r="B16" i="7"/>
  <c r="B17" i="7"/>
  <c r="B18" i="7"/>
  <c r="B3" i="7"/>
  <c r="D4" i="7"/>
  <c r="K3" i="3"/>
  <c r="K2" i="3"/>
  <c r="F14" i="4"/>
  <c r="C14" i="4"/>
  <c r="C9" i="4"/>
  <c r="E9" i="4"/>
  <c r="B12" i="7"/>
  <c r="H2" i="5"/>
  <c r="E16" i="5"/>
  <c r="E14" i="5"/>
  <c r="H8" i="5"/>
  <c r="H6" i="5"/>
  <c r="H4" i="5"/>
  <c r="H3" i="5"/>
  <c r="H5" i="5"/>
  <c r="H7" i="5"/>
  <c r="H1" i="5"/>
  <c r="F2" i="5"/>
  <c r="F3" i="5"/>
  <c r="F4" i="5"/>
  <c r="F5" i="5"/>
  <c r="F6" i="5"/>
  <c r="F7" i="5"/>
  <c r="F8" i="5"/>
  <c r="F1" i="5"/>
  <c r="D2" i="5"/>
  <c r="D3" i="5"/>
  <c r="D4" i="5"/>
  <c r="D5" i="5"/>
  <c r="D6" i="5"/>
  <c r="D7" i="5"/>
  <c r="D8" i="5"/>
  <c r="D1" i="5"/>
  <c r="H3" i="3"/>
  <c r="H2" i="3"/>
  <c r="F2" i="3"/>
  <c r="F3" i="3"/>
  <c r="D3" i="3"/>
  <c r="D2" i="3"/>
  <c r="B3" i="4"/>
  <c r="B4" i="4"/>
  <c r="B5" i="4"/>
  <c r="B6" i="4"/>
  <c r="B39" i="1"/>
  <c r="B38" i="1"/>
  <c r="B37" i="1"/>
  <c r="B11" i="1"/>
  <c r="B13" i="1"/>
  <c r="B36" i="1"/>
  <c r="L7" i="2"/>
  <c r="L5" i="2"/>
  <c r="L8" i="2"/>
  <c r="L6" i="2"/>
  <c r="J5" i="2"/>
  <c r="H6" i="2"/>
  <c r="H5" i="2"/>
  <c r="F8" i="2"/>
  <c r="F5" i="2"/>
  <c r="J6" i="2"/>
  <c r="J7" i="2"/>
  <c r="J8" i="2"/>
  <c r="H7" i="2"/>
  <c r="H8" i="2"/>
  <c r="F6" i="2"/>
  <c r="F7" i="2"/>
  <c r="D6" i="2"/>
  <c r="D7" i="2"/>
  <c r="D8" i="2"/>
  <c r="D5" i="2"/>
  <c r="D3" i="2"/>
  <c r="F2" i="2"/>
  <c r="H2" i="2"/>
  <c r="F1" i="2"/>
  <c r="H1" i="2"/>
  <c r="E26" i="1"/>
  <c r="G8" i="1"/>
  <c r="G7" i="1"/>
  <c r="H7" i="1"/>
  <c r="A19" i="1"/>
  <c r="B14" i="1"/>
  <c r="B12" i="1"/>
  <c r="C15" i="1"/>
  <c r="G14" i="1"/>
  <c r="G16" i="1"/>
  <c r="A20" i="1"/>
  <c r="A21" i="1"/>
  <c r="A22" i="1"/>
  <c r="A23" i="1"/>
  <c r="B24" i="1"/>
  <c r="F19" i="1"/>
  <c r="F20" i="1"/>
  <c r="F21" i="1"/>
  <c r="F22" i="1"/>
  <c r="F23" i="1"/>
  <c r="D23" i="1"/>
  <c r="E14" i="1"/>
  <c r="E8" i="1"/>
  <c r="D8" i="1"/>
  <c r="C8" i="1"/>
  <c r="B8" i="1"/>
  <c r="G10" i="1"/>
  <c r="G11" i="1"/>
  <c r="G12" i="1"/>
  <c r="G13" i="1"/>
  <c r="E7" i="1"/>
  <c r="D7" i="1"/>
  <c r="C7" i="1"/>
  <c r="B7" i="1"/>
</calcChain>
</file>

<file path=xl/sharedStrings.xml><?xml version="1.0" encoding="utf-8"?>
<sst xmlns="http://schemas.openxmlformats.org/spreadsheetml/2006/main" count="209" uniqueCount="142">
  <si>
    <t>Kelland calculation</t>
  </si>
  <si>
    <t>leachate</t>
  </si>
  <si>
    <t>exch</t>
  </si>
  <si>
    <t>µmol Ca/m2/day</t>
  </si>
  <si>
    <t>Mg</t>
  </si>
  <si>
    <t>Na</t>
  </si>
  <si>
    <t>K</t>
  </si>
  <si>
    <t>mmol Ca/col</t>
  </si>
  <si>
    <t>mmolMg</t>
  </si>
  <si>
    <t>mmol  Na</t>
  </si>
  <si>
    <t xml:space="preserve">mmol K </t>
  </si>
  <si>
    <t>B-C, Avg</t>
  </si>
  <si>
    <t>B-C, se</t>
  </si>
  <si>
    <t>total Ca</t>
  </si>
  <si>
    <t>mol CO2/m2 basalt /s</t>
  </si>
  <si>
    <t>mol CO2 / g basalt /s</t>
  </si>
  <si>
    <t>mol CO2/g basalt</t>
  </si>
  <si>
    <t>mol CO2/m2</t>
  </si>
  <si>
    <t>ton B/ha</t>
  </si>
  <si>
    <t>tonCO2/ha</t>
  </si>
  <si>
    <t>kg /m2</t>
  </si>
  <si>
    <t>N=2</t>
  </si>
  <si>
    <t>avg</t>
  </si>
  <si>
    <t>gB/m2</t>
  </si>
  <si>
    <t>se</t>
  </si>
  <si>
    <t>water</t>
  </si>
  <si>
    <t>infiltration</t>
  </si>
  <si>
    <t>mm/d</t>
  </si>
  <si>
    <t>mm /y</t>
  </si>
  <si>
    <t>irrigation</t>
  </si>
  <si>
    <t>L</t>
  </si>
  <si>
    <t>time</t>
  </si>
  <si>
    <t xml:space="preserve"> d</t>
  </si>
  <si>
    <t xml:space="preserve">m³/d </t>
  </si>
  <si>
    <t>m³/y</t>
  </si>
  <si>
    <t>L/pot</t>
  </si>
  <si>
    <t>mm</t>
  </si>
  <si>
    <t>diameter column</t>
  </si>
  <si>
    <t>m²</t>
  </si>
  <si>
    <t>mm/y</t>
  </si>
  <si>
    <t>Wr</t>
  </si>
  <si>
    <t>Amann</t>
  </si>
  <si>
    <t>g basanite</t>
  </si>
  <si>
    <t>ambient col</t>
  </si>
  <si>
    <t>kg basalt/m2</t>
  </si>
  <si>
    <t>ton /ha</t>
  </si>
  <si>
    <t>CO2 saturated col</t>
  </si>
  <si>
    <t>m inner diam</t>
  </si>
  <si>
    <t>m2</t>
  </si>
  <si>
    <t>m2 basanite/g basanite</t>
  </si>
  <si>
    <t>Log Wr</t>
  </si>
  <si>
    <t>mol TA/m2 basalt/s</t>
  </si>
  <si>
    <t>mol TA/g basalt/s</t>
  </si>
  <si>
    <t>mol TA/g basalt/y</t>
  </si>
  <si>
    <t xml:space="preserve">= mol CO2/ g basalt/ y </t>
  </si>
  <si>
    <t xml:space="preserve">g CO2/ g basalt /y </t>
  </si>
  <si>
    <t>= ton CO2/ton basalt/y</t>
  </si>
  <si>
    <t>(1 molCO2/mol TA)</t>
  </si>
  <si>
    <t>ton CO2/ha</t>
  </si>
  <si>
    <t>after 304d</t>
  </si>
  <si>
    <t>after 0d</t>
  </si>
  <si>
    <t>N=1 for divalent cations</t>
  </si>
  <si>
    <t>phreeqc</t>
  </si>
  <si>
    <t>ton CO2/ha/y</t>
  </si>
  <si>
    <t>ton CO2/ha/s</t>
  </si>
  <si>
    <t>mol CO2/g basalt / s</t>
  </si>
  <si>
    <t>mol CO2/m2 basalt/s</t>
  </si>
  <si>
    <t>all-in mol/m2/s</t>
  </si>
  <si>
    <t>Buckingham_avg</t>
  </si>
  <si>
    <t>Buckingham_se</t>
  </si>
  <si>
    <t>TA</t>
  </si>
  <si>
    <t xml:space="preserve">mol /m2 basalt/s </t>
  </si>
  <si>
    <t>basalt</t>
  </si>
  <si>
    <t>m2/g basalt</t>
  </si>
  <si>
    <t>mol CO2 /g basalt/s</t>
  </si>
  <si>
    <t xml:space="preserve">tonCO2/ton B /s </t>
  </si>
  <si>
    <t xml:space="preserve">ton CO2/ton B /y </t>
  </si>
  <si>
    <t>CO2 potential</t>
  </si>
  <si>
    <t>ton CO2 ha</t>
  </si>
  <si>
    <t>gCO2/gB/y</t>
  </si>
  <si>
    <t>SSA</t>
  </si>
  <si>
    <t>m²/g</t>
  </si>
  <si>
    <t>mol CO2/m2B/s</t>
  </si>
  <si>
    <t>graph estimate</t>
  </si>
  <si>
    <t>y</t>
  </si>
  <si>
    <t>L/m2/y</t>
  </si>
  <si>
    <t>=mm/y</t>
  </si>
  <si>
    <t xml:space="preserve">ton CO2/ton B/y </t>
  </si>
  <si>
    <t>= mol TA/m2/s</t>
  </si>
  <si>
    <t xml:space="preserve">Log molTA /m2/s </t>
  </si>
  <si>
    <t>Vienne 2022</t>
  </si>
  <si>
    <t>Vienne 2023</t>
  </si>
  <si>
    <t>(Earthworm exp. B-S gas CO2 emissions)</t>
  </si>
  <si>
    <t>mol TA/m2 B / s</t>
  </si>
  <si>
    <t>phreeqc gibbsite simulation</t>
  </si>
  <si>
    <t>amorphous Aloh3 sim</t>
  </si>
  <si>
    <t>after experiment</t>
  </si>
  <si>
    <t>duration</t>
  </si>
  <si>
    <t>days</t>
  </si>
  <si>
    <t>mgCO2/m² Basalt</t>
  </si>
  <si>
    <t>g CO2/m2 basalt/y</t>
  </si>
  <si>
    <t>mineral dose</t>
  </si>
  <si>
    <t>g Rock for all treatments</t>
  </si>
  <si>
    <t>Vol_Col</t>
  </si>
  <si>
    <t>mL</t>
  </si>
  <si>
    <t>m³</t>
  </si>
  <si>
    <t>Areacol</t>
  </si>
  <si>
    <t>est.heightcol</t>
  </si>
  <si>
    <t>m</t>
  </si>
  <si>
    <t>(graph estimate based on figure)</t>
  </si>
  <si>
    <t>m²/col</t>
  </si>
  <si>
    <t xml:space="preserve">g rock/ g soil </t>
  </si>
  <si>
    <t>g soil/col</t>
  </si>
  <si>
    <t>delta SIC</t>
  </si>
  <si>
    <t>mmol SIC/ kg soil</t>
  </si>
  <si>
    <t>mg C/ kg soil</t>
  </si>
  <si>
    <t xml:space="preserve">mg C/m²  </t>
  </si>
  <si>
    <t xml:space="preserve">G SOIL / m2 </t>
  </si>
  <si>
    <t xml:space="preserve">g rock/m2 </t>
  </si>
  <si>
    <t xml:space="preserve">kg rock /m2 </t>
  </si>
  <si>
    <t>g CO2/kg soil</t>
  </si>
  <si>
    <t>gCO2/m²</t>
  </si>
  <si>
    <t>kg CO2/ha</t>
  </si>
  <si>
    <t>ton CO2 ha-1</t>
  </si>
  <si>
    <t>ton basalt /ha</t>
  </si>
  <si>
    <t>after</t>
  </si>
  <si>
    <t>( SIC based)</t>
  </si>
  <si>
    <t>g CO2/ g Basalt / y</t>
  </si>
  <si>
    <t>gCO2/m2 basalt/y</t>
  </si>
  <si>
    <t>cation based</t>
  </si>
  <si>
    <t xml:space="preserve">mgC/kg soil </t>
  </si>
  <si>
    <t>(basalt)</t>
  </si>
  <si>
    <t>(control)</t>
  </si>
  <si>
    <t>gCO2/kg soil</t>
  </si>
  <si>
    <t>graph est</t>
  </si>
  <si>
    <t>gCO2/m2</t>
  </si>
  <si>
    <t>ton co2/ton basalt/y</t>
  </si>
  <si>
    <t>ton CO2/ton basalt/y</t>
  </si>
  <si>
    <t xml:space="preserve">water flux (irrigation) </t>
  </si>
  <si>
    <t>m³/d</t>
  </si>
  <si>
    <t>(=0.01%)</t>
  </si>
  <si>
    <t xml:space="preserve">ton CO2/ha na 1 j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</si>
</sst>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0" xfId="0" applyFont="1" applyFill="1"/>
    <xf numFmtId="0" fontId="2" fillId="0" borderId="0" xfId="0" applyFont="1"/>
    <xf numFmtId="0" fontId="0" fillId="2" borderId="0" xfId="0" applyFill="1"/>
    <xf numFmtId="0" fontId="1" fillId="0" borderId="0" xfId="0" applyFont="1"/>
    <xf numFmtId="0" fontId="0" fillId="0" borderId="0" xfId="0" quotePrefix="1"/>
    <xf numFmtId="164" fontId="0" fillId="0" borderId="0" xfId="0" applyNumberFormat="1"/>
    <xf numFmtId="2" fontId="1" fillId="0" borderId="0" xfId="0" applyNumberFormat="1" applyFont="1"/>
    <xf numFmtId="0" fontId="3" fillId="0" borderId="0" xfId="0" applyFont="1"/>
    <xf numFmtId="0" fontId="0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388620</xdr:colOff>
      <xdr:row>12</xdr:row>
      <xdr:rowOff>175260</xdr:rowOff>
    </xdr:from>
    <xdr:to>
      <xdr:col>15</xdr:col>
      <xdr:colOff>399066</xdr:colOff>
      <xdr:row>35</xdr:row>
      <xdr:rowOff>73461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43A8FC94-48CC-4917-B089-5495C3764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66360" y="2369820"/>
          <a:ext cx="4887246" cy="410444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525780</xdr:colOff>
      <xdr:row>13</xdr:row>
      <xdr:rowOff>70858</xdr:rowOff>
    </xdr:from>
    <xdr:to>
      <xdr:col>14</xdr:col>
      <xdr:colOff>534868</xdr:colOff>
      <xdr:row>28</xdr:row>
      <xdr:rowOff>166896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65AF9ED1-F6B8-7126-D169-6E4813E94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97040" y="2448298"/>
          <a:ext cx="4276288" cy="2839238"/>
        </a:xfrm>
        <a:prstGeom prst="rect">
          <a:avLst/>
        </a:prstGeom>
      </xdr:spPr>
    </xdr:pic>
    <xdr:clientData/>
  </xdr:twoCellAnchor>
  <xdr:twoCellAnchor editAs="oneCell">
    <xdr:from>
      <xdr:col>6</xdr:col>
      <xdr:colOff>312420</xdr:colOff>
      <xdr:row>1</xdr:row>
      <xdr:rowOff>120035</xdr:rowOff>
    </xdr:from>
    <xdr:to>
      <xdr:col>11</xdr:col>
      <xdr:colOff>483078</xdr:colOff>
      <xdr:row>12</xdr:row>
      <xdr:rowOff>150300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DD3C8723-24E5-84F0-D690-92F47D36C6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974080" y="302915"/>
          <a:ext cx="3218658" cy="2041945"/>
        </a:xfrm>
        <a:prstGeom prst="rect">
          <a:avLst/>
        </a:prstGeom>
      </xdr:spPr>
    </xdr:pic>
    <xdr:clientData/>
  </xdr:twoCellAnchor>
  <xdr:twoCellAnchor editAs="oneCell">
    <xdr:from>
      <xdr:col>4</xdr:col>
      <xdr:colOff>1055051</xdr:colOff>
      <xdr:row>29</xdr:row>
      <xdr:rowOff>152400</xdr:rowOff>
    </xdr:from>
    <xdr:to>
      <xdr:col>15</xdr:col>
      <xdr:colOff>56315</xdr:colOff>
      <xdr:row>51</xdr:row>
      <xdr:rowOff>139747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9389E5B2-A296-6A53-8D95-867DE7A814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24131" y="5455920"/>
          <a:ext cx="6293604" cy="4010707"/>
        </a:xfrm>
        <a:prstGeom prst="rect">
          <a:avLst/>
        </a:prstGeom>
      </xdr:spPr>
    </xdr:pic>
    <xdr:clientData/>
  </xdr:twoCellAnchor>
  <xdr:twoCellAnchor editAs="oneCell">
    <xdr:from>
      <xdr:col>1</xdr:col>
      <xdr:colOff>784860</xdr:colOff>
      <xdr:row>44</xdr:row>
      <xdr:rowOff>22860</xdr:rowOff>
    </xdr:from>
    <xdr:to>
      <xdr:col>5</xdr:col>
      <xdr:colOff>202736</xdr:colOff>
      <xdr:row>46</xdr:row>
      <xdr:rowOff>121206</xdr:rowOff>
    </xdr:to>
    <xdr:pic>
      <xdr:nvPicPr>
        <xdr:cNvPr id="5" name="Afbeelding 4">
          <a:extLst>
            <a:ext uri="{FF2B5EF4-FFF2-40B4-BE49-F238E27FC236}">
              <a16:creationId xmlns:a16="http://schemas.microsoft.com/office/drawing/2014/main" id="{7D9683E0-4B4D-6B5A-0A7F-FA2B770D71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615440" y="8069580"/>
          <a:ext cx="3852716" cy="464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B7D34-C900-4E00-9966-6B761B215733}">
  <dimension ref="A1:M39"/>
  <sheetViews>
    <sheetView topLeftCell="A14" workbookViewId="0">
      <selection activeCell="F29" sqref="F29"/>
    </sheetView>
  </sheetViews>
  <sheetFormatPr defaultRowHeight="14.4" x14ac:dyDescent="0.3"/>
  <cols>
    <col min="1" max="1" width="22.6640625" customWidth="1"/>
    <col min="2" max="2" width="15.21875" customWidth="1"/>
    <col min="7" max="7" width="10" bestFit="1" customWidth="1"/>
  </cols>
  <sheetData>
    <row r="1" spans="1:13" x14ac:dyDescent="0.3">
      <c r="B1" t="s">
        <v>0</v>
      </c>
    </row>
    <row r="2" spans="1:13" x14ac:dyDescent="0.3">
      <c r="B2" t="s">
        <v>1</v>
      </c>
      <c r="F2" t="s">
        <v>2</v>
      </c>
      <c r="J2" t="s">
        <v>2</v>
      </c>
    </row>
    <row r="3" spans="1:13" x14ac:dyDescent="0.3"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  <c r="J3" t="s">
        <v>7</v>
      </c>
      <c r="K3" t="s">
        <v>8</v>
      </c>
      <c r="L3" t="s">
        <v>9</v>
      </c>
      <c r="M3" t="s">
        <v>10</v>
      </c>
    </row>
    <row r="4" spans="1:13" x14ac:dyDescent="0.3">
      <c r="A4" t="s">
        <v>11</v>
      </c>
      <c r="B4">
        <v>-31</v>
      </c>
      <c r="C4">
        <v>-0.35</v>
      </c>
      <c r="D4">
        <v>-0.63</v>
      </c>
      <c r="E4">
        <v>30</v>
      </c>
    </row>
    <row r="5" spans="1:13" x14ac:dyDescent="0.3">
      <c r="A5" t="s">
        <v>12</v>
      </c>
      <c r="B5">
        <v>91</v>
      </c>
      <c r="C5">
        <v>5.0999999999999996</v>
      </c>
      <c r="D5">
        <v>11</v>
      </c>
      <c r="E5">
        <v>17</v>
      </c>
    </row>
    <row r="6" spans="1:13" x14ac:dyDescent="0.3">
      <c r="B6" t="s">
        <v>13</v>
      </c>
      <c r="C6" t="s">
        <v>4</v>
      </c>
      <c r="D6" t="s">
        <v>5</v>
      </c>
      <c r="E6" t="s">
        <v>6</v>
      </c>
      <c r="G6" t="s">
        <v>40</v>
      </c>
    </row>
    <row r="7" spans="1:13" x14ac:dyDescent="0.3">
      <c r="A7" t="s">
        <v>11</v>
      </c>
      <c r="B7">
        <f>2.8 *10^(-12)</f>
        <v>2.7999999999999998E-12</v>
      </c>
      <c r="C7">
        <f>6.6*10^(-13)</f>
        <v>6.6000000000000001E-13</v>
      </c>
      <c r="D7">
        <f>5.2 *10^(-14)</f>
        <v>5.1999999999999999E-14</v>
      </c>
      <c r="E7">
        <f>1.8 *10^(-13)</f>
        <v>1.8000000000000002E-13</v>
      </c>
      <c r="G7" s="4">
        <f>2*(C7+B7)+D7+E7</f>
        <v>7.1519999999999994E-12</v>
      </c>
      <c r="H7" s="4">
        <f>LOG10(G7)</f>
        <v>-11.145572494212139</v>
      </c>
    </row>
    <row r="8" spans="1:13" x14ac:dyDescent="0.3">
      <c r="A8" t="s">
        <v>12</v>
      </c>
      <c r="B8">
        <f>2.2 *10^(-12)</f>
        <v>2.2000000000000003E-12</v>
      </c>
      <c r="C8">
        <f>1.5 *10^(-13)</f>
        <v>1.5000000000000002E-13</v>
      </c>
      <c r="D8">
        <f>8.4 *10^(-14)</f>
        <v>8.4000000000000008E-14</v>
      </c>
      <c r="E8">
        <f>2.3 *10^(-13)</f>
        <v>2.2999999999999998E-13</v>
      </c>
      <c r="G8" s="4">
        <f>2*(C8+B8)+D8+E8</f>
        <v>5.0140000000000002E-12</v>
      </c>
      <c r="H8" s="4"/>
    </row>
    <row r="10" spans="1:13" x14ac:dyDescent="0.3">
      <c r="A10" t="s">
        <v>61</v>
      </c>
      <c r="B10">
        <f>B7+C7+((D7+E7))</f>
        <v>3.692E-12</v>
      </c>
      <c r="C10" t="s">
        <v>14</v>
      </c>
      <c r="G10">
        <f>(B8+C8)+(D8+E8)/2</f>
        <v>2.5070000000000001E-12</v>
      </c>
    </row>
    <row r="11" spans="1:13" x14ac:dyDescent="0.3">
      <c r="B11">
        <f>B10*7.35</f>
        <v>2.71362E-11</v>
      </c>
      <c r="C11" t="s">
        <v>15</v>
      </c>
      <c r="G11">
        <f>G10*7.35</f>
        <v>1.8426450000000001E-11</v>
      </c>
    </row>
    <row r="12" spans="1:13" x14ac:dyDescent="0.3">
      <c r="B12">
        <f>B11*120*3600*24</f>
        <v>2.8134812159999998E-4</v>
      </c>
      <c r="C12" t="s">
        <v>16</v>
      </c>
      <c r="G12">
        <f>G11*120*3600*24</f>
        <v>1.9104543359999999E-4</v>
      </c>
    </row>
    <row r="13" spans="1:13" x14ac:dyDescent="0.3">
      <c r="B13">
        <f>B12*10000</f>
        <v>2.813481216</v>
      </c>
      <c r="C13" t="s">
        <v>17</v>
      </c>
      <c r="E13">
        <v>100</v>
      </c>
      <c r="F13" t="s">
        <v>18</v>
      </c>
      <c r="G13">
        <f>G12*10000</f>
        <v>1.9104543359999999</v>
      </c>
    </row>
    <row r="14" spans="1:13" x14ac:dyDescent="0.3">
      <c r="B14" s="1">
        <f>B13*44*10000/1000/1000</f>
        <v>1.2379317350399999</v>
      </c>
      <c r="C14" s="2" t="s">
        <v>19</v>
      </c>
      <c r="E14">
        <f>E13/10</f>
        <v>10</v>
      </c>
      <c r="F14" t="s">
        <v>20</v>
      </c>
      <c r="G14" s="3">
        <f>G13*44*10000/1000/1000</f>
        <v>0.84059990783999994</v>
      </c>
    </row>
    <row r="15" spans="1:13" x14ac:dyDescent="0.3">
      <c r="B15" t="s">
        <v>22</v>
      </c>
      <c r="C15">
        <f>B14*2</f>
        <v>2.4758634700799997</v>
      </c>
      <c r="E15">
        <v>10000</v>
      </c>
      <c r="F15" t="s">
        <v>23</v>
      </c>
      <c r="G15" t="s">
        <v>24</v>
      </c>
    </row>
    <row r="16" spans="1:13" x14ac:dyDescent="0.3">
      <c r="G16" s="2">
        <f>G14*2</f>
        <v>1.6811998156799999</v>
      </c>
    </row>
    <row r="17" spans="1:6" x14ac:dyDescent="0.3">
      <c r="A17" t="s">
        <v>21</v>
      </c>
      <c r="C17" s="1"/>
      <c r="D17" s="2"/>
    </row>
    <row r="19" spans="1:6" x14ac:dyDescent="0.3">
      <c r="A19">
        <f>2*(B7+C7)+((D7+E7))</f>
        <v>7.1519999999999994E-12</v>
      </c>
      <c r="B19" t="s">
        <v>14</v>
      </c>
      <c r="F19">
        <f>(B8+C8)*2+(D8+E8)</f>
        <v>5.0140000000000002E-12</v>
      </c>
    </row>
    <row r="20" spans="1:6" x14ac:dyDescent="0.3">
      <c r="A20">
        <f>A19*7.35</f>
        <v>5.2567199999999992E-11</v>
      </c>
      <c r="B20" t="s">
        <v>15</v>
      </c>
      <c r="F20">
        <f>F19*7.35</f>
        <v>3.6852900000000001E-11</v>
      </c>
    </row>
    <row r="21" spans="1:6" x14ac:dyDescent="0.3">
      <c r="A21">
        <f>A20*120*3600*24</f>
        <v>5.4501672959999994E-4</v>
      </c>
      <c r="B21" t="s">
        <v>16</v>
      </c>
      <c r="F21">
        <f>F20*120*3600*24</f>
        <v>3.8209086719999998E-4</v>
      </c>
    </row>
    <row r="22" spans="1:6" x14ac:dyDescent="0.3">
      <c r="A22">
        <f>A21*10000</f>
        <v>5.4501672959999992</v>
      </c>
      <c r="B22" t="s">
        <v>17</v>
      </c>
      <c r="D22">
        <v>100</v>
      </c>
      <c r="E22" t="s">
        <v>18</v>
      </c>
      <c r="F22">
        <f>F21*10000</f>
        <v>3.8209086719999998</v>
      </c>
    </row>
    <row r="23" spans="1:6" x14ac:dyDescent="0.3">
      <c r="A23" s="1">
        <f>A22*44*10000/1000/1000</f>
        <v>2.3980736102399991</v>
      </c>
      <c r="B23" s="2" t="s">
        <v>19</v>
      </c>
      <c r="D23">
        <f>D22/10</f>
        <v>10</v>
      </c>
      <c r="E23" t="s">
        <v>20</v>
      </c>
      <c r="F23" s="3">
        <f>F22*44*10000/1000/1000</f>
        <v>1.6811998156799999</v>
      </c>
    </row>
    <row r="24" spans="1:6" x14ac:dyDescent="0.3">
      <c r="A24" t="s">
        <v>22</v>
      </c>
      <c r="B24">
        <f>A23*2</f>
        <v>4.7961472204799982</v>
      </c>
      <c r="D24">
        <v>10000</v>
      </c>
      <c r="E24" t="s">
        <v>23</v>
      </c>
      <c r="F24" t="s">
        <v>24</v>
      </c>
    </row>
    <row r="26" spans="1:6" x14ac:dyDescent="0.3">
      <c r="A26" t="s">
        <v>25</v>
      </c>
      <c r="B26" t="s">
        <v>26</v>
      </c>
      <c r="C26">
        <v>2.1</v>
      </c>
      <c r="D26" t="s">
        <v>27</v>
      </c>
      <c r="E26" s="2">
        <f>C26*365</f>
        <v>766.5</v>
      </c>
      <c r="F26" s="2" t="s">
        <v>28</v>
      </c>
    </row>
    <row r="27" spans="1:6" x14ac:dyDescent="0.3">
      <c r="B27" t="s">
        <v>29</v>
      </c>
      <c r="C27">
        <f>13.9</f>
        <v>13.9</v>
      </c>
      <c r="D27" t="s">
        <v>35</v>
      </c>
    </row>
    <row r="28" spans="1:6" x14ac:dyDescent="0.3">
      <c r="B28" t="s">
        <v>31</v>
      </c>
      <c r="C28">
        <v>120</v>
      </c>
      <c r="D28" t="s">
        <v>32</v>
      </c>
    </row>
    <row r="29" spans="1:6" x14ac:dyDescent="0.3">
      <c r="C29">
        <f>C27/1000/C28</f>
        <v>1.1583333333333333E-4</v>
      </c>
      <c r="D29" t="s">
        <v>33</v>
      </c>
    </row>
    <row r="30" spans="1:6" x14ac:dyDescent="0.3">
      <c r="C30">
        <f>C29*365</f>
        <v>4.2279166666666666E-2</v>
      </c>
      <c r="D30" t="s">
        <v>34</v>
      </c>
    </row>
    <row r="31" spans="1:6" x14ac:dyDescent="0.3">
      <c r="C31">
        <v>160</v>
      </c>
      <c r="D31" t="s">
        <v>36</v>
      </c>
      <c r="E31" t="s">
        <v>37</v>
      </c>
    </row>
    <row r="32" spans="1:6" x14ac:dyDescent="0.3">
      <c r="C32">
        <f>PI()*(0.16/2)^2</f>
        <v>2.0106192982974676E-2</v>
      </c>
      <c r="D32" t="s">
        <v>38</v>
      </c>
    </row>
    <row r="33" spans="1:4" x14ac:dyDescent="0.3">
      <c r="C33" s="2">
        <f>C30*1000/C32</f>
        <v>2102.7932390019037</v>
      </c>
      <c r="D33" s="2" t="s">
        <v>39</v>
      </c>
    </row>
    <row r="35" spans="1:4" x14ac:dyDescent="0.3">
      <c r="A35" t="s">
        <v>62</v>
      </c>
      <c r="B35">
        <v>2.36</v>
      </c>
      <c r="C35" t="s">
        <v>63</v>
      </c>
    </row>
    <row r="36" spans="1:4" x14ac:dyDescent="0.3">
      <c r="B36">
        <f>B35/3600/24/365</f>
        <v>7.4835109081684423E-8</v>
      </c>
      <c r="C36" t="s">
        <v>64</v>
      </c>
    </row>
    <row r="37" spans="1:4" x14ac:dyDescent="0.3">
      <c r="B37">
        <f>B36/100/44</f>
        <v>1.7007979336746459E-11</v>
      </c>
      <c r="C37" t="s">
        <v>65</v>
      </c>
    </row>
    <row r="38" spans="1:4" x14ac:dyDescent="0.3">
      <c r="B38">
        <f>B37/7.35</f>
        <v>2.3140107941151647E-12</v>
      </c>
      <c r="C38" t="s">
        <v>66</v>
      </c>
    </row>
    <row r="39" spans="1:4" x14ac:dyDescent="0.3">
      <c r="B39">
        <f>LOG10(B38)</f>
        <v>-11.635634619535644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FB40C-D630-430C-BD7C-6B66E2551974}">
  <dimension ref="A2:K14"/>
  <sheetViews>
    <sheetView workbookViewId="0">
      <selection activeCell="F14" sqref="F14"/>
    </sheetView>
  </sheetViews>
  <sheetFormatPr defaultRowHeight="14.4" x14ac:dyDescent="0.3"/>
  <cols>
    <col min="2" max="2" width="16.5546875" customWidth="1"/>
    <col min="3" max="3" width="12" bestFit="1" customWidth="1"/>
  </cols>
  <sheetData>
    <row r="2" spans="1:11" x14ac:dyDescent="0.3">
      <c r="A2" t="s">
        <v>62</v>
      </c>
      <c r="B2">
        <v>1.83</v>
      </c>
      <c r="C2" t="s">
        <v>63</v>
      </c>
      <c r="F2" t="s">
        <v>90</v>
      </c>
      <c r="H2" t="s">
        <v>95</v>
      </c>
    </row>
    <row r="3" spans="1:11" x14ac:dyDescent="0.3">
      <c r="B3">
        <f>B2/3600/24/365</f>
        <v>5.8028919330289202E-8</v>
      </c>
      <c r="C3" t="s">
        <v>64</v>
      </c>
    </row>
    <row r="4" spans="1:11" x14ac:dyDescent="0.3">
      <c r="B4">
        <f>B3/50/44</f>
        <v>2.6376781513767821E-11</v>
      </c>
      <c r="C4" t="s">
        <v>65</v>
      </c>
    </row>
    <row r="5" spans="1:11" x14ac:dyDescent="0.3">
      <c r="B5">
        <f>B4/9.226</f>
        <v>2.8589617942518771E-12</v>
      </c>
      <c r="C5" t="s">
        <v>66</v>
      </c>
    </row>
    <row r="6" spans="1:11" x14ac:dyDescent="0.3">
      <c r="B6">
        <f>LOG10(B5)</f>
        <v>-11.543791648299393</v>
      </c>
    </row>
    <row r="9" spans="1:11" x14ac:dyDescent="0.3">
      <c r="A9">
        <v>5.5E-2</v>
      </c>
      <c r="B9" t="s">
        <v>87</v>
      </c>
      <c r="C9">
        <f>A9/3600/24/365/44/9.226</f>
        <v>4.2962540624003606E-12</v>
      </c>
      <c r="D9" t="s">
        <v>82</v>
      </c>
      <c r="E9" s="2">
        <f>LOG10(C9)</f>
        <v>-11.36691004419956</v>
      </c>
      <c r="F9" s="2" t="s">
        <v>89</v>
      </c>
      <c r="I9" t="s">
        <v>91</v>
      </c>
    </row>
    <row r="10" spans="1:11" x14ac:dyDescent="0.3">
      <c r="A10">
        <v>1.7000000000000001E-2</v>
      </c>
      <c r="C10">
        <f>A10/3600/24/365/44/9.226</f>
        <v>1.3279330738328388E-12</v>
      </c>
      <c r="D10" s="5" t="s">
        <v>88</v>
      </c>
      <c r="E10" s="2">
        <f>ABS(C10/(C9*LN(10)))</f>
        <v>0.13423647622464147</v>
      </c>
      <c r="F10" s="2"/>
      <c r="I10" t="s">
        <v>92</v>
      </c>
    </row>
    <row r="13" spans="1:11" x14ac:dyDescent="0.3">
      <c r="A13" s="8">
        <v>5.8000000000000003E-2</v>
      </c>
      <c r="B13" t="s">
        <v>87</v>
      </c>
      <c r="C13">
        <f>A13/3600/24/365/44/9.226</f>
        <v>4.5305951930767444E-12</v>
      </c>
      <c r="D13" t="s">
        <v>82</v>
      </c>
      <c r="I13" t="s">
        <v>91</v>
      </c>
      <c r="K13" t="s">
        <v>94</v>
      </c>
    </row>
    <row r="14" spans="1:11" x14ac:dyDescent="0.3">
      <c r="A14">
        <v>5.78</v>
      </c>
      <c r="B14" t="s">
        <v>141</v>
      </c>
      <c r="C14" s="2">
        <f>C13</f>
        <v>4.5305951930767444E-12</v>
      </c>
      <c r="D14" s="2" t="s">
        <v>93</v>
      </c>
      <c r="E14" s="2"/>
      <c r="F14">
        <f>LOG10(C14)</f>
        <v>-11.343844740130866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78EC6-9C43-4FDA-890C-CB6FD34B1853}">
  <dimension ref="A1:N8"/>
  <sheetViews>
    <sheetView topLeftCell="H1" workbookViewId="0">
      <selection activeCell="J5" sqref="J5"/>
    </sheetView>
  </sheetViews>
  <sheetFormatPr defaultRowHeight="14.4" x14ac:dyDescent="0.3"/>
  <cols>
    <col min="3" max="3" width="15.21875" customWidth="1"/>
    <col min="4" max="4" width="10.5546875" customWidth="1"/>
    <col min="5" max="5" width="17.44140625" customWidth="1"/>
    <col min="6" max="6" width="12" bestFit="1" customWidth="1"/>
    <col min="7" max="7" width="22.21875" customWidth="1"/>
    <col min="8" max="8" width="12" bestFit="1" customWidth="1"/>
    <col min="9" max="9" width="21.77734375" customWidth="1"/>
    <col min="11" max="11" width="21.109375" customWidth="1"/>
    <col min="13" max="13" width="11.44140625" customWidth="1"/>
    <col min="14" max="14" width="10.109375" customWidth="1"/>
  </cols>
  <sheetData>
    <row r="1" spans="1:14" x14ac:dyDescent="0.3">
      <c r="A1" t="s">
        <v>41</v>
      </c>
      <c r="B1">
        <v>810.25</v>
      </c>
      <c r="C1" t="s">
        <v>42</v>
      </c>
      <c r="D1" t="s">
        <v>43</v>
      </c>
      <c r="F1">
        <f>B1/D3/1000</f>
        <v>328.96758326583716</v>
      </c>
      <c r="G1" t="s">
        <v>44</v>
      </c>
      <c r="H1">
        <f>F1*10</f>
        <v>3289.6758326583717</v>
      </c>
      <c r="I1" t="s">
        <v>45</v>
      </c>
    </row>
    <row r="2" spans="1:14" x14ac:dyDescent="0.3">
      <c r="B2">
        <v>789.69</v>
      </c>
      <c r="C2" t="s">
        <v>42</v>
      </c>
      <c r="D2" t="s">
        <v>46</v>
      </c>
      <c r="F2">
        <f>B2/D3/1000</f>
        <v>320.62006890367047</v>
      </c>
      <c r="G2" t="s">
        <v>44</v>
      </c>
      <c r="H2">
        <f>F2*10</f>
        <v>3206.2006890367047</v>
      </c>
      <c r="I2" t="s">
        <v>45</v>
      </c>
    </row>
    <row r="3" spans="1:14" x14ac:dyDescent="0.3">
      <c r="B3">
        <v>5.6000000000000001E-2</v>
      </c>
      <c r="C3" t="s">
        <v>47</v>
      </c>
      <c r="D3">
        <f>(B3/2)^2*PI()</f>
        <v>2.4630086404143982E-3</v>
      </c>
      <c r="E3" t="s">
        <v>48</v>
      </c>
    </row>
    <row r="4" spans="1:14" x14ac:dyDescent="0.3">
      <c r="F4">
        <v>1.98</v>
      </c>
      <c r="G4" t="s">
        <v>49</v>
      </c>
    </row>
    <row r="5" spans="1:14" x14ac:dyDescent="0.3">
      <c r="A5" t="s">
        <v>50</v>
      </c>
      <c r="B5">
        <v>-11</v>
      </c>
      <c r="C5" t="s">
        <v>40</v>
      </c>
      <c r="D5">
        <f>10^(B5)</f>
        <v>9.9999999999999994E-12</v>
      </c>
      <c r="E5" t="s">
        <v>51</v>
      </c>
      <c r="F5">
        <f>D5*$F$4</f>
        <v>1.9799999999999999E-11</v>
      </c>
      <c r="G5" t="s">
        <v>52</v>
      </c>
      <c r="H5">
        <f>F5*3600*24*365</f>
        <v>6.2441280000000003E-4</v>
      </c>
      <c r="I5" t="s">
        <v>53</v>
      </c>
      <c r="J5">
        <f>H5*44</f>
        <v>2.7474163200000002E-2</v>
      </c>
      <c r="K5" t="s">
        <v>55</v>
      </c>
      <c r="L5">
        <f>J5*H2*0</f>
        <v>0</v>
      </c>
      <c r="M5" t="s">
        <v>58</v>
      </c>
      <c r="N5" t="s">
        <v>60</v>
      </c>
    </row>
    <row r="6" spans="1:14" x14ac:dyDescent="0.3">
      <c r="B6">
        <v>-12.5</v>
      </c>
      <c r="D6">
        <f t="shared" ref="D6:D8" si="0">10^(B6)</f>
        <v>3.1622776601683746E-13</v>
      </c>
      <c r="F6">
        <f t="shared" ref="F6:F7" si="1">D6*$F$4</f>
        <v>6.2613097671333817E-13</v>
      </c>
      <c r="H6">
        <f>F6*3600*24*365</f>
        <v>1.9745666481631834E-5</v>
      </c>
      <c r="I6" s="5" t="s">
        <v>54</v>
      </c>
      <c r="J6">
        <f t="shared" ref="J6:J8" si="2">H6*44</f>
        <v>8.6880932519180069E-4</v>
      </c>
      <c r="K6" s="5" t="s">
        <v>56</v>
      </c>
      <c r="L6">
        <f>J6*H2*(304/365)</f>
        <v>2.3200422612321248</v>
      </c>
      <c r="M6" t="s">
        <v>58</v>
      </c>
      <c r="N6" t="s">
        <v>59</v>
      </c>
    </row>
    <row r="7" spans="1:14" x14ac:dyDescent="0.3">
      <c r="B7">
        <v>-12</v>
      </c>
      <c r="D7">
        <f t="shared" si="0"/>
        <v>9.9999999999999998E-13</v>
      </c>
      <c r="F7">
        <f t="shared" si="1"/>
        <v>1.98E-12</v>
      </c>
      <c r="H7">
        <f t="shared" ref="H7:H8" si="3">F7*3600*24*365</f>
        <v>6.244128E-5</v>
      </c>
      <c r="I7" t="s">
        <v>57</v>
      </c>
      <c r="J7">
        <f t="shared" si="2"/>
        <v>2.7474163199999999E-3</v>
      </c>
      <c r="L7">
        <f>J7*H1*0</f>
        <v>0</v>
      </c>
      <c r="M7" t="s">
        <v>58</v>
      </c>
      <c r="N7" t="s">
        <v>60</v>
      </c>
    </row>
    <row r="8" spans="1:14" x14ac:dyDescent="0.3">
      <c r="B8">
        <v>-13.5</v>
      </c>
      <c r="D8">
        <f t="shared" si="0"/>
        <v>3.1622776601683714E-14</v>
      </c>
      <c r="F8">
        <f>D8*$F$4</f>
        <v>6.2613097671333746E-14</v>
      </c>
      <c r="H8">
        <f t="shared" si="3"/>
        <v>1.9745666481631807E-6</v>
      </c>
      <c r="J8">
        <f t="shared" si="2"/>
        <v>8.6880932519179952E-5</v>
      </c>
      <c r="L8">
        <f>J8*H1*(304/365)</f>
        <v>0.23804457979249155</v>
      </c>
      <c r="M8" t="s">
        <v>58</v>
      </c>
      <c r="N8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99E53-BC56-468D-A2D4-F00345537BA2}">
  <dimension ref="A1:M4"/>
  <sheetViews>
    <sheetView workbookViewId="0">
      <selection activeCell="D29" sqref="D29"/>
    </sheetView>
  </sheetViews>
  <sheetFormatPr defaultRowHeight="14.4" x14ac:dyDescent="0.3"/>
  <cols>
    <col min="1" max="1" width="16.33203125" customWidth="1"/>
    <col min="2" max="2" width="10" customWidth="1"/>
    <col min="3" max="3" width="18.109375" customWidth="1"/>
    <col min="4" max="4" width="12" bestFit="1" customWidth="1"/>
    <col min="5" max="5" width="18.44140625" customWidth="1"/>
    <col min="6" max="6" width="12" bestFit="1" customWidth="1"/>
    <col min="7" max="7" width="14.6640625" customWidth="1"/>
    <col min="12" max="12" width="11.33203125" customWidth="1"/>
  </cols>
  <sheetData>
    <row r="1" spans="1:13" x14ac:dyDescent="0.3">
      <c r="A1" t="s">
        <v>67</v>
      </c>
      <c r="B1" t="s">
        <v>70</v>
      </c>
    </row>
    <row r="2" spans="1:13" x14ac:dyDescent="0.3">
      <c r="A2" t="s">
        <v>68</v>
      </c>
      <c r="B2">
        <v>6.1000000000000005E-15</v>
      </c>
      <c r="C2" t="s">
        <v>71</v>
      </c>
      <c r="D2">
        <f>B2*B4</f>
        <v>9.9430000000000012E-14</v>
      </c>
      <c r="E2" t="s">
        <v>74</v>
      </c>
      <c r="F2">
        <f>D2*44</f>
        <v>4.3749200000000001E-12</v>
      </c>
      <c r="G2" t="s">
        <v>75</v>
      </c>
      <c r="H2" s="6">
        <f>F2*3600*24*365</f>
        <v>1.3796747711999999E-4</v>
      </c>
      <c r="I2" t="s">
        <v>76</v>
      </c>
      <c r="K2">
        <f>H2*100</f>
        <v>1.3796747711999999E-2</v>
      </c>
      <c r="L2" t="s">
        <v>58</v>
      </c>
      <c r="M2" t="s">
        <v>96</v>
      </c>
    </row>
    <row r="3" spans="1:13" x14ac:dyDescent="0.3">
      <c r="A3" t="s">
        <v>69</v>
      </c>
      <c r="B3">
        <v>2.3237900077244503E-16</v>
      </c>
      <c r="D3">
        <f>B3*B4</f>
        <v>3.7877777125908541E-15</v>
      </c>
      <c r="F3">
        <f>D3*44</f>
        <v>1.6666221935399759E-13</v>
      </c>
      <c r="H3">
        <f>F3*3600*24*365</f>
        <v>5.2558597495476681E-6</v>
      </c>
      <c r="K3">
        <f>H3*100</f>
        <v>5.2558597495476684E-4</v>
      </c>
      <c r="L3" t="s">
        <v>58</v>
      </c>
    </row>
    <row r="4" spans="1:13" x14ac:dyDescent="0.3">
      <c r="A4" t="s">
        <v>72</v>
      </c>
      <c r="B4">
        <v>16.3</v>
      </c>
      <c r="C4" t="s">
        <v>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B2976-5CEB-47C4-BEF7-D9913C05D928}">
  <dimension ref="A1:I17"/>
  <sheetViews>
    <sheetView tabSelected="1" workbookViewId="0">
      <selection activeCell="G15" sqref="G15"/>
    </sheetView>
  </sheetViews>
  <sheetFormatPr defaultRowHeight="14.4" x14ac:dyDescent="0.3"/>
  <cols>
    <col min="1" max="1" width="12.6640625" customWidth="1"/>
    <col min="3" max="3" width="10.44140625" customWidth="1"/>
    <col min="5" max="5" width="12.21875" customWidth="1"/>
    <col min="6" max="6" width="12" bestFit="1" customWidth="1"/>
    <col min="7" max="7" width="14.6640625" customWidth="1"/>
  </cols>
  <sheetData>
    <row r="1" spans="1:9" x14ac:dyDescent="0.3">
      <c r="A1" t="s">
        <v>77</v>
      </c>
      <c r="B1">
        <v>1.34</v>
      </c>
      <c r="C1" t="s">
        <v>78</v>
      </c>
      <c r="D1">
        <f>B1/50/0.64</f>
        <v>4.1875000000000002E-2</v>
      </c>
      <c r="E1" t="s">
        <v>79</v>
      </c>
      <c r="F1">
        <f>D1/44/$B$10/3600/24/365</f>
        <v>2.9528721297814934E-12</v>
      </c>
      <c r="G1" t="s">
        <v>82</v>
      </c>
      <c r="H1" s="7">
        <f>LOG10(F1)</f>
        <v>-11.529755359175347</v>
      </c>
      <c r="I1" s="7" t="s">
        <v>50</v>
      </c>
    </row>
    <row r="2" spans="1:9" x14ac:dyDescent="0.3">
      <c r="B2">
        <v>0.53</v>
      </c>
      <c r="D2">
        <f>B2/50/0.64</f>
        <v>1.6562500000000001E-2</v>
      </c>
      <c r="F2">
        <f t="shared" ref="F2:F8" si="0">D2/44/$B$10/3600/24/365</f>
        <v>1.1679270364061132E-12</v>
      </c>
      <c r="H2" s="7">
        <f>ABS(F2/(F1*LN(10)))</f>
        <v>0.17177319060352497</v>
      </c>
      <c r="I2" s="7"/>
    </row>
    <row r="3" spans="1:9" x14ac:dyDescent="0.3">
      <c r="B3">
        <v>0.8</v>
      </c>
      <c r="D3">
        <f t="shared" ref="D3:D8" si="1">B3/50/0.64</f>
        <v>2.5000000000000001E-2</v>
      </c>
      <c r="F3">
        <f t="shared" si="0"/>
        <v>1.7629087341979068E-12</v>
      </c>
      <c r="H3" s="7">
        <f t="shared" ref="H3:H7" si="2">LOG10(F3)</f>
        <v>-11.753770170548211</v>
      </c>
      <c r="I3" s="7"/>
    </row>
    <row r="4" spans="1:9" x14ac:dyDescent="0.3">
      <c r="B4">
        <v>0.21</v>
      </c>
      <c r="D4">
        <f t="shared" si="1"/>
        <v>6.5624999999999998E-3</v>
      </c>
      <c r="F4">
        <f t="shared" si="0"/>
        <v>4.6276354272695041E-13</v>
      </c>
      <c r="H4" s="7">
        <f>ABS(F4/(F3*LN(10)))</f>
        <v>0.11400230149960355</v>
      </c>
      <c r="I4" s="7"/>
    </row>
    <row r="5" spans="1:9" x14ac:dyDescent="0.3">
      <c r="B5">
        <v>0.78</v>
      </c>
      <c r="D5">
        <f t="shared" si="1"/>
        <v>2.4375000000000001E-2</v>
      </c>
      <c r="F5">
        <f t="shared" si="0"/>
        <v>1.7188360158429589E-12</v>
      </c>
      <c r="H5" s="7">
        <f t="shared" si="2"/>
        <v>-11.764765554849674</v>
      </c>
      <c r="I5" s="7"/>
    </row>
    <row r="6" spans="1:9" x14ac:dyDescent="0.3">
      <c r="B6">
        <v>0.47</v>
      </c>
      <c r="D6">
        <f t="shared" si="1"/>
        <v>1.4687499999999997E-2</v>
      </c>
      <c r="F6">
        <f t="shared" si="0"/>
        <v>1.0357088813412698E-12</v>
      </c>
      <c r="H6" s="7">
        <f>ABS(F6/(F5*LN(10)))</f>
        <v>0.2616902647365747</v>
      </c>
      <c r="I6" s="7"/>
    </row>
    <row r="7" spans="1:9" x14ac:dyDescent="0.3">
      <c r="B7">
        <v>0.43</v>
      </c>
      <c r="D7">
        <f t="shared" si="1"/>
        <v>1.34375E-2</v>
      </c>
      <c r="F7">
        <f t="shared" si="0"/>
        <v>9.475634446313747E-13</v>
      </c>
      <c r="H7" s="7">
        <f t="shared" si="2"/>
        <v>-12.023391701960568</v>
      </c>
      <c r="I7" s="7"/>
    </row>
    <row r="8" spans="1:9" x14ac:dyDescent="0.3">
      <c r="B8">
        <v>0.19</v>
      </c>
      <c r="D8">
        <f t="shared" si="1"/>
        <v>5.9375000000000001E-3</v>
      </c>
      <c r="F8">
        <f t="shared" si="0"/>
        <v>4.1869082437200278E-13</v>
      </c>
      <c r="H8" s="7">
        <f>ABS(F8/(F7*LN(10)))</f>
        <v>0.19189756177120429</v>
      </c>
      <c r="I8" s="7"/>
    </row>
    <row r="10" spans="1:9" x14ac:dyDescent="0.3">
      <c r="A10" t="s">
        <v>80</v>
      </c>
      <c r="B10">
        <v>10.220000000000001</v>
      </c>
      <c r="C10" t="s">
        <v>81</v>
      </c>
    </row>
    <row r="12" spans="1:9" x14ac:dyDescent="0.3">
      <c r="B12" t="s">
        <v>29</v>
      </c>
      <c r="C12" t="s">
        <v>83</v>
      </c>
      <c r="E12">
        <v>16.600000000000001</v>
      </c>
      <c r="F12" t="s">
        <v>30</v>
      </c>
    </row>
    <row r="13" spans="1:9" x14ac:dyDescent="0.3">
      <c r="E13">
        <v>160</v>
      </c>
      <c r="F13" t="s">
        <v>36</v>
      </c>
      <c r="G13" t="s">
        <v>37</v>
      </c>
    </row>
    <row r="14" spans="1:9" x14ac:dyDescent="0.3">
      <c r="E14">
        <f>PI()*(0.16/2)^2</f>
        <v>2.0106192982974676E-2</v>
      </c>
      <c r="F14" t="s">
        <v>38</v>
      </c>
    </row>
    <row r="15" spans="1:9" x14ac:dyDescent="0.3">
      <c r="E15">
        <v>0.64</v>
      </c>
      <c r="F15" t="s">
        <v>84</v>
      </c>
    </row>
    <row r="16" spans="1:9" x14ac:dyDescent="0.3">
      <c r="E16">
        <f>E12/E14/E15</f>
        <v>1290.0254176393862</v>
      </c>
      <c r="F16" t="s">
        <v>85</v>
      </c>
    </row>
    <row r="17" spans="6:6" x14ac:dyDescent="0.3">
      <c r="F17" s="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BF978-F8E5-4EAD-B2A8-4C7F692283D4}">
  <dimension ref="A1:H51"/>
  <sheetViews>
    <sheetView zoomScale="85" zoomScaleNormal="85" workbookViewId="0">
      <selection activeCell="D39" sqref="D39"/>
    </sheetView>
  </sheetViews>
  <sheetFormatPr defaultRowHeight="14.4" x14ac:dyDescent="0.3"/>
  <cols>
    <col min="1" max="1" width="12.109375" customWidth="1"/>
    <col min="2" max="2" width="16.109375" bestFit="1" customWidth="1"/>
    <col min="3" max="3" width="19.109375" customWidth="1"/>
    <col min="4" max="4" width="12" bestFit="1" customWidth="1"/>
    <col min="5" max="5" width="17.44140625" customWidth="1"/>
  </cols>
  <sheetData>
    <row r="1" spans="1:5" x14ac:dyDescent="0.3">
      <c r="A1" t="s">
        <v>72</v>
      </c>
      <c r="B1">
        <v>3.88</v>
      </c>
      <c r="C1" t="s">
        <v>81</v>
      </c>
    </row>
    <row r="2" spans="1:5" x14ac:dyDescent="0.3">
      <c r="A2" t="s">
        <v>97</v>
      </c>
      <c r="B2">
        <v>64</v>
      </c>
      <c r="C2" t="s">
        <v>98</v>
      </c>
    </row>
    <row r="3" spans="1:5" x14ac:dyDescent="0.3">
      <c r="B3">
        <f>B2/365</f>
        <v>0.17534246575342466</v>
      </c>
      <c r="C3" t="s">
        <v>84</v>
      </c>
    </row>
    <row r="4" spans="1:5" x14ac:dyDescent="0.3">
      <c r="B4" s="4">
        <v>1</v>
      </c>
      <c r="C4" s="4" t="s">
        <v>99</v>
      </c>
      <c r="D4">
        <f>B4/1000/B3</f>
        <v>5.7031249999999999E-3</v>
      </c>
      <c r="E4" s="4" t="s">
        <v>100</v>
      </c>
    </row>
    <row r="5" spans="1:5" x14ac:dyDescent="0.3">
      <c r="B5" s="4">
        <v>3.5</v>
      </c>
      <c r="C5" s="4" t="s">
        <v>99</v>
      </c>
      <c r="D5" s="4"/>
      <c r="E5" s="4"/>
    </row>
    <row r="6" spans="1:5" x14ac:dyDescent="0.3">
      <c r="C6" s="4" t="s">
        <v>83</v>
      </c>
    </row>
    <row r="7" spans="1:5" x14ac:dyDescent="0.3">
      <c r="A7" t="s">
        <v>101</v>
      </c>
      <c r="B7">
        <v>18.75</v>
      </c>
      <c r="C7" s="4" t="s">
        <v>102</v>
      </c>
    </row>
    <row r="8" spans="1:5" x14ac:dyDescent="0.3">
      <c r="B8">
        <f>B7/150</f>
        <v>0.125</v>
      </c>
      <c r="C8" s="4" t="s">
        <v>111</v>
      </c>
    </row>
    <row r="9" spans="1:5" x14ac:dyDescent="0.3">
      <c r="B9">
        <f>150</f>
        <v>150</v>
      </c>
      <c r="C9" s="4" t="s">
        <v>112</v>
      </c>
    </row>
    <row r="10" spans="1:5" x14ac:dyDescent="0.3">
      <c r="A10" t="s">
        <v>103</v>
      </c>
      <c r="B10">
        <v>180</v>
      </c>
      <c r="C10" s="4" t="s">
        <v>104</v>
      </c>
    </row>
    <row r="11" spans="1:5" x14ac:dyDescent="0.3">
      <c r="B11">
        <f>B10/10^(6)</f>
        <v>1.8000000000000001E-4</v>
      </c>
      <c r="C11" s="4" t="s">
        <v>105</v>
      </c>
    </row>
    <row r="12" spans="1:5" x14ac:dyDescent="0.3">
      <c r="A12" t="s">
        <v>106</v>
      </c>
      <c r="B12">
        <f>B11/B13</f>
        <v>1.5000000000000002E-3</v>
      </c>
      <c r="D12" t="s">
        <v>109</v>
      </c>
    </row>
    <row r="13" spans="1:5" x14ac:dyDescent="0.3">
      <c r="A13" t="s">
        <v>107</v>
      </c>
      <c r="B13">
        <v>0.12</v>
      </c>
      <c r="C13" s="4" t="s">
        <v>108</v>
      </c>
    </row>
    <row r="14" spans="1:5" x14ac:dyDescent="0.3">
      <c r="B14">
        <f>B11/B13</f>
        <v>1.5000000000000002E-3</v>
      </c>
      <c r="C14" s="4" t="s">
        <v>110</v>
      </c>
    </row>
    <row r="15" spans="1:5" x14ac:dyDescent="0.3">
      <c r="B15">
        <f>B9/B14</f>
        <v>99999.999999999985</v>
      </c>
      <c r="C15" s="4" t="s">
        <v>117</v>
      </c>
    </row>
    <row r="16" spans="1:5" x14ac:dyDescent="0.3">
      <c r="B16">
        <f>B8*B15</f>
        <v>12499.999999999998</v>
      </c>
      <c r="C16" s="4" t="s">
        <v>118</v>
      </c>
    </row>
    <row r="17" spans="1:8" x14ac:dyDescent="0.3">
      <c r="B17">
        <f>B16/1000</f>
        <v>12.499999999999998</v>
      </c>
      <c r="C17" s="4" t="s">
        <v>119</v>
      </c>
    </row>
    <row r="18" spans="1:8" x14ac:dyDescent="0.3">
      <c r="B18">
        <f>B17*10</f>
        <v>124.99999999999999</v>
      </c>
      <c r="C18" s="4" t="s">
        <v>124</v>
      </c>
    </row>
    <row r="19" spans="1:8" x14ac:dyDescent="0.3">
      <c r="A19" t="s">
        <v>113</v>
      </c>
      <c r="B19">
        <v>10</v>
      </c>
      <c r="C19" s="9" t="s">
        <v>114</v>
      </c>
      <c r="D19" t="s">
        <v>131</v>
      </c>
    </row>
    <row r="20" spans="1:8" x14ac:dyDescent="0.3">
      <c r="B20">
        <v>1</v>
      </c>
      <c r="C20" s="9" t="s">
        <v>114</v>
      </c>
      <c r="D20">
        <f>B20*12</f>
        <v>12</v>
      </c>
      <c r="E20" t="s">
        <v>130</v>
      </c>
      <c r="F20" t="s">
        <v>132</v>
      </c>
    </row>
    <row r="21" spans="1:8" x14ac:dyDescent="0.3">
      <c r="B21">
        <f>B19-B20</f>
        <v>9</v>
      </c>
      <c r="C21" s="9" t="s">
        <v>114</v>
      </c>
    </row>
    <row r="22" spans="1:8" x14ac:dyDescent="0.3">
      <c r="A22" t="s">
        <v>140</v>
      </c>
      <c r="B22" s="2">
        <f>B21*12</f>
        <v>108</v>
      </c>
      <c r="C22" s="2" t="s">
        <v>115</v>
      </c>
      <c r="D22">
        <f>B22*44/12/1000</f>
        <v>0.39600000000000002</v>
      </c>
      <c r="E22" t="s">
        <v>120</v>
      </c>
    </row>
    <row r="23" spans="1:8" x14ac:dyDescent="0.3">
      <c r="B23">
        <f>B22*(B15/1000)</f>
        <v>10799.999999999998</v>
      </c>
      <c r="C23" s="9" t="s">
        <v>116</v>
      </c>
      <c r="D23">
        <f>B23*44/12/1000</f>
        <v>39.599999999999994</v>
      </c>
      <c r="E23" t="s">
        <v>121</v>
      </c>
    </row>
    <row r="24" spans="1:8" x14ac:dyDescent="0.3">
      <c r="D24">
        <f>D23*10000/1000</f>
        <v>395.99999999999994</v>
      </c>
      <c r="E24" t="s">
        <v>122</v>
      </c>
      <c r="G24" t="s">
        <v>126</v>
      </c>
    </row>
    <row r="25" spans="1:8" x14ac:dyDescent="0.3">
      <c r="D25" s="2">
        <f>D24/1000</f>
        <v>0.39599999999999996</v>
      </c>
      <c r="E25" s="2" t="s">
        <v>123</v>
      </c>
      <c r="F25" t="s">
        <v>125</v>
      </c>
      <c r="G25">
        <f>B3</f>
        <v>0.17534246575342466</v>
      </c>
      <c r="H25" t="s">
        <v>84</v>
      </c>
    </row>
    <row r="26" spans="1:8" x14ac:dyDescent="0.3">
      <c r="D26">
        <f>D25/B18/G25</f>
        <v>1.80675E-2</v>
      </c>
      <c r="E26" t="s">
        <v>127</v>
      </c>
    </row>
    <row r="27" spans="1:8" x14ac:dyDescent="0.3">
      <c r="D27">
        <f>D26/B1</f>
        <v>4.6565721649484536E-3</v>
      </c>
      <c r="E27" t="s">
        <v>128</v>
      </c>
    </row>
    <row r="28" spans="1:8" x14ac:dyDescent="0.3">
      <c r="D28">
        <f>D27/44/3600/24/365</f>
        <v>3.3558848797250863E-12</v>
      </c>
      <c r="E28" t="s">
        <v>51</v>
      </c>
    </row>
    <row r="29" spans="1:8" x14ac:dyDescent="0.3">
      <c r="D29" s="2">
        <f>LOG10(D28)</f>
        <v>-11.474192945625719</v>
      </c>
      <c r="E29" s="2" t="s">
        <v>50</v>
      </c>
    </row>
    <row r="31" spans="1:8" x14ac:dyDescent="0.3">
      <c r="A31" t="s">
        <v>129</v>
      </c>
    </row>
    <row r="32" spans="1:8" x14ac:dyDescent="0.3">
      <c r="B32">
        <v>0.4</v>
      </c>
      <c r="C32" t="s">
        <v>133</v>
      </c>
      <c r="D32" t="s">
        <v>134</v>
      </c>
    </row>
    <row r="33" spans="1:4" x14ac:dyDescent="0.3">
      <c r="B33">
        <v>1.6</v>
      </c>
      <c r="C33" t="s">
        <v>133</v>
      </c>
      <c r="D33" t="s">
        <v>134</v>
      </c>
    </row>
    <row r="34" spans="1:4" x14ac:dyDescent="0.3">
      <c r="B34">
        <f>B32*B15/1000</f>
        <v>40</v>
      </c>
      <c r="C34" t="s">
        <v>135</v>
      </c>
    </row>
    <row r="35" spans="1:4" x14ac:dyDescent="0.3">
      <c r="B35">
        <f>B33*B15/1000</f>
        <v>160</v>
      </c>
      <c r="C35" t="s">
        <v>135</v>
      </c>
    </row>
    <row r="36" spans="1:4" x14ac:dyDescent="0.3">
      <c r="B36">
        <f>B34*10</f>
        <v>400</v>
      </c>
      <c r="C36" t="s">
        <v>122</v>
      </c>
    </row>
    <row r="37" spans="1:4" x14ac:dyDescent="0.3">
      <c r="B37">
        <f>B35*10</f>
        <v>1600</v>
      </c>
      <c r="C37" t="s">
        <v>122</v>
      </c>
    </row>
    <row r="38" spans="1:4" x14ac:dyDescent="0.3">
      <c r="B38">
        <f>B36/G25/125/1000</f>
        <v>1.8249999999999999E-2</v>
      </c>
      <c r="C38" t="s">
        <v>136</v>
      </c>
    </row>
    <row r="39" spans="1:4" x14ac:dyDescent="0.3">
      <c r="B39">
        <f>B37/G25/125/1000</f>
        <v>7.2999999999999995E-2</v>
      </c>
      <c r="C39" t="s">
        <v>137</v>
      </c>
    </row>
    <row r="40" spans="1:4" x14ac:dyDescent="0.3">
      <c r="B40">
        <f>B38/B1</f>
        <v>4.7036082474226802E-3</v>
      </c>
      <c r="C40" t="s">
        <v>128</v>
      </c>
    </row>
    <row r="41" spans="1:4" x14ac:dyDescent="0.3">
      <c r="B41">
        <f>B39/B1</f>
        <v>1.8814432989690721E-2</v>
      </c>
      <c r="C41" t="s">
        <v>128</v>
      </c>
    </row>
    <row r="42" spans="1:4" x14ac:dyDescent="0.3">
      <c r="B42" s="2">
        <f>LOG10(B40/3600/24/365/44)</f>
        <v>-11.469828140223269</v>
      </c>
      <c r="C42" s="2" t="s">
        <v>50</v>
      </c>
    </row>
    <row r="43" spans="1:4" x14ac:dyDescent="0.3">
      <c r="B43" s="2">
        <f>LOG10(B41/3600/24/365/44)</f>
        <v>-10.867768148895307</v>
      </c>
      <c r="C43" s="2" t="s">
        <v>50</v>
      </c>
    </row>
    <row r="45" spans="1:4" x14ac:dyDescent="0.3">
      <c r="A45" t="s">
        <v>138</v>
      </c>
    </row>
    <row r="48" spans="1:4" x14ac:dyDescent="0.3">
      <c r="A48">
        <v>40</v>
      </c>
      <c r="B48" t="s">
        <v>104</v>
      </c>
    </row>
    <row r="49" spans="1:2" x14ac:dyDescent="0.3">
      <c r="A49">
        <v>3</v>
      </c>
      <c r="B49" t="s">
        <v>98</v>
      </c>
    </row>
    <row r="50" spans="1:2" x14ac:dyDescent="0.3">
      <c r="A50">
        <f>A48/A49/10^(6)</f>
        <v>1.3333333333333333E-5</v>
      </c>
      <c r="B50" t="s">
        <v>139</v>
      </c>
    </row>
    <row r="51" spans="1:2" x14ac:dyDescent="0.3">
      <c r="A51">
        <f>A50*365*1000/B14</f>
        <v>3244.4444444444443</v>
      </c>
      <c r="B51" t="s">
        <v>39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KELLAND</vt:lpstr>
      <vt:lpstr>Vienne 2022&amp;2023</vt:lpstr>
      <vt:lpstr>AMANN2022</vt:lpstr>
      <vt:lpstr>Buckingham 2022</vt:lpstr>
      <vt:lpstr>Reershemius 2023</vt:lpstr>
      <vt:lpstr>Te pas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vienne</dc:creator>
  <cp:lastModifiedBy>arthur</cp:lastModifiedBy>
  <dcterms:created xsi:type="dcterms:W3CDTF">2023-03-01T10:08:50Z</dcterms:created>
  <dcterms:modified xsi:type="dcterms:W3CDTF">2023-05-05T12:03:57Z</dcterms:modified>
</cp:coreProperties>
</file>