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C:\Users\elect\Documents\Doctorado\Papers\2_PaperACEPTADOS\RESE_LVDC\"/>
    </mc:Choice>
  </mc:AlternateContent>
  <xr:revisionPtr revIDLastSave="0" documentId="13_ncr:1_{C99C411A-B9E3-4486-8C3D-0F87E3A58A2D}" xr6:coauthVersionLast="47" xr6:coauthVersionMax="47" xr10:uidLastSave="{00000000-0000-0000-0000-000000000000}"/>
  <bookViews>
    <workbookView xWindow="-120" yWindow="-120" windowWidth="20730" windowHeight="11160" firstSheet="5" activeTab="7" xr2:uid="{00000000-000D-0000-FFFF-FFFF00000000}"/>
  </bookViews>
  <sheets>
    <sheet name="BusquedaWosScopus&amp;Tony" sheetId="1" r:id="rId1"/>
    <sheet name="Papers asignados" sheetId="2" r:id="rId2"/>
    <sheet name="Plantilla_Definitiva" sheetId="3" r:id="rId3"/>
    <sheet name="Main_Aspects" sheetId="4" r:id="rId4"/>
    <sheet name="Tabla. Converter systems" sheetId="5" r:id="rId5"/>
    <sheet name="Tabla. Protection systems" sheetId="6" r:id="rId6"/>
    <sheet name="Tabla.Topologies" sheetId="7" state="hidden" r:id="rId7"/>
    <sheet name="Tabla.Connection " sheetId="8" r:id="rId8"/>
    <sheet name="Tabla.Standarization" sheetId="9" state="hidden" r:id="rId9"/>
    <sheet name="Papers analizados PLANTILLA" sheetId="10" r:id="rId10"/>
  </sheets>
  <definedNames>
    <definedName name="Z_F2AE6411_00CA_459F_B4D0_791254FC581E_.wvu.FilterData" localSheetId="2" hidden="1">Plantilla_Definitiva!$B$1:$B$1149</definedName>
  </definedNames>
  <calcPr calcId="191029"/>
  <customWorkbookViews>
    <customWorkbookView name="Filter 1" guid="{F2AE6411-00CA-459F-B4D0-791254FC581E}"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48" i="10" l="1"/>
  <c r="B20" i="7"/>
  <c r="B33" i="5"/>
  <c r="C197" i="3"/>
  <c r="E169" i="3"/>
  <c r="A3" i="3"/>
  <c r="A4" i="3" s="1"/>
  <c r="A5" i="3" s="1"/>
  <c r="A6" i="3" s="1"/>
  <c r="A7" i="3" s="1"/>
  <c r="A8" i="3" s="1"/>
  <c r="A9" i="3" s="1"/>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A129" i="3" s="1"/>
  <c r="A130" i="3" s="1"/>
  <c r="A131" i="3" s="1"/>
  <c r="A132" i="3" s="1"/>
  <c r="A133" i="3" s="1"/>
  <c r="A134" i="3" s="1"/>
  <c r="A135" i="3" s="1"/>
  <c r="A136" i="3" s="1"/>
  <c r="A137" i="3" s="1"/>
  <c r="A138" i="3" s="1"/>
  <c r="A139" i="3" s="1"/>
  <c r="A140" i="3" s="1"/>
  <c r="A141" i="3" s="1"/>
  <c r="A142" i="3" s="1"/>
  <c r="A143" i="3" s="1"/>
  <c r="A144" i="3" s="1"/>
  <c r="A145" i="3" s="1"/>
  <c r="A146" i="3" s="1"/>
  <c r="A147" i="3" s="1"/>
  <c r="A148" i="3" s="1"/>
  <c r="A149" i="3" s="1"/>
  <c r="A150" i="3" s="1"/>
  <c r="A151" i="3" s="1"/>
  <c r="A152" i="3" s="1"/>
  <c r="A153" i="3" s="1"/>
  <c r="A154" i="3" s="1"/>
  <c r="A155" i="3" s="1"/>
  <c r="A156" i="3" s="1"/>
  <c r="A157" i="3" s="1"/>
  <c r="A158" i="3" s="1"/>
  <c r="A159" i="3" s="1"/>
  <c r="A160" i="3" s="1"/>
  <c r="A161" i="3" s="1"/>
  <c r="A162" i="3" s="1"/>
  <c r="A163" i="3" s="1"/>
  <c r="A164" i="3" s="1"/>
  <c r="A165" i="3" s="1"/>
  <c r="A166" i="3" s="1"/>
  <c r="A167" i="3" s="1"/>
  <c r="A168" i="3" s="1"/>
  <c r="A169" i="3" s="1"/>
  <c r="A170" i="3" s="1"/>
  <c r="A171" i="3" s="1"/>
  <c r="A172" i="3" s="1"/>
  <c r="A173" i="3" s="1"/>
  <c r="A174" i="3" s="1"/>
  <c r="A175" i="3" s="1"/>
  <c r="A176" i="3" s="1"/>
  <c r="A177" i="3" s="1"/>
  <c r="A178" i="3" s="1"/>
  <c r="A179" i="3" s="1"/>
  <c r="A180" i="3" s="1"/>
  <c r="A181" i="3" s="1"/>
  <c r="A182" i="3" s="1"/>
  <c r="A183" i="3" s="1"/>
  <c r="A184" i="3" s="1"/>
  <c r="A185" i="3" s="1"/>
  <c r="A186" i="3" s="1"/>
  <c r="A187" i="3" s="1"/>
  <c r="A188" i="3" s="1"/>
  <c r="A189" i="3" s="1"/>
  <c r="A190" i="3" s="1"/>
  <c r="A191" i="3" s="1"/>
  <c r="B70" i="2"/>
  <c r="F333" i="1"/>
  <c r="F332" i="1"/>
  <c r="F331" i="1"/>
  <c r="F330" i="1"/>
  <c r="F329" i="1"/>
  <c r="F328" i="1"/>
  <c r="F327" i="1"/>
  <c r="F326" i="1"/>
  <c r="F325" i="1"/>
  <c r="F324" i="1"/>
  <c r="F323" i="1"/>
  <c r="F322" i="1"/>
  <c r="F321" i="1"/>
  <c r="F320" i="1"/>
  <c r="F319" i="1"/>
  <c r="F318" i="1"/>
  <c r="F317" i="1"/>
  <c r="F316" i="1"/>
  <c r="F315" i="1"/>
  <c r="F314" i="1"/>
  <c r="F313" i="1"/>
  <c r="F312" i="1"/>
  <c r="F311" i="1"/>
  <c r="F310" i="1"/>
  <c r="F309" i="1"/>
  <c r="F308" i="1"/>
  <c r="F307" i="1"/>
  <c r="F306" i="1"/>
  <c r="F305" i="1"/>
  <c r="F304" i="1"/>
  <c r="F303" i="1"/>
  <c r="F302" i="1"/>
  <c r="F301" i="1"/>
  <c r="F300" i="1"/>
  <c r="F299" i="1"/>
  <c r="F298" i="1"/>
  <c r="F297" i="1"/>
  <c r="F296" i="1"/>
  <c r="F295" i="1"/>
  <c r="F294" i="1"/>
  <c r="F293" i="1"/>
  <c r="F292" i="1"/>
  <c r="F291" i="1"/>
  <c r="F290" i="1"/>
  <c r="F289" i="1"/>
  <c r="F288" i="1"/>
  <c r="F287" i="1"/>
  <c r="F286" i="1"/>
  <c r="F285" i="1"/>
  <c r="F284" i="1"/>
  <c r="F283" i="1"/>
  <c r="F282" i="1"/>
  <c r="F281" i="1"/>
  <c r="F280" i="1"/>
  <c r="F279" i="1"/>
  <c r="F278" i="1"/>
  <c r="F277" i="1"/>
  <c r="F276" i="1"/>
  <c r="F275" i="1"/>
  <c r="F274" i="1"/>
  <c r="F273" i="1"/>
  <c r="F272" i="1"/>
  <c r="F271" i="1"/>
  <c r="F270" i="1"/>
  <c r="F269" i="1"/>
  <c r="F268" i="1"/>
  <c r="F267" i="1"/>
  <c r="F266" i="1"/>
  <c r="F265" i="1"/>
  <c r="F264" i="1"/>
  <c r="F263" i="1"/>
  <c r="F262" i="1"/>
  <c r="F261" i="1"/>
  <c r="F260" i="1"/>
  <c r="F259" i="1"/>
  <c r="F258" i="1"/>
  <c r="F257" i="1"/>
  <c r="F256" i="1"/>
  <c r="F255" i="1"/>
  <c r="F254" i="1"/>
  <c r="F253" i="1"/>
  <c r="F252" i="1"/>
  <c r="F251" i="1"/>
  <c r="F250" i="1"/>
  <c r="F249" i="1"/>
  <c r="F248" i="1"/>
  <c r="F247" i="1"/>
  <c r="F246" i="1"/>
  <c r="F245" i="1"/>
  <c r="F244" i="1"/>
  <c r="F243" i="1"/>
  <c r="F242" i="1"/>
  <c r="F241" i="1"/>
  <c r="F240" i="1"/>
  <c r="F239" i="1"/>
  <c r="F238" i="1"/>
  <c r="F237" i="1"/>
  <c r="F236" i="1"/>
  <c r="F235" i="1"/>
  <c r="F234" i="1"/>
  <c r="F233" i="1"/>
  <c r="F232" i="1"/>
  <c r="F231" i="1"/>
  <c r="F230" i="1"/>
  <c r="F229" i="1"/>
  <c r="F228" i="1"/>
  <c r="F227" i="1"/>
  <c r="F226" i="1"/>
  <c r="F225" i="1"/>
  <c r="F224" i="1"/>
  <c r="F223" i="1"/>
  <c r="F222" i="1"/>
  <c r="F221" i="1"/>
  <c r="F220" i="1"/>
  <c r="F219" i="1"/>
  <c r="F218" i="1"/>
  <c r="F217" i="1"/>
  <c r="F216" i="1"/>
  <c r="F215" i="1"/>
  <c r="F214" i="1"/>
  <c r="F213" i="1"/>
  <c r="F212" i="1"/>
  <c r="F211" i="1"/>
  <c r="F210" i="1"/>
  <c r="F209" i="1"/>
  <c r="F208" i="1"/>
  <c r="F207" i="1"/>
  <c r="F206" i="1"/>
  <c r="F205" i="1"/>
  <c r="F204" i="1"/>
  <c r="F203" i="1"/>
  <c r="F202" i="1"/>
  <c r="F201" i="1"/>
  <c r="F200" i="1"/>
  <c r="F199" i="1"/>
  <c r="F198" i="1"/>
  <c r="F197" i="1"/>
  <c r="F196" i="1"/>
  <c r="F195" i="1"/>
  <c r="F194" i="1"/>
  <c r="F193" i="1"/>
  <c r="F192" i="1"/>
  <c r="F191" i="1"/>
  <c r="F190" i="1"/>
  <c r="F189" i="1"/>
  <c r="F188" i="1"/>
  <c r="F187" i="1"/>
  <c r="F186" i="1"/>
  <c r="F185" i="1"/>
  <c r="F184" i="1"/>
  <c r="F183" i="1"/>
  <c r="F182" i="1"/>
  <c r="F181" i="1"/>
  <c r="F180" i="1"/>
  <c r="F179" i="1"/>
  <c r="F178" i="1"/>
  <c r="F177" i="1"/>
  <c r="F176" i="1"/>
  <c r="F175" i="1"/>
  <c r="F174" i="1"/>
  <c r="F173" i="1"/>
  <c r="F172" i="1"/>
  <c r="F171" i="1"/>
  <c r="F170" i="1"/>
  <c r="F169" i="1"/>
  <c r="F168" i="1"/>
  <c r="F167" i="1"/>
  <c r="F166" i="1"/>
  <c r="F165" i="1"/>
  <c r="F164" i="1"/>
  <c r="F163" i="1"/>
  <c r="F162" i="1"/>
  <c r="F161" i="1"/>
  <c r="F160" i="1"/>
  <c r="F159" i="1"/>
  <c r="F158" i="1"/>
  <c r="F157" i="1"/>
  <c r="F156" i="1"/>
  <c r="F155" i="1"/>
  <c r="F154" i="1"/>
  <c r="F153" i="1"/>
  <c r="F152" i="1"/>
  <c r="F151" i="1"/>
  <c r="F150" i="1"/>
  <c r="F149" i="1"/>
  <c r="F148" i="1"/>
  <c r="F147" i="1"/>
  <c r="F146" i="1"/>
  <c r="F145" i="1"/>
  <c r="F144" i="1"/>
  <c r="F143" i="1"/>
  <c r="F142" i="1"/>
  <c r="F141" i="1"/>
  <c r="F140" i="1"/>
  <c r="F139" i="1"/>
  <c r="F138" i="1"/>
  <c r="F137" i="1"/>
  <c r="F136" i="1"/>
  <c r="F135" i="1"/>
  <c r="F134" i="1"/>
  <c r="F133" i="1"/>
  <c r="F132" i="1"/>
  <c r="F131" i="1"/>
  <c r="F130" i="1"/>
  <c r="F129" i="1"/>
  <c r="F128" i="1"/>
  <c r="F127" i="1"/>
  <c r="F126" i="1"/>
  <c r="F125" i="1"/>
  <c r="F124" i="1"/>
  <c r="F123" i="1"/>
  <c r="F122" i="1"/>
  <c r="F121" i="1"/>
  <c r="F120" i="1"/>
  <c r="F119" i="1"/>
  <c r="F118" i="1"/>
  <c r="F117" i="1"/>
  <c r="F116" i="1"/>
  <c r="F115" i="1"/>
  <c r="F114" i="1"/>
  <c r="F113" i="1"/>
  <c r="F112" i="1"/>
  <c r="F111" i="1"/>
  <c r="F110" i="1"/>
  <c r="F109" i="1"/>
  <c r="F108" i="1"/>
  <c r="F107" i="1"/>
  <c r="F106" i="1"/>
  <c r="F105" i="1"/>
  <c r="F104" i="1"/>
  <c r="F103" i="1"/>
  <c r="F102" i="1"/>
  <c r="F101" i="1"/>
  <c r="F100" i="1"/>
  <c r="F99" i="1"/>
  <c r="F98" i="1"/>
  <c r="F97" i="1"/>
  <c r="F96" i="1"/>
  <c r="F95" i="1"/>
  <c r="F94" i="1"/>
  <c r="F93" i="1"/>
  <c r="F92" i="1"/>
  <c r="F91" i="1"/>
  <c r="F90" i="1"/>
  <c r="F89" i="1"/>
  <c r="F88" i="1"/>
  <c r="F87" i="1"/>
  <c r="F86" i="1"/>
  <c r="F85" i="1"/>
  <c r="F84" i="1"/>
  <c r="F83" i="1"/>
  <c r="F82" i="1"/>
  <c r="E82" i="1"/>
  <c r="F81" i="1"/>
  <c r="E81" i="1"/>
  <c r="F80" i="1"/>
  <c r="E80" i="1"/>
  <c r="F79" i="1"/>
  <c r="E79" i="1"/>
  <c r="F78" i="1"/>
  <c r="E78" i="1"/>
  <c r="I77" i="1"/>
  <c r="F77" i="1"/>
  <c r="E77" i="1"/>
  <c r="I76" i="1"/>
  <c r="H76" i="1"/>
  <c r="F76" i="1"/>
  <c r="E76" i="1"/>
  <c r="I75" i="1"/>
  <c r="H75" i="1"/>
  <c r="F75" i="1"/>
  <c r="E75" i="1"/>
  <c r="I74" i="1"/>
  <c r="F74" i="1"/>
  <c r="E74" i="1"/>
  <c r="I73" i="1"/>
  <c r="H73" i="1"/>
  <c r="F73" i="1"/>
  <c r="E73" i="1"/>
  <c r="I72" i="1"/>
  <c r="H72" i="1"/>
  <c r="F72" i="1"/>
  <c r="E72" i="1"/>
  <c r="I71" i="1"/>
  <c r="H71" i="1"/>
  <c r="F71" i="1"/>
  <c r="E71" i="1"/>
  <c r="I70" i="1"/>
  <c r="H70" i="1"/>
  <c r="F70" i="1"/>
  <c r="E70" i="1"/>
  <c r="I69" i="1"/>
  <c r="H69" i="1"/>
  <c r="F69" i="1"/>
  <c r="E69" i="1"/>
  <c r="I68" i="1"/>
  <c r="H68" i="1"/>
  <c r="F68" i="1"/>
  <c r="E68" i="1"/>
  <c r="I67" i="1"/>
  <c r="H67" i="1"/>
  <c r="F67" i="1"/>
  <c r="E67" i="1"/>
  <c r="I66" i="1"/>
  <c r="H66" i="1"/>
  <c r="F66" i="1"/>
  <c r="E66" i="1"/>
  <c r="I65" i="1"/>
  <c r="H65" i="1"/>
  <c r="F65" i="1"/>
  <c r="E65" i="1"/>
  <c r="I64" i="1"/>
  <c r="H64" i="1"/>
  <c r="F64" i="1"/>
  <c r="E64" i="1"/>
  <c r="I63" i="1"/>
  <c r="H63" i="1"/>
  <c r="F63" i="1"/>
  <c r="E63" i="1"/>
  <c r="I62" i="1"/>
  <c r="H62" i="1"/>
  <c r="F62" i="1"/>
  <c r="E62" i="1"/>
  <c r="I61" i="1"/>
  <c r="H61" i="1"/>
  <c r="F61" i="1"/>
  <c r="E61" i="1"/>
  <c r="I60" i="1"/>
  <c r="H60" i="1"/>
  <c r="F60" i="1"/>
  <c r="E60" i="1"/>
  <c r="I59" i="1"/>
  <c r="H59" i="1"/>
  <c r="F59" i="1"/>
  <c r="E59" i="1"/>
  <c r="I58" i="1"/>
  <c r="H58" i="1"/>
  <c r="F58" i="1"/>
  <c r="E58" i="1"/>
  <c r="I57" i="1"/>
  <c r="H57" i="1"/>
  <c r="F57" i="1"/>
  <c r="E57" i="1"/>
  <c r="I56" i="1"/>
  <c r="H56" i="1"/>
  <c r="F56" i="1"/>
  <c r="E56" i="1"/>
  <c r="I55" i="1"/>
  <c r="F55" i="1"/>
  <c r="E55" i="1"/>
  <c r="I54" i="1"/>
  <c r="H54" i="1"/>
  <c r="F54" i="1"/>
  <c r="E54" i="1"/>
  <c r="I53" i="1"/>
  <c r="H53" i="1"/>
  <c r="F53" i="1"/>
  <c r="E53" i="1"/>
  <c r="I52" i="1"/>
  <c r="H52" i="1"/>
  <c r="F52" i="1"/>
  <c r="E52" i="1"/>
  <c r="I51" i="1"/>
  <c r="H51" i="1"/>
  <c r="F51" i="1"/>
  <c r="E51" i="1"/>
  <c r="I50" i="1"/>
  <c r="H50" i="1"/>
  <c r="F50" i="1"/>
  <c r="E50" i="1"/>
  <c r="I49" i="1"/>
  <c r="H49" i="1"/>
  <c r="F49" i="1"/>
  <c r="E49" i="1"/>
  <c r="I48" i="1"/>
  <c r="H48" i="1"/>
  <c r="F48" i="1"/>
  <c r="E48" i="1"/>
  <c r="I47" i="1"/>
  <c r="H47" i="1"/>
  <c r="F47" i="1"/>
  <c r="E47" i="1"/>
  <c r="I46" i="1"/>
  <c r="H46" i="1"/>
  <c r="F46" i="1"/>
  <c r="E46" i="1"/>
  <c r="I45" i="1"/>
  <c r="H45" i="1"/>
  <c r="F45" i="1"/>
  <c r="E45" i="1"/>
  <c r="I44" i="1"/>
  <c r="H44" i="1"/>
  <c r="F44" i="1"/>
  <c r="E44" i="1"/>
  <c r="I43" i="1"/>
  <c r="H43" i="1"/>
  <c r="F43" i="1"/>
  <c r="E43" i="1"/>
  <c r="I42" i="1"/>
  <c r="H42" i="1"/>
  <c r="F42" i="1"/>
  <c r="E42" i="1"/>
  <c r="I41" i="1"/>
  <c r="F41" i="1"/>
  <c r="E41" i="1"/>
  <c r="I40" i="1"/>
  <c r="H40" i="1"/>
  <c r="F40" i="1"/>
  <c r="E40" i="1"/>
  <c r="I39" i="1"/>
  <c r="H39" i="1"/>
  <c r="F39" i="1"/>
  <c r="E39" i="1"/>
  <c r="I38" i="1"/>
  <c r="H38" i="1"/>
  <c r="F38" i="1"/>
  <c r="E38" i="1"/>
  <c r="I37" i="1"/>
  <c r="H37" i="1"/>
  <c r="F37" i="1"/>
  <c r="E37" i="1"/>
  <c r="I36" i="1"/>
  <c r="H36" i="1"/>
  <c r="F36" i="1"/>
  <c r="E36" i="1"/>
  <c r="I35" i="1"/>
  <c r="H35" i="1"/>
  <c r="F35" i="1"/>
  <c r="E35" i="1"/>
  <c r="I34" i="1"/>
  <c r="H34" i="1"/>
  <c r="F34" i="1"/>
  <c r="E34" i="1"/>
  <c r="I33" i="1"/>
  <c r="H33" i="1"/>
  <c r="F33" i="1"/>
  <c r="E33" i="1"/>
  <c r="I32" i="1"/>
  <c r="H32" i="1"/>
  <c r="F32" i="1"/>
  <c r="E32" i="1"/>
  <c r="I31" i="1"/>
  <c r="H31" i="1"/>
  <c r="F31" i="1"/>
  <c r="E31" i="1"/>
  <c r="I30" i="1"/>
  <c r="H30" i="1"/>
  <c r="F30" i="1"/>
  <c r="E30" i="1"/>
  <c r="I29" i="1"/>
  <c r="H29" i="1"/>
  <c r="F29" i="1"/>
  <c r="E29" i="1"/>
  <c r="I28" i="1"/>
  <c r="H28" i="1"/>
  <c r="F28" i="1"/>
  <c r="E28" i="1"/>
  <c r="I27" i="1"/>
  <c r="H27" i="1"/>
  <c r="F27" i="1"/>
  <c r="E27" i="1"/>
  <c r="I26" i="1"/>
  <c r="H26" i="1"/>
  <c r="F26" i="1"/>
  <c r="E26" i="1"/>
  <c r="I25" i="1"/>
  <c r="H25" i="1"/>
  <c r="F25" i="1"/>
  <c r="E25" i="1"/>
  <c r="I24" i="1"/>
  <c r="H24" i="1"/>
  <c r="F24" i="1"/>
  <c r="E24" i="1"/>
  <c r="I23" i="1"/>
  <c r="H23" i="1"/>
  <c r="F23" i="1"/>
  <c r="E23" i="1"/>
  <c r="I22" i="1"/>
  <c r="H22" i="1"/>
  <c r="F22" i="1"/>
  <c r="E22" i="1"/>
  <c r="I21" i="1"/>
  <c r="H21" i="1"/>
  <c r="F21" i="1"/>
  <c r="E21" i="1"/>
  <c r="I20" i="1"/>
  <c r="H20" i="1"/>
  <c r="F20" i="1"/>
  <c r="E20" i="1"/>
  <c r="I19" i="1"/>
  <c r="H19" i="1"/>
  <c r="F19" i="1"/>
  <c r="E19" i="1"/>
  <c r="I18" i="1"/>
  <c r="H18" i="1"/>
  <c r="F18" i="1"/>
  <c r="E18" i="1"/>
  <c r="I17" i="1"/>
  <c r="H17" i="1"/>
  <c r="F17" i="1"/>
  <c r="E17" i="1"/>
  <c r="I16" i="1"/>
  <c r="H16" i="1"/>
  <c r="F16" i="1"/>
  <c r="E16" i="1"/>
  <c r="I15" i="1"/>
  <c r="H15" i="1"/>
  <c r="F15" i="1"/>
  <c r="E15" i="1"/>
  <c r="I14" i="1"/>
  <c r="H14" i="1"/>
  <c r="F14" i="1"/>
  <c r="E14" i="1"/>
  <c r="I13" i="1"/>
  <c r="H13" i="1"/>
  <c r="F13" i="1"/>
  <c r="E13" i="1"/>
  <c r="I12" i="1"/>
  <c r="H12" i="1"/>
  <c r="F12" i="1"/>
  <c r="E12" i="1"/>
  <c r="I11" i="1"/>
  <c r="H11" i="1"/>
  <c r="F11" i="1"/>
  <c r="E11" i="1"/>
  <c r="I10" i="1"/>
  <c r="H10" i="1"/>
  <c r="F10" i="1"/>
  <c r="E10" i="1"/>
  <c r="I9" i="1"/>
  <c r="H9" i="1"/>
  <c r="F9" i="1"/>
  <c r="E9" i="1"/>
  <c r="I8" i="1"/>
  <c r="H8" i="1"/>
  <c r="F8" i="1"/>
  <c r="E8" i="1"/>
  <c r="I7" i="1"/>
  <c r="H7" i="1"/>
  <c r="F7" i="1"/>
  <c r="E7" i="1"/>
  <c r="H6" i="1"/>
  <c r="I5" i="1"/>
  <c r="H5" i="1"/>
  <c r="F5" i="1"/>
  <c r="E5" i="1"/>
  <c r="I4" i="1"/>
  <c r="H4" i="1"/>
  <c r="F4" i="1"/>
  <c r="E4" i="1"/>
  <c r="I3" i="1"/>
  <c r="H3" i="1"/>
  <c r="G3" i="1"/>
  <c r="F3" i="1"/>
  <c r="E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J107" authorId="0" shapeId="0" xr:uid="{00000000-0006-0000-0200-000004000000}">
      <text>
        <r>
          <rPr>
            <sz val="10"/>
            <color rgb="FF000000"/>
            <rFont val="Arial"/>
          </rPr>
          <t>+colivares@inf.uach.cl  Por favor, verificar, qué escenario es el que simulan?. Carga electronica, casa, edificio, villa, etc?.
_Assigned to Cristian Olivares_
	-Tony Castillo Calzadilla
+tonycastillo@deusto.es tampoco mencionan el escenario en términos que lo solicitas. Solo hacen una prueba sobre escenarios de carga que no mencionan el tipo.
	-Cristian Olivares
_Marked as done_
	-Cristian Olivares
_Re-opened_
Si no lo menciona, resuelvelo, colocando Not provided
	-Tony Castillo Calzadilla</t>
        </r>
      </text>
    </comment>
    <comment ref="J152" authorId="0" shapeId="0" xr:uid="{00000000-0006-0000-0200-000003000000}">
      <text>
        <r>
          <rPr>
            <sz val="10"/>
            <color rgb="FF000000"/>
            <rFont val="Arial"/>
          </rPr>
          <t>Por favor +mcuesta@opendeusto.es +cuesta@gmail.com necesito saber, si es una carga electrónica o una casa, edificio, villa o ciudad, lo que usaron para simular la carga.
_Assigned to Miguel Ángel Cuesta Ruiz_
	-Tony Castillo Calzadilla</t>
        </r>
      </text>
    </comment>
    <comment ref="J153" authorId="0" shapeId="0" xr:uid="{00000000-0006-0000-0200-000002000000}">
      <text>
        <r>
          <rPr>
            <sz val="10"/>
            <color rgb="FF000000"/>
            <rFont val="Arial"/>
          </rPr>
          <t>Por favor +mcuesta@opendeusto.es +cuesta@gmail.com necesito saber, si es una carga electrónica o una casa, edificio, villa o ciudad, lo que usaron para simular la carga.
_Assigned to Miguel Ángel Cuesta Ruiz_
	-Tony Castillo Calzadilla</t>
        </r>
      </text>
    </comment>
    <comment ref="J169" authorId="0" shapeId="0" xr:uid="{00000000-0006-0000-0200-000001000000}">
      <text>
        <r>
          <rPr>
            <sz val="10"/>
            <color rgb="FF000000"/>
            <rFont val="Arial"/>
          </rPr>
          <t>Por favor, a pesar de ser una simulación, me gustaría saber, si es una carga electrónica o una casa, edificio, villa o ciudad, lo que usaron para simular la carga?.
	-Tony Castillo Calzadilla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300-000004000000}">
      <text>
        <r>
          <rPr>
            <sz val="10"/>
            <color rgb="FF000000"/>
            <rFont val="Arial"/>
          </rPr>
          <t>This feature is very important to make a comprenhensive analyses of the different kind of topologies used for deploying DC-LV microgrids, since there are several topologies such as off-grid, grid connected, and partially supported, which it is a variation of grid connected. The analysis will also comprises distribution experiences such as ring, bus, mesh, etc barriers to breakdown, as well as advantages and disadvantages of each one.
	-Tony Castillo Calzadilla</t>
        </r>
      </text>
    </comment>
    <comment ref="C1" authorId="0" shapeId="0" xr:uid="{00000000-0006-0000-0300-000003000000}">
      <text>
        <r>
          <rPr>
            <sz val="10"/>
            <color rgb="FF000000"/>
            <rFont val="Arial"/>
          </rPr>
          <t>This characteristic is going to be assessed since it is being a very debatable aspect of the DC microgrids. It surely will lead this analysis to an important common point about this polemic aspect. In this regard, there are some quite interesting opinion about the usage or not of DC in low voltage, additionally, some assure that DC-LV should be standarized to 48 V on the bassis of some outcomes presented in these paper .
	-Tony Castillo Calzadilla</t>
        </r>
      </text>
    </comment>
    <comment ref="D1" authorId="0" shapeId="0" xr:uid="{00000000-0006-0000-0300-000002000000}">
      <text>
        <r>
          <rPr>
            <sz val="10"/>
            <color rgb="FF000000"/>
            <rFont val="Arial"/>
          </rPr>
          <t>The schemes of protection for DC systems are in some cases something new, that it is of great importance develop a system which be capable to gurantee the safety as well the end-users as the facility.
	-Tony Castillo Calzadilla</t>
        </r>
      </text>
    </comment>
    <comment ref="E1" authorId="0" shapeId="0" xr:uid="{00000000-0006-0000-0300-000001000000}">
      <text>
        <r>
          <rPr>
            <sz val="10"/>
            <color rgb="FF000000"/>
            <rFont val="Arial"/>
          </rPr>
          <t>They will play a key role in the future of deployment or not of the DCMGs. In some cases this part of the facilites had been considered as a cornerstone of MGs for the scietific community because it play a crucial role in the performance of DC MGs.
	-Tony Castillo Calzadilla</t>
        </r>
      </text>
    </comment>
  </commentList>
</comments>
</file>

<file path=xl/sharedStrings.xml><?xml version="1.0" encoding="utf-8"?>
<sst xmlns="http://schemas.openxmlformats.org/spreadsheetml/2006/main" count="3834" uniqueCount="2226">
  <si>
    <t>Number</t>
  </si>
  <si>
    <t>Title of the paper</t>
  </si>
  <si>
    <t>Low Voltage DC Microgrids</t>
  </si>
  <si>
    <t>WOS</t>
  </si>
  <si>
    <t>SCOPUS</t>
  </si>
  <si>
    <t>TONY</t>
  </si>
  <si>
    <t>JUNTOS WOS U SCOPUS</t>
  </si>
  <si>
    <t>JUNTOS WOS U SCOPUS U TONY</t>
  </si>
  <si>
    <t>Esta en WOS pero no en SCOPUS</t>
  </si>
  <si>
    <t>Esta en SCOPUS pero no en WOS</t>
  </si>
  <si>
    <t>Esta en JUNTOS pero no esta en TONY</t>
  </si>
  <si>
    <t>Topologies</t>
  </si>
  <si>
    <t>Standardization</t>
  </si>
  <si>
    <t>Protection systems</t>
  </si>
  <si>
    <t>Converter systems</t>
  </si>
  <si>
    <t>Available on line</t>
  </si>
  <si>
    <t>Journal</t>
  </si>
  <si>
    <t>Conference</t>
  </si>
  <si>
    <t>Book</t>
  </si>
  <si>
    <t>10.3390/app9040723</t>
  </si>
  <si>
    <t>10.1007/s00202-019-00869-8</t>
  </si>
  <si>
    <t>10.1109/TII.2019.2941268</t>
  </si>
  <si>
    <t>10.1051/e3sconf/20198402011</t>
  </si>
  <si>
    <t>10.1088/1757-899X/631/4/042031</t>
  </si>
  <si>
    <t>10.1109/TIE.2018.2795524</t>
  </si>
  <si>
    <t>10.1109/MERCon.2019.8818896</t>
  </si>
  <si>
    <t>10.3390/inventions4020025</t>
  </si>
  <si>
    <t>10.1016/0022-2313(79)90235-7</t>
  </si>
  <si>
    <t>10.3390/resources4030713</t>
  </si>
  <si>
    <t>10.1109/PSCC.2016.7541031</t>
  </si>
  <si>
    <t>10.1109/SPEC.2018.8636080</t>
  </si>
  <si>
    <t>10.1038/d41586-019-02014-8</t>
  </si>
  <si>
    <t>10.1109/TPEL.2016.2574751</t>
  </si>
  <si>
    <t>10.1109/MEPCON.2018.8635258</t>
  </si>
  <si>
    <t>10.1109/ICDCM.2017.8001042</t>
  </si>
  <si>
    <t>10.1109/MEPCON.2018.8635246</t>
  </si>
  <si>
    <t>10.1109/ICCTCT.2018.8551175</t>
  </si>
  <si>
    <t>10.3390/en12061162</t>
  </si>
  <si>
    <t>10.1016/j.solener.2018.12.008</t>
  </si>
  <si>
    <t>10.1049/iet-gtd.2018.5140</t>
  </si>
  <si>
    <t>10.1109/UPEC.2018.8541944</t>
  </si>
  <si>
    <t>10.1109/APEC.2010.5433612</t>
  </si>
  <si>
    <t>10.1016/j.apenergy.2018.07.082</t>
  </si>
  <si>
    <t>10.1109/ISGT-Asia.2018.8467923</t>
  </si>
  <si>
    <t>10.1109/PTC.2019.8810563</t>
  </si>
  <si>
    <t>10.1109/ICEI.2017.68</t>
  </si>
  <si>
    <t>10.1016/j.scs.2018.01.010</t>
  </si>
  <si>
    <t>10.3390/inventions3030063</t>
  </si>
  <si>
    <t>10.1109/ISGTEurope.2012.6465882</t>
  </si>
  <si>
    <t>10.1109/ICIEA.2018.8397866</t>
  </si>
  <si>
    <t>10.1109/NAPS.2011.6024858</t>
  </si>
  <si>
    <t>10.1049/iet-pel.2015.0325</t>
  </si>
  <si>
    <t>10.1109/ICPES.2017.8387344</t>
  </si>
  <si>
    <t>10.1109/TPWRD.2015.2456934</t>
  </si>
  <si>
    <t>10.1109/ETECHNXT.2018.8385341</t>
  </si>
  <si>
    <t>10.1016/j.solener.2016.05.045</t>
  </si>
  <si>
    <t>10.1049/iet-gtd.2014.1228</t>
  </si>
  <si>
    <t>10.1016/j.ijepes.2017.11.019</t>
  </si>
  <si>
    <t>10.1049/oap-cired.2017.0974</t>
  </si>
  <si>
    <t>10.1109/TPWRS.2017.2757150</t>
  </si>
  <si>
    <t>10.1109/TMECH.2015.2506818</t>
  </si>
  <si>
    <t>10.3390/en11030623</t>
  </si>
  <si>
    <t>10.1109/ICIEA.2017.8283087</t>
  </si>
  <si>
    <t>10.1109/ICDCM.2017.8001098</t>
  </si>
  <si>
    <t>10.1109/IGESC.2017.8283455</t>
  </si>
  <si>
    <t>10.1109/PESGM.2017.8274134</t>
  </si>
  <si>
    <t>10.1038/s41597-019-0199-y</t>
  </si>
  <si>
    <t>10.3390/en11051130</t>
  </si>
  <si>
    <t>10.1109/ICDCM.2017.8001057</t>
  </si>
  <si>
    <t>10.1109/JESTPE.2018.2885613</t>
  </si>
  <si>
    <t>10.1109/TENCONSpring.2017.8069993</t>
  </si>
  <si>
    <t>10.1016/j.egypro.2018.04.006</t>
  </si>
  <si>
    <t>10.1016/j.apenergy.2017.12.048</t>
  </si>
  <si>
    <t>10.1109/TENCONSpring.2017.8069980</t>
  </si>
  <si>
    <t>10.1109/T-PAS.1977.32405</t>
  </si>
  <si>
    <t>10.1016/j.apenergy.2018.04.103</t>
  </si>
  <si>
    <t>10.1109/JESTPE.2017.2674300</t>
  </si>
  <si>
    <t>10.1109/ICDCM.2017.8001072</t>
  </si>
  <si>
    <t>10.1016/j.ijforecast.2015.11.009</t>
  </si>
  <si>
    <t>10.1109/SGBC.2016.7935992</t>
  </si>
  <si>
    <t>10.1155/2018/2717129</t>
  </si>
  <si>
    <t>10.1109/SGBC.2016.7935990</t>
  </si>
  <si>
    <t>10.1016/j.rser.2013.03.067</t>
  </si>
  <si>
    <t>10.1109/APEC.2017.7930855</t>
  </si>
  <si>
    <t>10.1016/j.epsr.2017.01.021</t>
  </si>
  <si>
    <t>10.1109/APEC.2017.7930900</t>
  </si>
  <si>
    <t>10.3390/en6042110</t>
  </si>
  <si>
    <t>10.1109/PEDES.2016.7914314</t>
  </si>
  <si>
    <t>10.1109/ISGTEurope.2011.6162642</t>
  </si>
  <si>
    <t>10.1049/iet-rpg.2018.5116</t>
  </si>
  <si>
    <t>10.1109/ICPEICES.2016.7853407</t>
  </si>
  <si>
    <t>10.1016/j.rser.2010.09.041</t>
  </si>
  <si>
    <t>10.1109/TENCON.2016.7848251</t>
  </si>
  <si>
    <t>10.17501/icoah.2017.4201.</t>
  </si>
  <si>
    <t>10.15199/48.2017.04.22</t>
  </si>
  <si>
    <t>10.1016/j.rser.2015.07.194</t>
  </si>
  <si>
    <t>10.1016/j.rser.2016.11.134</t>
  </si>
  <si>
    <t>10.1016/j.epsr.2017.06.004</t>
  </si>
  <si>
    <t>10.1061/(ASCE)EY.1943-7897.0000344</t>
  </si>
  <si>
    <t>10.1109/CMD.2016.7757819</t>
  </si>
  <si>
    <t>10.20944/preprints201702.0055.v1</t>
  </si>
  <si>
    <t>10.1109/INTLEC.2016.7749139</t>
  </si>
  <si>
    <t>10.1016/j.ijepes.2018.06.057</t>
  </si>
  <si>
    <t>10.1109/ICEETS.2016.7582892</t>
  </si>
  <si>
    <t>10.1109/CPE.2016.7544171</t>
  </si>
  <si>
    <t>10.1109/PEDG.2016.7527062</t>
  </si>
  <si>
    <t>10.1038/s41598-019-47803-3</t>
  </si>
  <si>
    <t>10.1109/IPEMC.2016.7512267</t>
  </si>
  <si>
    <t>10.1016/j.epsr.2019.106009</t>
  </si>
  <si>
    <t>10.1109/IICPE.2016.8079448</t>
  </si>
  <si>
    <t>10.1049/iet-rpg.2018.6024</t>
  </si>
  <si>
    <t>10.1016/j.scs.2019.101431</t>
  </si>
  <si>
    <t>10.1016/j.epsr.2015.12.033</t>
  </si>
  <si>
    <t>10.1109/ICDCM.2015.7152068</t>
  </si>
  <si>
    <t>10.1007/978-3-030-23723-3_27</t>
  </si>
  <si>
    <t>10.1109/ICCE-Berlin.2015.7391268</t>
  </si>
  <si>
    <t>10.1016/j.rser.2018.08.002</t>
  </si>
  <si>
    <t>10.1109/EUROCON.2013.6625162</t>
  </si>
  <si>
    <t>10.1109/SPEC.2016.7846222</t>
  </si>
  <si>
    <t>10.1109/ECCE.2016.7854926</t>
  </si>
  <si>
    <t>10.1109/COBEP.2009.5347744</t>
  </si>
  <si>
    <t>10.3390/en9080651</t>
  </si>
  <si>
    <t>10.1038/s41586-019-1339-4</t>
  </si>
  <si>
    <t>10.1016/j.rser.2015.07.013</t>
  </si>
  <si>
    <t>10.6113/JPE.2016.16.1.340</t>
  </si>
  <si>
    <t>10.1109/IFEEC.2015.7361508</t>
  </si>
  <si>
    <t>10.1038/nchem.1945</t>
  </si>
  <si>
    <t>10.1109/PVSC.2015.7356272</t>
  </si>
  <si>
    <t>10.1049/iet-gtd.2014.0545</t>
  </si>
  <si>
    <t>10.1109/PVSC.2015.7356297</t>
  </si>
  <si>
    <t>10.1109/ECCE.2015.7310108</t>
  </si>
  <si>
    <t>10.1016/j.epsr.2017.04.003</t>
  </si>
  <si>
    <t>10.1109/ICUE.2015.7280278</t>
  </si>
  <si>
    <t>10.1016/j.rser.2015.04.025</t>
  </si>
  <si>
    <t>10.1016/j.rser.2014.11.054</t>
  </si>
  <si>
    <t>10.1109/IPEC.2010.5543501</t>
  </si>
  <si>
    <t>10.1109/TSTE.2014.2360628</t>
  </si>
  <si>
    <t>10.1016/j.ijhydene.2018.08.135</t>
  </si>
  <si>
    <t>10.1109/ICDCM.2015.7152057</t>
  </si>
  <si>
    <t>10.1109/ICDCM.2015.7152047</t>
  </si>
  <si>
    <t>10.1016/j.rser.2016.05.025</t>
  </si>
  <si>
    <t>10.1049/cp.2015.1632</t>
  </si>
  <si>
    <t>10.1016/j.apenergy.2019.02.055</t>
  </si>
  <si>
    <t>10.6113/JPE.2015.15.6.1609</t>
  </si>
  <si>
    <t>10.1109/GPECOM.2019.8778573</t>
  </si>
  <si>
    <t>10.5370/JEET.2015.10.3.786</t>
  </si>
  <si>
    <t>10.1088/1748-9326/ab31d9</t>
  </si>
  <si>
    <t>10.1109/ICCEP.2015.7177621</t>
  </si>
  <si>
    <t>10.1109/SURV.2014.032014.00094</t>
  </si>
  <si>
    <t>10.1109/TASC.2014.2333031</t>
  </si>
  <si>
    <t>10.1109/TENCON.2015.7373131</t>
  </si>
  <si>
    <t>10.1109/PEAC.2014.7037883</t>
  </si>
  <si>
    <t>10.1109/INTLEC.2012.6374529</t>
  </si>
  <si>
    <t>10.1109/INPAC.2014.6981129</t>
  </si>
  <si>
    <t>10.1109/TSG.2017.2707438</t>
  </si>
  <si>
    <t>10.1109/TEC.2014.2329236</t>
  </si>
  <si>
    <t>10.1109/JPROC.2015.2458990</t>
  </si>
  <si>
    <t>10.1109/ESTS.2015.7157872</t>
  </si>
  <si>
    <t>10.1109/PEDSTC.2014.6799349</t>
  </si>
  <si>
    <t>10.1109/EPE.2014.6910922</t>
  </si>
  <si>
    <t>10.1109/MIE.2016.2589061</t>
  </si>
  <si>
    <t>10.1109/MCE.2015.2484699</t>
  </si>
  <si>
    <t>10.1109/MPE.2008.918703</t>
  </si>
  <si>
    <t>10.1109/ICDCM.2017.8001107</t>
  </si>
  <si>
    <t>10.1109/PTC.2017.7980818</t>
  </si>
  <si>
    <t>10.1109/COMPEL.2018.8460104</t>
  </si>
  <si>
    <t>10.1109/TDC.2018.8440219</t>
  </si>
  <si>
    <t>10.1016/j.ejor.2015.12.030</t>
  </si>
  <si>
    <t>10.1109/TSG.2014.2305904</t>
  </si>
  <si>
    <t>10.1109/ACCESS.2015.2443119</t>
  </si>
  <si>
    <t>10.1109/ICPE.2011.5944508</t>
  </si>
  <si>
    <t>10.1016/j.procs.2017.09.053</t>
  </si>
  <si>
    <t>10.1016/j.ijepes.2018.10.016</t>
  </si>
  <si>
    <t>10.3390/batteries5030063</t>
  </si>
  <si>
    <t>10.1109/UIC-ATC-ScalCom-CBDCom-IoP-SmartWorld.2016.0052</t>
  </si>
  <si>
    <t>10.1109/ICDCM.2015.7152031</t>
  </si>
  <si>
    <t>10.1371/journal.pone.0115059</t>
  </si>
  <si>
    <t>10.1109/MPAE.2007.376583</t>
  </si>
  <si>
    <t>10.1016/j.enbuild.2012.12.039</t>
  </si>
  <si>
    <t>10.1016/j.ijforecast.2015.11.011</t>
  </si>
  <si>
    <t>10.1109/ISIE.2012.6237330</t>
  </si>
  <si>
    <t>10.1186/s13705-018-0154-3</t>
  </si>
  <si>
    <t>10.1109/ICDCM.2015.7152041</t>
  </si>
  <si>
    <t>10.1109/TPEL.2009.2013862</t>
  </si>
  <si>
    <t>10.1016/S0378-7753(01)01031-X</t>
  </si>
  <si>
    <t>10.1016/j.rser.2012.05.043</t>
  </si>
  <si>
    <t>10.1016/j.solener.2004.10.004</t>
  </si>
  <si>
    <t>10.1109/TAC.2018.2867507</t>
  </si>
  <si>
    <t>10.3390/en11020367</t>
  </si>
  <si>
    <t>10.1109/PESGM.2015.7286469</t>
  </si>
  <si>
    <t>10.4067/S0718-33052013000300008</t>
  </si>
  <si>
    <t>10.1109/TSTE.2017.2736160</t>
  </si>
  <si>
    <t>10.1109/ICDCM.2017.8001031</t>
  </si>
  <si>
    <t>10.1021/pr0602489</t>
  </si>
  <si>
    <t>10.1016/j.ijepes.2017.06.012</t>
  </si>
  <si>
    <t>10.1016/j.epsr.2014.10.017</t>
  </si>
  <si>
    <t>10.1016/j.apenergy.2015.04.040</t>
  </si>
  <si>
    <t>10.1016/j.rser.2014.02.003</t>
  </si>
  <si>
    <t>10.1109/TPWRD.2016.2600278</t>
  </si>
  <si>
    <t>10.1109/CCDC.2016.7531468</t>
  </si>
  <si>
    <t>10.1109/PES.2004.1373299</t>
  </si>
  <si>
    <t>10.1109/IranianCEE.2019.8786484</t>
  </si>
  <si>
    <t>10.1109/TPWRS.2017.2697765</t>
  </si>
  <si>
    <t>10.1109/IECON.2013.6700499</t>
  </si>
  <si>
    <t>10.1016/j.enconman.2016.05.011</t>
  </si>
  <si>
    <t>10.1016/j.solener.2017.11.044</t>
  </si>
  <si>
    <t>10.1049/oap-cired.2017.0946</t>
  </si>
  <si>
    <t>10.1109/ICDCM.2015.7152067</t>
  </si>
  <si>
    <t>10.1109/ICPE.2011.5944475</t>
  </si>
  <si>
    <t>10.1007/s40313-019-00525-3</t>
  </si>
  <si>
    <t>10.1109/INTLEC.2007.4448733</t>
  </si>
  <si>
    <t>10.1109/TSG.2016.2626389</t>
  </si>
  <si>
    <t>10.1016/j.ifacol.2018.09.467</t>
  </si>
  <si>
    <t>10.1109/TIE.2019.2931281</t>
  </si>
  <si>
    <t>10.1021/acsenergylett.8b01322</t>
  </si>
  <si>
    <t>10.1109/TPWRS.2011.2177867</t>
  </si>
  <si>
    <t>10.1109/ICDCM.2017.8001100</t>
  </si>
  <si>
    <t>10.1109/ISGT-Asia.2017.8378317</t>
  </si>
  <si>
    <t>10.1016/j.ijepes.2019.01.025</t>
  </si>
  <si>
    <t>10.1016/j.epsr.2010.08.007</t>
  </si>
  <si>
    <t>10.1016/j.egypro.2015.11.539</t>
  </si>
  <si>
    <t>10.1016/j.est.2018.11.013</t>
  </si>
  <si>
    <t>10.1016/j.solener.2019.04.034</t>
  </si>
  <si>
    <t>10.1109/TPWRD.2005.861334</t>
  </si>
  <si>
    <t>10.1109/TII.2019.2942426</t>
  </si>
  <si>
    <t>10.1016/j.procs.2015.04.160</t>
  </si>
  <si>
    <t>10.1109/PESGM.2015.7286090</t>
  </si>
  <si>
    <t>10.1016/j.ijforecast.2019.02.006</t>
  </si>
  <si>
    <t>10.1016/j.ifacol.2018.05.065</t>
  </si>
  <si>
    <t>10.1016/j.rser.2014.10.012</t>
  </si>
  <si>
    <t>10.1109/TPWRD.2006.883024</t>
  </si>
  <si>
    <t>10.1016/j.rser.2016.12.102</t>
  </si>
  <si>
    <t>10.1109/PROC.1974.9544</t>
  </si>
  <si>
    <t>10.1109/PEDG.2016.7527045</t>
  </si>
  <si>
    <t>10.1109/PES.2010.5589736</t>
  </si>
  <si>
    <t>10.1016/j.enbuild.2013.09.009</t>
  </si>
  <si>
    <t>10.1049/piee.1977.0089</t>
  </si>
  <si>
    <t>10.1016/j.energy.2018.06.219</t>
  </si>
  <si>
    <t>10.1016/j.epsr.2018.07.003</t>
  </si>
  <si>
    <t>10.1109/ICEAST.2019.8802594</t>
  </si>
  <si>
    <t>10.1016/j.epsr.2011.01.020</t>
  </si>
  <si>
    <t>10.1109/tpel.2019.2926581</t>
  </si>
  <si>
    <t>10.1016/j.rser.2009.01.010</t>
  </si>
  <si>
    <t>10.1016/j.procs.2017.09.024</t>
  </si>
  <si>
    <t>10.1080/15325008.2017.1318977</t>
  </si>
  <si>
    <t>10.1109/TIA.2003.816517</t>
  </si>
  <si>
    <t>10.1016/j.jclepro.2019.118870</t>
  </si>
  <si>
    <t>10.1109/TPEL.2006.889939</t>
  </si>
  <si>
    <t>10.1016/j.enconman.2018.08.076</t>
  </si>
  <si>
    <t>10.1016/j.rser.2017.09.022</t>
  </si>
  <si>
    <t>10.1109/PESC.2000.878816</t>
  </si>
  <si>
    <t>10.1109/TSG.2018.2856893</t>
  </si>
  <si>
    <t>10.1016/j.enpol.2012.02.037</t>
  </si>
  <si>
    <t>10.1109/ICPE.2011.5944589</t>
  </si>
  <si>
    <t>10.1109/ICHQP.2004.1409390</t>
  </si>
  <si>
    <t>10.1016/S1474-6670(17)63411-6</t>
  </si>
  <si>
    <t>10.1109/TPEL.2015.2464277</t>
  </si>
  <si>
    <t>10.1109/TSG.2010.2089069</t>
  </si>
  <si>
    <t>10.1109/ACCESS.2019.2912376</t>
  </si>
  <si>
    <t>10.1049/piee.1978.0010</t>
  </si>
  <si>
    <t>10.1109/JPROC.2017.2714022</t>
  </si>
  <si>
    <t>10.1109/ISGTEUROPE.2010.5638863</t>
  </si>
  <si>
    <t>10.1016/j.protcy.2014.11.011</t>
  </si>
  <si>
    <t>10.1002/pip</t>
  </si>
  <si>
    <t>NREL/PR-6A20-68425</t>
  </si>
  <si>
    <t>10.1109/TEM.2019.2940340</t>
  </si>
  <si>
    <t>10.1109/SPEEDAM.2018.8445361</t>
  </si>
  <si>
    <t>10.1109/ISGT-Asia.2011.6167091</t>
  </si>
  <si>
    <t>10.1109/UPEC.2018.8542045</t>
  </si>
  <si>
    <t>10.1109/SPICES.2017.8091303</t>
  </si>
  <si>
    <t>10.2172/981732</t>
  </si>
  <si>
    <t>10.1109/TPWRD.2015.2398199</t>
  </si>
  <si>
    <t>10.1109/TIA.2015.2427119</t>
  </si>
  <si>
    <t>10.1109/ISIE.2019.8781148</t>
  </si>
  <si>
    <t>10.1016/j.energy.2016.12.015</t>
  </si>
  <si>
    <t>10.1109/ICDCM.2017.8001060</t>
  </si>
  <si>
    <t>10.1088/1742-6596/1221/1/012048</t>
  </si>
  <si>
    <t>10.1049/iet-rpg.2015.0376</t>
  </si>
  <si>
    <t>10.1016/j.rser.2014.07.198</t>
  </si>
  <si>
    <t>10.1016/j.egypro.2017.11.076</t>
  </si>
  <si>
    <t>10.3390/en10122107</t>
  </si>
  <si>
    <t>10.1109/TSG.2015.2455017</t>
  </si>
  <si>
    <t>10.1109/TPEL.2017.2724145</t>
  </si>
  <si>
    <t>10.1016/j.jpowsour.2014.01.031</t>
  </si>
  <si>
    <t>10.1109/INTLEC.2014.6972218</t>
  </si>
  <si>
    <t>10.1109/EPE.2013.6631774</t>
  </si>
  <si>
    <t>10.1016/j.energy.2008.12.008</t>
  </si>
  <si>
    <t>10.1109/TPEL.2014.2310656</t>
  </si>
  <si>
    <t>10.1109/ICDCM.2015.7152038</t>
  </si>
  <si>
    <t>10.1109/ACCESS.2018.2789522</t>
  </si>
  <si>
    <t>10.1016/j.compeleceng.2018.01.031</t>
  </si>
  <si>
    <t>10.1016/j.energy.2018.06.101</t>
  </si>
  <si>
    <t>10.1109/PES.2011.6039082</t>
  </si>
  <si>
    <t>10.1109/TSG.2014.2344024</t>
  </si>
  <si>
    <t>10.1109/EPEPEMC.2016.7752039</t>
  </si>
  <si>
    <t>10.1109/PEDG.2014.6878696</t>
  </si>
  <si>
    <t>10.1109/UPEC.2018.8541919</t>
  </si>
  <si>
    <t>10.1016/j.jestch.2017.12.006</t>
  </si>
  <si>
    <t>10.1016/j.apenergy.2018.08.069</t>
  </si>
  <si>
    <t>10.3168/jds.S0022-0302(82)82351-5</t>
  </si>
  <si>
    <t>10.1016/j.epsr.2017.05.031</t>
  </si>
  <si>
    <t>10.1109/PESC.1999.785618</t>
  </si>
  <si>
    <t>10.1016/j.scs.2018.02.003</t>
  </si>
  <si>
    <t>10.1109/TPEL.2012.2209461</t>
  </si>
  <si>
    <t>10.1109/TPEL.2017.2703300</t>
  </si>
  <si>
    <t>10.1109/TIA.2003.818969</t>
  </si>
  <si>
    <t>10.3390/en12010033</t>
  </si>
  <si>
    <t>10.1016/j.enpol.2017.01.010</t>
  </si>
  <si>
    <t>10.2172/1209276</t>
  </si>
  <si>
    <t>10.1016/j.procs.2016.04.182</t>
  </si>
  <si>
    <t>10.1016/j.rser.2014.11.067</t>
  </si>
  <si>
    <t>10.1109/TPEL.2016.2558660</t>
  </si>
  <si>
    <t>10.13140/RG.2.1.1967.8565</t>
  </si>
  <si>
    <t>10.1016/j.ijepes.2019.03.057</t>
  </si>
  <si>
    <t>10.1109/TPEL.2004.833454</t>
  </si>
  <si>
    <t>10.1016/j.rser.2018.07.045</t>
  </si>
  <si>
    <t>10.1109/GHTC.2012.84</t>
  </si>
  <si>
    <t>10.3390/en8054378</t>
  </si>
  <si>
    <t>10.1109/ICACC.2014.91</t>
  </si>
  <si>
    <t>10.1016/j.conengprac.2018.10.013</t>
  </si>
  <si>
    <t>10.1016/j.scs.2018.10.044</t>
  </si>
  <si>
    <t>10.1109/TSG.2017.2738610</t>
  </si>
  <si>
    <t>10.1109/ICDCM.2017.800108</t>
  </si>
  <si>
    <t>10.3732/ajb.0800322</t>
  </si>
  <si>
    <t>10.1109/MPE.2013.2245587</t>
  </si>
  <si>
    <t>10.1049/cp.2015.0096</t>
  </si>
  <si>
    <t>10.2172/1326888</t>
  </si>
  <si>
    <t>10.1109/TSG.2016.2596788</t>
  </si>
  <si>
    <t>10.1016/j.renene.2019.04.108</t>
  </si>
  <si>
    <t>10.1109/ECCE.2013.6646683</t>
  </si>
  <si>
    <t>10.1016/j.apenergy.2016.07.036</t>
  </si>
  <si>
    <t>10.1016/j.enpol.2012.02.048</t>
  </si>
  <si>
    <t>10.1016/j.rser.2018.03.040</t>
  </si>
  <si>
    <t>10.1049/iet-rpg.2016.0629</t>
  </si>
  <si>
    <t>10.1016/j.aasri.2014.05.031</t>
  </si>
  <si>
    <t>10.1109/PEDES.2016.7914226</t>
  </si>
  <si>
    <t>10.1109/ICDCM.2015.7152014</t>
  </si>
  <si>
    <t>10.1109/PEDS.1999.792869</t>
  </si>
  <si>
    <t>10.1109/IREC.2018.8362444</t>
  </si>
  <si>
    <t>10.1109/MELE.2016.2544238</t>
  </si>
  <si>
    <t>10.1109/IECON.2010.5674947</t>
  </si>
  <si>
    <t>10.1109/IECON.2017.8217191</t>
  </si>
  <si>
    <t>10.1109/IPEMC.2012.6259203</t>
  </si>
  <si>
    <t>10.1109/UPEC.2017.8232000</t>
  </si>
  <si>
    <t>10.1016/j.jclepro.2019.01.150</t>
  </si>
  <si>
    <t>10.1016/j.solener.2010.04.012</t>
  </si>
  <si>
    <t>10.1109/IECON.2006.347246</t>
  </si>
  <si>
    <t>10.1016/j.solener.2005.06.010</t>
  </si>
  <si>
    <t>10.1109/EPEC.2011.6070222</t>
  </si>
  <si>
    <t>Número</t>
  </si>
  <si>
    <t>DOI</t>
  </si>
  <si>
    <t>Asignado</t>
  </si>
  <si>
    <t>Titulo de paper</t>
  </si>
  <si>
    <t>Cristian Olivares</t>
  </si>
  <si>
    <t>Typical Operation Modes and Coordinated Control of Low Voltage AC/DC Distribution Based on DC Interconnection</t>
  </si>
  <si>
    <t>Transient analysis of low voltage DC grids with high penetration of DERs</t>
  </si>
  <si>
    <t>ok</t>
  </si>
  <si>
    <t>Añadido al grupo</t>
  </si>
  <si>
    <t>Time-varying sliding mode control strategy for multibus low-voltage microgrids with parallel connected renewable power sources in islanding mode</t>
  </si>
  <si>
    <t>Three-phase soft-switching bi-directional DC-DC converter for low voltage high power applications</t>
  </si>
  <si>
    <t>The application of the CLONALG algorithm in the process of optimal operation control of hybrid AC/DC low voltage microgrid</t>
  </si>
  <si>
    <t>System configuration, fault detection, location, isolation and restoration: A review on LVDC microgrid protections</t>
  </si>
  <si>
    <t>Solid-state circuit breaker snubber design for transient overvoltage suppression at bus fault interruption in low-voltage DC microgrid</t>
  </si>
  <si>
    <t>Smart integration of a DC microgrid: Enhancing the power quality management of the neighborhood low-voltage distribution network</t>
  </si>
  <si>
    <t>Short-circuit protection for low-voltage DC microgrids based on solid-state circuit breakers</t>
  </si>
  <si>
    <t>Secondary Power Sharing Regulation Strategy for a DC Microgrid via Maximum Loading Factor</t>
  </si>
  <si>
    <t>Safety concepts and circuit protection for LVDC-Grids in datacenters and in telecommunications</t>
  </si>
  <si>
    <t>Research on the optimal operation method of DC microgrid base on the new DC power distribution management system</t>
  </si>
  <si>
    <t>Reduced communication based local averaging method for low voltage DC microgrid</t>
  </si>
  <si>
    <t>Quality-Index Based Distributed Secondary Controller for a Low-Voltage DC Microgrid</t>
  </si>
  <si>
    <t>Protection of a low-voltage DC ring microgrid system</t>
  </si>
  <si>
    <t>Protecting a low voltage DC microgrid during short-circuit using solid-state switching devices</t>
  </si>
  <si>
    <t>Performance analysis of RCD and MOV snubber circuits in low-voltage DC microgrid system</t>
  </si>
  <si>
    <t>Cruz Borges</t>
  </si>
  <si>
    <t>Parallel full-bridge converter for low voltage DC microgrid applications</t>
  </si>
  <si>
    <t>Novel Four-Port DC-DC Converter for Interfacing Solar PV-Fuel Cell Hybrid Sources with Low-Voltage Bipolar DC Microgrids</t>
  </si>
  <si>
    <t>Novel boost-SEPIC type interleaved DC-DC converter for low-voltage bipolar dc microgrid-tied solar pv applications</t>
  </si>
  <si>
    <t>Nonlinear robust control for low voltage direct-current residential microgrids with constant power loads</t>
  </si>
  <si>
    <t>MPP tracking of PV based low voltage DC microgrid system with adaptive droop algorithm</t>
  </si>
  <si>
    <t>Modelling and evaluation of low voltage DC circuit breaker for the protection of DC microgrid</t>
  </si>
  <si>
    <t>Mitigation of voltage unbalance in a low voltage bipolar DC microgrid using a boost-SEPIC type interleaved DC-DC compensator</t>
  </si>
  <si>
    <t>Mathematical representation, stability analysis and performance improvement of DC microgrid system comprising hybrid wind/battery sources and CPLs</t>
  </si>
  <si>
    <t>Low-voltage solid-state DC breaker for fault protection applications in isolated DC microgrid cluster</t>
  </si>
  <si>
    <t>Low-voltage DC ring-bus microgrid protection with rolling mean technique</t>
  </si>
  <si>
    <t>Low voltage direct current(LVDC) nanogrid for home application</t>
  </si>
  <si>
    <t>Low Voltage DC Microgrid Protection System - A Review</t>
  </si>
  <si>
    <t>Low Voltage DC Microgrid Control Strategy Using Single Phase DQ Transformation</t>
  </si>
  <si>
    <t>Low voltage DC distribution - Are we ready yet?</t>
  </si>
  <si>
    <t>Investigation of low-voltage solid-state DC breaker configurations for DC microgrid applications</t>
  </si>
  <si>
    <t>Investigation of different system earthing schemes for protection of low-voltage DC microgrids</t>
  </si>
  <si>
    <t>Intermediate low voltage direct current based decentralized grid extension</t>
  </si>
  <si>
    <t>Ana Macarulla</t>
  </si>
  <si>
    <t>Improving Low-Voltage Ride-Through Performance and Alleviating Power Fluctuation of DFIG Wind Turbine in DC Microgrid by Optimal SMES with Fault Current Limiting Function</t>
  </si>
  <si>
    <t>Implementation of distributed power balancing strategy with a layer of supervision in a low-voltage DC microgrid</t>
  </si>
  <si>
    <t>Impacts of different wind speed simulation methods on conditional reliability indices</t>
  </si>
  <si>
    <t>Hybrid DC-AC Zonal Microgrid Enabled by Solid-State Transformer and Centralized ESD Integration</t>
  </si>
  <si>
    <t>Grounding the DC Microgrid</t>
  </si>
  <si>
    <t>Grounding architectures for enabling ground fault ride-through capability in DC microgrids</t>
  </si>
  <si>
    <t>Fault protection analysis in low voltage DC microgrids with PV generators</t>
  </si>
  <si>
    <t>Energy management system with equalization algorithm for distributed energy storage systems in PV-active generator based low voltage DC microgrids</t>
  </si>
  <si>
    <t>Energy Management System of Autonomous Low Voltage DC Microgrid Consists of Energy Storage System</t>
  </si>
  <si>
    <t>Dynamic droop gain adjustment for proportional power sharing in low voltage DC microgrid</t>
  </si>
  <si>
    <t>Droop control in low voltage islanded microgrids for sharing nonlinear and unbalanced loads</t>
  </si>
  <si>
    <t>Distributed secondary control with reduced communication in low-voltage DC microgrid</t>
  </si>
  <si>
    <t>Development of an Efficient Low-Cost Low-Voltage DC Microgrid with Power Array Conversion (PAC) for a Commercial Building Application</t>
  </si>
  <si>
    <t>Design and Optimization of a Solar Power Conversion System for Space Applications</t>
  </si>
  <si>
    <t>Decentralized Load Sharing in a Low-Voltage Direct Current Microgrid with an Adaptive Droop Approach Based on a Superimposed Frequency</t>
  </si>
  <si>
    <t>DC microgrid with wind energy conversion system based on switched reluctance generator operating in grid connected mode</t>
  </si>
  <si>
    <t>DC Microgrid Technology: System Architectures, AC Grid Interfaces, Grounding Schemes, Power Quality, Communication Networks, Applications, and Standardizations Aspects</t>
  </si>
  <si>
    <t>Miguel Cuesta</t>
  </si>
  <si>
    <t>Control of photovoltaic-based low-voltage dc microgrid system for power sharing with modified droop algorithm</t>
  </si>
  <si>
    <t>Complementary power control of the bipolar-type low voltage DC distribution system</t>
  </si>
  <si>
    <t>Comparative optimization design of a modular multilevel converter tapping cells and a 2L-VSC for Hybrid LV ac/dc Microgrids</t>
  </si>
  <si>
    <t>Combined optimization of SSCB snubber and freewheeling path for surgeless and quick bus fault interruption in low-voltage DC microgrid</t>
  </si>
  <si>
    <t>Bus Voltage Control Strategy for Low Voltage DC Microgrid Based on AC Power Grid and Battery</t>
  </si>
  <si>
    <t>Autonomous protection of low voltage DC microgrid</t>
  </si>
  <si>
    <t>Autonomous Control Strategy of Bidirectional AC / DC Converter in Low Voltage Hybrid Microgrid</t>
  </si>
  <si>
    <t>An overview of low voltage DC distribution systems for residential applications</t>
  </si>
  <si>
    <t>An overview of direct current distribution system architectures &amp; benefits</t>
  </si>
  <si>
    <t>An Isolated Three-Port DC-DC Converter with Low-Voltage DC Bus for DC Microgrids</t>
  </si>
  <si>
    <t>An improved RCD snubber for solid-state circuit breaker protection against bus fault in low-voltage DC microgrid</t>
  </si>
  <si>
    <t>An Improved Droop Control for a Low Voltage DC Microgrid Operation</t>
  </si>
  <si>
    <t>An adaptive droop control method for low voltage DC microgrids</t>
  </si>
  <si>
    <t>An Accurate Noniterative Fault-Location Technique for Low-Voltage DC Microgrid</t>
  </si>
  <si>
    <t>Algorithm for fault detection and localisation in a mesh-type bipolar DC microgrid network</t>
  </si>
  <si>
    <t>Adaptive droop control strategy for load sharing and circulating current minimization in low-voltage standalone DC microgrid</t>
  </si>
  <si>
    <t>Jon Legarda</t>
  </si>
  <si>
    <t>Adaptive droop control for high-performance operation in low-voltage DC microgrids</t>
  </si>
  <si>
    <t>Active power management in a low-voltage islanded microgrid</t>
  </si>
  <si>
    <t>Accurate power sharing with balanced battery state of charge in distributed DC microgrid</t>
  </si>
  <si>
    <t>Accurate Power Sharing and Synthetic Inertia Control for DC Building Microgrids with Guaranteed Performance</t>
  </si>
  <si>
    <t>A soft-switched dc/dc converter using integrated dual half-bridge with high voltage gain and low voltage stress for dc microgrid applications</t>
  </si>
  <si>
    <t>A simulation tool for ad hoc low voltage DC grids with decentralized control</t>
  </si>
  <si>
    <t>A simple decoupling control method for isolated three-port bidirectional converter in low-voltage DC microgrids</t>
  </si>
  <si>
    <t>A short-circuit current calculation method for low-voltage DC microgrid</t>
  </si>
  <si>
    <t>A high-gain reflex-based bidirectional DC charger with efficient energy recycling for low-voltage battery charging-discharging power control</t>
  </si>
  <si>
    <t>A High-Efficiency Active-Boost-Rectifier-Based Converter with a Novel Double-Pulse Duty Cycle Modulation for PV to DC Microgrid Applications</t>
  </si>
  <si>
    <t>A droop control incorporated dc equivalent power flow method for distribution and low voltage systems</t>
  </si>
  <si>
    <t>A decentralized control method for a low-voltage dc microgrid</t>
  </si>
  <si>
    <t>A coordinated control for photovoltaic generators and energy storages in low-voltage AC/DC hybrid microgrids under islanded mode</t>
  </si>
  <si>
    <t>A cascaded hybrid multilevel inverter incorporating a reconfiguration technique for low voltage DC distribution applications</t>
  </si>
  <si>
    <t>A bidirectional dual buck-boost voltage balancer with direct coupling based on a burst-mode control scheme for low-voltage bipolar-type DC microgrids</t>
  </si>
  <si>
    <t>Research on the operation control strategy of a low-voltage direct current microgrid based on a disturbance observer and neural network adaptive control algorithm</t>
  </si>
  <si>
    <t>Número Documento</t>
  </si>
  <si>
    <t>TONY ID</t>
  </si>
  <si>
    <t>TITLE OF THE PAPER</t>
  </si>
  <si>
    <t>Año Pub.</t>
  </si>
  <si>
    <t>OBJECTIVE</t>
  </si>
  <si>
    <t xml:space="preserve">RELATED CONCLUSIONS (TO OUR WORK)
</t>
  </si>
  <si>
    <t>FIGURE OF THE CIRCUIT</t>
  </si>
  <si>
    <t>PROBLEMÁTICA QUE ABORDA?</t>
  </si>
  <si>
    <t>DIMENSION</t>
  </si>
  <si>
    <t>3.1. CONNECTION</t>
  </si>
  <si>
    <t>3.2 TOPOLOGY</t>
  </si>
  <si>
    <t>3.3. VOLTAGE [V]</t>
  </si>
  <si>
    <t>3.4 PROTECTION</t>
  </si>
  <si>
    <t>3.5 CONVERTER</t>
  </si>
  <si>
    <t>SIMULATION TOOL USED</t>
  </si>
  <si>
    <t>FUENTES RENOVABLES</t>
  </si>
  <si>
    <t>BATTERIES</t>
  </si>
  <si>
    <t>COMENTARIOS</t>
  </si>
  <si>
    <t>AC and DC technology in microgrids: A review</t>
  </si>
  <si>
    <t xml:space="preserve">
1. Highlighting the advantages and drawbacks of each technology. 
2. Identifying and classifying feasible configurations and architectures require to implement a microgrid.</t>
  </si>
  <si>
    <r>
      <t xml:space="preserve">* DC technology offers several advantages in comparison with AC technology,
* </t>
    </r>
    <r>
      <rPr>
        <b/>
        <sz val="10"/>
        <rFont val="Arial"/>
      </rPr>
      <t>DC systems offer highe</t>
    </r>
    <r>
      <rPr>
        <sz val="10"/>
        <color rgb="FF000000"/>
        <rFont val="Arial"/>
      </rPr>
      <t>r power quality.
* This study shows that the</t>
    </r>
    <r>
      <rPr>
        <b/>
        <sz val="10"/>
        <rFont val="Arial"/>
      </rPr>
      <t xml:space="preserve"> normative for AC microgrids is more mature than for DC </t>
    </r>
    <r>
      <rPr>
        <sz val="10"/>
        <color rgb="FF000000"/>
        <rFont val="Arial"/>
      </rPr>
      <t xml:space="preserve">microgrids, but there are several companies and organisms currently dealing with this subject.
* The </t>
    </r>
    <r>
      <rPr>
        <b/>
        <sz val="10"/>
        <rFont val="Arial"/>
      </rPr>
      <t>costs of controllers and metering systems are lower for DC</t>
    </r>
    <r>
      <rPr>
        <sz val="10"/>
        <color rgb="FF000000"/>
        <rFont val="Arial"/>
      </rPr>
      <t xml:space="preserve"> microgrids.
* AC microgrids are more suitable for feeding installations with a high number of AC loads (factories, big plants, etc.) and </t>
    </r>
    <r>
      <rPr>
        <b/>
        <sz val="10"/>
        <rFont val="Arial"/>
      </rPr>
      <t>DC microgrids more appropriate for offices and data centres which include more DC load</t>
    </r>
    <r>
      <rPr>
        <sz val="10"/>
        <color rgb="FF000000"/>
        <rFont val="Arial"/>
      </rPr>
      <t xml:space="preserve">
*the presence of HVDC installations all over the world is permanently increasing and several projects about DC distribution lines in buildings can be found (Table 7). 
*it has been shown that although the number of DC microgrids has been growing during the last years (Fig. 11(b)), still most of them use AC distribution lines (Tables 16 and 17). This is because DC microgrids need more research efforts in standardisation, bus selection and islanding control techniques are needed. Thus, before DC microgrids are settled, hybrid AC/DC microgrids could be the intermediate step.
*Low-voltage </t>
    </r>
    <r>
      <rPr>
        <b/>
        <sz val="10"/>
        <rFont val="Arial"/>
      </rPr>
      <t>DC system can use AC breakers if the ratings are adjusted</t>
    </r>
    <r>
      <rPr>
        <sz val="10"/>
        <color rgb="FF000000"/>
        <rFont val="Arial"/>
      </rPr>
      <t xml:space="preserve"> to the correction factors that manufactures provide
*Nowadays, there are several protection devices avail-able on the market for LV DC systems, that comprehend fuses, CBs, molded-case CBs (MCCB), LV power CBs, and isolated-case CBs.</t>
    </r>
  </si>
  <si>
    <t>Figure 1. Esta figura presenta una casa en una microred DC con los sistemas (aplicaciones que se alimentan en AC)</t>
  </si>
  <si>
    <t>This paper analyses, in detail, all this parameters for AC and DC microgrids in order to identify and describe the available alternatives for building and configuring a microgrid.</t>
  </si>
  <si>
    <t>A review</t>
  </si>
  <si>
    <t>Table 12. Include some 
standards</t>
  </si>
  <si>
    <t xml:space="preserve">
ETSI EN 300 132-3- 1
EPRI and Emergence
IEC SG4LVDC distribution system up to 1500 V (under CONSTRUCTION)</t>
  </si>
  <si>
    <t>Protection costs. LV and MV protection devices are available for both AC and DC lines. AC technology has still more attractive
prices even though DC technology has progressed.</t>
  </si>
  <si>
    <t>NA</t>
  </si>
  <si>
    <t>Table 2. Shows some renewables DGs</t>
  </si>
  <si>
    <r>
      <rPr>
        <sz val="11"/>
        <color rgb="FF000000"/>
        <rFont val="Arial"/>
      </rPr>
      <t xml:space="preserve">Table 3. </t>
    </r>
    <r>
      <rPr>
        <b/>
        <sz val="11"/>
        <color rgb="FF000000"/>
        <rFont val="Arial"/>
      </rPr>
      <t>Shows a few ESSs deployed all around the world</t>
    </r>
    <r>
      <rPr>
        <sz val="11"/>
        <color rgb="FF000000"/>
        <rFont val="Arial"/>
      </rPr>
      <t>.</t>
    </r>
  </si>
  <si>
    <t>Scalable DC Microgrids for Rural Electrification in Emerging Regions</t>
  </si>
  <si>
    <t>10.1109/JESTPE.2016.2570229</t>
  </si>
  <si>
    <t>The design, implementation, and experimental validation of a scalable DC microgrid with
distributed storage.</t>
  </si>
  <si>
    <t>-The DC microgrid described in this paper allows for maximizing efficiency of stored electricity, a key figure of merit for off-grid system. The architecture shows promise in addressing the economic and technical challenges of electrifying rural emerging regions.
-The LCOE of the DC microgrid over a 15 year time span was estimated to be $0.35 per kW-hr with the proposed architecture.</t>
  </si>
  <si>
    <t>Off-grid</t>
  </si>
  <si>
    <t xml:space="preserve">Bus </t>
  </si>
  <si>
    <t xml:space="preserve">The DC microgrid architecture utilized fixed ratio (8:1) bus converters to step down to an intermediate 48V bus for local clusters of houses.
The grid voltage is allowed to operate between 360-400 VDC
Power Management Units (PMUs): The PMUs are responsible for distributed control of grid voltage and for providing power for 12V DC household batteries and appliances.
</t>
  </si>
  <si>
    <t xml:space="preserve">
The proposed
grounding scheme was informed by existing standards and best
practices. Experiments were conducted to verify the protection
schemes and protection hardware.</t>
  </si>
  <si>
    <t xml:space="preserve">Buck(100W 12V)
Boost(400W biphase)
</t>
  </si>
  <si>
    <t>Prototipe at the
University of California, Berkeley.</t>
  </si>
  <si>
    <t>PV</t>
  </si>
  <si>
    <t xml:space="preserve">12 V/100W·h output
</t>
  </si>
  <si>
    <t>*Studies suggest that a 20% cost-reduction is possible through gains associated with improved power-conversion efficiencies that can be realized with a fully DC microgrid *In an AC microgrid with a centralized battery bank, there is a constant source of loss due to the always-on inverter. In a DC microgrid with distributed storage, this loss is mitigated during nighttime as the DC distribution is off at night. *A majority of end-use appliances are inherently DC devices. The losses from POL AC-DC adapters have been estimated to be around 15% [12]. This is energy that is lost without any end-use benefit. *In an AC microgrid, inverter losses can dominate with mismatch in rated-power to actual load. The size of the inverter (kVA-rating) is determined by the peak power-load expected. Inverters that are sized to match the average power demand are unable to mitigate these correlated peaks in demand and this mismatch leads to grid-wide brownouts. In a DC microgrid with distributed storage, the batteries function as local en-ergy buffers that filter variability in power-demand on upstream power converters.</t>
  </si>
  <si>
    <r>
      <rPr>
        <sz val="11"/>
        <color rgb="FF000000"/>
        <rFont val="Arial"/>
      </rPr>
      <t>Detallan un sistema de aterramiento y proteción que puede ser interesante</t>
    </r>
    <r>
      <rPr>
        <b/>
        <sz val="11"/>
        <color rgb="FF000000"/>
        <rFont val="Arial"/>
      </rPr>
      <t xml:space="preserve"> section 3.4</t>
    </r>
  </si>
  <si>
    <t>A Simulation Based Comparison of AC and DC Power Distribution Networks in Buildings</t>
  </si>
  <si>
    <t xml:space="preserve">
This work shows that using DC distribution can be considerably more efficient than AC: a medium office building using DC distribution has an expected baseline of 11% savings, but may
save up to 17%.</t>
  </si>
  <si>
    <r>
      <t xml:space="preserve">
The baseline parameter values coorespond to a ZNE building with a generous battery capacity and properly sized converters. 
This research found that the baseline efficiency savings of a medium office building with DC distribution is 11.0%. The best case scenarios yield savings of</t>
    </r>
    <r>
      <rPr>
        <b/>
        <sz val="10"/>
        <rFont val="Arial"/>
      </rPr>
      <t xml:space="preserve"> 17.3%</t>
    </r>
    <r>
      <rPr>
        <sz val="10"/>
        <color rgb="FF000000"/>
        <rFont val="Arial"/>
      </rPr>
      <t>. 
This study also confirms tha</t>
    </r>
    <r>
      <rPr>
        <b/>
        <sz val="10"/>
        <rFont val="Arial"/>
      </rPr>
      <t>t DC distribution is best suited for buildings with a large solar capacity, a large battery bank, and a high voltage distribution</t>
    </r>
    <r>
      <rPr>
        <sz val="10"/>
        <color rgb="FF000000"/>
        <rFont val="Arial"/>
      </rPr>
      <t xml:space="preserve"> backbone.</t>
    </r>
  </si>
  <si>
    <t>Figure 2.</t>
  </si>
  <si>
    <t>Small and medium buildings</t>
  </si>
  <si>
    <t xml:space="preserve">Partially grid connected
</t>
  </si>
  <si>
    <t>Radial</t>
  </si>
  <si>
    <t xml:space="preserve">LV 48 V
</t>
  </si>
  <si>
    <t>380 V is cosidered by them as a HV line</t>
  </si>
  <si>
    <t>MODELICA/DYMOLA</t>
  </si>
  <si>
    <t>Yes</t>
  </si>
  <si>
    <t>-In this work, the battery controller described in Section III.D is designed to minimize grid intake, and thus ignores electricity rates.</t>
  </si>
  <si>
    <t>A simulation-based efficiency comparison of AC and DC power distribution networks in commercial buildings</t>
  </si>
  <si>
    <t>10.1016/j.apenergy.2017.05.179</t>
  </si>
  <si>
    <t>This work aims to assist and inform an industry decision on whether to use DC power distribution in buildings</t>
  </si>
  <si>
    <t>*Buildings with large PV and battery capacity have &gt;11% efficiency savings with DC. 
*Zero Net Energy and islanding microgrid buildings should definitely use DC
*This research found that the baseline efficiency savings of a small and medium office building with DC distribution are 9.9% and 11.9%, respectively. The best case sce-nario yields savings of 17.9% and 18.5%.
*Finally, the use of a battery introduces a considerable amount of loss in both grids, particularly for the ZNE baseline solar capacity.
*The loss breakdown also reveals some fundamental differences between the DCDC topologies for the small and medium office buildings. First, the 380 V MPPT converters and battery charge controllers perform significantly better than their 48 V counterparts. The trade-off is that a 380 V to 48 V DC-DC converter is necessary to deliver power to the low voltage loads in the medium building. Second, the unusually low 48 V distribution causes the small office building to have considerably more wiring loss.
*In addition, large battery capacity is crucial for islanding microgrid buildings.</t>
  </si>
  <si>
    <t>Fig.B14</t>
  </si>
  <si>
    <t>48 V</t>
  </si>
  <si>
    <t>DC Power Grids for Buildings</t>
  </si>
  <si>
    <t>The paper documents learnings, measurements and efficiency differences of a test bed installation with both a 230 V AC and a 380 V DC grid.</t>
  </si>
  <si>
    <t>"Cable power losses of a 1-phase 380 V DC power system are lower than of a 1-phase 230 V AC power system due to the higher RMS value of the nominal voltage and consequentially are lower current stress. 
*380 V DC power grids in buildings can be realized with excellent performance and safety features using available fuses, automated circuit breakers and control functions for low voltage DC power systems.
*2 % energy savings have measured at a relative small test bed installation with a 1-phase 80V DC grid using a 2 kW LED lighting installation as load and a hybrid supply from a 2 kW solar power system and a 2 kW central rectifier compared with a benchmark sub-system that uses a 230V/400V AC power grid. These savings are explained by reduced loss in an AC/DC rectifier and power-factor-correction circuits due to the use of natural DC electricity sources such as photovoltaic solar power systems and reduced loss in power cables when operating with 380 V DC instead of 230 V AC. It is explained in detail that the efficiency advantage can reach 5 % at twice the power level.
*DC power grids in buildings with higher power levels should also consider the used of bipolar 2-phase ±380 V DC power grid systems to be competitive with 3-phase, 400V AC power systems globally used and 3-phase, 480 V AC power systems used in North America. Both 2-phase DC and 3-phase AC grids halve cable power loss when operating with symmetrical loads at all phases.</t>
  </si>
  <si>
    <t>*An office lighting test bed installation in building 37 at the High Tech Campus (HTC) in Eindhoven</t>
  </si>
  <si>
    <t>grid connected</t>
  </si>
  <si>
    <t xml:space="preserve">Star/Bus
</t>
  </si>
  <si>
    <t>380 V</t>
  </si>
  <si>
    <t>Bipolar</t>
  </si>
  <si>
    <t>DC/DC
AC/DC</t>
  </si>
  <si>
    <t>EINDHOVEN OFFICE TEST BED</t>
  </si>
  <si>
    <t>Not defined</t>
  </si>
  <si>
    <t>Analysis on Central and Distributed Architectures of Solar Powered DC Microgrids</t>
  </si>
  <si>
    <t>10.1109/PSC.2016.7462817</t>
  </si>
  <si>
    <t>*DC microgrids with DC generation are generally more optimized due to efficient generation, distribution and storage of electrical energy due to absence of subsequent DC- AC conversion stages. 
*The ring architecture provides necessary redundancy in case of an open conductor fault, therefore, enhances the reliability of the system. 
*In the presented analysis, the operation of grid is evaluated on 120V, 240V, 320V and 400V. The length of conductor between consecutive houses is assumed to be 20m. Similarly, the length of internal wiring of the house is also assumed 20m. Different cross sectional areas for conductors i.e. 0.2mm2, 0.45mm2, 2.5mm2, 6mm2 and 7.5mm2 are evaluated. Using (7) (8) and (10), %LLg, %ɳ and %VDg are calculated for the following scenarios of CGCSA and DGDSA. 
*It can be seen from results that it is possible to achieve efficiency greater than 99% with almost all the proposed voltage levels and conductor masses. 
*Distributed Storage Distributed Generation Architecture(DGDSA) has comparatively higher efficiencies in comparison to Central Storage Central Generation Architecture(CGCSA) due to usage diversity and mutual resource sharing capabilities.</t>
  </si>
  <si>
    <t>fig 2</t>
  </si>
  <si>
    <t>nanogrid</t>
  </si>
  <si>
    <t>Ring</t>
  </si>
  <si>
    <t>Centralized 
Descentralized</t>
  </si>
  <si>
    <t>120 V
230 V
325 V
400 V</t>
  </si>
  <si>
    <t xml:space="preserve">Boost 
Buck
Bidirectional flyback 
</t>
  </si>
  <si>
    <t>Laboratory prototyped</t>
  </si>
  <si>
    <t xml:space="preserve">PV
</t>
  </si>
  <si>
    <t xml:space="preserve">Yes </t>
  </si>
  <si>
    <t>They have contrasted both decentralized and centralized storage systems in order to validate the proposed methodology</t>
  </si>
  <si>
    <t>Low-Voltage DC Microgrid Network: A Case Study for Standalone System</t>
  </si>
  <si>
    <t xml:space="preserve">
this paper proposes a systematic approach for power sharing between converters under varying irradiance.</t>
  </si>
  <si>
    <t>*Several research groups have studied the low voltage DC microgrid and concluded that 48 V DC distribution systems for residential area located near the DC power resources with optimized cable area could be a more economical system</t>
  </si>
  <si>
    <t>Fig 1</t>
  </si>
  <si>
    <t>*The focus is on using a current mode controller with paralleled non-isolated boost converters</t>
  </si>
  <si>
    <t>microgrid (3 houses)</t>
  </si>
  <si>
    <t>ring</t>
  </si>
  <si>
    <t xml:space="preserve">Emerge Aliance </t>
  </si>
  <si>
    <t xml:space="preserve">Boost 
</t>
  </si>
  <si>
    <t xml:space="preserve">
Multisim</t>
  </si>
  <si>
    <t>Table 1. Contains some important DC real microgrid applications</t>
  </si>
  <si>
    <t>Characterization of Series Arcs in LVdc Microgrids</t>
  </si>
  <si>
    <t>*sustained series arcs were obtained for dc circuits operating loads as low as 100V, 5A 
*Higher load capacitance should be preferred for high current operation as this reduces series arc sustainability. 
*For lower load current, possibility of arcing is already low. If operating efficiency concerns are not too critical and choice of supply voltage is available, the option of lowering the supply voltage could help. 
*Source side inductance should be minimized because a higher value not only makes it more possible for series arcs to survive, but also reduces the sensitivity and speed of arc detection algorithm</t>
  </si>
  <si>
    <t xml:space="preserve">
At low voltage, low current level, limited characterization studies on dc series arc occurrence and sustainability were found.</t>
  </si>
  <si>
    <t>48 V
75 V
100 V</t>
  </si>
  <si>
    <t xml:space="preserve">section 3.4. </t>
  </si>
  <si>
    <t>Detection of Series Arcs Using Load Side Voltage Drop for Protection of Low Voltage DC Systems</t>
  </si>
  <si>
    <t>*Determining the set-point for threshold detection voltage ensuring sensitivity while avoiding spurious triggering due to low frequency grid voltage fluctuation
*Obtaining insight on the detection time and its variation with threshold voltage and circuit parameters.
*Defining the operational boundaries of the arc detection algorithm depending on the system parameters like grid inductance, resistance and the load capacitance.
*Validating that the algorithm successfully operates in practice by carrying out real time experimental detection of series arcs.</t>
  </si>
  <si>
    <t>*Choose the highest load capacitance and lowest source inductance possible within the detection boundaries defined in this paper. In case sustained series arcs are still possible, the rated operating load current should be reduced.
*It is proved that the set threshold voltages of 6V and 7V are sensitive in detecting series arcing for a side range of natural frequencies and quality factors of the system configuration. Set thresholds of 8V or more  are sensitive only due to the amplifying effect of the circuit within the frequency spectrum of the designed bandpass filter of the detection algorithm. It is highlighted that 6V is the best choice because it is more sensitive in the regions of interest, while being insensitive to low frequency grid voltage fluctuations associated with load changes at 100 Hz.
*The detection time decreases with increasing natural frequency of the circuit until it saturates to a low value towards the outer limit of the filter band. The detection time dt of algorithm varies between 0 &lt; dt ≤ 3ms depending on the circuit parameters like grid inductance, resistance and load capacitance mapped in the natural frequency in the range of 100 Hz -5 kHz and quality factors in the range of 0.25-4.
*The zone of positive detection of series arcs by the algo-rithm is defined comprehensively for all load capacitance and grid inductance. For example, for a 100μH inductance, the load capacitance should be lower than 60μF to ensure posi-tive detection if we do not take resistance into account. This limitation is improved to 400μF with a higher quality fac-tor of 0.5 and &gt;1000μF for quality factor of 1. Therefore, it is concluded that the zone of positive detection increases with quality factor for the same grid inductance due to its amplifying effect on the arc detection signal.
*The detection scheme works in real time for both constant power and constant resistant loads for different supply volt-age and load currents. Experimental results show that series arcs can be detected in about 1 ms after initiation for a set threshold of 6V. The detection time increases with increasing set threshold voltage, while the sensitivity decreases. It is also observed that the detection time and sensitivity of the scheme was slightly different for different supply devices used because of their own source dynamics to the arcing event. It is reason-able to conclude that 1-3ms is the empirical detection time range and 6V is a good set point for positive arc detection both theoretically and practically."</t>
  </si>
  <si>
    <t>Fif. 1</t>
  </si>
  <si>
    <t>Arc detection.
The problem with unintentional unplugging of home appliances in a residential dc distribution system is highlighted in [11].</t>
  </si>
  <si>
    <t>Power Quality in DC Power Distribution Systems and Microgrids</t>
  </si>
  <si>
    <t>Review</t>
  </si>
  <si>
    <t>" *Notable advantages, besides efficiency improvement, include a 15% less up-front capital cost, 33% less floor space, 36% lower lifetime cost, and 20 to 100 times less copper for converters compared to 48 Vdc. For these reasons, international standardization around 380 Vdc has begun since 2009 through the International Electrotechnical Commission (IEC), European Telecommunication Standards Institute (ETSI), and International Telecommunication Standardization Sector (ITU-T)
*To establish voltage standards for energy savings and safety, three criteria are addressed that include line thermal limits, voltage drops, and power losses.
*it is often claimed that DC systems do not experience harmonic currents or voltages. At a surface level, this is true by definition, since the fundamental frequency of a DC system is 0 Hz and integral multiple frequencies of 0 Hz other than the fundamental itself do not exist. At a practical level, however, the presence of current and voltage oscillations on a DC system similar to AC harmonics make the extension of the discussion of harmonics to DC systems relevant. For this reason, as in the references cited, the term “harmonic” will be used in this section to refer to both oscillatory voltages and currents on a DC system.
*DC distribution systems require converters both to connect the DC bus to an AC grid and at each point of connection to the DC bus for distributed generation with AC output, some cases of energy storage, and loads.
*In 48 V DC power systems used for telecommunications, the positive pole is grounded and the system operates as a −48 V/0 V system. When considering higher DC voltages such as 380 V or 400 V for distribution, however, the IT grounding concept with high resistive mid-point connection to protective earth provides safety enhancements by limiting the potential ground current for a line-to-ground fault, as well as halving the voltage to ground on the system compared to the TN-S concept. The TN-S and IT grounding concepts for DC distribution systems are shown in Figure 8.
*Appliances in the kitchen tend to be higher in power consumption than other many other appliances used in the home, many of which can be modeled as resistive loads and supplied with DC directly
*In particular, failures due to harmonic currents have been noted in literature in the DC link in variable frequency drives, and it is likely DC distribution systems that are not adequately designed with circulating currents due to nonlinear loads could experience similar failures."</t>
  </si>
  <si>
    <t>Take into account section 3.4</t>
  </si>
  <si>
    <t>DC microgrids and distribution systems: An overview</t>
  </si>
  <si>
    <t xml:space="preserve">The objective of the paper is to give an integrated background about what has already been achieved in these areas, by giving details about the topics and/or guidance on where to find further information about them. The paper also attempts to develop a simplified conceptual path to the newly researchers in the field of DC power systems on what the challenges of DC systems are and how their peers tackled them.
</t>
  </si>
  <si>
    <t xml:space="preserve">*it can be concluded that the feasibility of adopting DC systems became evident, especially with the high penetration of DC-supplied loads, and the presence of advanced power electronics technologies.
*Voltage selection, modeling, control, stability, protection and grounding of DC systems have been investigated. However, more work needs to be done on these topics to answer all the raised questions. </t>
  </si>
  <si>
    <r>
      <rPr>
        <sz val="11"/>
        <color rgb="FF000000"/>
        <rFont val="Arial"/>
      </rPr>
      <t xml:space="preserve">Para complementar uan tabla de sistemas DC. Se puede tomar información de la </t>
    </r>
    <r>
      <rPr>
        <b/>
        <sz val="11"/>
        <color rgb="FF000000"/>
        <rFont val="Arial"/>
      </rPr>
      <t xml:space="preserve">"8. Existing DC distribution systems".
*Lo mismo para los sistemas de standarización de la tensión sección 7
*Sistemas de Protección sección 6
</t>
    </r>
  </si>
  <si>
    <t>Tener en cuenta para secciones 3.3 y 3.4</t>
  </si>
  <si>
    <t>Microgrids: A review of technologies, key drivers, and outstanding issues</t>
  </si>
  <si>
    <t>"*‘‘[A microgrid is] a group ofinterconnected loads and distributed energy resources within clearly defined electrical boundaries that acts as a single controllable entity with respect to the grid. A microgrid can connect and disconnect from the grid to enable it to operate in both grid-connected or island mode
*The costs of solar photovoltaic generation and battery storage are rapidly dropping, to the point that they are closing in on cost parity with traditional electricity sources.
*Whether microgrids remain a niche application or become ubiquitous depends on two main factors: (1) to what degree regulatory and legal challenges can be successfully surmounted, and (2) whether the value they deliver to property owners and communities in terms of power quality and reliability (PQR) and other economic benefits out-weigh any cost premiums incurred to capture those benefits.
*These losses can waste from 5% to 15% of power generation depending on the number of back-and-forth conversions. Additionally, faults in DC systems can be isolated with blocking diodes and issues of synchronition, harmonic distortion, and problematic circulating reactive currents are alleviated.
*It is worth noting that while the success of promising initiatives like “DC homes”, i.e. low voltage DC  grids for residential applications, has been limited by a lack of DC appliances and the need for large grid- connected AC-DC converters, DC or hybrid AC/DC microgrids have flourished in maritime applications, datacenters, and so-called mini-grids (another name used historically for remote microgrids) utilizing PV solar generation and batteries to charge electronic devices like laptops or cellphones"</t>
  </si>
  <si>
    <t>Institutional
Military 
Residential
Remote and rural</t>
  </si>
  <si>
    <r>
      <t xml:space="preserve">
They based their analysis upon:
Challenges: legal and regulatory uncertainty, Interconnection policy, Utility regulation, </t>
    </r>
    <r>
      <rPr>
        <b/>
        <sz val="10"/>
        <rFont val="Arial"/>
      </rPr>
      <t>Utility opposition (5.4.). 
This could lead us to a social acceptance or not.(podriamos incluir en vez de un apartado DC vs AC que ya esta super estudiado aunque no tanto a LV, un apartado Aceptación Social- e integración del Coche Electrico)</t>
    </r>
  </si>
  <si>
    <t>Incorporating home appliances into a DC home nanogrid</t>
  </si>
  <si>
    <t xml:space="preserve">
One of the objetives in this work is to analyze the way in which it is diminished the use of fossil fuels as well as the dependence on the public electric network. </t>
  </si>
  <si>
    <t>*Currently there is not home appliances operating with DC in the local market, most home appliances are designed to operate in the AC regime. Nevertheless, due to the switching power supplies, home appliances can be incorporated into the DC nanogrid.
*We consider that it is important to make more technologic advances to incorporate renewable sources of energy at home like as the adapting of home appliances into a DC nanogrid.
*The appliances used in this study are not modified, which represents a easy and cheap way to incorporate into the home DC nanogrid. As far as the laptop is concerned, its energy saving is rather small, while for the induction stove the energy saving ranges from 16.66% for a maximum wattage level to 32.72% at the medium wattage level.</t>
  </si>
  <si>
    <t>Fig 3</t>
  </si>
  <si>
    <t xml:space="preserve">Grid-connected
</t>
  </si>
  <si>
    <t>100 V a 140 V</t>
  </si>
  <si>
    <r>
      <rPr>
        <sz val="10"/>
        <rFont val="Calibri"/>
      </rPr>
      <t xml:space="preserve">Buck
</t>
    </r>
    <r>
      <rPr>
        <b/>
        <sz val="10"/>
        <rFont val="Calibri"/>
      </rPr>
      <t>B</t>
    </r>
    <r>
      <rPr>
        <sz val="10"/>
        <rFont val="Calibri"/>
      </rPr>
      <t>idirectional converter (inverter/rectifier).</t>
    </r>
  </si>
  <si>
    <t>Prototype at a home</t>
  </si>
  <si>
    <t>Yes, NorthStar, model NSB 170FT Red battery</t>
  </si>
  <si>
    <t>DC Voltage Level Choice in Residential Remote Area</t>
  </si>
  <si>
    <t xml:space="preserve">
propose to establish a roadmap to make the appropriate choice of the DC voltage level.</t>
  </si>
  <si>
    <t xml:space="preserve">"This paper presents a roadmap to help the choice of appropriate voltage level for a given power for residential DC nanogrid in remote site with minimal outstanding rated power of 1140W."
*It presents a SoA about voltage levels in microgrids. They focus on connection topologies, bus voltage levels and comercial appliances.
*They analyse the safety issues depending on voltage levels.
*They calculate the losses depending on cable length abnd volatge level.
*They concludes that most loads are running under an operating voltage of 12 or 24V in DC
*In terms of electrical safety, for low power applications of  few kWatts, DC bus voltage should be lower than 100V for safety reasons. For a voltage higher than 100V, protection system must be enhanced
*For the cable sizing issue, the cross-section decreases with DC bus voltage level increases. Moreover, the lower is the cable cross-section; the shortest is the maximum cable length for the application.
*Thus 12V or 24V may be a good choice for low power application in small area such as car and single room, but when it comes to wider area application like home; it is preferable to use higher voltage. Indeed, the higher is the DC voltage bus level; the better is the performance in terms of voltage drop and maximum cable length for the application.
*However the weakness of higher DC bus voltage level consists in the fact that existing DC home appliances run on lower nominal voltage, and hence there is a need of conversion stage between the bus and the load. One solution to overcome this inconvenience is the use of multi-level buses.
</t>
  </si>
  <si>
    <t>Fig. 1</t>
  </si>
  <si>
    <t>The most common values are 12V, 24V, 48V, and 100V. In this context, this work targets to compare the consequences of these different choices on the DC nanogrid from one hand, and to establish a reasonable roadmap to help the appropriate choice of the DC bus from the other hand.</t>
  </si>
  <si>
    <t>residential</t>
  </si>
  <si>
    <t xml:space="preserve">bus </t>
  </si>
  <si>
    <t xml:space="preserve">They had studied 12 V, 24 V, 48 V, 60 V and 100 V. In the end they chose 48 V because its better performance against the others. </t>
  </si>
  <si>
    <t>Prototyped</t>
  </si>
  <si>
    <t>PV 
Wind</t>
  </si>
  <si>
    <t>Muy interesante en terminos de la standarización de un nivel de tensión único.
3.3</t>
  </si>
  <si>
    <t>Robust Stability Analysis of DC Microgrids With Constant Power Loads</t>
  </si>
  <si>
    <t xml:space="preserve">
This paper studies stability analysis of dc microgrids with uncertain constant power loads (CPLs).</t>
  </si>
  <si>
    <t>"*When uncertainties are involved, it is difficult to find the actual equilibria that the DC microgrid will converge to.
*Since the microgrid may operate at any equilibrium in the feasible set, the problem is formulated as a robust stability analysis problem of linear systems with polytopic uncertainties on system matrices.
*As a result, the vector of the overall CPL power lies in a polytopic uncertainty set. Different CPL vectors in the uncertainty set may lead to different system equilibria.We call the system locally robustly stable if all the resulting equi-libria are locally exponentially stable."</t>
  </si>
  <si>
    <t xml:space="preserve">The problem is formulated as a robust stability problem of a polytopic uncertain linear system. </t>
  </si>
  <si>
    <t>MATLAB</t>
  </si>
  <si>
    <t>Advantages and Challenges of DC Microgrid for Commercial Building</t>
  </si>
  <si>
    <t>This paper discussed the advantages and challenges of DC microgrid for commercial building</t>
  </si>
  <si>
    <t>"*We have successfully demonstrated a DC microgrid in our engineering building with 150kW rooftop solar system and DC lighting, DC air-conditioning and DC EV charging station.
*To power air-conditioning or electrical vehicle charging stations of a commercial building, extra power supply will be required that can be obtained by BIPV on the sidewall, glass windows or adjacent parking lots
*To efficiently adopt DC microgrid applications, a suitable size energy storage unit and a two way invertor are needed to ensure stable bus voltage and continuous power supplies. 
*We believe a DC and AC hybrid system would be a more suitable model for current commercial building applications"
"Therefore we believe to use the solar power only for the matched DC loads, and keep existing AC power in the building to power the rest loads (or an AC and DC hybrid microgrid) maybe a more viable solution."
*The economical analysis shows that installation cost of a DC microgrid system is about $2.2/W, which is becoming a marketable technology.</t>
  </si>
  <si>
    <t>Fig. 2</t>
  </si>
  <si>
    <t>Institutional building</t>
  </si>
  <si>
    <t xml:space="preserve">real </t>
  </si>
  <si>
    <t>NO</t>
  </si>
  <si>
    <t>"*In order to power heavy loads such as air conditioning and EV charging stations, extra power are required, which can be obtained from the BIPV on the sidewall, glass window, or adjacent parking lots (fig. 5)
*To ensure the stable bus voltage and continuous operation of the DC microgrid, a suitable energy storage unit and two way AC/DC invertors are needed"</t>
  </si>
  <si>
    <t>Overview of Different Topologies and Control Strategies for DC Micro Grids</t>
  </si>
  <si>
    <t xml:space="preserve">
This paper analyses some existing realizations of DC micro grids and summarizes the basic design considerations. It is also intended to serve as a guideline for the right choice of architecture in the respective design areas.</t>
  </si>
  <si>
    <t>"*The proper design of power electronics combined with a safety strategy can ensure the safe operation and protection of the grid and the devices connected to it
*A direct connection to the battery should be avoided to reduce the requirements towards the circuit breakers and for a better optimization capability of the power electronics.
"*Power electronics are the essential parts for the operation of a DC micro grid. 
*Switchgear for high current DC requires special measures to interrupt the electric arc that is inevitably established when opening contacts under load. Such means include permanent magnets and conductive plates to elongate and split up the arc, resulting in expensive and bulky switches
*Besides safety considerations, attention should be paid to the stability of a planned grid configuration. The interconnection of several DC/DC-converters in a grid could create resonant effects of the grid voltage"
*For a highly reliable grid, a more decentralized architecture with a communication-less droop control should be considered. A more centralized, highly integrated system is rather suitable for low cost and small DC grids. A direct connection to the battery should be avoided to reduce the requirements towards the circuit breakers and for a better optimization capability of the power electronics.</t>
  </si>
  <si>
    <t xml:space="preserve">
The focus of this paper is to explore the main differences  and advantages/disadvantages of various topologies and  control strategies for DC micro grids.</t>
  </si>
  <si>
    <t>Nano and microgrid</t>
  </si>
  <si>
    <t>Bus</t>
  </si>
  <si>
    <t>They tested:
24 V
380 V
760 V (para uso industrial)</t>
  </si>
  <si>
    <t>Bidirectional DC-DC</t>
  </si>
  <si>
    <t xml:space="preserve">
The whole grid is distributed across two buildings at the Fraunhofer IISB in Erlangen.
</t>
  </si>
  <si>
    <t xml:space="preserve">PV and uCHP (microgeneración fósil) </t>
  </si>
  <si>
    <t xml:space="preserve">Yes (Fuel cell, Battery, </t>
  </si>
  <si>
    <t>The grounding issue is thoroughly dealt here.
They made an analyses based on the number of phases concluding that two pases is more suitable for microgrids systems</t>
  </si>
  <si>
    <t>Optimized efficiency of all-electric ships by dc hybrid power systems</t>
  </si>
  <si>
    <t xml:space="preserve">
This paper is aimed at efficiency analysis and optimization of shipboard power systems and evaluation of their fuel saving when utilizing the dc distribution and incorporating an energy storage device.</t>
  </si>
  <si>
    <t>The study also showed that the shipboard dc systemwith energy storage could provide a fuel saving of around 7% compared to the dc system without energy storage. The study results demonstrate significant fuel-saving potentials</t>
  </si>
  <si>
    <t xml:space="preserve">
detailed efficiency analysis of a shipboard dc hybrid power system was carried out in order to evaluate its po-tential fuel saving.</t>
  </si>
  <si>
    <t>Sihpboard</t>
  </si>
  <si>
    <t>*The ac power of the generator is converted to dc power through a three-phase diode rectifier.
*And a bidirectional dc/dc converter that enables to charge and discharge the battery in a controlled manner.</t>
  </si>
  <si>
    <t xml:space="preserve">
Simulation Matlab/Simulink</t>
  </si>
  <si>
    <t xml:space="preserve">
an energy storage system based on Li-Ion batteries,</t>
  </si>
  <si>
    <t>Energy savings from direct-DC in U.S. residential buildings</t>
  </si>
  <si>
    <t xml:space="preserve">
this paper also explores the impact of energy storage systems on direct-DC energy savings.</t>
  </si>
  <si>
    <t>*We estimate that net-metered PV residences could save 5% of their total electricity load for houses without storage and 14% for houses with storage. 
*Direct-DC energy savings are sensitive to power system and appliance conversion efficiencies but are not significantly influenced by climate.
*Additional energy savings of approximately 33% would be obtained by completing the current transition toward the use of DC-internal technologies to supply residential electricity demands.
*The modest savings for the non-storage case are a reflection of the fact that residential loads, which peak in the late afternoon and evening, do not facilitate the direct use of PV power. The larger the mid-day and summertime loads, the greater the energy sav-ings potential will be. On the other hand, on-site storage favors direct-DC, because excess power from the PV system can be sent to the batteries for storage directly in its DC form without DC–AC–DC conversion losses. Given that high PV penetration rates desired for decarbonization of the electricity supply also require on-site elec-tricity storage, direct-DC could facilitate by significantly reducing the effective PV system load.
*The DC-house power system configuration eliminates DC–AC–DC conversion losses to DC internal appliances when adequate PV power is available, but incurs AC–DC losses via the bidirectional inverter when grid backup power, delivered as AC, is used.
*In the AC-house, which constitutes the base case, all power is distributed in AC form to appliances that accept AC power. In the DC-house, all power is distributed in DC-form to appliances that accept DC power, but these appliances are identical in every other way to their AC counterparts. That is, the AC appliances are assumed to be the DC-internal appliances with an AC–DC power converter on the input."
As discussed earlier, cooling loads are separated from non-cooling loads, while the latter are further broken up to high- (380 V) and low-voltage (24 V) loads. High voltage is used for high-power consumption devices and to distribute DC power throughout the house with fewer losses.</t>
  </si>
  <si>
    <t>Fig. 3</t>
  </si>
  <si>
    <t xml:space="preserve">
This paper investigates that potential for net-metered residences with on-site photovoltaics (PV) by modeling the net power draw of a ‘direct-DC house’ compared to that of a typical net-metered house with AC distribution, assuming identical DC-internal loads.</t>
  </si>
  <si>
    <t>14 cities accros USA</t>
  </si>
  <si>
    <t>Grid-connected</t>
  </si>
  <si>
    <t>24 V
380 V</t>
  </si>
  <si>
    <t>Bidirectional Inverter</t>
  </si>
  <si>
    <t>System Advisor Model (SAM)</t>
  </si>
  <si>
    <t>Batteries</t>
  </si>
  <si>
    <t>380-VDC power distribution system for 4-MW-scale cloud facility</t>
  </si>
  <si>
    <t>10.1109/intlec.2014.6972218</t>
  </si>
  <si>
    <t xml:space="preserve">
The purpose of this project was to confirm several power supply services that include AC and DC in the field.</t>
  </si>
  <si>
    <t>*Globally, the data center market is beginning to standardize their systems around two voltages: 380 Vdc and 400 Vdc. Conventional supply voltages of 48 Vdc power supply systems have been the worldwide standard for the last century.
*Energy saving with safety and stable operation of the 380-successfully obtained by VDC power supply system is developed power devices.
*The 380-VDC power supply system is expected to be used for a DC microgrid or a new electric supply grid besides ICT use from the potential of a grid-connection system with storage photovoltaic (PV) cells, fuel cells, and various batteries.</t>
  </si>
  <si>
    <t xml:space="preserve">
We investigated the 380-VDC power supply system, which was chosen because rectified three-phase 200-VAC is the  general electric power voltage supply in Japan.</t>
  </si>
  <si>
    <t>Only data centers</t>
  </si>
  <si>
    <t>Rectifier (AC/DC)</t>
  </si>
  <si>
    <t>Prototype</t>
  </si>
  <si>
    <t xml:space="preserve"> Lead-Acid Battery</t>
  </si>
  <si>
    <t>DC Microgrids: Economic Operation and Enhancement of Resilience by
Hierarchical Control</t>
  </si>
  <si>
    <t>The objective is to analyze the mer- its and the functionalities of dc microgrids in terms of resilient and economic operations in emergencies and steady state.</t>
  </si>
  <si>
    <t>*The simulation cases address the economic dispatch of bat- tery storage in grid-connected mode, as well as the unplanned  islanding, load restoration and the resynchronization of IIT dc microgrid in island mode. The simulation results are compared with those of the IIT ac microgrid, which verify that the proposed coordinated dc strategy is an effective way of ensur- ing the resilient response of dc microgrids to emergencies and optimizing their economic operation at steady state.
*The battery storage system at IIT dc microgrid contributes to the economic and the resilience of the microgrid operations. The operation cost could be reduced when the battery is charged at low-priced periods and discharged to serve the campus load during high-priced periods. For resilience, the battery supports nodal voltages and enhances the resilience of microgrid in unplanned islanding situations</t>
  </si>
  <si>
    <t>to test the proposed hierarchical control strategy that applies to a dc microgrid</t>
  </si>
  <si>
    <t>Not mentioned</t>
  </si>
  <si>
    <t xml:space="preserve">Rectifier (AC/DC)
Converter DC/DC </t>
  </si>
  <si>
    <t>PV
Wind
Natural-gas turbine</t>
  </si>
  <si>
    <t>flow batteries</t>
  </si>
  <si>
    <t>Microgrids: Experiences, barriers and success factors</t>
  </si>
  <si>
    <t xml:space="preserve">
The main aim of this research was to identify the common barriers and success factors to implementing a microgrid in the real world.</t>
  </si>
  <si>
    <t xml:space="preserve">*Ultimately, this literature and case analysis pinpoint the success factors and/or characteristics that are necessary in order to have a full-functioning and commercially viable microgrid. These success factors can be described as:
-Stable, reliable, and cost-effective power sources like CHP, reciprocating engines, hydro power, wind local primary energy, should be a share of the microgrid to supply stable energy during times of outage and/or disaster.
-Larger capacity and multiple technologies allow microgrids to meet power demands and maintain power quality more effectively in island mode.
-Backup equipment, particularly storage, to maximize peak shaving and facilitate the transition between grid-connected and island mode.
-Effective power quality and energy management system, which can seamlessly control and communicate between DER and with the main network operator, in order to optimize consumption, maintain power quality during island mode and switching from grid-connected to island mode.
-Supportive regulatory and market framework is critical in order to allow feeding microgrid power back into the grid, which in turn facilitates trading with the main network and between constituents.
-Stakeholder involvement in decision-making to foster trust and cohesiveness among consumers and other stakeholders, like manufacturing companies, DSOs, and power producers. Building a cooperative relationship between the DSO/utility and the microgrid system is especially important if the microgrid is to be connected to the grid.
-Microgrid operator training and user-friendly interfaces to easily and consistently maintain its normal operation, and particularly during unforeseen events, like faults and natural disaster
**In the first case of an island microgrid, a combination of DG units and DS units provides enough electricity for one customer or small community separate from the utility grid, because its remoteness often makes it difficult to connect to the grid. 
*In the second case, a low voltage (LV) customer microgrid services the power demands of one customer, like a farm or detached house by connecting and operates parallel to the grid. Then when there is a fault in the utility grid, the customer's power needs are met by one or two of their own DG and DS units in islanding mode. 
*The third case, an LV microgrid, is characterized by a group of LV customers, where power production is based on many small scale DGs, like solar panels on the roof of a house and a microturbine, for example. The LV microgrid can range from just a few consumption points to an entire low voltage network fed by an MV/LV transformer.
*Lastly, LV microgrids can be grouped into a MV microgrid where bigger production units, like wind power parks, can be applied. These are then centrally connected at one HV/MV substation, and can consist of partial or the entire output of the HV/MV substation.
</t>
  </si>
  <si>
    <t xml:space="preserve">Table 4. will must have taken into cosideration for the gathering about MG deployed worldwide </t>
  </si>
  <si>
    <t>Revisar al construir mi tabla propia al final de la seccion 3.1</t>
  </si>
  <si>
    <t>Optimal Power Flow for Unbalanced Bipolar DC Distribution Grids</t>
  </si>
  <si>
    <t>The paper presents a precise model to analyse bipolar unbalanced distribution systems.</t>
  </si>
  <si>
    <t>This paper proposes a method to model the OPF problem for unbalanced bipolar dc grids.</t>
  </si>
  <si>
    <t>GAMS 
Matlab</t>
  </si>
  <si>
    <t xml:space="preserve">Example cases show the various phenomena that can appear under asymmetric loading, such as pole-to-pole connections combined with pole-to-neutral  connections, parallel sources, meshed grids and their effect on the Location of  Marginal Prices. </t>
  </si>
  <si>
    <t>Towards a DC Distribution System – Opportunities and Challenges</t>
  </si>
  <si>
    <t>*The ongoing standardization processes provides the opportunity to implement innovative features that will allow dc distribution systems to become more elegant than ac systems when applying smart grid concepts.</t>
  </si>
  <si>
    <t>New protection strategies for large dc distribution systems and their open research questions are discussed.</t>
  </si>
  <si>
    <t xml:space="preserve">Secttion IV. It will have be considered for Protection schemes (3.4) </t>
  </si>
  <si>
    <t>Are Microgrids the Future of Energy?: DC Microgrids from Concept to Demonstration to Deployment</t>
  </si>
  <si>
    <t>"*Because of the dc nature of many renewable sources, energy-storage technologies, and modern loads, integration of resources and loads in a dc bus is attractive in reducing the footprint of the installations, increasing the efficiency, and eventually reducing the cost of the microgrid. Lack of standardization, lack of dc-rated components, and obstacles in safety approval are factors impeding the implementation of dc microgrid demonstra-tion projects.
****
Some of the challenges that project developers interested in building dc microgrid demonstrations are facing are:
-difficulties in finding electric loads that will operate on dc due to the investment required to remove ac-rectifying elements that are an integral part of the ac products and due to the wide range of internal dc bus voltages in modern off-the-shelf loads.
-resistance from local authorities to approve dc instal-lations due to the limited experience with this type of project and the lack of references in safety codes.
-the need for custom power electronics equipment incorporating controls and communication features specific to dc microgrids that demands extensive r&amp;d effort (this increases the cost and extends the project execution time)
-unknowns regarding the protections needed in dc sys-tems and the lack of protection devices designed spe-cifically for dc systems.
-a wide variance of ratings and specifications and the repetition of efforts instead of collaboration that would accelerate the goal of more practical imple-mentations of dc microgrids (this is because dc microgrids have been conceived and designed by small groups in academia and industry with very little cooperation among them)." 
-*The use of distributed resources to power local loads combined with the capability to operate independently of the ac grid makes  microgrids a technically feasible option to address the concerns of sustainability, resilience, and energy efficiency. Furthermore, microgrids can operate while completely separated from the grid, representing a lower-cost option to provide electrical power to regions in developing countries where conventional ac grids are not  available or are too unreliable.</t>
  </si>
  <si>
    <t>Arda Power’s proposed solution, based on using the energy-storage elements to regulate the dc bus and as the energy manager for the system, meets this requirement.</t>
  </si>
  <si>
    <t>Power Management and Optimization Concept for DC Microgrids</t>
  </si>
  <si>
    <t xml:space="preserve">
This paper presents a power and energy management concept where the DC bus voltage is used as the only mean of communication amongst components connected to the microgrid.</t>
  </si>
  <si>
    <t>"*The energy storage system is the fundamental piece of a DC microgrid able to operate independent of the main grid. 
*In order to minimize the size and cost of the energy storage system, communication amongst the different components in the microgrid is necessary to produce fast response that follows the power and energy management requirements. 
*Changes of operating mode including switching the DC voltage control function amongst components
is unnecessary and a potential cause for miss operation and instability.
*This paper proposes a power management system where the energy storage system always controls the DC bus and changes its value to send information to other components in the microgrid."</t>
  </si>
  <si>
    <t>Fig. 4</t>
  </si>
  <si>
    <t>780 V</t>
  </si>
  <si>
    <t xml:space="preserve">DC/AC
AC/DC
DC/DC
</t>
  </si>
  <si>
    <t>Not specified</t>
  </si>
  <si>
    <t>PV
Wind
Microturbine
Flywheel</t>
  </si>
  <si>
    <t>Yes (fuel cells, and batteries)</t>
  </si>
  <si>
    <t>For</t>
  </si>
  <si>
    <t>Linear power flow formulation for low-voltage DC power grids</t>
  </si>
  <si>
    <t>This paper presents a reformulation of the power flow problem in low-voltage dc (LVDC) power grids via Taylor's series expansion</t>
  </si>
  <si>
    <t>"*The proposed power flow analysis technique can be also used for power losses minimization, economic power dispatch or any optimization problem via master-slave optimization structures.
*Moreover, the linear model can be combined with ac coun-terparts to solve power flow problems derived from hybrid ac-dc power grids. In terms of real-time applications, the proposed linear model can be integrated into control strategies for operating dc microgrids using real-time computation devices."</t>
  </si>
  <si>
    <t>Radial 
Mesh</t>
  </si>
  <si>
    <t>section 3.2</t>
  </si>
  <si>
    <t>Optimal operation of hybrid AC/DC microgrids under uncertainty of renewable energy resources: A comprehensive review</t>
  </si>
  <si>
    <t xml:space="preserve">
this paper performs a comprehensive review of the fundamentals of hybrid AC/DC microgrids and describes their components.</t>
  </si>
  <si>
    <t xml:space="preserve">
Mathematical models and valid com-parisons among different renewable energy sources’ generations are discussed. Subsequently, various opera-tional zones, control and optimization methods, power flow calculations in the presence of uncertainties related to renewable energy sources are reviewed.</t>
  </si>
  <si>
    <t>This paper seems to be a magazine article rather than a journal one</t>
  </si>
  <si>
    <t>Uniqueness of the power flow solutions in low voltage direct current grids</t>
  </si>
  <si>
    <t xml:space="preserve">
This paper demonstrates the existence and uniqueness of the solution of the power flow in LVDC grids. This result is general since: (1) it is independent of the numerical method, (2) it is independent of size and load condition of the LVDC grid and (3) it is valid for any topology of the LVDC grid.</t>
  </si>
  <si>
    <t>"*The result is neither a linearization nor an approximation, but an analysis of the set of non-linear algebraic equations, which is valid for any LVDC grid regardless its size, topology or load condition.
*It is important to emphasize that power flow in LVDC grids is different from the well known DC power flow in conventional power systems [7]. The former is a power flow in a grid which is actually DC and incorporates constant power terminals; while the latter is a linearization of the power flow equations in AC grids which, due to a pedagogic analogy, is named in this way. The most important difference is that LVDC power flow equations define in a non-linear, non-affine and not convex space due to the presence of power electronic converters with constant power controls. In addition, the state variables are voltages and not angles which actually does not exist in LVDC grids."
"*A direct use of the Banach fixed-point theorem was used to demonstrate uniqueness of the solution under four practical considerations namely: (a) the graph is connected, (b) there is at least one constant power terminal and one constant voltage terminal, (c) feasible  voltages remain in a given interval and (d) short circuit currents are higher than normal operation currents for all constant power terminals. These considerations are fulfilled by all real grids and hence the result is general. 
*Convergence was studied by a simple successive approximations algorithm. However, the result is independent of the algorithm. This means that any power flow algorithm will converge to the same region since uniqueness is guaranteed. Simulations results demonstrated that initial points close to 1 pu are not required to guarantee convergence. This fact was evaluated even for operative points close to the voltage collapse. This is a surpris- ing fact in comparison to AC grids since for AC grids the power flow method trends to diverge at high load conditions. This result requires future research and could give insights for transient and voltage stability analysis of LVDC grids."</t>
  </si>
  <si>
    <t>residdential</t>
  </si>
  <si>
    <t>star</t>
  </si>
  <si>
    <t>Rectifier AC/DC</t>
  </si>
  <si>
    <t>Matlab/octave</t>
  </si>
  <si>
    <t>PV
Wind</t>
  </si>
  <si>
    <t>Application of dc-grid for Efficient use of solar PV System in Smart Grid</t>
  </si>
  <si>
    <t xml:space="preserve">
This paper also presents an idea for smart load shedding techniques and its practical implementation in the form of smart dc Grid. Its various applications will enhance the functionality of a smart DC grid on residential load.</t>
  </si>
  <si>
    <t>*The goal of this paper is to justify the efficient use dc appliances to minimize the losses during conversion from dc-ac-dc for solar PV array. Generallized equations for solar PV and battery sizing have been drived using experimental results. 
*A technique was develop to prevent the total blackout in system and using the priority load without affecting the backup time of storage at night hours. 
*It was demonstrated that the proposed smart scheme can be useful in efficiently managing the various dc and ac loads together with priority switching and proper sizing of storage and PV array lead to the cheaper solution for domestic loads.
*DC loads are directly fed though battery storage during unavailability of solar energy during cloudy hours or night time and simultaneously from PV array during sun shine, which enhance the overall efficiency of the system, storage is directly charged by Smart dc PV array during day time and efficiently used during night hours</t>
  </si>
  <si>
    <t>This paper presented a smart load management scheme for domestic use fed by local distributed generation of solar PV array</t>
  </si>
  <si>
    <t>Residential</t>
  </si>
  <si>
    <t>12 V
48 V
72 V
240 V</t>
  </si>
  <si>
    <t>DC-DC</t>
  </si>
  <si>
    <t>How much electricity can we save by using direct current circuits in homes? Understanding the potential for electricity savings and assessing feasibility of a transition towards DC powered buildings</t>
  </si>
  <si>
    <t>In this work, we assess the technical and economic feasibility of DC circuits using data for 120 traditionally-wired AC homes in Austin, Texas to understand the effect of highly variable demand profiles on DC-powered residences, using appliance-level use and solar generation data, and performing a Monte Carlo simulation to quantify costs and benefits.</t>
  </si>
  <si>
    <r>
      <t xml:space="preserve">*Results show site energy savings between 9% and 20% when solar PV is distributed to all home appliances. When battery storage for excess solar energy is considered, these savings increase to 14–25%. At present DC equipment prices, converting all equipment to DC causes levelized annual costs of electricity to homeowners to roughly double. However, by converting only homes’ air conditioning condensing units to DC, the costs of direct-DC are greatly reduced and home site energy savings of 7–16% are generated.
*In addition to quantifying savings, we find major </t>
    </r>
    <r>
      <rPr>
        <b/>
        <sz val="10"/>
        <rFont val="Arial"/>
      </rPr>
      <t xml:space="preserve">nontechnical barriers </t>
    </r>
    <r>
      <rPr>
        <sz val="10"/>
        <color rgb="FF000000"/>
        <rFont val="Arial"/>
      </rPr>
      <t xml:space="preserve">to implementing direct-DC in homes. These include a lack of standards for such systems, a relatively small market for DC appliances and components, utility programs designed for AC power, and a workforce unfamiliar with DC.
*
</t>
    </r>
    <r>
      <rPr>
        <b/>
        <sz val="10"/>
        <rFont val="Arial"/>
      </rPr>
      <t>Whole-Home DC:</t>
    </r>
    <r>
      <rPr>
        <sz val="10"/>
        <color rgb="FF000000"/>
        <rFont val="Arial"/>
      </rPr>
      <t xml:space="preserve"> Both whole-home DC scenarios see LAC roughly double compared to a home without a PV array. On average, this means LAC increases from around $1200 per home to over $2300 per home. While solar credits from PV generation and savings from converting to DC reduce each home’s annual electric bill by around $950 on average, the added cost of the solar array (average LAC $770 with applicable rebates), bidirec-tional inverter (average LAC $380), and DC appliances and com-ponents (average LAC $900) exceed these savings. In the whole-home case, as well as all others, the addition of battery storage results in a small reduction in energy costs while adding a sub-stantial capital cost (average LAC $500) that is largely not recovered.
</t>
    </r>
    <r>
      <rPr>
        <b/>
        <sz val="10"/>
        <rFont val="Arial"/>
      </rPr>
      <t xml:space="preserve">DC Lighting: </t>
    </r>
    <r>
      <rPr>
        <sz val="10"/>
        <color rgb="FF000000"/>
        <rFont val="Arial"/>
      </rPr>
      <t xml:space="preserve">DC lighting simulations see an increase in LAC due to the added cost of the bidirectional inverter and small energy savings. DC equipment costs are small as only one circuit must
be fitted with a DC-specific breaker and the cost of converting to DC LEDs is negligible when annualized over the life of the lamps. Power electronics make up a small fraction of the cost of an LED, so we do not expect the removal of a single rectifica-tion stage to significantly reduce equipment costs. 
</t>
    </r>
    <r>
      <rPr>
        <b/>
        <sz val="10"/>
        <rFont val="Arial"/>
      </rPr>
      <t>DC Condensing Unit:</t>
    </r>
    <r>
      <rPr>
        <sz val="10"/>
        <color rgb="FF000000"/>
        <rFont val="Arial"/>
      </rPr>
      <t xml:space="preserve"> While DC condensing units deliver sub-stantial energy savings, the cost of these units surpass cost sav-ings and results in a net increase in LAC of 9–80% without storage and 39–133% with storage. Existing units are intended for rugged, off-grid, often mobile applications and have features not required for a residential installation. Thus, while the costs used here are high, they are reflective of the best currently available technology to serve a home’s cooling load with vari-able speed BLDC motors.
</t>
    </r>
    <r>
      <rPr>
        <b/>
        <sz val="10"/>
        <rFont val="Arial"/>
      </rPr>
      <t>DC Plug-in Electric Vehicle Charger:</t>
    </r>
    <r>
      <rPr>
        <sz val="10"/>
        <color rgb="FF000000"/>
        <rFont val="Arial"/>
      </rPr>
      <t xml:space="preserve"> Similar to the conversion of home lighting loads to DC, EV chargers see minimal energy cost savings. DC implementation costs are also small as only one DC circuit is installed and the only hardware change at the charger is the removal of a rectification stage. The net results of these changes are an increase in LAC primarily due to the cost of a bidirectional inverter and storage, when applicable.</t>
    </r>
  </si>
  <si>
    <t>Homes</t>
  </si>
  <si>
    <t>120 V</t>
  </si>
  <si>
    <t>Monte carlo simulation</t>
  </si>
  <si>
    <t>A Verification of High-Efficiency DC Micro-Grid Power Systems with High-Performance Power Converters and Energy Management Strategy</t>
  </si>
  <si>
    <t>In order to demonstrate the practical effectiveness of the DCMG power system, a newly-developed high-efficiency DC micro-grid power system in the Nushima Island, Hyogo, Japan is originally presented in this paper.</t>
  </si>
  <si>
    <t>The high power conversion efficiency over 90% and energy utilization efficiency around 80% have been attained for the total power processing. In conclusion, these results show electric power distribution systems, with autonomous energy-flow control schemes and low carbon dioxide emissions, may be expected to be implemented in community-scale clean power networks.</t>
  </si>
  <si>
    <t>360 V</t>
  </si>
  <si>
    <t>DC-DC
DC-AC</t>
  </si>
  <si>
    <t>Microgrid</t>
  </si>
  <si>
    <t>Muy pobre</t>
  </si>
  <si>
    <t>Analysis and assessment of an off-grid services building through the usage of a DC photovoltaic microgrid</t>
  </si>
  <si>
    <t>A methodology to size an off-grid DC photovoltaic microgrid to feed a service building with high Power Demand (PD) located in an urban environment.</t>
  </si>
  <si>
    <t>"*The system is able to maintain the voltage level between a 20% variation. Moreover, the power losses for drop voltage and power dissipation were around 4%; far less than the losses in transmission and distribution system.
*Even more, the absence of rectifiers into the home appliances could lead to bigger reduction on the conversion losses.
*On the other hand, results suggest that there is an inversely pro- portional relation between the solar PV harvesting and the buck converter performance according to the observe in section results and discussion. For scenarios with surplus of generation, the buck has greater losses than in scenarios where power generation did  not allow large surpluses of energy"</t>
  </si>
  <si>
    <t>An evaluation of the behaviour of a DC off-grid service building with large energy demand.</t>
  </si>
  <si>
    <t>Service building</t>
  </si>
  <si>
    <t>24 V</t>
  </si>
  <si>
    <t>Breackers
Switches</t>
  </si>
  <si>
    <t>Matlab</t>
  </si>
  <si>
    <t>DC Microgrids: Economic Operation and Enhancement of Resilience by Hierarchical Control</t>
  </si>
  <si>
    <t xml:space="preserve">
The objective of the study is to discuss the possibilities and the merits of adopting a dc control system for enhancing the economics and the resilient operation of a dc microgrid, and to test the proposed hierarchical control strategy that applies to a dc microgrid.</t>
  </si>
  <si>
    <t>*The costs of solar photovoltaic generation and battery storage are rapidly dropping, to the point that they are closing in on cost parity with traditional electricity sources.
*Whether microgrids remain a niche application or become ubiquitous depends on two main factors: 
(1) to what degree regulatory and legal challenges can be successfully surmounted, and 
(2) whether the value they deliver to property owners and communities in terms of power quality and reliability (PQR) and other economic benefits out-weigh any cost premiums incurred to capture those benefits.
*These losses can waste from 5% to 15% of power generation depending on the number of back-and-forth conversions. Additionally, faults in DC systems can be isolated with blocking diodes and issues of synchronition, harmonic distortion, and problematic circulating reactive currents are alleviated.
*It is worth noting that while the success of promising initiatives like “DC homes”, i.e. low voltage DC  grids for residential applications, has been limited by a lack of DC appliances and the need for large grid- connected AC-DC converters, DC or hybrid AC/DC microgrids have flourished in maritime applications, datacenters, and so-called mini- grids (another name used historically for remote microgrids) utilizing PV solar generation and batteries to charge electronic devices like laptops or cellphones</t>
  </si>
  <si>
    <t>AC-DC
DC-DC</t>
  </si>
  <si>
    <t>Natural gas turbine
PV panels</t>
  </si>
  <si>
    <r>
      <t>*‘‘</t>
    </r>
    <r>
      <rPr>
        <b/>
        <sz val="10"/>
        <rFont val="Arial"/>
      </rPr>
      <t>[A microgrid is] a</t>
    </r>
    <r>
      <rPr>
        <sz val="10"/>
        <color rgb="FF000000"/>
        <rFont val="Arial"/>
      </rPr>
      <t xml:space="preserve"> group of interconnected loads and distributed energy resources within clearly defined electrical boundaries that acts as a single controllable entity with respect to the grid. A microgrid can connect and disconnect from the grid to enable it to operate in both grid-connected or island mode</t>
    </r>
  </si>
  <si>
    <t>A Distributed Event-Triggered Control Strategy for DC Microgrids Based on Publish-Subscribe Model Over Industrial Wireless Sensor Networks</t>
  </si>
  <si>
    <t>The objective of this controller is to effectively stabilize the voltage of a DC microgrid only by controlling the output voltages of the DC-DC converters connected to the ES systems.</t>
  </si>
  <si>
    <t>The controller is able to balance the energy level of the ES systems and to regulate the output voltage of the microgrid.</t>
  </si>
  <si>
    <t>Fig. 8</t>
  </si>
  <si>
    <t>MEM: Energy Management System for Low Voltage DC Microgrids</t>
  </si>
  <si>
    <t xml:space="preserve">
This paper introduces the Microgrid Energy Manager (MEM), a plug-and-play platform for microgrid management. MEM is an end-to-end solution for monitoring, control, and management of AC, DC, and hybrid microgrids.</t>
  </si>
  <si>
    <t>"*Using the real-time SOC, the HEM algorithm can then place the homegrid in one of the following states, with subsequent pre-determined settings for loads and power import or export.
*Thus, by measuring the current at each load, and the total system voltage, HEM must be able to monitor the battery state-of-charge (SOC) to determine when to take the following actions: 
• Request power import from MEM
• Signal ability to export power
• Terminate power export
• Disable lower priority loads
• Enable lower priority loads
All of these actions are intended to meet the three primary goals of the homegrid: First, to ensure that the battery will always have sufficient charge to power the highest priority loads. Second, to ensure adequate charge for lower priority loads as often as possible. Finally, to be able to export power to support MEM and the larger microgrid system.
*The SOC value will also be required to monitor (and thus prolong) the long-term health of the battery. As batteries can be the costliest and highest-maintenance component of many microgrids, this will enable HEM to reduce the long-term maintenance costs of the system."</t>
  </si>
  <si>
    <t>This study focuses on a DC homegrid which consists of storage, loads and energy sources. A brief overview of the MEM architecture is given, with emphasis on design and experimental evaluation at the DC homegrid level.</t>
  </si>
  <si>
    <t>Home
Building</t>
  </si>
  <si>
    <t>Grid-connected
Off-grid</t>
  </si>
  <si>
    <t>Star</t>
  </si>
  <si>
    <t>Prototyped at Madison' University</t>
  </si>
  <si>
    <t>Power Quality Control of Smart Hybrid AC/DC Microgrids: An Overview</t>
  </si>
  <si>
    <t>In this paper, a thorough review of the primary control of interfacing converters to integrate the power quality compensation are presented, with a focus on the hybrid AC/DC microgrid harmonics compensation and unbalance compensation. For multiple interfacing converters, the secondary control with system-level coordination and optimization for harmonics and unbalance compensation (considering both unbalance and harmonics in single-phase and three-phase systems) are also presented. Challenges like low switching frequency of interfacing converters, parallel interfacing converters operation, and interfacing converters communications are discussed, and typical solutions for primary and secondary controls to deal with them are presented.</t>
  </si>
  <si>
    <t>Interfacing power interface</t>
  </si>
  <si>
    <t>These are the most dealt with topic studied in this review:
Harmonic compensation, 
hybrid AC/DC microgrid, 
interfacing power electronics converters, 
power quality, 
primary and secondary control, 
smart converters, 
smart grids, 
unbalance compensation</t>
  </si>
  <si>
    <t>Techno-economic analysis of DC power distribution in commercial buildings</t>
  </si>
  <si>
    <t xml:space="preserve">
This paper presented a techno-economic evaluation of DC distribution in highly efficient commercial buildings with DC loads. </t>
  </si>
  <si>
    <t>"They model three small-size to medium-size buildings based on EnergyPlus Reference Buildings with different load profiles.
*All the loads are assumed as DC friendly. DC LED drivers efficiency is assumed around 95-98% and AC Drivers 86-93%"</t>
  </si>
  <si>
    <t>Buildings</t>
  </si>
  <si>
    <t>Bus
Star</t>
  </si>
  <si>
    <t>380 V
48 V</t>
  </si>
  <si>
    <t xml:space="preserve">DC-DC
</t>
  </si>
  <si>
    <t>Excel
Crystal Ball</t>
  </si>
  <si>
    <t>A Comparative Study of DC and AC Microgrids in Commercial Buildings Across Different Climates and Operating Profiles</t>
  </si>
  <si>
    <t>This paper gives an overview of the Bosch DC microgrid system and presents key results from a large simulation study done to estimate the energy savings of the Bosch DC microgrid over conventional AC systems</t>
  </si>
  <si>
    <t>"*It found that the Bosch DC microgrid uses generated PV energy 6%–8% more efficiently than traditional AC systems.
*Bosch has developed a novel DC microgrid design that connects PV generation to DC loads with a minimal number of energy conversions, significantly increasing energy efficiency compared to a traditional AC system. NREL’s simulation study of the DC microgrid concluded that it improves the percentage of PV energy that performs useful work to  approximately 97% from a baseline value of 90%, with small variations in response to design parameters, operating conditions, and location."</t>
  </si>
  <si>
    <t xml:space="preserve">Industrial </t>
  </si>
  <si>
    <t>277 V</t>
  </si>
  <si>
    <t>AC-DC</t>
  </si>
  <si>
    <t>Real Charlotte, North Carolina</t>
  </si>
  <si>
    <t>No</t>
  </si>
  <si>
    <t>Planning of HMG with high penetration of renewable energy sources</t>
  </si>
  <si>
    <t>This paper aims to introduce a novel hybrid AC-DC microgrid planning and design model within a microgrid market environment to maximize net social welfare (NSW)</t>
  </si>
  <si>
    <t>The proposed configuration will help hybrid AC-DC microgrid planners to estimate planning cost with flexibility to consider any type of load ac/dc and the type of  DERs. Different components of hybrid AC-DC microgrid were followed by developing the hybrid AC-DC explained, microgrid planning model with the objective of determining the optimal DERs generation mix and reduced planning cost
*In this proposed hybrid AC-DC microgrid design, renewable-based distributed generators (DGs), controllable DGs, DC and AC loads are connected through separate DC and AC links. An operation model of hybrid microgrid is proposed in which mixed integer nonlinear model suggested to balance the generation and load taking into account the interconnection of DC and AC subgrids for maximizing the social welfare. The efficiency of the proposed model is established through the simulation studies on a test hybrid AC-DC microgrid.</t>
  </si>
  <si>
    <t>Fig. 5</t>
  </si>
  <si>
    <t xml:space="preserve">The proposed model numerical simulation proves the viability of hybrid AC-DC microgrid in supplying loads. </t>
  </si>
  <si>
    <t>Interlink converter</t>
  </si>
  <si>
    <t>Pakistan</t>
  </si>
  <si>
    <r>
      <rPr>
        <b/>
        <sz val="10"/>
        <color rgb="FF000000"/>
        <rFont val="Arial"/>
      </rPr>
      <t xml:space="preserve">Net Social Welfare </t>
    </r>
    <r>
      <rPr>
        <sz val="10"/>
        <color rgb="FF000000"/>
        <rFont val="Arial"/>
      </rPr>
      <t>to be included into the review</t>
    </r>
  </si>
  <si>
    <t>Tener en cuenta para el discurso socail que quiero montar</t>
  </si>
  <si>
    <t>A review on overall control of DC microgrids</t>
  </si>
  <si>
    <t>"• Power management is the concept of continuous adjustment of DC bus voltage by making the balance between the power generation units and power consumption units with the cooperation of energy storage system and utility grid (if grid connected). Much research work is still needed management of power and Energy in MG cluster. The distributed secondary control with DBS power man-agement in the DC distribution system might be the future trend.  Robust control for power management strategies that work for all modes of operations; Grid-connected, islanded and transient mode, still suffering from many problems need to be solved. Invention of SST has made flexible DCMG integration with the utility grid, but it is still in early development stage and attracting many researchers.
*Sizing of renewable energy system components is an important issue of hybrid energy storage system to develop it because it affects system cost. Most of the developed systems are over rated lack of a proper strategy to determine the system components. Although some authors have proposed different strategies for it, still it required a lot of works, i.e. hardware implementation of proposed strategies, develop a generalized Algorithm/Strategy.
*The power losses of the storage devices, SoC and their responses time, the power-energy limitations and in some case  predictions of the power generated by the DGs are a portion of the ideas that must be considered by the EMS. Energy  management plays very im- portant role in optimizing the size and rating of energy storage system and their maximum utilization, improving its life and providing power to critical load.
*Different energy management strategies have been presented. The energy management of a battery super capacitor based HESS in all configurations with their pros and cons have been discussed in de- tail. It is found that simple power allocation control algorithms such as linear filters are not adequate for HESS system, nonlinear power allocation algorithms need to be developed more."</t>
  </si>
  <si>
    <t>Off-grid
Grid-connected</t>
  </si>
  <si>
    <t>Supercapacitor
Fuel cell
Batteries</t>
  </si>
  <si>
    <t>Design Guidelines for Stable DC Distribution Systems</t>
  </si>
  <si>
    <t xml:space="preserve">
This paper presents four guidelines that ensure the existence of an appropriate equilibrium and stability around that equilibrium.</t>
  </si>
  <si>
    <t>A model was created for dc distribution grids with any number of nodes, distribution lines, in any configuration. From the model (incremental) steady state equivalent circuits were derived. 
These equivalent circuits prompted multiple conditions for the existence of a appropriate equilibrium and the stability of the system. The constructed guidelines were derived from the worst case scenarios of these conditions. Subsequently, the accuracy of these guidelines was analyzed using three examples. 
This analysis showed that, while the accuracy for the stability around the equilibrium is quite accurate, the accuracy of the equilibrium can be lacking for more complex the systems. To improve the accuracy the equilibrium could be exactly determined, while the stability is ensured by the guidelines. 
Furthermore, it was discussed how the guidelines can be implemented to ensure stable dc distribution systems. A practical approach is to put constraints on the time constants of the lines and sources, and the output capacitance of the load converters.</t>
  </si>
  <si>
    <t>Bus
Ring
Star</t>
  </si>
  <si>
    <t>Comprehensive evaluation index based on droop control for DC distribution system dispatching</t>
  </si>
  <si>
    <t xml:space="preserve">
a comprehensive evaluation index is presented by analyzing the electrical network mechanism of flexible DC distribution networks by Thevenin theorem and involving the effects of droop control.</t>
  </si>
  <si>
    <t>This paper proposes a comprehensive evaluation index of flexible DC distribution network based on droop control, namely GVE, and generates a strategy of dispatching power adjustable buses to decrease the deviation of the actual state and the expected state of the bus (including power and voltage) and reduce network losses.
Finally, the following conclusions are drawn:
(1) The proposed comprehensive evaluation index GVE can effectivelevaluate the power and voltage of buses in flexible DC distribution network and provide a reliable judgment for real-time dispatching of flexible DC distribution network.
(2) Cases show that the presented dispatching control strategy based on GVE can adjust the power and voltage of each bus at the same time, which confirms the effectiveness of the dispatching control strategy.
(3) The presented dispatching control strategy based on GVE can make full use of DGs in the flexible DC distribution network to effectively optimize the powers and voltages of buses and reduce network losses, achieving the goal of the economic and safe operation</t>
  </si>
  <si>
    <t>Fig. 13</t>
  </si>
  <si>
    <t xml:space="preserve">
The proposed evaluation index can underlie forming the industry standard for the performance assessment of the DC distribution network.</t>
  </si>
  <si>
    <t>AC-DC
DC-DCDC</t>
  </si>
  <si>
    <t>The main bus voltage of the flexible DC distribution network is 10 kV, all the converters are voltage source converters, the allowable fluctuation range of bus voltage is ±3%, and the other specific para-meters of the flexible DC distribution network are shown in Table 1</t>
  </si>
  <si>
    <t>Hierarchical energy management for PV/hydrogen/ battery island DC microgrid</t>
  </si>
  <si>
    <t>This research presents an optimum design scheme and a hierarchical energy management strategy for an island PV/hydrogen/battery hybrid DC microgrid (MG).</t>
  </si>
  <si>
    <t>In the initial, the PV system operates at MPPT mode with illumination intensity variation. The FC system is controlled based on slide mode control method driven by ECMS, which is calculated by the net load consumption (the difference between the load con-sumption and PV output power) and SoC in the system control layer. The automatic management of the battery is controlled by the modified droop control method to stabilize the bus voltage in a reasonable range.</t>
  </si>
  <si>
    <t>In order to efficiently utilize this DC MG, the optimum structure and sizing scheme are designed by HOMER pro (Hybrid Optimization of Multiple Energy Resources) software.</t>
  </si>
  <si>
    <t>Matlab
HOMER</t>
  </si>
  <si>
    <t>Batteries
Fuel cell
Electrolizer</t>
  </si>
  <si>
    <t>Hybrid AC/DC microgrid planning</t>
  </si>
  <si>
    <t>"*Hybrid microgrids with both ac and dc feeders are becoming more attractive options than individual ac or dc microgrids due to easier and less expensive connection ofac and dc DERs and loads to proper feeders.
*Ratio of dc loads: The most decisive factor in determining the type ofeach feeder within the microgrid distribution network is the ratio of dc loads in each feeder. By increasing this parameter, more feeders are selected to be dc. 
*Removing the cost of conversion: In cases with both ac and dc feeders in the microgrid, the wind turbine is installed in ac feeders and the solar PV and DES are installed in dc feeders to avoid the cost of power conversion.
*Tradeoff between operation and investment costs: Among ac dispatchable units, those offering a less expensive power would be installed with larger capacities although their capital costs might be higher. Moreover, the wind and solar units would be installed with maximum capacity in almost all cases because their operation cost is zero.
*Changes in the operation cost: Increasing critical loads, converters' efficiencies, or market prices would cause a decrease in the operation cost. Specifically for critical loads, by increasing their  percentage a larger dispatchable capacity would be installed. Since the total load in the microgrid does not change, there is excess generated power which would be sold to the utility grid. Therefore, the operation cost would decrease.
*Importance of more efficient converters: By using highly efficient converters, there would be less power loss in the micro-grid. Therefore, not only are dispatchable units installed with lower capacities, which reduce the investment cost, but also less energy would be imported from the utility grid, which reduces the operation cost.
*Impact of market prices: By increasing market prices, it would be desirable for the microgrid to install a larger dispatchable capacity in order to sell as much energy as possible to the utility grid, which increases the microgrid revenue by decreasing the operation cost.
*The microgrid economic viability: The proposed model is also capable of ensuring the microgrid economic viability. According to the obtained results in all studied cases, the microgrid deployment is economically viable since the planning cost is lower than the total cost of supplying loads without the microgrid deployment."</t>
  </si>
  <si>
    <t>Robust adaptive droop control for DC microgrids</t>
  </si>
  <si>
    <t xml:space="preserve">
the application of the enhanced adaptive method to DC microgrids is presented to satisfy the system objective.</t>
  </si>
  <si>
    <t>In a distributed consensus framework, simulation and experimental results have validated the capability of the proposed control method to regulate the current sharing and to stabilize the DC bus-voltage of a 400 Vdc microgrid system.</t>
  </si>
  <si>
    <t>this paper proposes a control methodology that does not require an accurate model and but that is robust to the system’s uncertainties.</t>
  </si>
  <si>
    <t>400 V</t>
  </si>
  <si>
    <t xml:space="preserve">Matlab
Labview
</t>
  </si>
  <si>
    <t>Modelling of an expandable, reconfigurable, renewable DC microgrid for off-grid communities</t>
  </si>
  <si>
    <t>This paper proposes a DC microgrid system, comprising multiple locally available renewable energy sources in an off-grid rural community, based on a commissioned field study carried out in a rural, off-grid village in Nepal, which has solar and wind resource available.</t>
  </si>
  <si>
    <t xml:space="preserve">"*This microgrid system also demonstrates the expandable, incrementally affordable nature that can be achieved through microgrids. As the load grows, additional generation and storage elements can be added to the system, which is made easier by utilising a distributed control system such as droop control as it requires no knowledge of the system layout, only local measure-ments of current and voltage.
*HOMER is used to examine the storage requirements for the insolation, wind and load profiles at Ruksibhanjyang
*Storage is included in the daily simulation, demonstrating the benefit of storage in the system, but the requirements of adequate generation to ensure the daily draw on the battery does not exceed the recharging capabilities.
*Using the results from the HOMER analysis in Table 5, a further simulation can be run in Simulink to show the first potential solution of generation sources, 15kW of wind turbines, 25 kWp of solar PV panels and 294 kWh of battery storage.
*As can be seen from Fig. 17, the generation sources can still supply the load, with the battery able to recharge itself during the day to return to its original state ofcharge. With the 5-fold increase in PV generation capacity, this is able to provide more power during the daytime, allowing the battery to charge during the day, before it discharges during the evening demand peaks.
*Although numerous previous studies have investigated the use of HOMER and similar software for initial design sizing of hybrid renewable energy systems, the novel aspect of this study is the application of subsequent Simulink analyses to illustrate autono-mous power sharing between the specified wind and solar sources. </t>
  </si>
  <si>
    <t>This paper has presented a DC microgrid system, interfacing renewable sources using a power electronic interface with droop functions. A case study site in Ruksibhanjyang village, Mityal, Nepal is simulated to demonstrate the performance of the system to variable generation and loads.</t>
  </si>
  <si>
    <t>408 V</t>
  </si>
  <si>
    <t>Simulink
Homer
*Case study site: Ruksibhanjyang village, Mityal VDC, Nepal</t>
  </si>
  <si>
    <t xml:space="preserve">PV
Wind
</t>
  </si>
  <si>
    <t>Hybrid AC/DC Building Microgrid for Solar PV and Battery Storage Integration</t>
  </si>
  <si>
    <t>*Simulation results showed that power conversion losses can be reduced by 20-30% for residential buildings with a net-zero energy balance.
*The benefits of hybrid microgrids may be even larger for commercial and office buildings with integrated PV, due to a higher share of dc internal loads and increased self-consumption of PV electricity.
*PV and battery size are important parameters for the evaluation of hybrid microgrid performance. We find that dc networks are most efficient for buildings with a high degree of autarky enabled by a high share of dc renewable sources. 
*Initial results of an experimental prototype indicate that dc microgrid coupling of PV and LED lighting leads to significant efficiency improvements compared to a conventional system. 
*Finally, the current design of a hybrid microgrid implemented with a PV system at the NEST HiLo building has been presented. HiLo will provide several years operational phase research.</t>
  </si>
  <si>
    <t>Building</t>
  </si>
  <si>
    <t xml:space="preserve">Grid-connected
</t>
  </si>
  <si>
    <t xml:space="preserve">24 V
</t>
  </si>
  <si>
    <t xml:space="preserve">
(lithium iron phosphate)</t>
  </si>
  <si>
    <t>Hierarchical control for DC microgrid clusters with high penetration of distributed energy resources</t>
  </si>
  <si>
    <t xml:space="preserve">
the developed control algo-rithm enables microgrids to virtually exchange power through the utility grid infrastructure.</t>
  </si>
  <si>
    <t>"*It was noticed during the experiment that the voltage of the DC bus dropped from 325 V to 319 V (1.85%) after the supplied power increased.
*If the voltage continues to drop or the percentage loading on the inverter continues to  ncrease, the local controller would take the necessary action either by load shedding or opening the Solid State Relay to protect the microgrid."</t>
  </si>
  <si>
    <t xml:space="preserve">
The controller is designed to operate in real time aiming at addressing reliability and resilience issues.</t>
  </si>
  <si>
    <t xml:space="preserve">Grid-connected
Islanded </t>
  </si>
  <si>
    <t>DC-DC
DC-AC
Bidirectional</t>
  </si>
  <si>
    <t>Labview
Matlab</t>
  </si>
  <si>
    <t xml:space="preserve">PV
</t>
  </si>
  <si>
    <t>Batteries
Fuel cell</t>
  </si>
  <si>
    <t>Modeling and Protection for Low-Voltage DC Microgrids Riding Through Short Circuiting</t>
  </si>
  <si>
    <t>"*The SSCB used IGBTs as the semiconductor switching devices which presents fairly lower conduction losses and a higher short-circuit current capability than that of other devices, which makes it a fit option for low- voltage dc systems such as microgrids, data centers and all-electric ships.
*The overcurrent method was validated by comparing the let through energies with the other methods. The  impact of the FCL function includes an inevitable controller delay in fault detection on many of the IGBTs requirements are assessed, giving consideration to controller delays that would not be avoidable during practical operation of the system.
*in the future, practically demonsrating these FCL techniques in real-time operating conditions would be a big step towards the creation of an optimal protection system that encompasses solidly safe and reliable protection requirements for DC microgrid systems. Even though the base system was a basic one that has only one source and one power converter, the presented analysis is applicable to DC microgrids that have multiple sources and power converters."</t>
  </si>
  <si>
    <t xml:space="preserve">
With the aim of demonstrating the effectiveness of the proposed method, faults have been applied at the positive and negative poles at different zones to decide if the central control unit can identify and isolate the faulty zones.</t>
  </si>
  <si>
    <t>Ring
Bus</t>
  </si>
  <si>
    <t>1000 V</t>
  </si>
  <si>
    <r>
      <rPr>
        <sz val="10"/>
        <color rgb="FF000000"/>
        <rFont val="Arial"/>
      </rPr>
      <t xml:space="preserve">Take into account for section </t>
    </r>
    <r>
      <rPr>
        <b/>
        <sz val="10"/>
        <color rgb="FF000000"/>
        <rFont val="Arial"/>
      </rPr>
      <t>3.4 Protection Short Circuit</t>
    </r>
  </si>
  <si>
    <t>A hybrid energy management and battery size optimization for standalone microgrids: A case study for Flinders Island, Australia</t>
  </si>
  <si>
    <t>This paper presents a novel expert fuzzy system - grey wolf optimization (FL-GWO) based intelligent meta-heuristic method for battery sizing and energy management.</t>
  </si>
  <si>
    <t>*A hybrid system is a more reliable and economical source of power, especially for remote areas and islands. In this work, a novel mathematical model has been developed for the online intelligent multi-objective energy management and optimal sizing of energy storage system for the standalone microgrid in the Flinders Island by applying FL-GWO algorithm.
*The FL-GWO results have shown a significant performance com-pared to rules-based and traditional GWO on reducing the LCOE by 24.15% and 14.13%, respectively, as well as cutting down the emission levels of the standalone microgrid system with different climates conditions and satisfying all the load demands without violating any constraints.</t>
  </si>
  <si>
    <t>This paper battery sizing and energy managment of renewable energy sources in standalone microgrids.</t>
  </si>
  <si>
    <t>11000 V</t>
  </si>
  <si>
    <t>Matlab
Flinders Island, Tasmania and
Melbourne in Australia.</t>
  </si>
  <si>
    <t>Bus voltage level choice for standalone residential DC nanogrid</t>
  </si>
  <si>
    <t xml:space="preserve">
this work proposes to present the elements to be taken into account in order to reach an adequate voltage level choice for a given application.</t>
  </si>
  <si>
    <t>*The lack on the standardization in DC microgrid for residential application have given rise to panoply of different voltage levels including the domain from ELVD to LVDC, the 380 DC being the most encountered bus voltage level. Thus considering a low power consumption home, the use of this latter may not be suitable.
*Unipolar and bipolar distribution topologies are indifferently found in the literature, each one having their pros and cons; these topologies can be presented in single bus or multi-bus configuration system.
*Despite the excellent performances offered by DC microgrids and the multitude of research on control methods, the implementation of different distribution topologies and the energy management, the protection schemes of DC microgrids remains a challenge.
*Moreover, the existing protection schemes for DC distribution system based on DC fuses and traditional electromechanical circuit breaker cannot manage to interrupt the current flow in the desired time because of the default nature and the devices slowness. So solid state circuit breaker and hybrid circuit breaker are currently the center of attention of researchers.
*A survey of DC home appliances has been performed and it pin-pointed that the most encountered commercialized DC loads generally run on 12 or 24 V. Some loads operating on 48 VDC also exist on the market but they are not yet as numerous as the previous. DC loads of higher rated voltage than these latter are rarely found in commercia-lized version.
*Electrical safety in DC distribution system shows that using a vol-tage lower than 15 V is safe for the user whatever the power of the application, without implementing protection scheme. For voltage level comprised between 15 and 100 V, depending on whether the power is greater or less than 1000 W, protection must be implemented for the first while the last one does not need. And for voltage higher than 100 V, protections are mandatory while the current in the application is higher than 40 mA.
*Regarding the performance comparison applied to the studied system, in order to remain in scope where only basic protection is needed, we considered voltage level ranging from 12 to 100 V. Among the investigate voltage, the 100 VDC presents the best performance in terms of voltage drop, power losses and maximum allowed cable length, while the 12 VDC presents the worst.  Though the 100 VDC distribution system offer the best performance, the absence of DC home appliance directly rated at this voltage makes this distribution a questionable choice due to the need to add an interfacing converter.
*From an economic point of view, the bus level choice de-pends on the cable, protection and converter costs. The cable cost is determined depending on the cable cross-section and the size of the considered house. Considering the cable length needed for the in-stallation and its cross-section, the cost of the cable will be deduced from. In addition, the protection devices are selected according to the cable size and the different house circuitry. For our case study, the hazard class is 2.2 and protection by circuit breaker is adopted.
*Moreover, the use of bus voltage different from 12 V–24 V-48 V implies the need to use an additional converter to interface the bus and the loads, not to mention a change in the wiring and protection of the installation. That will increase the cost of the application. Hence choosing a bus voltage level corresponding to the rated voltage of existing  commercialized load will lead to the elim-ination of an additional interface converter.</t>
  </si>
  <si>
    <t>12 
24
48
60
100 V</t>
  </si>
  <si>
    <t>Buck
Buck-Boost</t>
  </si>
  <si>
    <r>
      <rPr>
        <sz val="10"/>
        <color rgb="FF000000"/>
        <rFont val="Arial"/>
      </rPr>
      <t xml:space="preserve">Take </t>
    </r>
    <r>
      <rPr>
        <b/>
        <sz val="10"/>
        <color rgb="FF000000"/>
        <rFont val="Arial"/>
      </rPr>
      <t xml:space="preserve">into account Table 1 for section Voltage standards. </t>
    </r>
    <r>
      <rPr>
        <sz val="10"/>
        <color rgb="FF000000"/>
        <rFont val="Arial"/>
      </rPr>
      <t xml:space="preserve">
Comparison of existing bus level for residential application.
Take into account </t>
    </r>
    <r>
      <rPr>
        <b/>
        <sz val="10"/>
        <color rgb="FF000000"/>
        <rFont val="Arial"/>
      </rPr>
      <t xml:space="preserve">section 3.4 </t>
    </r>
  </si>
  <si>
    <t>Stability Enhancement Based on Virtual Impedance for DC Microgrids With Constant Power Loads</t>
  </si>
  <si>
    <t xml:space="preserve">
In this paper, a converter-based dc microgrid is studied.</t>
  </si>
  <si>
    <t>Here, a voltage level combination of 96, 380, and 240 V is selected for the multistage dc microgrids as an example. Specifically, the PV and battery with rated output voltage of 96 V are selected in the first stage, and the output voltage, i.e., the source bus voltage, is controlled to 380 V. In the mean-time, the output voltage of the second stage is selected as 240 V, i.e., the rated voltage of local output bus is 240 V. Since the voltage drop across the line impedance does not take a large percentage of the rated voltage, the rated voltage of PCC is also 240 V approximately.</t>
  </si>
  <si>
    <t>240 V</t>
  </si>
  <si>
    <t>DC-DC bidirectional converter</t>
  </si>
  <si>
    <t>"Low-Voltage DC Distribution—Utilization Potential in a Large Distribution Network Company"</t>
  </si>
  <si>
    <t xml:space="preserve">The aim is to prove the large potential of the LVDC distribution for large-scale renovation of rural MV branches in the future from the perspective of distribution network planning. </t>
  </si>
  <si>
    <t>"*The power transfer capacity of the system has been calculated in this paper using voltage drop and maximum load of cable as boundaries.
*Based on the electrotechnical and customer outage costs (COC) analyses made, it can be inferred that LVDC distribution has good utilization potential. 
*Based on the power transfer capacity calculations, it is technically possible to replace branch lines up to 8 km long by LVDC distribution which means about 20% of the total medium-voltage network length in the distribution area of Elenia Oy.
*Power electronics enable several new network structures, of which a unipolar point-to-point LVDC system is the easiest option to replace an MV branch by LVDC from the perspective of the DSO. This is due to the fact that the present secondary transformer can be replaced by a centralized inverter when the LV network can be kept unchanged. This solution does not require changes at the customer's end like many other LVDC solutions since there is no need for an inverter for each customer.
*Pilot implementations have proved the technical suitability of the LVDC system as part of the distribution network. 
*The electrotechnical potential ofLVDC distribution has been clarified by using the power transfer capacity calculations ofthe LVDC system. "
"*DC can be used at a higher voltage level because of the definitions of the ac and dc voltage ranges in the low-voltage (LV) directive 2006/95/EC, which defines the value ofLV as 50–1000 VAC and 75–1500 VDC [5]. Therefore, dc voltage makes larger power transfer possible with the LV than with ac voltage. The losses are also reduced when using the same root mean square (rms) voltage level, because with dc, reactive power is not transferred at all. Since dc increases the power transfer capacity of the LV, the low-power branches of the MV network can be replaced by LVDC distribution. More detailed studies of LVDC and power electronics of the LVDC systems can be found in[6]–[10]."</t>
  </si>
  <si>
    <t>900 V</t>
  </si>
  <si>
    <t>Elenia Oy</t>
  </si>
  <si>
    <t>Microgrid architectures for low voltage distributed generation</t>
  </si>
  <si>
    <t>In this paper, a review of the main microgrid architectures proposed in the literature has been carried out.</t>
  </si>
  <si>
    <t>"*The AC topologies connected to the grid through a static switch (AC-microgrid and AC-microgrid with DC storage) are the most reliable ones, since in the grid-connected mode the consumers are connected directly to the electric grid. Moreover, the existing AC facilities can be easily reconfigured to implement these microgrid architectures only with a few modifications of their components, being it possible to reuse the existing AC loads.
*The reliability is also affected by the number of power electronic interfaces and their complexity. The hybrid AC–DC microgrid and the SST based microgrid present the simplest and lowest number of power electronic interfaces, since the distributed generators, energy storage devices and loads can be connected to the AC or DC feeders, depending on their characteristics and, therefore, the power elec- tronic interface device is simple or not needed.
*If a high power quality is required by the microgrid loads, the voltage of the microgrid must be generated by power electronic converters. From this point of view, the preferred microgrid architectures could be AC (SST based microgrid) or DC (DC-microgrid, DC-zonal microgrid). In these architectures a power electronic converter connects the grid to the microgrid, minimizing the effect of the grid disturbances and providing the needed power quality level.
* The management of the energy storage devices in a microgrid is an issue of great importance, since the charge level must be maximized and balanced between the different devices. Sometimes, the distance between the storage devices is large, becoming the communication between them a problematic issue. Moreover, in AC buses the management of the energy storage devices becomes more complicated. Thus, the DC-microgrid, DC-zonal microgrid and the SST based microgrid provide an easy management of the stored energy, whereas the AC-microgrid with DC-storage provides the simplest management, since the energy storage is grouped and connected to a DC bus."</t>
  </si>
  <si>
    <t>Evaluating business models for microgrids: Interactions of technology and policy</t>
  </si>
  <si>
    <t xml:space="preserve">The present work makes two new contributions to the modeling literature. First, we build internally consistent load data sets for three “iconic” types of microgrids based on real world electric and thermal loads—large systems sized for campuses or military bases; medium-sized systems for critical assets such as hospitals; and smaller systems for commercial buildings such as box stores, hotels, and office buildings. 
Second, we calibrate these systems using real market and policy conditions in southern California—one
</t>
  </si>
  <si>
    <t>Under the right conditions, the supply of electric and thermal services from a microgrid can be cost-effective when compared with complete reliance upon macro grid utility service. Some of those conditions reflect changes in technology and market conditions; some are rooted in policy choices; and many reflect the interplay of technology, policy and markets.</t>
  </si>
  <si>
    <t xml:space="preserve">University campus </t>
  </si>
  <si>
    <t xml:space="preserve">
DER-CAM</t>
  </si>
  <si>
    <t>Analyses of efficiency/energy-savings of DC power distribution systems/ microgrids: Past, present and future</t>
  </si>
  <si>
    <t>The primary aim was to investigate the DC system efficiency for the case of variation in system load while taking into consideration the corresponding variation in the efficiencies of the constituent PEC.</t>
  </si>
  <si>
    <t>*DC power distribution has gained a significant interest especially with the concept of microgrids. Various parameters of the DC networks need research and/or development for a widespread practical implementation. These include suitable protection schemes for the system, reliability and stability of the system, the integration with RES and modern energy storage equipment and the investigation of efficiency as well economic advantage of using DC as compared to AC.
*As the loads become DC, it is natural to think about DC as the medium for in-building power distribution. Then again it is natural toconsider DC for the integration of distributed generation (DG) via Solar PV and also for the integration of different energy storage media such as batteries and super-capacitors. Thus microgrids, which can be thought of as a concept that can bring together alternative energy based DG, hybrid storage and residential and/or commercial loads while allowing connected or independent (islanded) operation from the utility grid (wherein the latter i.e. islanded mode may be regarded as a defining characteristic for microgrids), have shown an inclination towards re-search and development with DC power [18–26]. Fig. 2 shows the concept of a DC microgrid,
*In the recent past, the Hybrid Electric Vehicles (HEV) have been introduced in the market and research is going on for different options related to their charging stations. One of the options is the use DC bus for these charging stations.
*(00:00–06:00), Day- 1 (06:00–15:00) and Day-2 (15:00–00:00) and evaluated the system efficiencies to be 82.8%, 85.6% and 85.7% respectively. The Night 1 (06:00–15:00) and Day-2 (15:00–00:00) and evaluated the system efficiencies to be 82.8%, 85.6% and 85.7% respectively.
*The DC distribution for an islanded building with PV and storage can give an advantage of 3.4%, and for a general case of having AC and DC sources along with battery consumption, the efficiency improvement due to DC is only 1.3%.</t>
  </si>
  <si>
    <t xml:space="preserve">
For example, if a 230 V AC system is compared with a 380 V DC system, the efficiency advantage of the latter is not just because of conversion to DC but also due to the use of higher system voltage.</t>
  </si>
  <si>
    <t>Modeling and Simulation of Microgrid</t>
  </si>
  <si>
    <t>*The neural networks were used to model the output power of microgrid components. Each component was treated as an autonomous system. These autonomous components were collaborating to achieve the overall goal, which is supplying the electric load.
*This paper presented modeling and simulation of microgrid. This microgrid was treated as an SoSs and controlled to be able to utilize different energy sources.
*Setup in the previous section was run for 24 hours. 
*The voltage of phase A and phase B is 120 V, equal in magnitude and opposite in polarity. "
*A practical example from Missouri S&amp;T was implemented and simulated. The results were presented and to see that it utilized the renewable energy coming from the solar panels and optimally distributed it between homes.</t>
  </si>
  <si>
    <t>120 V
240 V</t>
  </si>
  <si>
    <t>DC-DC
AC-DC bidirectional</t>
  </si>
  <si>
    <t>Simulink
Prototype</t>
  </si>
  <si>
    <t>Yes
Fuel cells</t>
  </si>
  <si>
    <t>Sizing of PV array in a DC nano-grid for isolated households after alteration in time of consumption</t>
  </si>
  <si>
    <t>*The methods described can help an end user decide on investing the right amount of money for the PV array and battery storage capacities.</t>
  </si>
  <si>
    <t xml:space="preserve">*A methodology for optimal sizing of DC Nano-grid for isolated households based on an alteration of the time of consumption of rural consumers has been successfully developed using intuitive and Particle Swarm Optimization (PSO) methods.
*"*The alteration of the time of consumption of various loads profile has resulted in a reduced size of PV array. 
*The proposed approaches are validated by obtaining the optimal size of a DC Nano-grid system for a remote rural area in Tamil Nadu in India.
</t>
  </si>
  <si>
    <t>A methodology for optimal sizing of DC Nano-grid for isolated households based on an alteration of the time of consumption of rural consumers has been successfully developed using intuitive and Particle Swarm Optimization (PSO) methods.</t>
  </si>
  <si>
    <t>Nano grid</t>
  </si>
  <si>
    <t xml:space="preserve">DC-DC
AC-DC
</t>
  </si>
  <si>
    <t>Buck converter</t>
  </si>
  <si>
    <t>Prototyped Tamil Nadu in India</t>
  </si>
  <si>
    <t>Conceptual Study for Open Energy Systems: Distributed Energy Network Using Interconnected DC Nanogrids</t>
  </si>
  <si>
    <t>10.1109/TSG.2015.2408603</t>
  </si>
  <si>
    <t>We describe the general concept and practical feasibility of a dc-based open energy system (OES) that proposes an alternative way of exchanging intermittent energy between houses in a local community.</t>
  </si>
  <si>
    <t>*DC micro grids have the ability to inter connect with the DC Nano-grids of various buildings and offer several advantages such as higher efficiency, reliability and modularity</t>
  </si>
  <si>
    <t>48 V
380 V</t>
  </si>
  <si>
    <t>DC-DC converter</t>
  </si>
  <si>
    <t>Matlab
Laboratory prototype at CSL in Tokyo</t>
  </si>
  <si>
    <t>Microgrids energy management systems: A critical review on methods, solutions, and prospects</t>
  </si>
  <si>
    <t>The main objectives of the energy management system are to optimize the operation, energy scheduling, and system reliability in both islanded and grid-connected microgrids for sustainable development.</t>
  </si>
  <si>
    <t>"*In microgrid, an energy management system is essential for optimal use of these distributed energy resources in intelligent, secure, reliable, and coordinated ways.
*To manage the volatility and intermittency of renewable energy resources and load demand, various uncertainty quantification methods are summarized. A comparative analysis on communication technologies is also discussed for cost-effective implementation of microgrid energy management systems."
*Furthermore, microgrid systems reliability analysis is not studied in detail for islanding and remote applications.</t>
  </si>
  <si>
    <t xml:space="preserve">This paper has presented a comprehensive and critical review on the developed microgrid energy management strategies and solution approaches. </t>
  </si>
  <si>
    <t>Protective Systems in DC Microgrids</t>
  </si>
  <si>
    <t>This chapter presents main protection challenges, fault detection methods, and protection schemes of DC microgrids in LV, MV, and HV.</t>
  </si>
  <si>
    <t>"*It is noted that elimination of DC-AC power conversion can prevent power losses of entire system between 7 and 15% that is remarkable ratio for a microgrid.
*The short-circuit current capabilities of DC microgrids lead to significant hazards for users and properties.
*It is not possible to overcome arc faults occurred in a DC microgrid by using regular circuit breakers since DC current do not draw a natural zero crossing waveform.
*The wide use of PV plants, batteries, fuel cells, and ESSs have increased interest on DC microgrid infrastructures at LV, MV, and HV ranges. The LVDC systems that were used in telecommunication applications for long years have been integrated to residential and industrial uses.
*Although the researches on DC microgrid have been extensively performed, the protection systems of DC grids are still based on conventional circuit breakers and isolators that are widely used in AC grids. One of the most important barriers for improving an appropriate protection scheme is related with dc fault of voltage source inverters (VSIs). On the other hand, the accurate and instant detection of faults are other significant challenges in microgrid protection. Lack ofefficient dc circuit break-ers, fast and accurate relays, and sensitive reclosers mostly cause several challenges for DC protection. The fault detection and clearing approaches cause these chal-lenging issues due to lack of dedicated DC protection devices.
*Moreover, power electronics is widely used to tackle drawbacks of conventional electromechanical circuit breakers, fuses, and isolators. The specific protection schemes and improved protection devices are presented in detail for DC microgrid applications.
*The LVDC protection system includes grounding, power electronics protection devices, circuit breakers (CBs), fuses, and monitoring devices.
*Grounding is a detailed issue since there are many topologies and design approaches exist. It is required to ensure device and user safety besides increasing the performance of microgrid. A LVDC microgrid can be ungrounded or grounded with high resistance or low resistance. Furthermore, the grounding can be done between positive and negative terminals or at the common node of converter and ESSs.
*The LVDC infrastructure is mostly comprised by PV plants and ESSs, and connected to AC grid at MV level or can be integrated to an AC microgrid architecture. The most widely seen protection requirement is short-circuit (SC) current protection in LVDC networks. In case of any fault occurred in LVDC, the PV and ESSs contribute to this SC level. Power converters limit the SC current levels and power electronic devices prevent increment of SC.
*The DC SC fault protection systems should be designed considering IEC 61660-1 that is the most widely used international standard for DC SC characterization. Any power converter, ESSs, output capacitors, and DC motors with external excitation can supply the LVDC SC currents
*TheDCmicrogrids are classified into three categories according to bus topologies as single-bus, multibus, and reconfigurable bus. The single bus topology is mostly preferred in industrial applications and sometimes in residential applications. In this topology, a single dc bus is installed and sources are connected to this bus with ESS integration for comprising the backup of system. The most widely known usage area of single bus dc topology was improved for telecommunication applications at −48V supply is now widely researched for LVDC microgrid networks in literature."
*The actual fault protection systems are based on over current detection for power electronic devices and improved circuit breakers, distributed generation source controllers, and several types of relays.
"*The cost and bulky structure of DC circuit breakers is another important issue in this regard.
*These application areas include LVDC microgrids for data centers up to 1500 V, MVDC microgrids for electric ships up to 35 kV, and medium voltage connection centers for offshore wind energy plants. The recent tech-nical developments have facilitated residential and building microgrids for LVDC systems. The protection is one of the challenging issues in DC microgrid improve-ments.
*International Council onLarge Electric Systems (Conseil International des Grands Reseaux Electriques, CIGRE) has proposed a test system for MV distribution line with DG sources. The reference test system is based on a number of features such as short circuit ratio exceeding 20, current imbalance factors up to 20%, and voltage source converters with load supply over than 50% of entire loads."</t>
  </si>
  <si>
    <t>Fig. 27.1</t>
  </si>
  <si>
    <t>This chapter deals with fault detection methods and protection devices in low voltage DC (LVDC), medium volt-age DC (MVDC), and high voltage DC (HVDC) networks.</t>
  </si>
  <si>
    <r>
      <rPr>
        <sz val="10"/>
        <color rgb="FF000000"/>
        <rFont val="Arial"/>
      </rPr>
      <t xml:space="preserve">Take into account for </t>
    </r>
    <r>
      <rPr>
        <b/>
        <sz val="10"/>
        <color rgb="FF000000"/>
        <rFont val="Arial"/>
      </rPr>
      <t>section 3.4 protection schemes</t>
    </r>
  </si>
  <si>
    <t>Analysis and Design of a Novel Thyristor-Based Circuit Breaker for DC Microgrids
Zhongzheng</t>
  </si>
  <si>
    <t xml:space="preserve">
A novel dc breaker using a thyristor as the main switch to reduce the conduction losses is presented for dc microgrid protection.</t>
  </si>
  <si>
    <t>"*Moreover, saturation characteristic of the inductor allows a sharp-rising commutating current which can provide zero-crossing for the main thyristor with a shorter delay. A real-time analog protecting unit is also introduced to interrupt fault current accurately and rapidly.
*The 400 V dc source is rectified from a 285 V three-phase ac source, which transformed from a 380 V three-phase ac source with an adjustable transformer."
*DC architecture is still restricted by fault protection challenges posed by the absence of natural current zero-crossing.
*Considering di/dt limitation of the triggering thyristor in the  commutating circuit, a saturable inductor is utilized to avoid hot spot failure in the thyristor.
*The one-shot triggering characteristic of the commutating circuit makes it simple and reliable to trip the breaker.
*The proposed breaker also remains a low-pass voltage transfer characteristic. 
*As the core of the dc breaker, the commutating circuit features a compact size and simple structure, which can be conveniently integrated into other breaker topologies with zero-crossing requirements.</t>
  </si>
  <si>
    <t>Prototyped
SPICE</t>
  </si>
  <si>
    <r>
      <rPr>
        <sz val="10"/>
        <color rgb="FF000000"/>
        <rFont val="Arial"/>
      </rPr>
      <t xml:space="preserve">Take into account for </t>
    </r>
    <r>
      <rPr>
        <b/>
        <sz val="10"/>
        <color rgb="FF000000"/>
        <rFont val="Arial"/>
      </rPr>
      <t>section 3.4 protection schemes</t>
    </r>
  </si>
  <si>
    <t>Fault Mechanism and Protection Strategy for DC Micro-grid</t>
  </si>
  <si>
    <t>This paper aims to introduce the research status about the protection technology for DC micro-grid system and summarizes the protective devices and protective methods of different DC micro-grid structures systematically</t>
  </si>
  <si>
    <t>*DC microgrid has drawn wide attention due to its excellent performance, however, the protection issues of DC microgrid still remains a challenge. Thus, this paper gives a brief summarization of protection technologies related with DC microgrid, including short circuit fault analysis, protecting devices (such as DC circuit breakers, FCL, et al), and the methods for fault detection. 
*Currently, most of the technologies of DC micro-grid protection still remain at the level of theoretical research, and lack practical engineering scenario verification. Due to technical and economic limitations, many solutions cannot be implemented and promoted effectively.</t>
  </si>
  <si>
    <r>
      <rPr>
        <sz val="10"/>
        <color rgb="FF000000"/>
        <rFont val="Arial"/>
      </rPr>
      <t xml:space="preserve">Take into account for </t>
    </r>
    <r>
      <rPr>
        <b/>
        <sz val="10"/>
        <color rgb="FF000000"/>
        <rFont val="Arial"/>
      </rPr>
      <t>section 3.4 protection schemes</t>
    </r>
  </si>
  <si>
    <t>Toward the Universal DC Distribution System</t>
  </si>
  <si>
    <t>The paper covers the possibilities of having DC nanogrids inside buildings, DC microgrids in neighbor-having DC nanogrids inside buildings, DC microgrids in neighborhoods, and the connection to AC and DC medium voltage grids</t>
  </si>
  <si>
    <t>"*One important aspect is that full power converters should not separate nano- and microgrids at building entrances. In this way, the voltage levels inside buildings and in the street will be equal.
*Operational aspects of the envisioned system were briefly discussed including flexibility, market design, control, and protection. Moreover, the challenging transition to the univer-sal DC distribution system was discussed with USB Type-C connector and USB Power Delivery as important enablers for the millions of small devices.
*In conclusion, this paper encourages to look at the big picture and longer term future applications of low voltage DC. Only considering near-future applications and business cases lead to (de-facto)  standards that are suboptimal for a widespread adoption of DC. These standards would complicate the large-scale utilization and rollout of DC distribution systems. 
*The ongoing standardization efforts pose a unique opportunity to do it right in the first place and create a sys-tem that can cope with most future challenges to come and the various use cases in the different regions of this planet."</t>
  </si>
  <si>
    <r>
      <rPr>
        <sz val="10"/>
        <color rgb="FF000000"/>
        <rFont val="Arial"/>
      </rPr>
      <t>s</t>
    </r>
    <r>
      <rPr>
        <i/>
        <sz val="10"/>
        <color rgb="FF000000"/>
        <rFont val="Arial"/>
      </rPr>
      <t>ection 3.2 and 3.3 Trata muy bien las redes malladas en DC</t>
    </r>
  </si>
  <si>
    <t>Research of the DC Microgrid Topology</t>
  </si>
  <si>
    <t>The concept of DC microgrid is presented in the basis of AC microgrid.</t>
  </si>
  <si>
    <t>"*As a branch of microgrid technologies, DC microgrid technology with its unique advantages has gradually entered into people's vision. It has the advantages of high stability, simple control, easy to be accessed to power supply, and easy to be implemented. 
*It is used in the electric field of high reliability of power supply. Based on the research and development of Zhuhai industrial building as the research object, it puts forward suitable for ultra-low power DC microgrid topology scheme for office building.
*DC microgrid can provide electric energy to different voltage levels of the DC load and the AC load by means of power electronic conversion device, DG and load fluctuations can be compensated energy storage device in the DC side.
*The radial DC microgrid can provide the service of high power quality of the power supply for the loads, loads through the inverter (DC/DC or DC/AC) incorporated DC microgrid rather than the transformer to obtain the desired voltage level;
*In a polycyclic DC microgrid structure, the DG interconnection depends on the DC voltage, without considering the synchronization issues between the DG in DC microgrid coordinated operation more easily, having more advantage in circulation inhibition. Polycyclic microgrid topology is suitable for a wide range of having more advantage in circulation inhibition. Polycyclic microgrid topology is suitable for a wide range of comprehensive building, data center, factory base on power quality requirements of different users.
*The DC microgrid structure is simple, and the phase and frequency are not considered when the large power grid is connected, and it only controls voltage and active power on the DC bus. This will reduce the difficulty of control; it can maximize the use of distributed energy and save power electronic devices. "</t>
  </si>
  <si>
    <t xml:space="preserve">Service building </t>
  </si>
  <si>
    <t>Bus
Radial</t>
  </si>
  <si>
    <t>DC-DC
AC-DC</t>
  </si>
  <si>
    <t>ETAP software</t>
  </si>
  <si>
    <t>Design and Analysis of Solar PV based Low-Power Low-Voltage DC Microgrid Architectures for Rural Electrification</t>
  </si>
  <si>
    <t>To the best of our knowledge, mapping electrical distribution architectures with spatial arrangement of rural village houses is being presented for the first time in this work</t>
  </si>
  <si>
    <t>*The detailed loss analysis and energy balance model shows that in linearly distributed villages O-architecture is the most efficient architecture for rural electrification, while Cluster-architecture is recommended for non-linear spatial distribution of houses in a village.
*Many of these low voltage solar powered DC microgrids are based on central generation and central storage with distribution efficiencies typically ranging from 60% to 80%
*These include C- Architecture, Cluster-Architectures and O-Architecture with maximum distribution efficiencies of 83.5%, 91.6% and 95.6%, respectively for a typical 40-house village at 24V DC distribution utilizing 10 AWG conductors.</t>
  </si>
  <si>
    <t>A methodology for selecting efficient distribution architecture of PV based DC microgrids with respect to village orientation has been presented in this work</t>
  </si>
  <si>
    <t>Seems to be RADIAL</t>
  </si>
  <si>
    <t>24 V
48 V</t>
  </si>
  <si>
    <t xml:space="preserve">Take into account for section 3.2 distribution topologies </t>
  </si>
  <si>
    <t>A Case Study Comparison Between Photovoltaic And Fossil Generation Based On Direct Current Hybrid Microgrids To Power A Service Building</t>
  </si>
  <si>
    <t xml:space="preserve">
The objective of this paper is to study the advantages and di-advantages of 3 different DC MGs in terms of technical efficiency and environmental impact when meeting the energy demand of a residential building.</t>
  </si>
  <si>
    <t>"*One of the models based on a renewable generation system, model C, stands out from the other two models in almost all aspects: voltage, accuracy, average square error, and overall ef- ficiency of the installation. This results in signal stability when the load is delivered for consumption
*The technical and economic feasibility of the three systems demonstrates that DC systems can be viable in com- mercial buildings with DC loads, PVand ESS. This approach shows to be less expensive than the grid-connected system based on fossil fuel generation."</t>
  </si>
  <si>
    <t xml:space="preserve">Bus
</t>
  </si>
  <si>
    <t>Efficiency Comparison of DC and AC Microgrid</t>
  </si>
  <si>
    <t>10.1109/ISGT-Asia.2015.7387051</t>
  </si>
  <si>
    <t xml:space="preserve">
This paper presents comparison between the existing LVAC with the prospective LVDC distribution system in terms of converter conversion efficiency.</t>
  </si>
  <si>
    <t>*The application of the DC distribution system can be extended if we integrate the renewable energy sources and energy storage system in the DC system
*The overall the LVDC distribution in conversion efficiency obtained system is 84.6%.
*Protection is still a major issue for LVDC distribution system, due to lack of protection device and logic</t>
  </si>
  <si>
    <t>48 V
400 V</t>
  </si>
  <si>
    <t>DC-DC boost
DC-DC buck
DC-AC inverter</t>
  </si>
  <si>
    <t xml:space="preserve">
PSCAD/EMTDC</t>
  </si>
  <si>
    <t>no</t>
  </si>
  <si>
    <r>
      <rPr>
        <sz val="10"/>
        <color rgb="FF000000"/>
        <rFont val="Arial"/>
      </rPr>
      <t xml:space="preserve">Take into account for </t>
    </r>
    <r>
      <rPr>
        <b/>
        <sz val="10"/>
        <color rgb="FF000000"/>
        <rFont val="Arial"/>
      </rPr>
      <t>section 3.4 protection schemes</t>
    </r>
  </si>
  <si>
    <t>A Survey of State-of-the-Art on Microgrids: Application in Real Time Simulation Environment</t>
  </si>
  <si>
    <t>10.1109/ISGT-LA.2019.8895370</t>
  </si>
  <si>
    <t>In this work, the definition, main elements, architecture, examples and simulation approaches of microgrids were reviewed</t>
  </si>
  <si>
    <t>"Microgrids can be fully simulated and studied before commissioning. These analysis are usually performed using softwares such as OpenDSSTM, HOMER PROTM (developed specifically for MGs), GridLAB-DTM (open-source), MATLAB Simscape ElectricalTM, DigSILENT PowerFactoryTM and PSCADTM. 
*A method for locating faults is tested and simulated on GridLAB-DTM [33]. Using HOMER PROTM, Yuan at al., [34] try to answer the question of what is the right mix of DGs that minimize costs in small communities. A large distribution network, based on Nordic32 testbed, was simulated in DigSILENT PowerFactoryTM, and fault cases are presented in [35]."</t>
  </si>
  <si>
    <t>Their main relevant technologies are discussed (distributed generators, energy storage systems and others)</t>
  </si>
  <si>
    <t>Hybrid ac/dc microgrids - Part II: Review and classification of control strategies</t>
  </si>
  <si>
    <t>*Microgrids are one of the most promising alternatives towards the integration of DG units in the conventional  power network. However, this type of systems require more complex control strategies than the ones employed in the utility grid,especially in hybrid microgrids
*Three control levels have been distinguished and the variants that are used in this case have been analyzed and explained.
1-Regarding the primary control level, it has been concluded that droop-based techniques are the most suitable approach towards a scalable microgrid, as they provide high plug-and-play capability while ensuring adequate power sharing of devices both in grid-tied and islanded modes of operation.
2-Secondary level techniques have been distinguished depending on whether they are located at a central point (centralized) or at the local controller of each device (decentralized). After evaluating the studies found in the literature it has been determined that centralized strategies are more adequate for single-user low-scale microgrid configurations, whereas decentralized ones are suitable for larger scale systems with multiple users that are constantly being adapted to upcoming units.
3-Something similar has been concluded with tertiary level strategies. Although decentralized approaches are not as common as centralized ones when referring to tertiary level controls, they can improve the integration of new units to the microgrid</t>
  </si>
  <si>
    <t xml:space="preserve">
In order to identify the strategies that can be employed in hybrid microgrids, this paper has reviewed the most used ones in the literature for ac and dc microgrids.</t>
  </si>
  <si>
    <r>
      <rPr>
        <sz val="10"/>
        <color rgb="FF000000"/>
        <rFont val="Arial"/>
      </rPr>
      <t xml:space="preserve">
the systems that a</t>
    </r>
    <r>
      <rPr>
        <b/>
        <sz val="10"/>
        <color rgb="FF000000"/>
        <rFont val="Arial"/>
      </rPr>
      <t>re based on centralized strategies provide a more accurate performance and better reliability</t>
    </r>
    <r>
      <rPr>
        <sz val="10"/>
        <color rgb="FF000000"/>
        <rFont val="Arial"/>
      </rPr>
      <t xml:space="preserve"> thanks to the synchronization of units.</t>
    </r>
  </si>
  <si>
    <t>Protection of AC and DC distribution systems Embedding distributed energy resources: A comparative review and analysis</t>
  </si>
  <si>
    <t xml:space="preserve">
This paper first analyses the fault current character-istics in AC and DC distribution systems; it then presents a comprehensive review of the latest protection methods proposed for distribution systems embedding DGs.</t>
  </si>
  <si>
    <r>
      <t xml:space="preserve">*The analyses reviewed in this study show that the conventional protection schemes must be modified to provide adequate protection for distribution systems with DGs. In particular, the realization of future DC systems requires further investigation about  protection issues/solution, especially in multi-terminal DC systems with DGs.
*Fault detection/location methods in AC systems heavily rely on the processing of local values (current, voltage, harmonic contents, etc.) that are not effective for DC systems. Moreover, conventional protection methods, such as directional O/C relays and distance protection, must be modified based on the characteristics </t>
    </r>
    <r>
      <rPr>
        <b/>
        <sz val="10"/>
        <rFont val="Arial"/>
      </rPr>
      <t xml:space="preserve">of DC networks during faults and transient incidents. 
</t>
    </r>
    <r>
      <rPr>
        <sz val="10"/>
        <color rgb="FF000000"/>
        <rFont val="Arial"/>
      </rPr>
      <t>*The effect of fault resistance on AC and DC systems are not exactly the same. Therefore, the proposed methods for high-impedance fault detection in AC systems are not necessarily applicable to DC systems.
*Due to the characteristics of DC fault currents, ACCBs are not suitable for fault current interruption in DC systems. On the other hand, economical concerns and technical challenges preclude the widespread use of DCCBs.
*The high rising rate of DC fault currents makes it difficult to coordinate current-based protective devices in these systems. Although the use of communication technologies may enhance the performance of DC protection systems and improve the selectivity, there are other issues such as communication delays and the speed of fault detection methodology which should be taken into consideration.
*The grounding method has a significant impact on the fault behavior and, hence, protection performance in DC systems. However, this factor has not been fully investigated in the existing technical literature. It is an important subject that should be addressed in the future studies.</t>
    </r>
  </si>
  <si>
    <r>
      <rPr>
        <sz val="10"/>
        <color rgb="FF000000"/>
        <rFont val="Arial"/>
      </rPr>
      <t xml:space="preserve">Take into account for </t>
    </r>
    <r>
      <rPr>
        <b/>
        <sz val="10"/>
        <color rgb="FF000000"/>
        <rFont val="Arial"/>
      </rPr>
      <t>section 3.4 protection schemes</t>
    </r>
  </si>
  <si>
    <t>Hybrid AC/DC microgrid architecture with comprehensive control strategy for energy management of smart building</t>
  </si>
  <si>
    <t>10.1016/j.ijepes.2018.02.048</t>
  </si>
  <si>
    <t xml:space="preserve">
In this article, a hybrid ac/dc microgrid archi-tecture for smart building is proposed to increase the penetration of DGs and to isolate the interference to the grid.</t>
  </si>
  <si>
    <t xml:space="preserve">"*This microgrid system also demonstrates the expandable, incrementally affordable nature that can be achieved through microgrids. As the load grows, additional generation and storage elements can be added to the system, which is made easier by utilising a distributed control system such as droop control as it requires no knowledge of the system layout, only local measurements of current and voltage.
*HOMER is used to examine the storage requirements for the insolation, wind and load profiles at Ruksibhanjyang
*Storage is included in the daily simulation, demonstrating the benefit of storage in the system, but the requirements of adequate generation to ensure the daily draw on the battery does not exceed the recharging capabilities.
*Using the results from the HOMER analysis in Table 5, a further simulation can be run in Simulink to show the first potential solution of generation sources, 15kW of wind turbines, 25 kWp of solar PV panels and 294 kWh of battery storage.
*As can be seen from Fig. 17, the generation sources can still supply the load, with the battery able to recharge itself during the day to return to its original state ofcharge. With the 5-fold increase in PV generation capacity, this is able to provide more power during the daytime, allowing the battery to charge during the day, before it discharges during the evening demand peaks.
*Although numerous previous studies have investigated the use of HOMER and similar software for initial design sizing of hybrid renewable energy systems, the novel aspect of this study is the application of subsequent Simulink analyses to illustrate autonomous power sharing between the specified wind and solar sources. </t>
  </si>
  <si>
    <t>Grid
off-grid</t>
  </si>
  <si>
    <t>700 V</t>
  </si>
  <si>
    <t>DC-DC
DC-AC Inverter
AC-DC</t>
  </si>
  <si>
    <t>Equivalence of Primary Control Strategies for AC and DC Microgrids</t>
  </si>
  <si>
    <t>10.3390/en10010091</t>
  </si>
  <si>
    <t xml:space="preserve">
The aim of this paper is to analyse and compare autonomous primary control techniques for alternating current (AC) and direct current (DC) microgrids that improve this transient behaviour.</t>
  </si>
  <si>
    <t>"On the other hand, a virtual-impedance-based control strategy has been proposed for the voltage
regulation of DC microgrids. This technique is analogous to the VSM strategy, meaning that the
steady-state and transient behaviour of converters can be adapted by varying the control parameters."</t>
  </si>
  <si>
    <t xml:space="preserve">Batteries
Supercapacitors
</t>
  </si>
  <si>
    <t>Multi-objective coordinated planning of distributed generation and ac/dc hybrid distribution networks based on a multi-scenario technique considering timing characteristics</t>
  </si>
  <si>
    <t>10.3390/en10122137</t>
  </si>
  <si>
    <t>a planning approach that considers transforming some of the AC lines into DC lines and building the DC network is proposed.</t>
  </si>
  <si>
    <t>Moreover, the power quality of the AC/DC hybrid DN is notably improved, and the active power network loss and voltage stability index are better than those of the planning model when considering the AC DN alone.
this paper only puts forward a preliminary assumption for the plan to transform some of the AC lines into DC lines and build a DC network.</t>
  </si>
  <si>
    <t>Power Management for a Hybrid AC/DC Microgrid with Multiple Subgrids</t>
  </si>
  <si>
    <t>10.1109/TPEL.2017.2705133</t>
  </si>
  <si>
    <t>This paper proposes a new topology of a hybrid ac/dc microgrid, where there are multiple subgrids connected to the common bus by bidirectional ac/dc converters (BADCs) and bidirectional dc/dc converters (BDDCs) in the system</t>
  </si>
  <si>
    <t>*The proposed decentralized power management method can make the interacted subgrids operate in coordination and support each other.
*First, taking the characteristics of the common bus configuration into consideration, a P_dc-v_dc^2 droop control strategy is proposed to maintain the common bus voltage and to realize power sharing among storages in the storage subgrid.
*Second, as the interaction among multiple subgrids is more complicated compared to the conventional hybrid, a coordinated power control strategy based on the common bus voltage, ac subgrid frequency and dc subgrid voltage is designed for the BADCs and BDDCs to realize the power interaction among different subgrids</t>
  </si>
  <si>
    <t>600 V
800 V
1000 V</t>
  </si>
  <si>
    <t>HIL</t>
  </si>
  <si>
    <t>10.1109/TIA.2019.2928278</t>
  </si>
  <si>
    <t>It introduces different grounding strategies, i.e., grounding configurations and grounding devices, that can be utilized in dc microgrids.
2) It investigates and reports the effects of the grounding strategies on line-to-ground (LG) fault currents, leakage currents, common mode voltages, safety of personnel and equipment, system reliability, power supply continuity, re-quired protection strategies, insulation requirements, and grounding cost.
3) It provides a comprehensive review of the advantages and disadvantages of different dc microgrid grounding strategies and makes application recommendations.</t>
  </si>
  <si>
    <t>The strengths and weaknesses of the various grounding strategies are summarized. LG fault response of a dc microgrid with different ground-ing devices is studied using PSCAD simulations. The results indicate the following under LG faults in the dc microgrid.
1) The ungrounded, bipolar solidly grounded, unipolar parallel resistance grounded, and bipolar resistance grounded dc microgrids can ride through the faults;
2) The unipolar solidly grounded, bipolar solidly grounded, diode-grounded, and thyristor-grounded dc microgrids ex-perience significantly large transient discharge currents;
3) The unipolar solidly grounded, diode-grounded, thyristor-grounded, and unipolar low-resistance-grounded dc mi-crogrids provide considerable steady-state fault current, which necessitates fast detection and clearance of faults.
Based on the aforementioned results the following conditions hold.
1) The ungrounded, bipolar solidly grounded, unipolar parallel resistance grounded, and bipolar resistance grounded dc microgrids are recommended for the applications where continuity of service is a priority.
2) The unipolar solidly grounded, bipolar solidly grounded, diode-grounded, and thyristor-grounded dc microgrids are recommended for applications where system components can tolerate large discharge currents.
3) The unipolar solidly grounded, diode-grounded, thyristor-grounded, and unipolar low-resistance-grounded dc mi-crogrids are recommended only if fast protection systems and circuit breakers are available to detect and clear faults before the large fault currents damage equipment.</t>
  </si>
  <si>
    <t>PSCAD</t>
  </si>
  <si>
    <r>
      <rPr>
        <sz val="10"/>
        <color rgb="FF000000"/>
        <rFont val="Arial"/>
      </rPr>
      <t xml:space="preserve">Take into account for </t>
    </r>
    <r>
      <rPr>
        <b/>
        <sz val="10"/>
        <color rgb="FF000000"/>
        <rFont val="Arial"/>
      </rPr>
      <t>section 3.4 protection schemes
Grounding</t>
    </r>
  </si>
  <si>
    <t>Power Electronic Converters in DC Microgrid</t>
  </si>
  <si>
    <t>10.1007/978-3-030-23723-3_7</t>
  </si>
  <si>
    <t xml:space="preserve">In this study, the types, circuit structures and functions of power electronic converters used in DC microgrid are discussed. Power electronics converters used in DC MGs are grouped and evaluated according to their targets. These power electronic converters have been detailed in terms of AC-DC rectifiers, inverters (for AC loads) and DC-DC converter circuit types. </t>
  </si>
  <si>
    <t>*We can conclude that the use of DC microgrids will continue to increase in the coming years depending on the energy demand increase and energy use awareness in the world. The widespread use of DC microgrids will allow us to use the energy resources more efficiently.
*However, power electronics converters are the main important part of DC microgrids. Therefore, the power electronic converters used in DC microgrid are discussed, grouped and evaluated according to their targets.</t>
  </si>
  <si>
    <t>The simulation results of some topologies have been evaluated.</t>
  </si>
  <si>
    <t>DC-DC
DC-AC
AC-DC</t>
  </si>
  <si>
    <t>Batteries 
Fuel cell</t>
  </si>
  <si>
    <r>
      <rPr>
        <sz val="10"/>
        <color rgb="FF000000"/>
        <rFont val="Arial"/>
      </rPr>
      <t>Take into account for section 3</t>
    </r>
    <r>
      <rPr>
        <b/>
        <sz val="10"/>
        <color rgb="FF000000"/>
        <rFont val="Arial"/>
      </rPr>
      <t>.5 Converters</t>
    </r>
  </si>
  <si>
    <t>"DC Microgrid with Wind Energy ConversionSystem Based on Switched Reluctance Generator Operating in Grid Connected Mode</t>
  </si>
  <si>
    <t>10.1109/INDUSCON.2018.8627344</t>
  </si>
  <si>
    <t>This article presents a proposal to control a DC microgrid with distributed wind energy conversion system (WECS) based on switched reluctance generator (SRG) operation in the grid connected mode</t>
  </si>
  <si>
    <t>*SRG simulations have shown that the DPC is effective and the optimal voltage is rapidly reached by using a bidirectional converter driven by slide mode control technique. 
*DC microgrid voltage  analysis have indicated that DC bus was kept stable even during disturbances occurring when SRG, ESS or loads were inserted. 
*DC microgrid current analysis have shown power flow and changes in operation mode following the microgrid control strategy. 
*To sum up, simulation results have indicated that the proposed DC microgrid control with SRG penetration is feasible, reliable and achieve high performance in the grid connected mode, while DC bus voltage is kept stable with the power flow working properly.</t>
  </si>
  <si>
    <t>The operation and control of a DC microgrid with energy conversion system based on switched reluctance generator were presented in this article.</t>
  </si>
  <si>
    <t xml:space="preserve">Wind
</t>
  </si>
  <si>
    <t>Safety Concepts and Circuit Protection for LVDC Grids in Datacenters and in Telecommunications</t>
  </si>
  <si>
    <t>10.1109/INTLEC.2018.8612360</t>
  </si>
  <si>
    <t>For those purposes a general multi-stage approach for an improved safety concept is presented in the following.</t>
  </si>
  <si>
    <t>Protective methodologies using system identification and machine learning tools in order to refine and to accelerate fault detection in DC grids with 380 V system voltage have been introduced. In order to deactivate those systems based on controlled power semiconductors selectively, fast mechanical or instead modern electronic or hybrid switching devices are necessary</t>
  </si>
  <si>
    <r>
      <rPr>
        <sz val="10"/>
        <color rgb="FF000000"/>
        <rFont val="Arial"/>
      </rPr>
      <t xml:space="preserve">Take into account for </t>
    </r>
    <r>
      <rPr>
        <b/>
        <sz val="10"/>
        <color rgb="FF000000"/>
        <rFont val="Arial"/>
      </rPr>
      <t xml:space="preserve">section 3.4 protection schemes
</t>
    </r>
  </si>
  <si>
    <t>Research on the Operation Control Strategy of a Low-Voltage Direct Current Microgrid Based on a Disturbance Observer and Neural Network Adaptive Control Algorithm</t>
  </si>
  <si>
    <t xml:space="preserve">
based on the droop control and neural network adaptive control algorithm, a pre-synchronization control algorithm is proposed in this paper.</t>
  </si>
  <si>
    <t>*When the inverter ran independently, the improved droop control with virtual impedance eliminated voltage deviation and the adjustment time was very short. The LC filter improved waveform quality. Compared with the grid-connected control algorithm based on the traditional PLL structure, the proposed algorithm made the microgrid inverter output voltage track the power grid voltage quickly and accurately with an adjustment time of only 27.8% of the traditional PLL. The adjustment process did not produce voltage oscillation and impulse current, and the system had high stability.
*A DOB with second-order low-pass filter was designed to improve the anti-interference ability of the microgrid to system load change. 
*The simulation results showed that when the system load suddenly increased, the DC bus voltage and power dropped. After the transient fluctuation of the system, the DC bus voltage and power synchronously rose to the reference value, and the system reached a new stable state. 
*The proposed algorithm ensured that the system avoided a system collapse, that there was no voltage deviation, whilst ensuring that the bus power balance was realized at the same time. 
*The introduction of the DOB resolved the problem of excessive bus voltage and power overshoot. This algorithm simplified the control system structure, reduced the cost and improved the autonomy, anti-interference ability and stability of the system.</t>
  </si>
  <si>
    <t>In this paper, aimed at the low-voltage DC microgrid with photovoltaic and energy storage systems, a DC bus control algorithm based on the DOB was proposed for its island operation mode.</t>
  </si>
  <si>
    <t>200 V</t>
  </si>
  <si>
    <t>System Configuration, Fault Detection, Location, Isolation and Restoration: A Review on LVDC Microgrid Protections</t>
  </si>
  <si>
    <t>10.3390/en12061001</t>
  </si>
  <si>
    <t>This paper presents state-of-the-art protection schemes developed for DC Microgrids.</t>
  </si>
  <si>
    <t>*Since power electronics devices are highly vulnerable to over-nominal transients, a DC fault may lead to severe damages to the converter in a very short period of time. 
*Significant rising rate of current and rapid voltage drop in DC systems due to low impedance of DC grid is a well-defined challenge for DC protection design. 
*Fast operating DC CB has been used in some protection techniques on the expense of additional power devices resulting in increased losses and cost. 
*The optimization of DCCBs is still under development stage balancing the cost, efficiency and quickness. Therefore, the characteristics of a DCCB still have to be taken into account when designing a specific fault detection and isolation scheme. 
*The selection of system configuration and earthing scheme have a significant impact on the fault transient characteristics. Different system configurations have different fault transient characteristics and therefore, protection criteria may vary based on the transient characteristics of the fault. 
*On the other hand, systems earthing scheme also have a greater impact on detecting and locating the fault. Such as, it is very difficult to detect a pole-to-earth fault in an unearthed system. Hence, dynamics of transient characteristics with the change in system configuration and earthing criteria needs to be considered while designing a protection scheme. 
*Most of the methodologies developed for detecting and isolating DC fault requires communication among the relays. Communication based methods introduces operational delays making the protection inefficient for the DC systems, as fault transient’s di/dt is very high in such systems.</t>
  </si>
  <si>
    <r>
      <rPr>
        <sz val="10"/>
        <color rgb="FF000000"/>
        <rFont val="Arial"/>
      </rPr>
      <t xml:space="preserve">Take into account for </t>
    </r>
    <r>
      <rPr>
        <b/>
        <sz val="10"/>
        <color rgb="FF000000"/>
        <rFont val="Arial"/>
      </rPr>
      <t xml:space="preserve">section 3.4 protection schemes
</t>
    </r>
  </si>
  <si>
    <t>Accurate Power Sharing and Synthetic Inertia Control for DC Building Microgrids With Guaranteed Performance</t>
  </si>
  <si>
    <t>10.1109/ACCESS.2019.2915046</t>
  </si>
  <si>
    <t>A new DER power-sharing mechanism is devised by introducing a current-sharing vector in the controller formulation, which eliminates bus voltage deviation during load/DER fluctuation and offers plug-and-play capabilities</t>
  </si>
  <si>
    <t>*A new DER power-sharing mechanism is proposed in a predictive fashion by introducing a current-sharing vector in the MPC model of DC microgrid. 
*Moreover, virtual capacitance control is implemented in the FCS-MPC to provide adaptive synthetic inertia support to the bus voltage. 
*The prediction modeling procedures of DC microgrids are presented, based on which the control scheme is devised on a optimal control basis with Lyapunov stability performance guarantee. 
*The controller predicts the future behaviors of state valuables, and, by minimizing a cost function with certain practical constraints, offers optimal actions for the DERs to track EMS references.</t>
  </si>
  <si>
    <t xml:space="preserve">
PSCAD/EMTDC
Prototyped</t>
  </si>
  <si>
    <t>Batteries
Supercapacitors</t>
  </si>
  <si>
    <t>Low Voltage Direct Current(LVDC) Nanogrid for Home Application</t>
  </si>
  <si>
    <t>The objective of the work is to investigate the power and control architecture to evolve the specifications, to implement Low Voltage Direct Current (LVDC) Nanogrid for residential applications</t>
  </si>
  <si>
    <t>*LVDC power switch which is an intelligent outlet which has the ability to measure and control electrical devices connected is the main element in this system. 
*Communications coupled with DC power distribution, storage, and load can create buildings that are more efficient and easier to operate.
*Multilayer Communication networking facilitates efficient, flexible and cost effective network interface to the Nanogrid systems. 
*Monitoring, regulating, controlling and managing the power sources and the loads in the system is the task of the Nanogrid system controller which basically forms the brain of the entire system. 
*The operating modes of the subsystems for the optimum flow of energy from the various sources to drive the load demands gives rise to devising control methods and strategies. 
*Islanded and grid connected modes along with the critical task of maintaining a stable DC Bus become a major design and control constraint given the various operating conditions and scenarios. 
*Energy storage option provides significant benefits to the DC system though it adds more complexity. It can be concluded that the LVDC Nanogrid is an energy efficient architecture that can transform the existing AC system to the DC for home</t>
  </si>
  <si>
    <t>grid-connected
off-grid</t>
  </si>
  <si>
    <t>Battery</t>
  </si>
  <si>
    <t>10.1109/TPEL.2019.2907551</t>
  </si>
  <si>
    <t xml:space="preserve">
This paper presents a distributed secondary control method to achieve accurate power sharing in dc MGs.</t>
  </si>
  <si>
    <t>At last, conclusions drawn were as follows:
1) Compared with the existing control method, the proposed secondary control scheme is simple and does not need global operation information.
2) After a few communications, accurate power sharing was achieved with the proposed method. Even under communication failures, the proposed control method was less affected because the failure unit worked in a droop mode, and the rest of DERs self-organized and continued to work normally.
3) As the system expands, large numbers of DERs can be integrated into the dc MG without consideration of a communication burden.</t>
  </si>
  <si>
    <t>off-grid</t>
  </si>
  <si>
    <t>Batteries
Supercapacitors
Fuel cell</t>
  </si>
  <si>
    <t>10.1109/TIE.2019.2899559</t>
  </si>
  <si>
    <t>This paper proposes control strategies for localized control of zonal hybrid microgrid, enabled by the SST and centralized energy storage devices (ESD) integrated using dual active bridge (DAB) converter</t>
  </si>
  <si>
    <t>*Configured HMG system is capable of operating in both grid-interaction and islanded mode with centralized ESD unit. This paper also proposed the ZCPF operation for SST-DAB and ESD-DAB. 
*Control strategies were designed for seamless transition from one mode to other. 
*The HMG system with its proposed controllers and central ESD unit was configured on simulation platform. 
*The test results verified the feasibilty of proposed distributed power management strategy. Further, the operation of proposed controllers were tested via experimental results</t>
  </si>
  <si>
    <t>1-localized SST control for regulating dc and ac bus voltages; and maintaining the seamless operation of zonal HMGs in both grid forming and feeding modes;
2) unified droop control algorithm for bidirectional power flow in low voltage ac microgrid during grid feeding and forming modes of operation;
3) centralized ESD to make zonal HMGs cost effective and maintain the system stability under transients;
4) Proposed DAB control strategy for ZCPF and high power transfer, thus improving the ESD performance. It also reduces current stress of SST-DAB and ESD-DAB switches.</t>
  </si>
  <si>
    <t>off-grid
grid-connected</t>
  </si>
  <si>
    <t>An integrated interlinking converter with DC-link voltage balancing capability for bipolar hybrid microgrid</t>
  </si>
  <si>
    <t>10.1007/s00202-019-00829-2</t>
  </si>
  <si>
    <t>• Presenting a new modulation approach for ten-switch IC to reduce the calculation algorithm.
• Embedding a voltage balancer scheme in the control sys- tem of multilevel ICs to remove voltage balancer hardware from conventional bipolar microgrids.
• A thorough comparison of power quality, efficiency, power loss and cost between the proposed IC and other candidates.
• Proposing a ten-switch converter to act as an IC to improve power quality in both AC and DC sides with a minimum number of semiconductor switches and passive components</t>
  </si>
  <si>
    <t xml:space="preserve">
*A novel control and modulation strategy has been proposed for ten-switch converter, and its application was compared with other possible ICs in the bipolar hybrid microgrid.
*The results showed the NPC and the ten- switch converters can improve AC- and DC-side power quality and efficiency in comparison with the three-phase two-level converter that requires a joined DC/DC converter with the same power rating as three-phase converter and separate control system. The power loss and costs of two ICs were investigated, and it was concluded that the ten-switch converter has lower power loss and costs due to its lower semiconductor count</t>
  </si>
  <si>
    <t>400 V
800 V</t>
  </si>
  <si>
    <r>
      <rPr>
        <sz val="10"/>
        <color rgb="FF000000"/>
        <rFont val="Arial"/>
      </rPr>
      <t>Take into account for section 3</t>
    </r>
    <r>
      <rPr>
        <b/>
        <sz val="10"/>
        <color rgb="FF000000"/>
        <rFont val="Arial"/>
      </rPr>
      <t>.5 Converters</t>
    </r>
  </si>
  <si>
    <t>A High-Efficiency Active-Boost-Rectifier-Based Converter With a Novel Double-Pulse Duty Cycle Modulation for PV to DC Microgrid Applications</t>
  </si>
  <si>
    <t>10.1109/TPEL.2018.2878225</t>
  </si>
  <si>
    <t>In this paper, a highly efficient isolated resonant converter with a novel modulation method is proposed for delivering power from photovoltaic (PV) modules to the dc microgrid</t>
  </si>
  <si>
    <t>The proposed converter has the following distinct features.
1) Compared to the conventional variable frequency LLC resonant converter, it has lower circulating energy due to the fixed frequency operation.
2) ZVSand low-current switching ofinput side switches, and ZCS of output side switches regardless of input voltage or output power.
3) The proposed active-boost-rectifier reduces the number of power devices compared with previous work. With the proposed double-pulse duty cycle modulation, the output side switches not only serve for synchronous rectification but also for the voltage boost function to achieve high voltage gain.
4)The converter achieved a peak efficiency of 98.9% and a California Energy Commission weighted efficiency of  98.7% under nominal input voltage condition.</t>
  </si>
  <si>
    <r>
      <rPr>
        <sz val="10"/>
        <color rgb="FF000000"/>
        <rFont val="Arial"/>
      </rPr>
      <t>Take into account for section 3</t>
    </r>
    <r>
      <rPr>
        <b/>
        <sz val="10"/>
        <color rgb="FF000000"/>
        <rFont val="Arial"/>
      </rPr>
      <t>.5 Converters</t>
    </r>
  </si>
  <si>
    <t>Energy Savings Using Direct Current (DC) from Photovoltaic (PV) System in a Residential Home</t>
  </si>
  <si>
    <t>10.1109/ISGT-Asia.2019.8881542</t>
  </si>
  <si>
    <t>In this paper, a DC nanogrid from PV system in residential is proposed.</t>
  </si>
  <si>
    <t>"*Power efficiency is improved to 79.2% as compared to the AC nanogrid (71.82%). The improvement is 7% and hence electricity bill is decreased by NZ$3.26 roughly per month.
*power losses due to inverter is 30%.
*Efficiency reduced by rectifier and converter is between 23%-26%,"</t>
  </si>
  <si>
    <t>The conventional AC nanogrid with photovoltaic (PV) system has suffered from power loss caused by power conversion from DC to AC and back to DC for most of the end use in a typical residential home.</t>
  </si>
  <si>
    <t>grid-connected</t>
  </si>
  <si>
    <t>20 V
230 V</t>
  </si>
  <si>
    <t>AC-DC
DC-DC
DC-AC</t>
  </si>
  <si>
    <t>Planning, Operation, and Protection of Microgrids: An Overview</t>
  </si>
  <si>
    <t>10.1016/j.egypro.2016.12.137</t>
  </si>
  <si>
    <t>This paper presents an overview of the major challenges and their possible solutions for planning, operation, and control of islanded operation of a microgrid.</t>
  </si>
  <si>
    <t>-Microgrids can operate independently called the islanded (autonomous) mode of operation or in conjunction with the main grid called the grid connected mode of operation [2].
-Microgrids offer several advantages and benefits including increased reliability, improved energy efficiency and resiliency, cost reduction, reduction in transmission losses, CO2 emission reduction, and other environmental benefits.
-The major issues and potential solutions in microgrid protection and control include: 
• Bidirectional power flows: The power flow in a conventional distribution system is unidirectional, i.e. from the substation to the loads. Integration of DGs on the distribution side of the grid can cause reverse power flows. As a result, the conventional protection coordination schemes are no longer valid [3];
• Short circuit capacity: In the case of inverter based DGs, the fault current is limited (maximum 2 p.u.). Hence, the conventional overcurrent relay cannot sense the fault [3];
• Stability issues: Local oscillations may arise as a result of the interaction of the control system of micro- generators. Hence, small signal stability analysis and transient stability analysis are required to ensure proper operation in a microgrid [4];
• Low inertia: In a conventional power system, the bulk power is generated at power plants and hence they have high inertia. Microgrids, on the other hand, have dispersed generation and sizes of the DGs are very small. Consequently, they have a low inertia characteristic, especially for inverter based DGs. Low inertia can result in severe frequency deviations in islanded mode operation. Hence, special control mechanism is required [4];
• Intermittent Output: Microgrids with renewable energy resources (photovoltaic, or wind) as distributed generation are intermittent in their power output. 
Hence, coordination between DGs and storage devices is essential.
-The power flow analysis for a grid-connected microgrid can be solved in the same manner as a conventional power system. The DGs, in this  case, can be treated as a generator bus (PV bus) or a negative load bus (PQ bus). The variable output of DGs is not considered in power flow problem as they are considered as load buses. Furthermore, since the microgrid is connected to the main grid, the system frequency is assumed to be constant at all times. In the case of an islanded microgrid, conventional power flow methods cannot be applied directly.</t>
  </si>
  <si>
    <t>In this paper, a novel power balancing strategy is proposed to harvest maximum power from the solar and minimize the effect of solar output variations on the AC power grid</t>
  </si>
  <si>
    <t xml:space="preserve">Presenta una estrategia de control de una MG conecta a red, con alimentación PV
Se simula en planta de laboratorio (340 Vdc)
Se emula generación variable (10 kW) que se comporta como PV con MPPT, y cargas variables (LED que se encienden y se apagan) y un ventilador accionado por motor de inducción (AC). Total (4,3 kW)
Almacenamiento en baterías (100 kWh)
Un supercapacitor (10 F) para estabilizar y que no sufran las baterías
Inversor bidireccional para la red (5 kW)
Unidad de monitorización y control </t>
  </si>
  <si>
    <t>fig. 1</t>
  </si>
  <si>
    <t>bus</t>
  </si>
  <si>
    <t>320 V
340 V
360 V
380 V</t>
  </si>
  <si>
    <t>Yes
Supercapacitor</t>
  </si>
  <si>
    <t>Distributed Energy and Microgrids (DEM)</t>
  </si>
  <si>
    <t>10.1016/j.apenergy.2017.11.059</t>
  </si>
  <si>
    <t>"-A microgrid is a group of interconnected loads and DER devices within clearly defined electrical boundaries that acts as a single controllable entity with respect to the grid. A microgrid can connect and disconnect from the grid to enable it to operate in both grid-connected or island-mode. A remote microgrid is a variation of a microgrid that operates in islanded condition
-more and more integration into traditional energy supply systems of distributed energy resources (DERs), such as photovoltaics (PVs), geothermal and solar heat, wind turbines, microturbines, various energy storage systems (ESSs),
-The need for energy storage and flexible demand is increasing, and improving the business case for their deployment.
-Renewable sources, such as solar and wind, occur with intermittence and uncertainty."</t>
  </si>
  <si>
    <t>Take into account for conclusion</t>
  </si>
  <si>
    <t>Microgrids protection schemes, challenges and strategies</t>
  </si>
  <si>
    <t>In this paper, we investigated the following issues: a) AC (on-grid) and DC (off-grid) protection methods, b) new trends on MG’s protection.</t>
  </si>
  <si>
    <t>*Protection is the one of the toughest challenges in microgrids.
*Technical Challenges in DC Microgrid 
1) Grounding: The main purpose of grounding is to detect the ground fault. In order to design the grounding system, two contradictory requirements must be took into account [24]: 1. Minimize DC stray current. 
2. Maximize personnel safety by minimizing the common mode voltage. Consequently, designing an optimum grounding system is a tough challenge.
2) No zero-crossing current: In ac system, mechanical circuit breakers disconnect circuit when currents cross zero at every half-period; however, in dc system CBs there are no zero crossings.
Some of the solutions are common in AC and DC microgrids i.e. adaptive protection, standardization, and reconfiguration. However, other solutions such as DC fault detection methods, optimal grounding systems, and current limiting approaches in DC microgrids. Fig. 4 shows the typical DC MG systems interconnected with the main systems at PCC which can be medium voltage AC (MVAC) network from the conventional power plants or an HVDC transmission line connecting an offshore wind farm.
Grounding systems and fault detection: DC microgrid needs to be floating system. There are some reasons for high impedances grounding follows: 
• Navy army is floating to guarantee continuity of energy to essential loads. 
• Some industrial system refuse to grounding system for not let an extra increase in common mode voltage. 
Current limiting methods: Due to no zero-crossing current in DC microgrid, new approaches or physical circuit are necessary for DC microgrids. Some of the promising solutions are as follows: 
• Z-source circuit breakers: To avoid arc on the solid-state DC breaker (SSDCB), and axillary circuit switch as well as precharged commutation capacitor are employed to force commutate by reverse biasing. Virtual impedance: Although there exists a few papers on limiting the current through virtual impedance [33]-[34], to the authors’ knowledge virtual impedance approaches for limiting the current is at its infancy stage in DC microgrids</t>
  </si>
  <si>
    <t>"1.	Bidirectional power flow 
2.	Fault in current path 
3.	Relay, breakers and switches settings
4.	Capacity of short circuit</t>
  </si>
  <si>
    <r>
      <rPr>
        <sz val="10"/>
        <color rgb="FF000000"/>
        <rFont val="Arial"/>
      </rPr>
      <t xml:space="preserve">Take into account for </t>
    </r>
    <r>
      <rPr>
        <b/>
        <sz val="10"/>
        <color rgb="FF000000"/>
        <rFont val="Arial"/>
      </rPr>
      <t xml:space="preserve">section 3.4 protection schemes
</t>
    </r>
  </si>
  <si>
    <t>A review of microgrid development in the United States–A decade ofprogress on policies, demonstrations, controls, and software tools</t>
  </si>
  <si>
    <t>10.1016/j.apenergy.2018.06.096</t>
  </si>
  <si>
    <t xml:space="preserve">The definition of a microgrid depends on perspectives: the distributed energy resources point of view differs from the control per- spective [3,8,9]. The U.S. Department of Energy (DOE) provides the following definition of a microgrid [10]:
 “A microgrid is a group of interconnected loads and distributed energy resources within clearly defined electrical boundaries that acts as a single controllable entity with respect to the grid. A microgrid can connect and disconnect from the grid to enable it to operate in both grid-connected or island-mode. A remote microgrid is a variation of a microgrid that operates in islanded conditions.”
Similarly, a microgrid definition is given by The International Council on Large Electrical Systems (CIGRE) [11]:
Microgrids are electricity distribution systems containing loads and distributed energy resources (such as distributed generators, storage devices, or controllable loads,) that can be operated in a controlled, coordinated way either while connected to the main power network or while islanded.
</t>
  </si>
  <si>
    <r>
      <rPr>
        <sz val="10"/>
        <color rgb="FF000000"/>
        <rFont val="Arial"/>
      </rPr>
      <t xml:space="preserve">Second, the </t>
    </r>
    <r>
      <rPr>
        <b/>
        <sz val="10"/>
        <color rgb="FF000000"/>
        <rFont val="Arial"/>
      </rPr>
      <t>social</t>
    </r>
    <r>
      <rPr>
        <sz val="10"/>
        <color rgb="FF000000"/>
        <rFont val="Arial"/>
      </rPr>
      <t xml:space="preserve"> and economic benefits of microgrids should be accurately defined when setting up research and demonstration projects. It is also important that these benefits make microgrid projects economically viable and facilitate long-term system operation.
With more and more direct current (DC) technologies such as renewables, storage and end use, DC microgrid becomes attractive to deliver distributed energy to end use devices more efficiently. T</t>
    </r>
    <r>
      <rPr>
        <b/>
        <sz val="10"/>
        <color rgb="FF000000"/>
        <rFont val="Arial"/>
      </rPr>
      <t xml:space="preserve">he emerging interest in DC microgrids </t>
    </r>
    <r>
      <rPr>
        <sz val="10"/>
        <color rgb="FF000000"/>
        <rFont val="Arial"/>
      </rPr>
      <t>requires a new set of development on standards, safety and protection, and controls. With the end use devices become efficient and intelligent, using communication DC power network to transmit energy and signals gets a lot attentions. This kind of “Nanogrid” with communication network will make microgrid more and more intelligent.</t>
    </r>
  </si>
  <si>
    <t>Interesting social perspective</t>
  </si>
  <si>
    <t>A literature review of Microgrids: A functional layer based classification</t>
  </si>
  <si>
    <t>This paper contributes to clearly define the use of MGs in the future electric systems.</t>
  </si>
  <si>
    <r>
      <rPr>
        <sz val="10"/>
        <color rgb="FF000000"/>
        <rFont val="Arial"/>
      </rPr>
      <t xml:space="preserve">Table 3 </t>
    </r>
    <r>
      <rPr>
        <b/>
        <sz val="10"/>
        <color rgb="FF000000"/>
        <rFont val="Arial"/>
      </rPr>
      <t>DC voltage levels</t>
    </r>
    <r>
      <rPr>
        <sz val="10"/>
        <color rgb="FF000000"/>
        <rFont val="Arial"/>
      </rPr>
      <t xml:space="preserve"> in the literature
Table 9. Main</t>
    </r>
    <r>
      <rPr>
        <b/>
        <sz val="10"/>
        <color rgb="FF000000"/>
        <rFont val="Arial"/>
      </rPr>
      <t xml:space="preserve"> MG around</t>
    </r>
    <r>
      <rPr>
        <sz val="10"/>
        <color rgb="FF000000"/>
        <rFont val="Arial"/>
      </rPr>
      <t xml:space="preserve"> the world
Fig. 7. </t>
    </r>
    <r>
      <rPr>
        <b/>
        <sz val="10"/>
        <color rgb="FF000000"/>
        <rFont val="Arial"/>
      </rPr>
      <t>Control levels</t>
    </r>
    <r>
      <rPr>
        <sz val="10"/>
        <color rgb="FF000000"/>
        <rFont val="Arial"/>
      </rPr>
      <t xml:space="preserve"> based on [102–105].
Table 2 </t>
    </r>
    <r>
      <rPr>
        <b/>
        <sz val="10"/>
        <color rgb="FF000000"/>
        <rFont val="Arial"/>
      </rPr>
      <t xml:space="preserve">Hybrid energy </t>
    </r>
    <r>
      <rPr>
        <sz val="10"/>
        <color rgb="FF000000"/>
        <rFont val="Arial"/>
      </rPr>
      <t>system configurations from [22]
Table 1 Main b</t>
    </r>
    <r>
      <rPr>
        <b/>
        <sz val="10"/>
        <color rgb="FF000000"/>
        <rFont val="Arial"/>
      </rPr>
      <t xml:space="preserve">enefits and drawback </t>
    </r>
    <r>
      <rPr>
        <sz val="10"/>
        <color rgb="FF000000"/>
        <rFont val="Arial"/>
      </rPr>
      <t>of using DC instead of AC</t>
    </r>
  </si>
  <si>
    <t>Modeling Electronic Power Converters in Smart DC Microgrids—An Overview</t>
  </si>
  <si>
    <t>10.1109/TSG.2017.2707345</t>
  </si>
  <si>
    <t>This paper gives an overview of the various analytical and black-box modeling strategies applied to smart dc micro/nanogrids.</t>
  </si>
  <si>
    <t>As dc power distribution systems are becoming a popular solution in many fields, e.g., data centers, smart grids, electrical vehicles, etc., the development of  black-box tools to assess the system-level integration of commercial converters could improve the time to market and minimize risk in the commissioning process.</t>
  </si>
  <si>
    <t>Different linear and nonlinear modeling techniques are reviewed describing their capabilities, but also their limitations.</t>
  </si>
  <si>
    <r>
      <rPr>
        <sz val="10"/>
        <color rgb="FF000000"/>
        <rFont val="Arial"/>
      </rPr>
      <t xml:space="preserve">Take into account for section </t>
    </r>
    <r>
      <rPr>
        <b/>
        <sz val="10"/>
        <color rgb="FF000000"/>
        <rFont val="Arial"/>
      </rPr>
      <t>3.5 power converters</t>
    </r>
    <r>
      <rPr>
        <sz val="10"/>
        <color rgb="FF000000"/>
        <rFont val="Arial"/>
      </rPr>
      <t xml:space="preserve">
</t>
    </r>
  </si>
  <si>
    <t>Design and Stability Analysis of DC Microgrid With Hybrid Energy Storage System</t>
  </si>
  <si>
    <t>10.1109/TSTE.2019.2891255</t>
  </si>
  <si>
    <t>This paper deals with the design and stability analysis of a dc microgrid with battery-supercapacitor energy storage system under variable supercapacitor operating voltage</t>
  </si>
  <si>
    <t xml:space="preserve">The effect of supercapacitor voltage variation on the stability of DC microgrid is analyzed with its accurate small signal model. An optimal supercapacitor voltage based DC link voltage controller design method is proposed to ensure the sufficient gain margin and phase margin at all supercapacitor voltages. The simulation and experimental results confirmed that the pro- posed design provides higher gain and phase margins than that of the conventional design. Therefore, the proposed controller design achieves superior dynamic response over a wide range of supercapacitor operating voltages
</t>
  </si>
  <si>
    <t xml:space="preserve">The major contributions of this work are:
1) Accurate modeling of DC microgrid with HESS. 2) Sensitivity analysis of DC microgrid with supercapacitor voltage variation.
3) Finding the optimal supercapacitor voltage to be consid- ered in the design such that the DC microgrid is stable at all supercapacitor operating voltages.
4) Designing the DC link voltage controller such that it pro- vides sufficient gain margin and phase margin at all supercapacitor operating voltages
</t>
  </si>
  <si>
    <t>12 V
32 V
112 V</t>
  </si>
  <si>
    <t>Batteries
Supercapacitor</t>
  </si>
  <si>
    <t xml:space="preserve">Analysis of Effective Three-Level Neutral Point Clamped Converter System for the Bipolar LVDC Distribution
</t>
  </si>
  <si>
    <t>10.3390/electronics8060691</t>
  </si>
  <si>
    <t>This paper studies a ±750 V bipolar DC distribution system and applies a 3-level neutral-point clamped (NPC) AC/DC converter for LVDC distribution</t>
  </si>
  <si>
    <t>The zero-sequence voltage injection method has limitations depending on the difference in load. Since the zero-sequence voltage for NP balance control is limited, the NP voltage cannot be controlled to be balanced when extreme load differences occur. In order to stably maintain the microgrid by using bipolar LVDC distribution, it is necessary to have a function to control the NP voltage balance even in the imbalance of extreme load. The 3-level NPC AC/DC converter is also required for the bi-directional operation of individual poles for bipolar LVDC distribution. 
In addition, it is also required to limit the current until the circuit breaker trips in the event of a short-circuit condition. However, a conventional 3-level NPC AC/DC converter does not satisfy these functions. Therefore, in this paper, since the 3-level NPC AC/DC converter alone cannot satisfy these functions, an additional DC/DC converter is proposed and is analyzed among various conditions.</t>
  </si>
  <si>
    <t>750 V</t>
  </si>
  <si>
    <t>yes</t>
  </si>
  <si>
    <t>Smart Transformer-Based Single Phase-To-Neutral Fault Management</t>
  </si>
  <si>
    <t>10.1109/TPWRD.2019.2899518</t>
  </si>
  <si>
    <t>This paper presents a flexible-control strategy, based on the phase-shift angle control between two healthy-phase voltages, that reduces the impact of the power 2nd harmonic oscillation and thus can delay the maintenance intervention. The proposed strategy aims to improve system performances by avoiding neutral-line current overload and attenuating ac side active power (low voltage dc-link voltage) oscillation</t>
  </si>
  <si>
    <t>*Depending on the grid conditions (small dc link capacitance or low ampacity of neutral cable), the voltage angle can be adapted, minimizing the impact of the two-phase operation system in the ST-fed grid.
*The ST, by controlling the voltage in each phase independently, is able to manage the operations during grid faults, in particular in the single-phase ones. 
*The ST, when a single-phase- to-ground fault occurs, can rapidly reduce the voltage in the phase under fault. Thus, it guarantees system safety and operateswith the remaining two healthy phases to avoid unnecessary interruption in the healthy lines. However, the two-phase asymmetrical operation challenges the system performances due to the high power 2nd harmonic ripple in the dc voltage, that reduces the capacitors, lifespan and the high current flowing in the neutral conductor. These issues would force the grid operator to increase the ST maintenance, in order to avoid unplanned faults in the ST hardware, due to failure of aged capacitors
*The results show how the ST is able to reduce the DC-link oscillation of 33%, while decreasing the current overload in the neutral conductor. This control decreases the impact of the power 2nd oscillation on the DC-link, increasing the relative lifetime of the DC-link capacitor of 3.4 times with respect the case without fault management control, and thus the intervention time for maintenance squads of distributed system operators to repair the faulty section.</t>
  </si>
  <si>
    <t>PSCAD
Lab. prototyped model</t>
  </si>
  <si>
    <t>A coordinated control strategies between AC/DC converter, DC/DC converter, and other units under different operation modes are proposed.</t>
  </si>
  <si>
    <t>DC Network islanded: Before simulation, VSC1 adopts Udc&amp;Q control, VSC2 adopts P&amp;Q control (Pref=50kW,Qref=0kVar), power of Load, DG, MG, and BESS is set to -20kW, 15kW, 25kW, -40kW, respectively; At t=0.5s, VSC1 and VSC2 exit, BESS adopts Udc control; At t=0.8s, power of Load is changed to -30kW; At t=1.0s, power of DG is increased to 25kW. Results shown in Fig.10 show that when VSC1 and VSC2 both exit, BESS can quickly establish voltage of DC network. Then, when power fluctuation of units such as Load, or DG, the voltage of DC network maintains stable. Typical operation modes of LV AC/DC distribution system based on DC Interconnection are analysed in this paper, and coordinated control strategies between units under different operation modes such as double-terminal, AC reactive/active power supporting, AC system islanded, and DC network island, are further proposed. The results show that proposed strategies can ensure stable operation of LV AC/DC distribution system.</t>
  </si>
  <si>
    <t>Fig. 1. The structure of LV AC/DC distribution system based on DC interconnection.</t>
  </si>
  <si>
    <t>Loolinwg Voltage AC/DC Distribution Based on DC Interconnection AC/DC Distribution Based on DC Interconnection</t>
  </si>
  <si>
    <t>Simulation: Model of LV AC/DC distribution system is established by Matlab/Simulink/ Rated voltage and frequency of AC systems are 380V, 50Hz/ Rated power of AC load 1 and AC load 2 are both 50kW/ Rated voltage of DC network is 800V/ Rated capacity of VSC1,VSC2, Load, DG, MG, and BESS is 100kVA, 100kVA, 30kVA, 25kVA, 50kVA, 90kVA. AC Distribution System</t>
  </si>
  <si>
    <t>Double-terminal, Single-terminal, AC active power supporting, Double-terminal operation, AC reactive power supporting, AC system islanded and DC network island.</t>
  </si>
  <si>
    <t>not mentioned</t>
  </si>
  <si>
    <t>AC 380V, DC 800V</t>
  </si>
  <si>
    <t>Section 4. Simulation verification and analysis</t>
  </si>
  <si>
    <t>V/f, P&amp;Q, U&amp;Q controls</t>
  </si>
  <si>
    <t>AC/DC and DC/DC</t>
  </si>
  <si>
    <t>Matlab/Simulink</t>
  </si>
  <si>
    <t>Wind, PV</t>
  </si>
  <si>
    <t>Yes (some scenarios)</t>
  </si>
  <si>
    <t>Short paper, few details are provide</t>
  </si>
  <si>
    <t>Tener en cuenta para typologias</t>
  </si>
  <si>
    <t>Propose a object-oriented method to analyze converter-interface DC microgrids in steady states and transients</t>
  </si>
  <si>
    <t>This paper introduced an object-oriented modeling of converters and other different components in DC grids comprising DERs, BESSs, and loads. Hence, the impact of different parameters on DC bus values implies that outer control parameters dominate the transient of DC microgrid. Then the small-signal stability and robustness of the DC microgrid test case is verified.</t>
  </si>
  <si>
    <t>Fig. 3. Simple DC network consisting of 4 sources and 3 loads</t>
  </si>
  <si>
    <t>Dynamical issues of DC grid with high- penetration of DERs</t>
  </si>
  <si>
    <t>Simulation + Method</t>
  </si>
  <si>
    <t>Microgrid/Connected</t>
  </si>
  <si>
    <t>400V (200V)</t>
  </si>
  <si>
    <t>Nominal DC (BESS): Table I</t>
  </si>
  <si>
    <t>Current controller, Voltage controller, MPPT</t>
  </si>
  <si>
    <t>10.1061/ (ASCE)EY.1943-7897.0000344</t>
  </si>
  <si>
    <t>a new sliding mode controller with a rotating reference voltage algorithm is proposed that improves the load sharing between distributed generators (DGs) in an islanded mode MG</t>
  </si>
  <si>
    <t>The mi- crogrid consisted of three low-voltage distributed generations and different load types such as balanced resistive, unbalanced resistive, inductive, and nonlinear load. using the proposed rotating reference signal has shown to be able to improve the steady-state results of the controller, such as output voltage peak, RMS, and THD.</t>
  </si>
  <si>
    <t>Fig. 3 Circuit diagram</t>
  </si>
  <si>
    <t>the performance and convergence rate of the controller</t>
  </si>
  <si>
    <t>Simulation, electric power grid</t>
  </si>
  <si>
    <t>Islanded microgrid</t>
  </si>
  <si>
    <t>Multibus</t>
  </si>
  <si>
    <t>300V</t>
  </si>
  <si>
    <t>Table 1</t>
  </si>
  <si>
    <t>Sliding mode current control</t>
  </si>
  <si>
    <t>AC/DC (SMC)</t>
  </si>
  <si>
    <t>Provide a novel modulation technique for a three-phase dc-dc converter</t>
  </si>
  <si>
    <t>A novel modulation technique has been presented for a three-phase bi-directional dc-dc converter for low voltage high current applications. Equal sharing of the input current among the three phases reduces the circulating currents in devices, hence lowering components’ current/voltage stresses and conduction losses.Three-phase operation increases the input current and output voltage ripple frequencies by a factor of three, thereby reducing filtering requirements.</t>
  </si>
  <si>
    <t>Fig. 1. Proposed three-phase ZCS bi-directional dc-dc converter</t>
  </si>
  <si>
    <t>improve the effective operating frequency of the converter</t>
  </si>
  <si>
    <t>Simulation, not provided</t>
  </si>
  <si>
    <t>Microgrid/connected</t>
  </si>
  <si>
    <t>Current-fed (Converter operation)</t>
  </si>
  <si>
    <t>12V in, 300V out</t>
  </si>
  <si>
    <t>Simulation results</t>
  </si>
  <si>
    <t>frequency modulation, Soft-switching</t>
  </si>
  <si>
    <t>Core proposal</t>
  </si>
  <si>
    <t>PSIM</t>
  </si>
  <si>
    <t>PV, fuel</t>
  </si>
  <si>
    <t>10.1051/e3sconf /20198402011</t>
  </si>
  <si>
    <t>Optimize an hibrid AC/DC microgrid operation</t>
  </si>
  <si>
    <t>As a conclusion the CLONALG algorithm was used in three tasks of optimization of operation points in hybrid AC/DC test microgrid. The fluctuations in the values of objective functions observed in the initial phase of the algorithm (see Fig. 9) result from the violation of the constraints. In the tasks of optimization of nodal voltage level and minimization of operational costs algorithm is stabilized very quickly, after about 50 iteration. The task of minimization of active power losses is more complex and requires about 100 iteration to stabilized the solution.</t>
  </si>
  <si>
    <t>Fig. 5. Key diagram of hybrid AC/DC low voltage test microgrid.</t>
  </si>
  <si>
    <t>optimal operation control of microgrids</t>
  </si>
  <si>
    <t>Simulation, countryside power grid, public building and residential</t>
  </si>
  <si>
    <t>radial</t>
  </si>
  <si>
    <t>400V</t>
  </si>
  <si>
    <t>Description of test microgrid</t>
  </si>
  <si>
    <t>EPC,</t>
  </si>
  <si>
    <t>AC/DC (EPC)</t>
  </si>
  <si>
    <t>DIgSILENT PowerFactory programing language</t>
  </si>
  <si>
    <t>PV, Wind</t>
  </si>
  <si>
    <t>Yes, just for DC grid</t>
  </si>
  <si>
    <t>AC and DC microgrid</t>
  </si>
  <si>
    <t>presents state-of-the-art protection schemes developed for DC Microgrids</t>
  </si>
  <si>
    <t xml:space="preserve">This paper demonstrated and investigated the current status of research on the implementation of protection scheme in LVDC distribution system. Fast operating DC CB has been used in some protection techniques on the expense of additional power devices resulting in increased losses and cost. The optimization of DCCBs is still under development stage balancing the cost, efficiency and quickness. Therefore, the characteristics of a DCCB still have to be taken into account when designing a specific fault detection and isolation scheme. The selection of system configuration and earthing scheme have a significant impact on the fault transient characteristics. Most of the methodologies developed for detecting and isolating DC fault requires communication among the relays.Due to the absence of fast and reliable DC fault discrimination and isolation methods, the available restoration methods after a DC faults are mostly based on block-and-reclose approaches.Hence, protection of LVDC Microgrids is a challenging task and a systematic approach needs to be considered including converter dynamics, system coordination and control and the fault contribution from the AC side. </t>
  </si>
  <si>
    <t>Figure 1. DC single bus configuration.// Figure 2. DC Bi-Polar Single Bus Configuration.// Figure 3. Ring bus configuration. // Figure 4. Interconnected bus configuration.</t>
  </si>
  <si>
    <t>the use of converters has given rise to several technical issues regarding their protections and controls of such devices under faulty conditions</t>
  </si>
  <si>
    <t>Review of literature</t>
  </si>
  <si>
    <t>bus bipolar, ring, interconnected</t>
  </si>
  <si>
    <t>Low Voltage DC (LVDC)</t>
  </si>
  <si>
    <t>DC Faults, earthing, breaker, restoration, location</t>
  </si>
  <si>
    <t>DC/DC, DC/AC</t>
  </si>
  <si>
    <t>Not applied</t>
  </si>
  <si>
    <t>Review of protections take into account for 3.4</t>
  </si>
  <si>
    <t>propose a snubber design method specialized for SSCB overvoltage suppression at bus fault interruption</t>
  </si>
  <si>
    <t>This paper mainly explores RCD snubber’s application in the overvoltage suppression of solid-state dc-bus fault inter- ruption. Through experimental verification, discharge- suppressing type I can indeed achieve better suppression of SSCB overvoltage and fault current with less cost and size as well as less impact on main circuit compared with the other two topologies.</t>
  </si>
  <si>
    <t>Fig. 1. Low-voltage dc-bus microgrid.</t>
  </si>
  <si>
    <t>Bus Fault
 Interruption in Low-Voltage DC Microgrid</t>
  </si>
  <si>
    <t>Experimental prototype, not provided</t>
  </si>
  <si>
    <t>450V y 700V</t>
  </si>
  <si>
    <t>Table I</t>
  </si>
  <si>
    <t>SSCB, Overvoltage</t>
  </si>
  <si>
    <t>Propose an smart integration of a DC microgrid to a low-voltage distribution network</t>
  </si>
  <si>
    <t xml:space="preserve">In this paper, the smart integration of a DC microgrid to a NLVDN is proposed.  The results depict that the developed controller succeeds to maintain bi-directional power flow controllability, while simultaneously acting as an active power filter to ensure improved power quality at the PCC under various loading conditions. It can be deduced that the compensation for reactive power and harmonics has been achieved effectively. To conclude, more smart integration of DC buildings/microgrids will help us tackle the distribution network problems regarding the rise of renewable energy penetration.
</t>
  </si>
  <si>
    <t>Figure 2. A block diagram for the proposed control technique.</t>
  </si>
  <si>
    <t>voltage fluctuation</t>
  </si>
  <si>
    <t>Simulation + Experimental prototype, Neighborhood, IEEE 13-bus test feeder system</t>
  </si>
  <si>
    <t>380V</t>
  </si>
  <si>
    <t>MPPT, switches</t>
  </si>
  <si>
    <t>Boost, AC/DC</t>
  </si>
  <si>
    <t>propose a short-circuit protection methodology based on solid-state circuit breakers (SSCBs)</t>
  </si>
  <si>
    <t>This paper addressed the challenges faced in protection of dc distribution systems by evaluating a fault-current-limiting protection scheme in low-voltage dc microgrids. The proposed fault-current-limiting algorithm ensured that the power flow was continuous in the dc microgrid while only the current in the faulted section was limited. Even though the base system was a simple one having only one source and one power converter, the presented analysis should be applicable to (dc) microgrids having multiple sources and power converters.</t>
  </si>
  <si>
    <t>Fig. 1. Simplified 1kV dc microgrid system</t>
  </si>
  <si>
    <t>issues associated with short-circuit protection of low-voltage dc</t>
  </si>
  <si>
    <t xml:space="preserve">Simulation, not provided, just mention a load of 1kV </t>
  </si>
  <si>
    <t>1000V</t>
  </si>
  <si>
    <t>FCL, overcurrent</t>
  </si>
  <si>
    <t>DC/DC, buck</t>
  </si>
  <si>
    <t>propose an improved secondary control strategy with maximum loading factor (MLF) for accurate power sharing in dc MGs</t>
  </si>
  <si>
    <t>This paper presents a distributed secondary control method to achieve accurate power sharing in dc MGs. Afterafewcommunications,accuratepowersharingwas achieved with the proposed method. Even under commu- nication failures, the proposed control method was less affected because the failure unit worked in a droop mode, and the rest of DERs self-organized and continued to work normally.</t>
  </si>
  <si>
    <t>Fig. 12. Schematic of the dc MG in the experiment.</t>
  </si>
  <si>
    <t>tradeoff between power sharing and flexibility of dc microgrid</t>
  </si>
  <si>
    <t>Experimental prototype, not provided, just mention several load at irregular requirements</t>
  </si>
  <si>
    <t>Fig 12</t>
  </si>
  <si>
    <t>Table II</t>
  </si>
  <si>
    <t>Boost, DER, DC/DC</t>
  </si>
  <si>
    <t>propose a machine learning approach to fault detection</t>
  </si>
  <si>
    <t xml:space="preserve">Protective methodologies using system identification and machine learning tools in order to refine and to accelerate fault detection in DC grids with 380 V system voltage have been introduced. </t>
  </si>
  <si>
    <t>Fig. 1. Laboratory DC 380 V test-grid at Fraunhofer IISB: Several sources and loads connected with converters to the supply bus, measurements at artificially induced serial fault within feeder cabling to one load [5].</t>
  </si>
  <si>
    <t>protection of dc microgrids with low voltage</t>
  </si>
  <si>
    <t>fault detection, breakers</t>
  </si>
  <si>
    <t>AC/DC, DC/DC</t>
  </si>
  <si>
    <t>10.3390/electronics9010009</t>
  </si>
  <si>
    <t>propose a new type of DC power distribution management system</t>
  </si>
  <si>
    <t>the motivation of this work is how to achieve the energy management of the power distribution system and reduce the impact caused by the high permeability of renewable energies, thereby improving resource utilization as much as possible. 1. The architecture and model of the DC power distribution management system have been established to coordinate the dispersive DC microgrids in real time, optimize the scheduling of DG, and achieve the economic operation of the DC power distribution management system.
2. The DC power distribution management system that can carry out the unified allocation of the interchange power between all the DC microgrids and the AC distribution networks, together with the reactive power compensation equipment SVC, has been used to achieve load flow optimization of the power distribution network. The method proposed in this paper can effectively reduce the power distribution network loss.
3. As far as the utilization of renewable energies is concerned, the real-time optimization control via the DC power distribution management system can effectively avoid a series of problems caused by fluctuations in the output of renewable energies, greatly reducing the level of wind abandonment in centralized wind farms.</t>
  </si>
  <si>
    <t>Figure 1. Direct current (DC) power distribution management system.</t>
  </si>
  <si>
    <t>the operating cost of the entire DC power distribution system</t>
  </si>
  <si>
    <t>Experimental prototype, load standard value curve, not more is provided</t>
  </si>
  <si>
    <t>modular multilevel converter</t>
  </si>
  <si>
    <t>PV, Wind, Microturbine</t>
  </si>
  <si>
    <t>maintaining low voltage regulation and proportional load sharing in various load conditions are the main objectives</t>
  </si>
  <si>
    <t xml:space="preserve">We proposed a cooperative secondary control based on neighbor-to-neighbor communication to attain low voltage regulation and proportional load sharing. This cooperative strategy reduced the cyber network size considerably. Hence, the usage of the proposed control strategy not only allows us to meet the control objectives but also imparts scalability and reliability to the dc microgrid. </t>
  </si>
  <si>
    <t>Fig. 1: A typical dc microgrid with sources, local loads and remote loads.</t>
  </si>
  <si>
    <t>a vast and unreliable communication architecture</t>
  </si>
  <si>
    <t>Simulation, There are four local loads and one remote load in the microgrid (Table I)</t>
  </si>
  <si>
    <t>voltage, droop</t>
  </si>
  <si>
    <t>Algorithmic proposal</t>
  </si>
  <si>
    <t>improve the voltage regulation of one bus or the average voltage regulation of the entire system</t>
  </si>
  <si>
    <t xml:space="preserve">A distributed secondary controller based on the quality index was proposed in this paper. 1) The proposed method used only current information from other converters to ensure both the improved voltage reg- ulation and the proportional current sharing. This reduces congestion in the communication network. 2) This method was operated at the minimum quality in- dex point for each source, thereby ensuring the improved voltage regulation at each source bus. The current sharing error was brought down from 34.06% to 0.79%, while the voltage regulation was improved from 12.8% to 3.6%. </t>
  </si>
  <si>
    <t>Fig 1. (a) General multiconverter dc microgrid system.</t>
  </si>
  <si>
    <t>the voltage regulation of one bus or the average voltage regulation of the entire system</t>
  </si>
  <si>
    <t>Simulation + experimental (prototype with two local load, Fig. 9, load evaluation)</t>
  </si>
  <si>
    <t>voltage, current, droop</t>
  </si>
  <si>
    <t>DC/DC</t>
  </si>
  <si>
    <t>Mathematical analysis</t>
  </si>
  <si>
    <t>A new protection algorithm is proposed which isolates only the faulted section</t>
  </si>
  <si>
    <t xml:space="preserve">A new protection system for the DC ring type microgrid without de-energizing of the entire grid has been proposed in this paper. The current derivative thus obtained is used for locating the fault with the help of Fuzzy Logic. </t>
  </si>
  <si>
    <t>Fig. 1. DC ring microgrid structure</t>
  </si>
  <si>
    <t>for DC distribution system is the lack of a good protection system</t>
  </si>
  <si>
    <t>230V</t>
  </si>
  <si>
    <t>fault, brakers</t>
  </si>
  <si>
    <t>a model of low-voltage DC microgrid protection during short circuit current is simulated</t>
  </si>
  <si>
    <t>This paper illustrates short-circuit current due to fault occurrence in low voltage DC microgrids.  This study shows that line to line fault is more harmful and its management is harder than line to ground fault. The accurate adjustment of threshold is important and as fast as the system reacts on fault, the changes in current and voltage-drop are less. Also the correct and accurate selection of components and various parts of this coordinated system could manage the faults better.</t>
  </si>
  <si>
    <t>Fig. 1. Equivalent circuit model.</t>
  </si>
  <si>
    <t>protection of the DC distribution line during a short-circuit</t>
  </si>
  <si>
    <t>bipolar</t>
  </si>
  <si>
    <t>250V</t>
  </si>
  <si>
    <t>current</t>
  </si>
  <si>
    <t>optimize snubber design</t>
  </si>
  <si>
    <t>This paper mainly focuses on performance analysis of two promising snubber circuits during dc bus fault interruption in LVDC system: traditionally improved RCD snubber- Discharge-Suppressing Type I (DST I) and new candidate MOV. The results show that DST I have better overvoltage suppression. The maximum transient bus currents of these two snubber circuits are almost the same. MOV stands out for shorter fault clearing time and a much cheaper cost, however, along with larger transient fluctuation than that of DST I.</t>
  </si>
  <si>
    <t>Fig. 1. Snubber process of two topologies (a) Discharge-Suppressing Type I
 (b) MOV</t>
  </si>
  <si>
    <t>protect solid-state circuit breaker (SSCB) from transient impacts under short circuit fault</t>
  </si>
  <si>
    <t>Experimental, not provided</t>
  </si>
  <si>
    <t>microgrid</t>
  </si>
  <si>
    <t>200V</t>
  </si>
  <si>
    <t>fault, breaker</t>
  </si>
  <si>
    <t xml:space="preserve">10.1109/ICIEA.2018.8397866
</t>
  </si>
  <si>
    <t>studies a parallel full-bridge converter with less ripple current and balance load current for low voltage DC microgrid applications.</t>
  </si>
  <si>
    <t>A parallel FB converter with series transformers is proposed to implement the main advantages of wide ZVS operation from 25% to 100% load, less output ripple current, balance primary and secondary side currents and less switch counts compared to the conventional parallel full-bridge converter.  The cross connection of transformers at the primary and secondary sides is adopted to balance naturally the primary and secondary currents.  The current doubler rectifiers are used reduce the output ripple current.</t>
  </si>
  <si>
    <t>Fig. 2 Circuit diagram of the proposed ZVS DC/DC converter.</t>
  </si>
  <si>
    <t>the zero-voltage switching range of lagging-leg switches</t>
  </si>
  <si>
    <t>Experimental, local prototype, not provided</t>
  </si>
  <si>
    <t>full-bridge</t>
  </si>
  <si>
    <t>laboratory prototype</t>
  </si>
  <si>
    <t xml:space="preserve">10.1109/JESTPE.2018.2885613
</t>
  </si>
  <si>
    <t>a new four-port, dual-input-dual-output (DIDO) dc-dc converter topology is proposed for interfacing the solar PV and fuel cell (FC) sources to a low-voltage BDCMG</t>
  </si>
  <si>
    <t>In this paper, a new DIDO dc-dc converter is proposed, which is used for interfacing PV and FC sources to a low- voltage BDCMG system. the proposed converter uses fewer switches and only one inductor. the proposed converter can work with two degrees of freedom. It was analysed and concluded that for a given set of output voltages and based on the values of the input voltages, the duty ratios d1 and d2 can take two conditions, i.e., d1 &lt; d2 or d1 &gt; d2. it was observed, MPPT operation of the PV was accomplished by sensing only the inductor current and PV voltage. It was observed that the proposed converter exhibits a peak efficiency of around 93% and an efficiency of around 87% close to rated power (200W).</t>
  </si>
  <si>
    <t>Fig. 2. (a) Circuit configuration of the proposed converter; (b) Alternate representation of loads.</t>
  </si>
  <si>
    <t>a bipolar dc microgrid (BDCMG) demands multiple conventional dc-dc converters to feed power to both the poles of the bipolar dc grid</t>
  </si>
  <si>
    <t>Experimental, Simulation, not provided but Table II provides load values</t>
  </si>
  <si>
    <t>48V</t>
  </si>
  <si>
    <t>voltage, current</t>
  </si>
  <si>
    <t>Matlab, Laboratory</t>
  </si>
  <si>
    <t xml:space="preserve">10.1109/PVSC.2015.7356272
</t>
  </si>
  <si>
    <t>a new boost-SEPIC interleaved type dc-dc converter is proposed for a low-voltage bipolar dc microgrid application</t>
  </si>
  <si>
    <t xml:space="preserve">A new boost-SEPIC interleaved type converter has been proposed and analyzed for interfacing a PV source to a low­ voltage bipolar dc microgrid. It is seen that the proposed converter draws low ripple current from the PV source. Hence, the MPPT efficiency is increased and the size of the filter capacitor used at the output of the PV can be reduced. </t>
  </si>
  <si>
    <t>Fig. 2 Circuit diagram of boost-SEPIC interleaved converter.</t>
  </si>
  <si>
    <t>low ripple current from the PV source</t>
  </si>
  <si>
    <t>The objective of this paper is to present the designing of a control strategy for a 48 V radial unipolar DC microgrid. P</t>
  </si>
  <si>
    <t xml:space="preserve">The simulation results verify the correct operation of the proposed control algorithm under solar intermittency and load variations in all the operating modes of the DCMG: grid connected, in transition and islanded operations. </t>
  </si>
  <si>
    <t>The DC microgrid (DCMG) system developed in this paper is a low voltage (48 V) power network consisting of a solar PV array, battery storage and passive DC loads in a radial configuration as shown in Fig. 1.</t>
  </si>
  <si>
    <t>Control</t>
  </si>
  <si>
    <t>MicroGrid parcialmente aislada</t>
  </si>
  <si>
    <t>In order to ensure the stability of the system, the active power flow within the DC microgrid must be balanced in both grid-connected and islanded operation of the DCMG ensuring DC voltage being maintained at the required level.</t>
  </si>
  <si>
    <t>A two-level Voltage Source Converter (VSC) with Active Front End (AFE) filter is used for interfacing the DC microgrid to the single phase AC grid (230V, 50 Hz).</t>
  </si>
  <si>
    <t xml:space="preserve">This paper brings together various concerns that have been expressed in DC distribution at low voltages for consumption in domestic and other building needs. </t>
  </si>
  <si>
    <t xml:space="preserve">A suitable voltage level of 48 V, and a suitable distribution scheme are presented along with some field experiences of installation of such systems.
</t>
  </si>
  <si>
    <t xml:space="preserve">The architecture for a DC distribution system proposed is as shown in Fig. 5. </t>
  </si>
  <si>
    <t>Voltage Levels</t>
  </si>
  <si>
    <t>12, 24, 48, 110 V</t>
  </si>
  <si>
    <t>Test físicos con estado del arte en seguridad</t>
  </si>
  <si>
    <t xml:space="preserve">Estudia las pérdidas y la seguridad de distintos niveles de tensión y concluye que 48 V es lo más razonable en edificios. </t>
  </si>
  <si>
    <t>Therefore, the main focus of this paper is on SSCB suitable for
voltages under 1 kVdc.</t>
  </si>
  <si>
    <t xml:space="preserve">Metal oxide varistor (MOV), snubber circuits and freewheeling diodes are used to protect the semiconductor devices against overvoltage. Six configurations for a voltage clamp for a SSCB are analyzed in this paper when inductive components are present on the load sides. Finally, the experimental results verified that series connected diode and MOV clamping provides better overvoltage protection for the SSCB.
</t>
  </si>
  <si>
    <t>For illustration purposes, Fig. 1 presents a topology of a generic dc-powered datacenter which could be considered as a low-voltage dc microgrid.</t>
  </si>
  <si>
    <t>Distintos tipos de interruptores sólidos para DC</t>
  </si>
  <si>
    <t>datacenter</t>
  </si>
  <si>
    <t xml:space="preserve">MOV,  RCD Snubber and  Freewheeling Diode
</t>
  </si>
  <si>
    <t>Sección 2 and fig 5</t>
  </si>
  <si>
    <t>Prototipo</t>
  </si>
  <si>
    <t>10.1049/joe.2018.9365</t>
  </si>
  <si>
    <t xml:space="preserve">Discusses different DC microgrid earthing opportunities, and comprehensively evaluates through detailed simulation studies the influence of different earthing methods on the fault behaviour of DC microgrid. </t>
  </si>
  <si>
    <t xml:space="preserve">A transient model of an active DC microgrid is developed in PSCAD/EMTDC and used for the paper studies. </t>
  </si>
  <si>
    <t>Fig. 4 DC microgrid test network</t>
  </si>
  <si>
    <t>earthing</t>
  </si>
  <si>
    <t>Several buildings</t>
  </si>
  <si>
    <t xml:space="preserve">For the purpose of this study and due to its simplicity, a radial configuration has been used in the test DC microgrid model.
</t>
  </si>
  <si>
    <t>750 / 200 / 48 V</t>
  </si>
  <si>
    <t>Fig. 1 DC microgrid earthing schemes [8]</t>
  </si>
  <si>
    <t xml:space="preserve">wo-level voltage source converter (VSC) </t>
  </si>
  <si>
    <t xml:space="preserve">PSCAD/EMTDC
</t>
  </si>
  <si>
    <t xml:space="preserve">An ILVDC based system is developed for interconnection of scattered source to form a microgrid that may eventually be connected to the grid. </t>
  </si>
  <si>
    <t xml:space="preserve">Figure 2: local area micro grid
Figure 3: local area micro grid model in Simulink
</t>
  </si>
  <si>
    <t>Interconexión de microproductores para formar una microred</t>
  </si>
  <si>
    <t>3 prosumers y un consumidor</t>
  </si>
  <si>
    <t xml:space="preserve">Figure 6: Sparse areas microgrids interconnection
Figure 7: Microgrids integration to the grid
</t>
  </si>
  <si>
    <t xml:space="preserve">Figure 3: local area micro grid model in Simulink
</t>
  </si>
  <si>
    <t xml:space="preserve">Table 1 SimuIation parameters
</t>
  </si>
  <si>
    <t>AC/DC para alimentar las carges en las viviendas</t>
  </si>
  <si>
    <t xml:space="preserve">Simulink
</t>
  </si>
  <si>
    <t>El paper es malo con dolor, solo presentan la arquitectura y unas curvas de consumo de los generadores desconectados y conectados que podría ser cualquier cosa</t>
  </si>
  <si>
    <t>No será considerado para el anáisis aunque sí será tomado como un número mas</t>
  </si>
  <si>
    <t>Mejorar las prestaciones de turbina eólica con generador de inducción de doble alimentación que alimenta a un MG aislada de 2 kV</t>
  </si>
  <si>
    <t>El sistema de control propuesto contribuirá al efecto estabilizador de la MG y disminuirá los costes en las redes de DC</t>
  </si>
  <si>
    <t>Fig 2 circuito de control SMES-FCL / Fig 3. Controller del SMES /Fig. 4 controler del FCL</t>
  </si>
  <si>
    <t>Regular la fluctuación de potencia eólica generada / Garantizar la alimentación AC que necesita el generador asíncrono en caso de falta/ matener estabilidad en la red en caso de falta</t>
  </si>
  <si>
    <t xml:space="preserve">2 generadores eólicos (3 MW)/Carga total en 2 lineas (900 kW)/No hay sistema de almacenamiento </t>
  </si>
  <si>
    <t>MicroGrid aislada</t>
  </si>
  <si>
    <t>La red que simla la carga tien un Bus, con dos líneas radiales / otro Bus alimenta convertidor AC/DC para generadores de inducción</t>
  </si>
  <si>
    <t>La red DC es de 2 kV / la alimentación de los generadores no especificada</t>
  </si>
  <si>
    <t>AC/DC para los generadores de inducción</t>
  </si>
  <si>
    <t xml:space="preserve">El SMES-FCL (objetivo del paper) es un DC/DC </t>
  </si>
  <si>
    <t>MATLAB/SymPowerSystems</t>
  </si>
  <si>
    <t>WIND</t>
  </si>
  <si>
    <t>Un supercondensador amortigua las fluctuaciones de la potencia de los aerogeneradores</t>
  </si>
  <si>
    <t>Estrategia de control para mantener el equilibrio en la MGmaximizando la captación PV y minimizando los efectos en la red AC</t>
  </si>
  <si>
    <t xml:space="preserve">•        The goal of this control scheme is to maximize the power coming from the renewable resources (PV in this case) and minimize the effect of solar output variability on the main AC grid
•        Also a layer of supervision is proposed to optimize the usage of BESSs of the system and compensate for voltage drop/rise due to the implementation of linear droop.
•        The master controller communicates with the converters of the system to set their parameters to achieve the optimal state (Feasibility and effectiveness of the proposed method was verified in a lab-scale test bed and the results were presented)
</t>
  </si>
  <si>
    <t xml:space="preserve">Fig. 2. </t>
  </si>
  <si>
    <t>Tanto en funcionamiento regular como en caso de fallo, se busca maximizar la captación de energía solar y no perjudicar a la red AC</t>
  </si>
  <si>
    <t xml:space="preserve">Prototipo de laboratorio. Inversor de 5 kW. Emulador de placas solares de 10 kW. Sistema de almacenamiento por baterias de 100 kWh. 2 convertidores DC/DC para las baterías. Ultracapacitor de 10 F. Carga total 4.3 kW (En DC lámaparas LED  y en AC, ventiladores industriales) </t>
  </si>
  <si>
    <t>Conectada a red con convertidor AC/DC</t>
  </si>
  <si>
    <t>Solo una línea. Las cargas y las fuentes en paralelo.</t>
  </si>
  <si>
    <t>340 - 360 Vdc</t>
  </si>
  <si>
    <t>Covertidor bidireccional AC/DC de 5 kW para la red. Un cconvertidor DC/AC para ventiladores de alterna. Un convertidor DC/DC para banco de baterías. Un convertidor DC/DC para lámparas LED</t>
  </si>
  <si>
    <t>Emulan un PV, pro no es realmente fuente renovable.</t>
  </si>
  <si>
    <t>Sí, 100 kWh</t>
  </si>
  <si>
    <t>A novel decentralized voltage control method for direct current microgrids with sensitive loads</t>
  </si>
  <si>
    <t>doi.org/10.1002/etep.1833</t>
  </si>
  <si>
    <t>Sistema para controlar el nivel de tensioón para cargas muy sensibles</t>
  </si>
  <si>
    <t xml:space="preserve">El método de control de la VbPV es un método de control distribuido práctico, sencillo, económico, escalable, modular, altamente fiable y autónomo por:
•        Se basa en el más habitual de microredes de CC con cargas sensibles, compatible con las diversas microrredes reales que contienen líneas eléctricas resistivas ordinarias de diferentes longitudes
•        Los resultados muestran que minimiza eficazmente las caídas de tensión y las corrientes entre zonas en las microrredes de CC: hace que las cargas en las microrredes de CC sean alimentadas por las fuentes distribuidas más cercanas tanto como sea posible
•        Minimiza la pérdida de potencia y maximiza la liberación de la capacidad de la línea
•        Es un método de control no complicado, y permite añadir, eliminar o sustituir fácilmente diferentes fuentes
</t>
  </si>
  <si>
    <t xml:space="preserve">Fig. 5. </t>
  </si>
  <si>
    <t xml:space="preserve">Red con varias fuentes DC variables y varias gargas, se pretende mantener la tensión de los nodos en un valor lo más constante posible. Se consideran las pérdias de lso conductores. </t>
  </si>
  <si>
    <t>Se estudian varios casos. Potencias máximas del orden de 1000 kW</t>
  </si>
  <si>
    <t>off grid</t>
  </si>
  <si>
    <t>Radial, con fuentes y cargas distribuidas en diferentes ramas</t>
  </si>
  <si>
    <t>326 Vdc</t>
  </si>
  <si>
    <t>GAMS (Software de optimización) / BARON como solver</t>
  </si>
  <si>
    <t>Simula PV</t>
  </si>
  <si>
    <t>Artículo de control</t>
  </si>
  <si>
    <t>OMITIR</t>
  </si>
  <si>
    <t>Sistema de control de una MG hybrid con alimentación de red y renovable, con cargas AC y DC. Resulta interesante el transformador de estado sólido, con varias estapas. La temática principal es la electrónica de potencia para hacer la integración de renovables y MG DC en la red eléctrica</t>
  </si>
  <si>
    <t xml:space="preserve">•        Se presentan estrategias de control para para una operación eficiente, localizada y estable
•        El sistema HMG configurado es capaz de operar tanto en modo de interacción con la red como en modo de isla con la unidad ESD centralizada
•        Es una estrategia de control para una transición sin problemas de un modo a otro
</t>
  </si>
  <si>
    <t xml:space="preserve">Fig. 1 esquema. instalacion. Fig. 2 circuito transformador. </t>
  </si>
  <si>
    <t>Integración de renovables en la red eléctrica. Integración de MG DC con almacenamiento en la red eléctrica. Smart grid.</t>
  </si>
  <si>
    <r>
      <rPr>
        <b/>
        <sz val="11"/>
        <rFont val="Cambria"/>
      </rPr>
      <t xml:space="preserve">Simulación: </t>
    </r>
    <r>
      <rPr>
        <sz val="11"/>
        <rFont val="Cambria"/>
      </rPr>
      <t>Red AC, 20 kW de PV, 10 kW de WT, carga Pico AC TL y DC de 40 kW. MG DC, 40 kW de PV, 20 kW de WT carga de 40 kW. Almacenamiento (ESD), 96 V, 6000 Ah./</t>
    </r>
    <r>
      <rPr>
        <b/>
        <sz val="11"/>
        <rFont val="Cambria"/>
      </rPr>
      <t>Laboratorio</t>
    </r>
    <r>
      <rPr>
        <sz val="11"/>
        <rFont val="Cambria"/>
      </rPr>
      <t>: red AC 0,1 kW, carga AC 0,05, 12 Vac. MG DC 0.225 KWsource, 0.05LW carga, 60 Vdc y 30 V dc. Red trifásica 24 V (P-N)</t>
    </r>
  </si>
  <si>
    <t>Grid conected</t>
  </si>
  <si>
    <t>2 MG, una AC y otra DC conectadas a la red por un transformador de estado sólido. La topologías de la MG no es relevante en el paper</t>
  </si>
  <si>
    <t>750 Vdc</t>
  </si>
  <si>
    <t>Bidirecctional DAB DC-DC, Bidirectional Three-Phase DC-AC</t>
  </si>
  <si>
    <t>WT y PV</t>
  </si>
  <si>
    <t>Sí</t>
  </si>
  <si>
    <t>Es un artículo de control básicamente. Muy intresante proque el objetivo es la integración de MG, tanto AC como DC en redes de distribución</t>
  </si>
  <si>
    <t>Análisis comparativo de grouding</t>
  </si>
  <si>
    <t>Es una comparativa de estrategias de protección de MG en DC, analizando la fiabilidad del suministro, la seguridad de los equipos y las personas.</t>
  </si>
  <si>
    <t>Análisis comparativo de estrategias de grounding, que incluye configuraciones y dispositivos</t>
  </si>
  <si>
    <t>Modelo de simulación. Conexión a red 1 MVA.  Turbina eólica 1MW.  Dos PV de 0.5 MW cada una. BESS de 0.57 kAh. Carga total 1228.5 kW</t>
  </si>
  <si>
    <t>1500 V</t>
  </si>
  <si>
    <t>Tanto bipolar (-750, +750) como unipolar (0, +1500)</t>
  </si>
  <si>
    <t>Múltiples... precisamente es un comparativa de protecciones</t>
  </si>
  <si>
    <t xml:space="preserve">Uno bidireccional AC/DC para la red . Uno AC/DC para la turbina eólica. Dos DCboost converters para 2 fuentes PV. </t>
  </si>
  <si>
    <t>PSCAD/EMTDC</t>
  </si>
  <si>
    <t>1 WT de 1MW y 2 PV de 0.5 MW cada una.</t>
  </si>
  <si>
    <t>Potencia 0.8 MW, capacidad 0.57 kAh</t>
  </si>
  <si>
    <t>10.1109/ICDCM.2017.8001026</t>
  </si>
  <si>
    <t>Analizar los diferentes métodos y arquitecturas de tomas de tierra en redes DC</t>
  </si>
  <si>
    <t xml:space="preserve">•        Las dos arquitecturas mejores  de sistema de protección son los sistemas unipolares HRMG y los sistemas bipolares no aislados de punto medio de resistencia a tierra
•        Las ventajas de los sistemas de DC no se limitan a la mayor eficiencia y el menor costo, sino también a la mayor fiabilidad y seguridad que los sistemas de AC.
</t>
  </si>
  <si>
    <t>Es un análsisi compatrativo de diferentes soluciones existentes. En vez de poner el foco en eficienta y coste, se centra en realizabilidad y seguridad.</t>
  </si>
  <si>
    <t>380 Vdc</t>
  </si>
  <si>
    <t>Grounding</t>
  </si>
  <si>
    <t>MATLAB/Simulink</t>
  </si>
  <si>
    <t>Describe y compara dos filosofías diferentes  para sistemas de protección basadas en circuitos interruptores de estado sólido</t>
  </si>
  <si>
    <t xml:space="preserve">•        Es muy importante el sistema de protección en las instalaciones con PV
•        La protección DESAT (desaturación) no es una buena protección para los componentes de conmutación del FEC (convertidor)
•        La protección debe ser más rápida y segura. Se propone un interruptor estático bidireccional o un interruptor tradicional rápido implementados junto con la protección DESAT y el sobredimensionamiento de los diodos de la FEC
</t>
  </si>
  <si>
    <t>Cómo afectan los fallos  que ocurren en el lado DC a la red AC, y cómo proteger la red. En particular analizan cortocircuito y falta a tierra</t>
  </si>
  <si>
    <t>FEC (Front End Converter) 100 kW; PV  30 kW</t>
  </si>
  <si>
    <t>AC (230 V) DC (400 V)</t>
  </si>
  <si>
    <t>Estdo sólido</t>
  </si>
  <si>
    <t>Esel objetivo del paper. Diseñar y comparar los sistemas de protección</t>
  </si>
  <si>
    <t>Bidireccional</t>
  </si>
  <si>
    <t>Hace simulación numérica pero no especifica la herramienta</t>
  </si>
  <si>
    <t>Sistema para equilibrar baterías distribuidas en MG DC aislada</t>
  </si>
  <si>
    <t>Es un algoritmo de equilibrado de sistemas de almacenamiento para sistemas aislados, pero fácilmente adaptable a MG conectadas a red</t>
  </si>
  <si>
    <t>Es un sistema de control distribuido para el equilibrado de baterías  en una red DC aislada</t>
  </si>
  <si>
    <t>Potencia de carga 260 W y de descarga 100W</t>
  </si>
  <si>
    <t>Off grid</t>
  </si>
  <si>
    <t>48 Vdc</t>
  </si>
  <si>
    <t>Todos DC/DC</t>
  </si>
  <si>
    <t>MAT- LAB/Simulink model that was downloaded into a dSPACE 1006 platform (HiL)</t>
  </si>
  <si>
    <t>Minimizar costes e impacto ambiental de una MG aislada mediante un sistema de gestión de energía que incluye almacenamiento en baterías</t>
  </si>
  <si>
    <t>Algoritmo de optimización multiobjetivo con restricciones. Los resultados de los escenarios de costo mínimo y emisión mínima se emplean para asignar la restricción adecuada que satisfaga la condición de viabilidad.</t>
  </si>
  <si>
    <t>Optimización d costes e impacto</t>
  </si>
  <si>
    <t>Generador dieses 48 kW, microturbina 45 kW, fuel cell H2 50 kW,  Pv sin especificar, sistema de almacenamiento 50 kWh</t>
  </si>
  <si>
    <t>1 bus</t>
  </si>
  <si>
    <t>juega con potencias y costes, no baja a detalles técnicos de la instalación</t>
  </si>
  <si>
    <t>Controlar las distribuciones de potencia de forma distribuida</t>
  </si>
  <si>
    <t xml:space="preserve">•	El sistema de control distribuido para la caída de tensiones es más eficaz que los convencionales.
•	También se verifica la fiabilidad del convertidor en caso de fallo del enlace de comunicación
</t>
  </si>
  <si>
    <t>Equilibrar la distribución de potencias, mantener el nivel de tensión adecuado, mediante un sistema de controladores descentralizados</t>
  </si>
  <si>
    <t>200 W</t>
  </si>
  <si>
    <t>100 Vdc</t>
  </si>
  <si>
    <t>DC/DC y AC/DC</t>
  </si>
  <si>
    <t>Matlab/Simulink y prototipo de laboratorio</t>
  </si>
  <si>
    <t>PV y WT</t>
  </si>
  <si>
    <t>The authors described \cite{8069980} that conventional angle droop control strategy can not be applicable in dominant resistive networks like DC MGs, an inverse angle droop with added virtual resistive impedance control is utilized for highly resistive rural distributed lines. Thus, the load sharing is achieved by controlling voltage and reactive power by angle droop method. By subtracting a resistive drop proportional to DG output current, which has the effect of decoupling between active and reactive power. Moreover, lesser deviation in network as well as DG frequency are attractive features of this method.</t>
  </si>
  <si>
    <t>Regualr la tensión mediante distribución de carga minimizando las comunicaciones. Se hace con estimadores. Cada fuente se comunica solo con los elementos contiguos</t>
  </si>
  <si>
    <t xml:space="preserve">•        El controlador distribuido propuesto ofrece la misma respuesta en estado estacionario con menos enlaces de comunicación
•        El esquema propuesto permite una fácil escalabilidad de la microrred DC
</t>
  </si>
  <si>
    <t>Regular la tensión y equilibrar la generación de las fuentes disponibles</t>
  </si>
  <si>
    <t>4 generadores, potencia total 200 kW</t>
  </si>
  <si>
    <t>un bus</t>
  </si>
  <si>
    <t>400 Vdc</t>
  </si>
  <si>
    <t>Teórico. No hay circuito. Flujo de potencias.</t>
  </si>
  <si>
    <t>No especifica</t>
  </si>
  <si>
    <t>TAke into accounto for topologies</t>
  </si>
  <si>
    <t>Mejorar la eficiencia de los convertidores DC/DC</t>
  </si>
  <si>
    <t xml:space="preserve">•        Se trata de una propuesta de electrificación de un edificio de servicios en DC, para mejorar la eficiencia de los convertidores.
•        Dos niveles de tensión en DC, para alimentar cada carga a la tensión más conveniente
</t>
  </si>
  <si>
    <t>Es una instalación real. Quiere mejorar la eficiciencia de los convertidores</t>
  </si>
  <si>
    <t>Rango de consumo entre 16 kWh a 38 kWh. PV 6,6 kW. Sistema de almacenamiento 17,6 kWh</t>
  </si>
  <si>
    <t>Dos buses de distintos niveles de tensión</t>
  </si>
  <si>
    <t>380 Vdc y 48 Vdc</t>
  </si>
  <si>
    <t>Inversor para conexión a red. convertidores DC/DC</t>
  </si>
  <si>
    <t>Si</t>
  </si>
  <si>
    <t>10.1109/IAS.2018.8544718</t>
  </si>
  <si>
    <t>Diseñar un sistema óptimo de conversión de energía solar para aplicaciones espaciales</t>
  </si>
  <si>
    <t>Creo que no se corresponde con este review</t>
  </si>
  <si>
    <t>Estudia varias topologías</t>
  </si>
  <si>
    <t>la optimización es de acuerdo al tipo de convertidor y sus parámetros</t>
  </si>
  <si>
    <t>Regular la tensión con u n sistema basado en Superimposed Frequency</t>
  </si>
  <si>
    <t xml:space="preserve">•        El control de tensión se hace de forma distribuida, sin red de comunicación adicional. Cada convertidor se controla localmente, de acuerdo a sus datos nominales.
•        Este sistema es más fiable que los convencionales con control centralizado
</t>
  </si>
  <si>
    <t>Regular la tensión de la MG</t>
  </si>
  <si>
    <t xml:space="preserve">Cargas, DC motor de 1, 1.3 y 4 kW. </t>
  </si>
  <si>
    <t>Off-grid (instalación experimental)</t>
  </si>
  <si>
    <t>2 fuentes alimentan una carga</t>
  </si>
  <si>
    <t>boost converter</t>
  </si>
  <si>
    <t>No lo dice, pero por la pinta de las gráficas es MATLAB casi seguro</t>
  </si>
  <si>
    <t>Take into account for typologies</t>
  </si>
  <si>
    <t>Sistema de control para maximizar la captación de energía de turbina eólica</t>
  </si>
  <si>
    <t xml:space="preserve">•        Describe el sistema de control de un convertidor para inyectar energía de una Wind Turbine directamente en una red de 400 Vdc. 
•        El controlador es factible y fiable
</t>
  </si>
  <si>
    <t>La conexión de turbina eólica a MD DC</t>
  </si>
  <si>
    <t>2000 W</t>
  </si>
  <si>
    <t>1 bus. Conexión a red, generador, carga sistema de almacenamiento</t>
  </si>
  <si>
    <t>Dos convertidores DC/DC bidireccionale y uno unidireccional. Un convertidor AC/DC bidireccional</t>
  </si>
  <si>
    <t>Matlab/simulink</t>
  </si>
  <si>
    <t>aerogenerador</t>
  </si>
  <si>
    <t>sí</t>
  </si>
  <si>
    <t>10.1109/ACCESS.2017.2705914</t>
  </si>
  <si>
    <t>Es un estado de la cuestión y pretende promover la estandarización  de la tecnología para MG</t>
  </si>
  <si>
    <t>Es un review. Principal conclusión ,que sin estandarización no se puede avanzar.</t>
  </si>
  <si>
    <t>Múltiples topologías. Es un estado de la cuestión</t>
  </si>
  <si>
    <t>Estandarización de la tecnología para la MG DC</t>
  </si>
  <si>
    <t>Varias</t>
  </si>
  <si>
    <t>Varios</t>
  </si>
  <si>
    <t>Es un review muy interesante, de hecho hay que tenerlo como referencia</t>
  </si>
  <si>
    <t>Proposal of a PDI method for load sharing in a LV dc micogrid</t>
  </si>
  <si>
    <t xml:space="preserve">proposed a droop-based proportional load sharing control of parallel connected DC-DC converters for PV-based low-voltage dc microgrid. In this case a PDI control is the baseline to the proposal, which compensates the normalised current sharing difference and voltage deviation in the output side of the converters. This proposed control method calculates adaptive virtual resistance. </t>
  </si>
  <si>
    <t>Fig.2 + Fig. 8  (non-used conceptual circuit in Fig. 1)</t>
  </si>
  <si>
    <t>Load sharing (droop control)</t>
  </si>
  <si>
    <t xml:space="preserve">Simulation + Experimental prototype
</t>
  </si>
  <si>
    <t xml:space="preserve">Off-grid
</t>
  </si>
  <si>
    <t>Although a grid connection is shown in Fig. 1, the actual circuits they have used (Figs. 2 and 8) are isolated</t>
  </si>
  <si>
    <t>Unipolar + Radial</t>
  </si>
  <si>
    <t>Fig.2</t>
  </si>
  <si>
    <t>"In this work, 48 V is taken as dc grid voltage level. Telecommunication industry generally uses 48 V and is the best choice for LV dc distribution system."</t>
  </si>
  <si>
    <t>Cursory description</t>
  </si>
  <si>
    <t>Just a "protection circuit" is mentioned for the prototype (Fig. 8). No further information is given.</t>
  </si>
  <si>
    <t>2 x DC-DC boost</t>
  </si>
  <si>
    <t>Fig. 2. "In this study, dc–dc boost converter is taken as an interfacing converter between PV module and LV dc grid"</t>
  </si>
  <si>
    <t xml:space="preserve">Matlab-Simulink
</t>
  </si>
  <si>
    <t>Complementary Power Control of the Bipolar-type Low Voltage
DC Distribution System</t>
  </si>
  <si>
    <t>Proposal of a new power control strategy for the bipolar-type LVDCMG</t>
  </si>
  <si>
    <t>Fig. 3 (non-used conceptual circuit in Fig. 1)</t>
  </si>
  <si>
    <t>Power control</t>
  </si>
  <si>
    <t>Simulation</t>
  </si>
  <si>
    <t>Grid-connected and off-grid</t>
  </si>
  <si>
    <t>"There are three operation modes. Both sides are grid-connected (BGC), one is grid-connected and another is islanded (GC-IS), and both sides are islanded (BIS)."</t>
  </si>
  <si>
    <t>Bipolar + Radial</t>
  </si>
  <si>
    <t>This system
consists of a wind turbine generator (WT), a PV system,
ESSs, a diesel generator, two common dc buses</t>
  </si>
  <si>
    <t>750/1500</t>
  </si>
  <si>
    <t>Appendix (Section 6). 750V after the AC/DC converter; 1500V in DC/DC converter of load3</t>
  </si>
  <si>
    <t>It may be just because it 's a simulation work</t>
  </si>
  <si>
    <t xml:space="preserve">AC/DC (Grid, Wind Turbine, and Diesel): Three-phase with pulse width-modulated (PWM)
DC/DC (PV): Boost
DC/DC (ESSs): Bidirectional
</t>
  </si>
  <si>
    <t>Appendix</t>
  </si>
  <si>
    <t>Wind; PV</t>
  </si>
  <si>
    <t>Yes (2xESS)</t>
  </si>
  <si>
    <t>10.1109/TIA.2019.2897263</t>
  </si>
  <si>
    <t>Proposal of modular multilevel converter (MMC) tapping cells as a multiport converter for a hybrid LV ac/dc microgrid. The performance of the MMC-tapping cells has been assessed using a biobjective optimization based on the Genetic Algorithm and has been compared with the conventional 2L-VSC.</t>
  </si>
  <si>
    <t>None (non-used conceptual circuits in Fig. 1 and Fig. 2)</t>
  </si>
  <si>
    <t>3.5. Interlinking Converters</t>
  </si>
  <si>
    <t>-</t>
  </si>
  <si>
    <t>Just the MMC converters are simulated ("In order to ascertain the feasibility of the optimization design, a simulation model of each converter was built in PSCAD software")</t>
  </si>
  <si>
    <t>AC/DC: Interlinking Modular Multilevel Converter (MMC)</t>
  </si>
  <si>
    <t>Just the designs of MMC are evaluated</t>
  </si>
  <si>
    <t>Solo aborda la simulación de los propios convertidores. No se trata de circuitos</t>
  </si>
  <si>
    <t>Analysis of the interaction between SSCB and the snubber attached in parallel, and the proposal of a combined design to optimize the fault interruption performance for minimum SSCB overvoltage, shortest fault clearing time, with less cost and size.</t>
  </si>
  <si>
    <t>Fig. 1, Fig. 5</t>
  </si>
  <si>
    <t>3.4. Fault protection</t>
  </si>
  <si>
    <t xml:space="preserve">Experimental prototype
</t>
  </si>
  <si>
    <t>Bipolar Single</t>
  </si>
  <si>
    <t>400 (+-200 V)</t>
  </si>
  <si>
    <t>"Preliminary experiment is conducted in a 200V/DC system with its result given in Section V, which demonstrated the effectiveness of the design"</t>
  </si>
  <si>
    <t>SSCB; Freewheeling diodes</t>
  </si>
  <si>
    <t>"For the protection of low-voltage DC microgrid, both SSCB and freewheeling path are the key devices."</t>
  </si>
  <si>
    <t xml:space="preserve">-
</t>
  </si>
  <si>
    <t>The paper addresses the problem of protections</t>
  </si>
  <si>
    <t>Collection of state-of-the-art protection schemes developed for DC Microgrids, with an evaluation in terms of system configurations, fault detection, location, isolation and restoration.</t>
  </si>
  <si>
    <t>- (Review of literature)</t>
  </si>
  <si>
    <t>Off-grid; Grid connected</t>
  </si>
  <si>
    <t>Section 2.1; Fig. 7</t>
  </si>
  <si>
    <t>Single; Bi-polar single; Ring; Interconnected</t>
  </si>
  <si>
    <t>Section 2.1</t>
  </si>
  <si>
    <t>Single telecom (48 V); Bipolar (+-170 V)</t>
  </si>
  <si>
    <t>"Single bus topology is quite frequently in practice for supplying power in telecom applications at 48 VDC" ; " DC bipolar regulated bus architecture, shown in Figure 2, with an operating voltage of +/ − 170 V was suggested"</t>
  </si>
  <si>
    <t>Several protection devices (DC Earthing, MCBs, SSCBs, HCBs, FCLs), and several protection schemes (overcurrent, di/dt, voltage estimation, handshaking, differential, artificial inductive, active distance estimation).</t>
  </si>
  <si>
    <t>Sections 2.3, 2.4, 3.1</t>
  </si>
  <si>
    <t>Several converters are shown, without further analysis</t>
  </si>
  <si>
    <t>Section 2.2.</t>
  </si>
  <si>
    <t xml:space="preserve">Wind; PV
</t>
  </si>
  <si>
    <t>Proposal of a DC bus voltage control
strategy to guarantee it constant</t>
  </si>
  <si>
    <t>Fig. 1 (an approximation was simulated)</t>
  </si>
  <si>
    <t xml:space="preserve">Voltage control
</t>
  </si>
  <si>
    <t xml:space="preserve">Radial (Single bus)  </t>
  </si>
  <si>
    <t>"Generally, the single bus structure is adopted by low-voltage DC microgrid, as is shown Fig.1."</t>
  </si>
  <si>
    <t>"In this paper, the DC bus voltage is 400V, and the battery rated voltage is 160V."</t>
  </si>
  <si>
    <t>Without further analysis, AC/DC converter (Grid): three-phase with LCL filter; DC/DC converters: boost (PV, wind generator), buck (DC loads), buck-boost (battery); DC/AC converter: inverter</t>
  </si>
  <si>
    <t>Simulink model of DC microgrid</t>
  </si>
  <si>
    <t>Autonomous Protection of Low Voltage DC Microgrid</t>
  </si>
  <si>
    <t>Proposal of an autonomous scheme to protect a DC grid on occurrence of fault AC circuit that could cause a complete shutdown of DC link</t>
  </si>
  <si>
    <t>Fig. 6  (non-used conceptual circuit in Fig. 1)</t>
  </si>
  <si>
    <t>Fig.6</t>
  </si>
  <si>
    <t>Bipolar loop</t>
  </si>
  <si>
    <t>Table 1 + "with constant 240 volt DC supply between two terminals and it is shown in Fig. 6"</t>
  </si>
  <si>
    <t>Device: IGBT as circuit breaker, as part of a mechanism that isolates only the section of the DC bus which is under faulty condition; Scheme: current sensors placed at the both ends of line, giving information to controller.</t>
  </si>
  <si>
    <t>Section IV</t>
  </si>
  <si>
    <t>Not necessary in the simulated circuit</t>
  </si>
  <si>
    <t>MALTAB-Simulink</t>
  </si>
  <si>
    <t>Precisamente este paper propone un sistema de protección. Se puede usar para saber más sobre protecciones. Viene una explicación sobre faltas</t>
  </si>
  <si>
    <t>Autonomous Control Strategy of Bidirectional AC/DC Converter in Low Voltage Hybrid Microgrid</t>
  </si>
  <si>
    <t>Proposal of autonomous operation control strategy for bidirectional AC/DC converters</t>
  </si>
  <si>
    <t>Fig.1</t>
  </si>
  <si>
    <t>Control Strategy</t>
  </si>
  <si>
    <t>n/a</t>
  </si>
  <si>
    <t>Fig.1 just mentions "DC subgrid", without further details</t>
  </si>
  <si>
    <t xml:space="preserve">"Considering the action margin, V dc , V dc.max and V dc.min are set as 600V, 610V, 590V, respectively;"
</t>
  </si>
  <si>
    <t>AC/DC: Three-phase bidirectional</t>
  </si>
  <si>
    <t>The paper focuses on the control strategy, without further details on the converter.</t>
  </si>
  <si>
    <t>Precisamente este paper propone un control de operación para el convertidor</t>
  </si>
  <si>
    <t>Overview of the LVDC distribution systems used in residential applications, reviewing the benefits and current topologies</t>
  </si>
  <si>
    <t>Figs 1, 2, 3, 4</t>
  </si>
  <si>
    <t>Review of topologies</t>
  </si>
  <si>
    <t>All the shown topologies are grid-connected</t>
  </si>
  <si>
    <t>Unipolar and Bipolar, but always radial</t>
  </si>
  <si>
    <t>380-400</t>
  </si>
  <si>
    <r>
      <rPr>
        <sz val="11"/>
        <color rgb="FF000000"/>
        <rFont val="Arial"/>
      </rPr>
      <t xml:space="preserve">most of the configurations use the data centres voltage levels (i.e., 380-400 VDC), however is it really necessary?. </t>
    </r>
    <r>
      <rPr>
        <sz val="11"/>
        <color rgb="FFFF0000"/>
        <rFont val="Cambria"/>
      </rPr>
      <t>Hace una reflexión</t>
    </r>
  </si>
  <si>
    <t>No specific protections are mentioned and only a paper on microgrid protections is cited</t>
  </si>
  <si>
    <t>No specific converters are mentioned</t>
  </si>
  <si>
    <t xml:space="preserve">El paper no es una microgrid en concreto, y analiza generalidades de varias microgrids, pero sin mencionar datos concretos de ella. Incluso creo que se centra demasiado en datacenters. The document underlines the lack of standardization and regulation. </t>
  </si>
  <si>
    <t>10.3390/en11092463</t>
  </si>
  <si>
    <t>Comparative study of different DC distribution architectures and bus structures</t>
  </si>
  <si>
    <t xml:space="preserve">Several
</t>
  </si>
  <si>
    <t>Radial; Ring; Ladder; Meshed</t>
  </si>
  <si>
    <t>Table 1 (with Advantages and disadvantages)</t>
  </si>
  <si>
    <t>48 V (datacenters); telecom (50V, 220V in NZ); 500-550V</t>
  </si>
  <si>
    <t>Section 7</t>
  </si>
  <si>
    <t>Covered following Personal, Equipment, and Grounding scopes</t>
  </si>
  <si>
    <t>Not covered</t>
  </si>
  <si>
    <t>Es un documento bastante pobre, que no cubre la amplitud de lo que buscamos</t>
  </si>
  <si>
    <t xml:space="preserve"> 10.1109/SPEC.2018.8636080</t>
  </si>
  <si>
    <t>Proposal of an isolated three-port converter (TPC) with common low-voltage DC bus which is suitable for DC MGs, able to achieve bidirectional power transmission between the HV side and the LV side through the dual active bridge (DAB), while the power conversion of the LV side is consisted of buck-boost converters</t>
  </si>
  <si>
    <t>Unipolar radial</t>
  </si>
  <si>
    <t>Vo of the circuit</t>
  </si>
  <si>
    <t>The protections are not mentioned, even for the prototyped circuit</t>
  </si>
  <si>
    <t>DC/DC: Specific design of a bidirectional three-port converter</t>
  </si>
  <si>
    <t>PLECS</t>
  </si>
  <si>
    <t>Proposal of an improved RCD snubber for solid-state circuit breaker (SSCB) in a LV DC microgrid to protect SSCB against overvoltage caused by its tripping at the occurance of a DC-bus fault</t>
  </si>
  <si>
    <t>3.4. Fault protection (solid-state breakers with snubbers)</t>
  </si>
  <si>
    <t>Simulation model</t>
  </si>
  <si>
    <t>Circuit breaker technolgy: SSCB (with snubber)</t>
  </si>
  <si>
    <t xml:space="preserve">AC/DC rectifier
</t>
  </si>
  <si>
    <t>Cursory description of the converter used to simulate</t>
  </si>
  <si>
    <t>Proposal of an enhancement to the classical droop control by selecting the droop coefficients, improving the load current sharing between the converters and reducing the output voltage deviation</t>
  </si>
  <si>
    <t>Fig 5</t>
  </si>
  <si>
    <t xml:space="preserve">DC/DC converters
</t>
  </si>
  <si>
    <t>- (Not simulated)</t>
  </si>
  <si>
    <t>Proposal of a new adaptive control strategy is proposed for DC MGs, without using any communication links. With increasing the load, the equivalent droop gains are automatically increased to attain more accurate current sharing.</t>
  </si>
  <si>
    <t>Fig 2</t>
  </si>
  <si>
    <t>DC/DC: 2 x Buck converters</t>
  </si>
  <si>
    <t>"Each source is realized using a DC-DC buck converter"</t>
  </si>
  <si>
    <t>No especificadas</t>
  </si>
  <si>
    <t>Hay que diferenciar entre el diagrama que presentan como tipo (Fig 1) y el diagrama del esquema que realmente consideran y usan en la simulación.</t>
  </si>
  <si>
    <t>Proposal of a new method to locate accurately a fault in the DC system, by establishing a relationship between fault location, damped resonant frequency, and attenuation, through a noniterative fault-location technique using PPU.</t>
  </si>
  <si>
    <t>3.4. Fault protection (detection/location)</t>
  </si>
  <si>
    <t>Table I (Simulation parameters)</t>
  </si>
  <si>
    <t>PPUs (Probe Power Units) just after the circuit breakers to be switched on once the fault is isolated</t>
  </si>
  <si>
    <t>Rectifiers, inverters and DC/DC converters are shown if Fig 1, without further details</t>
  </si>
  <si>
    <t>10.1049/iet-gtd.2018.5070</t>
  </si>
  <si>
    <t>Proposal of a new method to detect and locate the fault in a DC MG, by comparing the calculated value of fault current and pole-to-pole voltage with the pre-defined threshold values and then distinguishes internal or external fault based on an estimation of line parameters.</t>
  </si>
  <si>
    <t>Figs 1 and 2</t>
  </si>
  <si>
    <t>Bipolar Mesh</t>
  </si>
  <si>
    <t>"In the proposed work, a typical grid-connected mesh-type DC microgrid, as shown in Fig. 1" "Fig. 2 depicts the expanded network diagram of the mesh-type
bipolar LVDC microgrid (shown in Fig. 1). "</t>
  </si>
  <si>
    <t>Devices: 2 relays + associated SSCBs, placed at both ends of the cable; Scheme: Voltage estimation (it identifies the faulty condition by comparing the calculated fault current and PP voltages with the pre-defined threshold values)</t>
  </si>
  <si>
    <t>Without further details: AC/DC converter (Grid, wind station), DC/DC converter (PV station, battery)</t>
  </si>
  <si>
    <t>Proposal of a new adaptive droop control method that minimizes the circulating current and current sharing difference between the converters, through a figure of merit called droop index (DI)</t>
  </si>
  <si>
    <t>Fig.2 + Fig. 12  (non-used conceptual circuit in Fig. 1)</t>
  </si>
  <si>
    <t>Single bus</t>
  </si>
  <si>
    <t>Table VII</t>
  </si>
  <si>
    <t>Paralell-connected DC/DC boost converters with L-C filters</t>
  </si>
  <si>
    <t>MATLAB/SIMULINK</t>
  </si>
  <si>
    <t xml:space="preserve">Propone un control PI de la resistencia (virtual) de carga para acotar la desviación de la tensión de los reguladores con respecto a la de la red cuando se trata de compensar la desviación de la corriente que aportan los reguladores a las cargas.
Lo simulan y lo implementan para demostrar los beneficios de ese control </t>
  </si>
  <si>
    <t>Simulación e implementación</t>
  </si>
  <si>
    <t xml:space="preserve">Grid
</t>
  </si>
  <si>
    <t>DC/DC buck converters</t>
  </si>
  <si>
    <t>matlab</t>
  </si>
  <si>
    <t>10.1109/TIE.2018.2838107</t>
  </si>
  <si>
    <t>Proponen un manera de controlar los Battery Energy Units (BEUs) de una DC microgrid para evitar que haya desbalanceo ante las variaciones naturales de generación y carga. La manera con la que tratan de hacerlo es con un control distribuido que tiene como parámetro de control el SoC (State of Charge), y tienen en cuenta la resistencia entre BEUs. Además evaluan su sistema de control ante problemas como la restauración de voltage y la estabilidad del sistema.</t>
  </si>
  <si>
    <t xml:space="preserve">Off-grid, islanded mode dice,
</t>
  </si>
  <si>
    <t>Single-Bus</t>
  </si>
  <si>
    <t>100 V</t>
  </si>
  <si>
    <t xml:space="preserve">
</t>
  </si>
  <si>
    <t>Matlab
En la implementación : the controllers are implemented using DSP TMS320F28335 and the BEUs are emulated by a pCUBE battery emulator.</t>
  </si>
  <si>
    <t>pCUBE battery emulator</t>
  </si>
  <si>
    <t>DOI:  10.1109/ACCESS.2019.2915046</t>
  </si>
  <si>
    <t>Como intento de abordar las limitaciones mencionadas, en el presente documento se propone un enfoque de diseño unificado del FCS-MPC (finite control set model predictive control) para la construcción de microredes de corriente continua a escala de edificio, con un novedoso mecanismo de distribución de la energía y síntesis de inercia virtual en forma de control apredictivo.</t>
  </si>
  <si>
    <t>partially-connected</t>
  </si>
  <si>
    <t>single-Bus</t>
  </si>
  <si>
    <r>
      <rPr>
        <sz val="10"/>
        <rFont val="Calibri"/>
      </rPr>
      <t xml:space="preserve"> an MPC-based virtual capacitance control scheme is proposed to enhance the </t>
    </r>
    <r>
      <rPr>
        <b/>
        <sz val="10"/>
        <rFont val="Calibri"/>
      </rPr>
      <t>synthetic inertia</t>
    </r>
    <r>
      <rPr>
        <sz val="10"/>
        <rFont val="Calibri"/>
      </rPr>
      <t xml:space="preserve"> of DC microgrids</t>
    </r>
  </si>
  <si>
    <t>PSCAD/EMTDC software package
dSPACE Micro-LabBox (DS1202) hardware-in-the-loop (HIL) platform is employed to integrate the test-bench and the proposed controller that is implemented in the host server using dSPACE ControlDesk software packages</t>
  </si>
  <si>
    <t>https://doi.org/10.3390/inventions3030063</t>
  </si>
  <si>
    <t xml:space="preserve">Diseñan convertidores de doble puente, muy centrado en la electrónica del convertidor. Utilzan un diseño basado en transformadores para hacer el boost de la tensión. </t>
  </si>
  <si>
    <t>no menciona</t>
  </si>
  <si>
    <t>15-30 V a 400 V</t>
  </si>
  <si>
    <t>Dual Half Bridge</t>
  </si>
  <si>
    <t>No menciona la herramienta</t>
  </si>
  <si>
    <t>Proponen y validan una herramienta de simulación con Matlab para simular la escalabilidad de la red y estrategias de control distribuidos</t>
  </si>
  <si>
    <t>Two goals for the simulator are identified:
1.The  tool  should allow  non-graphical construction of the grid.
2.Control laws should be scripted (or coded).
Available simulators  were  judged  on  their  ability  to perform  the  above-mentioned  two  goals.  The  first  goal  is synonymous to netlists used in SPICE. However, SPICE and programs  which  are  SPICE  based  such  as  Multisim,  are restricted  to  PID  control  blocks [17],  [18]. Other  control functions  are  otherwise  required  to  be  built  in  circuit  form [19]. 
Considering the second goal, programs such as PSCAD and Simulink allow scripting of specific functions. However, the   first   goal   is   not   achievable   as   the   grid   has   to   beconstructed graphically [20], [21].</t>
  </si>
  <si>
    <t>Ad-hoc</t>
  </si>
  <si>
    <t>Indisinto</t>
  </si>
  <si>
    <t xml:space="preserve">Proponen una nueva topología de conversor con un control del phase shifting
</t>
  </si>
  <si>
    <t>a  decoupling  control  method  is  proposed  to  eliminate  the  coupled  power  flow  of  each  port.  As  a  result,  under  the  decoupling  equation   and   the   closed-loop   control,   the   system   transient   performance is improved</t>
  </si>
  <si>
    <t>Simulación</t>
  </si>
  <si>
    <t>48-400 V</t>
  </si>
  <si>
    <t>three-port isolated H-bridge</t>
  </si>
  <si>
    <t>Proponen un método analítico para calcular la corrientes de cortocircuito en redes DC, evaluando el comportamiento de algunos aspectos operacionales de la red.</t>
  </si>
  <si>
    <t>-+200</t>
  </si>
  <si>
    <t>Cortocircuitos</t>
  </si>
  <si>
    <t>https://doi.org/10.3390/en11030623</t>
  </si>
  <si>
    <t>Realmente lo que proponen es un cargador para baterías mas rápido y mayor vida util de vehiculos eléctricos que se conecten a una DC-microgrid, pero en lo que respecta a la microgrid no tocan nada, como si lo conectaran a cualquier otro sitio DC.</t>
  </si>
  <si>
    <t>PSIM© simulation software</t>
  </si>
  <si>
    <t xml:space="preserve">four 12 V/22 Ah lead-acid batteries (REC22-12I, Taiwan Yuasa Battery Co., Ltd.,Taiwan) connected in series. Lead-acid batteries were chosen due to its low cost and wide usage. </t>
  </si>
  <si>
    <t>Proponen un nuevo conversor que mejora enables  a higher voltage boost ratio than the SRC without adding additional switches while operating at the resonant frequency.</t>
  </si>
  <si>
    <t>implementación</t>
  </si>
  <si>
    <t xml:space="preserve"> series resonant converter (SRC)</t>
  </si>
  <si>
    <t xml:space="preserve">No </t>
  </si>
  <si>
    <t xml:space="preserve">photovoltaic </t>
  </si>
  <si>
    <t>https://doi.org/10.1016/j.epsr.2015.12.033</t>
  </si>
  <si>
    <t xml:space="preserve">Es un estudio teorico sobre el diseño de un mecanismo de control que mejora el balanceo de carga. El mecanimos de control se optimiza con métodos numericos. </t>
  </si>
  <si>
    <t xml:space="preserve">No
</t>
  </si>
  <si>
    <t>10-bus microgrid low voltage (LV) network</t>
  </si>
  <si>
    <t>Paper muy complicado de enteder. Habla de potencia reactiva en la red DC...</t>
  </si>
  <si>
    <t xml:space="preserve">Proponen una estrategia de control para los convertidores basada en la técnica droop control clásica pero que tiene en cuenta la resistencia de las lineas, y el estado de la carga de las baterias. </t>
  </si>
  <si>
    <t>Pone que los generadores están conectados en radial, pero en la figura 3 aparece un single-bus</t>
  </si>
  <si>
    <t>Simulink/MATLAB</t>
  </si>
  <si>
    <t>La implementación la hacen con una red de 12 V</t>
  </si>
  <si>
    <t>https://doi.org/10.3390/en9080651</t>
  </si>
  <si>
    <t xml:space="preserve">Proponen una triple estrategia de gestión de una red DC-AC híbrida: un droop control para maximizar la eficiencia de uso del generador fotovoltaico, otro droop control para estailizar la tensión DC del bus, y otro droop control en cascada para alternar el lado AC. </t>
  </si>
  <si>
    <t>interlinking converters</t>
  </si>
  <si>
    <t xml:space="preserve">Utiliza una red hibrida
</t>
  </si>
  <si>
    <t>https://doi.org/10.6113/JPE.2016.16.1.340</t>
  </si>
  <si>
    <t>A cascaded hybrid multilevel inverter including a reconfiguration technique application for the low dc voltage distribution systems in data center buildings has been developed. A modified PWM technique fault detection and reconfiguration have also been proposed to reduce switching losses. In addition, the proposed topology can reduce the number of required power switches compared to a traditional cascaded multilevel inverter.</t>
  </si>
  <si>
    <t>48 V, 155 V, 310 V</t>
  </si>
  <si>
    <t>hybrid multilevel inverter: phase inverter and H-bridge invertetrs. 
En la experimentación an IGBT module (Mitsubishi, CM20TH-24H 1200V 20A) in the main inverter and MOSFETs (Fairchild, IRFP 450, 500 V, 14 A) in the auxiliary inverters.</t>
  </si>
  <si>
    <t>https://doi.org/10.6113/JPE.2015.15.6.1609</t>
  </si>
  <si>
    <t>a bidirectional dual buck-boost voltage balancer and a burst-mode control scheme are proposed for low-voltage bipolar-type DC microgrids. The structure of the voltage balancer will enhance the system reliability thanks to the fact that it does not have any shoot-through problems.</t>
  </si>
  <si>
    <t>bipolar-type dc microgrid</t>
  </si>
  <si>
    <t>buck-boost converters</t>
  </si>
  <si>
    <t>PISM software</t>
  </si>
  <si>
    <t>Proponen un conversor DC-DC que puede ser utilizado en microgrids. Lo hacen en tres fases curiosas que les proporcionan aumentar la frecuencia de operación del conversor por un factor de 3.</t>
  </si>
  <si>
    <t>indiferente</t>
  </si>
  <si>
    <t>300 V</t>
  </si>
  <si>
    <t xml:space="preserve">Three-phase Soft-switching Bi-directional </t>
  </si>
  <si>
    <t>PSIM  9.3.</t>
  </si>
  <si>
    <t>https://doi.org/10.3390/en12061162</t>
  </si>
  <si>
    <t>Simulan un nuevo modo de controlar la conexión de una red aislada a la red de distribución, basado en un algoritmo de red neuronal que pre-sincroniza la red antes de la conexión.</t>
  </si>
  <si>
    <t xml:space="preserve">Sizing and control of a Solid Oxide Fuel Cell/Gas microTurbine hybrid power system using a unique inverter for rural microgrid integration
</t>
  </si>
  <si>
    <t>http://dx.doi.org/10.1016/j.apenergy.2016.05.066</t>
  </si>
  <si>
    <t xml:space="preserve">Dan una metodología para dimensionar pilas de combustible para alimentar microredes híbridas AC/DC así como una estrategia de control para ambos buses
</t>
  </si>
  <si>
    <t>Fig. 3, Fig. 4 and Fig. 6</t>
  </si>
  <si>
    <t>Simulación (Hardware in the Loop)</t>
  </si>
  <si>
    <t>4.2. AC side control
When the MG is isolated, the HPS has to deliver appropriate
voltage and frequency to the grid. Thus, the main objective of the
AC side control is to regulate the voltage and the frequency of
the three-phases AC bus.</t>
  </si>
  <si>
    <t>Fig. 1.Schematic representation of a rural MicroGrid</t>
  </si>
  <si>
    <t>DC: 1000 V; AC: 230 V</t>
  </si>
  <si>
    <t xml:space="preserve">DC:  Taking into consideration the possible voltage variations and losses, the DC bus voltage is selected to be 1000 V.
AC control: The outer loop regulates the voltage to the set point value (230 Vrms) </t>
  </si>
  <si>
    <t>No especified</t>
  </si>
  <si>
    <t>3LNPC?</t>
  </si>
  <si>
    <t xml:space="preserve">2.2. The 3LNPC power converter
In order to keep the best efficiency, the proposed configuration
uses a unique power converter (the 3LNPC) to control the HPS.
Indeed, it has been proven [20] that this topology, shown in
Fig. 4, reduces the power losses compared to other topologies.
</t>
  </si>
  <si>
    <t>Biogas</t>
  </si>
  <si>
    <t>Supercapacitadores</t>
  </si>
  <si>
    <t>Equilibrar una red DC bipolar mediante boost-SEPIC sin usar fuentes activas</t>
  </si>
  <si>
    <t xml:space="preserve">equilibrar redes DC cuando las fuentes son renovables (PV y eólica) y hay almacenamiento en baterías. Busca eficiencia y realizabilidad. La red es bipolar, +-24 V, es ddeecitr, fuente de 48 V. La forma de equiñlibrar es minimizar las corrientes del neutro. </t>
  </si>
  <si>
    <t xml:space="preserve">6 cargas diferentes que suman 250 W. Tiene laboratorio experimental para comprobar el funcionamiento del controlador. </t>
  </si>
  <si>
    <t>Es montaje de laboratorio con fuentes DC infinitas, aunque la idea es para integrar renovables DC</t>
  </si>
  <si>
    <t>Bipolar, dos buses.</t>
  </si>
  <si>
    <t>(=/- 24 Vdc, por tanto, máximo de 48 Vdc</t>
  </si>
  <si>
    <t>Es diseño y validación en laboratorio de un sistema de control de tensión</t>
  </si>
  <si>
    <t>10.1049/iet-gtd.2018.6184</t>
  </si>
  <si>
    <t>Desarrollar modelo matemático y hacer análisis de estabilidad, y diselar estrategia de control para mejorar prestaciones de MG DC, con alimentación por generador eólico, y baterías. La carga es constante (CPL)</t>
  </si>
  <si>
    <t>Es una comparación de diferentes estrategias de control para generadores eólicos</t>
  </si>
  <si>
    <t>Análisis de estabilidad</t>
  </si>
  <si>
    <t>La carga va desde 1936 hasta 3025 W</t>
  </si>
  <si>
    <t>Off-grid (es MG bajo simulación)</t>
  </si>
  <si>
    <t>1 bus DC. Se conecta el generador eólico, la batería y la carga constante</t>
  </si>
  <si>
    <t>220 V (tanto en AC  el generador como en DC la MG)</t>
  </si>
  <si>
    <t>AC/DC+buck converter par ael aerogenerador. DC/DC bidireccional para la batería</t>
  </si>
  <si>
    <t>Wind turbine+geenerador síncrono</t>
  </si>
  <si>
    <t>Siseñar sistema de protección rápido basado en IGBT</t>
  </si>
  <si>
    <t>Propone estrategia de interrupción de cortocircuito basada en IGBT lo suficientemente rápida para mantener la seguridad de la microred DC, junto con la estabilización y la mejora del rendimiento operativo.</t>
  </si>
  <si>
    <t>Sistema rápido para proteger la red de fallos</t>
  </si>
  <si>
    <t>3 PV de 20.5 31 y 41 kW. 3 cargas de 15, 23 y 34 kW, 3 baterias de 15 kWh</t>
  </si>
  <si>
    <t>3 MG alineadas</t>
  </si>
  <si>
    <t>IGBT, combinado con RCD, MOV y Freewheeling Diode</t>
  </si>
  <si>
    <t>Convertidores DC/DC unidireccionales para la PV y bidireccionales para las baterias, controlados por PI</t>
  </si>
  <si>
    <t>3 PV</t>
  </si>
  <si>
    <t xml:space="preserve">Proponen un sistema para detectar los fallos de una microgrid de baja tensión, basada en la detección del segmento donde se ha producido el fallo y la distancia al mismo. Con esta manera de detectar el fallo aseguran que no es necesario de-energizar toda la red ante un fallo así, si no que se puede aislarlo de manea segura, manteniendo el estado de la red. </t>
  </si>
  <si>
    <t>simulacion</t>
  </si>
  <si>
    <t>ring-bus</t>
  </si>
  <si>
    <t>rolling  mean  technique</t>
  </si>
  <si>
    <t>no especifica, no es relevante.</t>
  </si>
  <si>
    <t>Solar</t>
  </si>
  <si>
    <t>Es una implementación real de una nanogrid, que consiste en  subsystems  such  as  the Nanogrid  system controller, Nanogrid power Switch/socket,  Battery Management  System,  Solar Converter and backup AC/DC converters</t>
  </si>
  <si>
    <t>The  objective  of  the    work    is    to    investigate    the    power    and    control    architecture to evolve the specifications, to implement Low Voltage  Direct  Current  (LVDC)  Nanogrid  for  residential  applications</t>
  </si>
  <si>
    <t xml:space="preserve">no menciona </t>
  </si>
  <si>
    <t>boost  Converter  topology  along  with  the  buck  converter  topology  is  used  for  the  power  conversions</t>
  </si>
  <si>
    <t>N/A</t>
  </si>
  <si>
    <t>La comunicacion con el controlador central es inalámbrico</t>
  </si>
  <si>
    <t>This  paper  presents  the  state-of-the-art  of  protection  schemes  developed  for  the  DC  microgrid  with  a  comprehensive  evaluation  on  LVDC  systems   and   their   protection.</t>
  </si>
  <si>
    <r>
      <rPr>
        <sz val="10"/>
        <rFont val="Calibri"/>
      </rPr>
      <t xml:space="preserve">Puede ser un buen punto de partida para el aparado de protecciones. Se centra en </t>
    </r>
    <r>
      <rPr>
        <i/>
        <sz val="10"/>
        <rFont val="Calibri"/>
      </rPr>
      <t>DC circuit breaking and fault limiting  technologies</t>
    </r>
    <r>
      <rPr>
        <sz val="10"/>
        <rFont val="Calibri"/>
      </rPr>
      <t xml:space="preserve"> </t>
    </r>
  </si>
  <si>
    <r>
      <rPr>
        <b/>
        <sz val="10"/>
        <rFont val="Calibri"/>
      </rPr>
      <t>A Local Measurement based Protection Schemes:</t>
    </r>
    <r>
      <rPr>
        <sz val="10"/>
        <rFont val="Calibri"/>
      </rPr>
      <t xml:space="preserve">
1- Overcurrent  Protection
2- di/dt based protection
3- Handshaking Protection Scheme
4- Voltage prediction based Protection
</t>
    </r>
    <r>
      <rPr>
        <b/>
        <sz val="10"/>
        <rFont val="Calibri"/>
      </rPr>
      <t>B Communication based Protection Schemes</t>
    </r>
    <r>
      <rPr>
        <sz val="10"/>
        <rFont val="Calibri"/>
      </rPr>
      <t xml:space="preserve">
Differential Protection Scheme
Artificial   Inductive   Line   Impedance   (AILI)   based   Protection
Active  distance  estimation  based  method
</t>
    </r>
    <r>
      <rPr>
        <b/>
        <sz val="10"/>
        <rFont val="Calibri"/>
      </rPr>
      <t xml:space="preserve">C Other Protection Schemes 
</t>
    </r>
    <r>
      <rPr>
        <sz val="10"/>
        <rFont val="Calibri"/>
      </rPr>
      <t>1- Artificial  Intelligence  Protection  Scheme</t>
    </r>
  </si>
  <si>
    <t>Amarillo</t>
  </si>
  <si>
    <t>partially</t>
  </si>
  <si>
    <t>Azul</t>
  </si>
  <si>
    <t>Rojo</t>
  </si>
  <si>
    <t>Violeta</t>
  </si>
  <si>
    <t>Both</t>
  </si>
  <si>
    <t>TOTAL</t>
  </si>
  <si>
    <t xml:space="preserve">Social </t>
  </si>
  <si>
    <t>Reviews</t>
  </si>
  <si>
    <t>Connection</t>
  </si>
  <si>
    <t>off-grid (centralised)</t>
  </si>
  <si>
    <t>Niveles de tensión</t>
  </si>
  <si>
    <t>Relay, breakers and switches settings</t>
  </si>
  <si>
    <t>Bi-Level</t>
  </si>
  <si>
    <t>off-grid (descentralised)</t>
  </si>
  <si>
    <t>12 V</t>
  </si>
  <si>
    <t>Grounding of MGs</t>
  </si>
  <si>
    <t>dual-brigde</t>
  </si>
  <si>
    <t xml:space="preserve">Single Bus
</t>
  </si>
  <si>
    <t>Cables issues</t>
  </si>
  <si>
    <t>half-brigde</t>
  </si>
  <si>
    <t>Double Bus</t>
  </si>
  <si>
    <t xml:space="preserve">Bidirectional power flow </t>
  </si>
  <si>
    <t>Grid-Tied</t>
  </si>
  <si>
    <t>Mesh</t>
  </si>
  <si>
    <t>60 V</t>
  </si>
  <si>
    <t>Capacity of short circuit</t>
  </si>
  <si>
    <t>others(if any)</t>
  </si>
  <si>
    <t>75 V</t>
  </si>
  <si>
    <t xml:space="preserve">Low inertia </t>
  </si>
  <si>
    <t>Stability issues</t>
  </si>
  <si>
    <t>110 ó 120 V</t>
  </si>
  <si>
    <t>Intermittent output</t>
  </si>
  <si>
    <t>220 ó 240 V</t>
  </si>
  <si>
    <t>325 V</t>
  </si>
  <si>
    <t>340 V</t>
  </si>
  <si>
    <t>720 V</t>
  </si>
  <si>
    <t>800 V</t>
  </si>
  <si>
    <t>What is it?</t>
  </si>
  <si>
    <t xml:space="preserve">Why is it used in LV DC?
</t>
  </si>
  <si>
    <t>Where is it operating?</t>
  </si>
  <si>
    <t>Nº</t>
  </si>
  <si>
    <t>References(DOI)</t>
  </si>
  <si>
    <t>Types</t>
  </si>
  <si>
    <t>What is its main difference with the others?</t>
  </si>
  <si>
    <t>Operation (How it works?)</t>
  </si>
  <si>
    <t>Simulated tools used</t>
  </si>
  <si>
    <t>Proven in a project named as?</t>
  </si>
  <si>
    <t>Main issues implementing it?</t>
  </si>
  <si>
    <t>Its advantages are?</t>
  </si>
  <si>
    <t>Observations</t>
  </si>
  <si>
    <t>No especifica. Solo AC/DC.</t>
  </si>
  <si>
    <t>143</t>
  </si>
  <si>
    <t>Laboratory</t>
  </si>
  <si>
    <t>An online adaptation algorithm is designed to update the droop control resistance based on the voltage deviation and current difference. 
The proposed adaptive method eliminates the bus voltage deviation and improves the accuracy of the current sharing in a droop control DCMGs</t>
  </si>
  <si>
    <t>The proposed control method is simple and does not require any measurements or communication links between the source converters</t>
  </si>
  <si>
    <t>references (DOI)</t>
  </si>
  <si>
    <t>Main issues in a MG DC in Low Voltage?</t>
  </si>
  <si>
    <t>Possible solutions ?</t>
  </si>
  <si>
    <t>2 DC choppers with common SC</t>
  </si>
  <si>
    <t>MATLAB/SimPowerSystems</t>
  </si>
  <si>
    <t>Optimiza la prestación del generador de inducción de doble alimentación y lo protege frente a falta grave</t>
  </si>
  <si>
    <t xml:space="preserve">La MG en este paper sólo es la carga del sistema de generación. </t>
  </si>
  <si>
    <t>References</t>
  </si>
  <si>
    <t>How is this configuration made?</t>
  </si>
  <si>
    <t>Carga constante. se usa para provocar un fallo</t>
  </si>
  <si>
    <t>El objetivo del paper no es la red, sino los generadores</t>
  </si>
  <si>
    <t>El objetivo del papare no es la red, sino los convertidores</t>
  </si>
  <si>
    <t>references</t>
  </si>
  <si>
    <t>Operation (How it actually works?)</t>
  </si>
  <si>
    <t>Main issues at the project implemented?</t>
  </si>
  <si>
    <t>What is it the efficiency in this system?</t>
  </si>
  <si>
    <t xml:space="preserve">Size of the MG </t>
  </si>
  <si>
    <t>Instalación a escala de laboratorio</t>
  </si>
  <si>
    <t>Fuente variable de 10 kW, baterías 100 kWh, carga variable de 4,3 kW. 340 V (+- 6%)</t>
  </si>
  <si>
    <t>900 kW</t>
  </si>
  <si>
    <t>Levels</t>
  </si>
  <si>
    <t>How is this feeding made?</t>
  </si>
  <si>
    <t>Is it used to residential, comercial, or industrial usage?</t>
  </si>
  <si>
    <t>Is any promoting this level of voltage?</t>
  </si>
  <si>
    <t>Un emulador de PV con MPPT de 10 kW</t>
  </si>
  <si>
    <t>Planta de laboratorio</t>
  </si>
  <si>
    <t>2000 V</t>
  </si>
  <si>
    <t>Convertidor AC/DC + SMES-FCL (superconducting magnetic energy storage with fault current limiting function)</t>
  </si>
  <si>
    <t>Improve LVRT</t>
  </si>
  <si>
    <t>El objeto del paper no es la MG</t>
  </si>
  <si>
    <t>Deadline: 31/07/2019</t>
  </si>
  <si>
    <t>Applied Sciences</t>
  </si>
  <si>
    <t>Q3/Q4</t>
  </si>
  <si>
    <t>https://www.mdpi.com/journal/applsci/special_issues/Sustainable_Energy</t>
  </si>
  <si>
    <t>1500 CHF</t>
  </si>
  <si>
    <t>Estructura TENTATIVA: Eficiency, Reliability, Integration with other sources, Standardarization (Low Voltage, Medium Voltage), Costs, Grounding, Protection, Measurenments, and Challenges.</t>
  </si>
  <si>
    <t>Deadline: 11/08/2019</t>
  </si>
  <si>
    <t>Energies</t>
  </si>
  <si>
    <t>Q2/Q3</t>
  </si>
  <si>
    <t>https://www.mdpi.com/journal/energies/special_issues/DC_and_AC_OTL</t>
  </si>
  <si>
    <t>1800 CHF</t>
  </si>
  <si>
    <t>Sustainable Energy, Grids and Networks</t>
  </si>
  <si>
    <t>Q1/Q2</t>
  </si>
  <si>
    <t>https://www.journals.elsevier.com/sustainable-energy-grids-and-networks</t>
  </si>
  <si>
    <t>He cambiado a esta, si quieres analizala, por favor</t>
  </si>
  <si>
    <t xml:space="preserve">International Journal of Electrical Power &amp; Energy Systems
</t>
  </si>
  <si>
    <t>Q1</t>
  </si>
  <si>
    <t>https://www.sciencedirect.com/journal/international-journal-of-electrical-power-and-energy-systems</t>
  </si>
  <si>
    <t>Literatura analizada</t>
  </si>
  <si>
    <t>Revista/Conference</t>
  </si>
  <si>
    <t>Año</t>
  </si>
  <si>
    <t>Orientación (Media/Baja) tensión</t>
  </si>
  <si>
    <t>Aportaciónes</t>
  </si>
  <si>
    <t>Premisas consideradas</t>
  </si>
  <si>
    <t>Pruebas o escenarios abordados</t>
  </si>
  <si>
    <t>Debilidades/brechas</t>
  </si>
  <si>
    <t>A Comparison between the Electrical Capabilities of the Cables Used in LV AC and DC Power Lines</t>
  </si>
  <si>
    <t>2004 11th International Conference on Harmonics and Quality of Power</t>
  </si>
  <si>
    <t>LV</t>
  </si>
  <si>
    <t>●Regarding the low voltage section, it is in progress a study devoted to compare and define the best kind of distribution networks (AC or DC) by investigating the behaviour during the transient and the steady state, performing numerical analyses and verifying that, as far as.possible, the cables and other materials used at the present will be still compatible in order to reduce the investment costs
●It is possible to see that for distances that produce the reduction of the exploitation of the cable due to the voltage drop limit, the DC solution allows the transmission of a power
reduction of the exploitation of the cable due to the voltage drop limit, the DC solution allows the transmission of a power 2.2 + 3.9 times greater than in AC, depending either on the configuration of the conductors or on the DC distribution system.
●the three conductors DC supply (+400, 0,400V) allows to transport an electric power greater than in AC (about 30%). Also, when using an existing 4-wire cable, there is still a conductor that is not used. Otherwise, using a dedicated 3-wires cable it is possible to make savings
●with the same length of the lines, the DC solution allows to connect a ereater load
● with the same load connected, the DC solution allows a bigger extension of the network. This latter aspect is profitable when considering the connection of the generators distributed along the network, in particular those using renewable sources, for which it is probable a bigger dissemination on the area.
● For DC voltages greater than those that have been considered and in the hypothesis to use the existing cables, there is a significant increase of the power that can he transmitted in DC than in AC</t>
  </si>
  <si>
    <t>●little changes of the existing distribution system,
●use of unified electrical cables or wires;
●bidirectional energy transport;
●electrical safety for people and equipment not lower than the actual level.</t>
  </si>
  <si>
    <t>●three-phase AC distribution; 
●three conductors DC distribution (two poles and the electrode);
●two conductors DC distribution (two poles)
● the hypothesis to employ the existing LV AC cables, a comparison concerning losses and transmissible power behveen AC and DC distribution scenario is performed.
● 800 V(+400 V -400 V)</t>
  </si>
  <si>
    <t>● the load is concentrated at the end of the line.
● Only ±800 V (+400 V -400V) networks was performed</t>
  </si>
  <si>
    <t>Renewable and Sustainable Energy Reviews</t>
  </si>
  <si>
    <t>* DC technology offers several advantages in comparison with AC technology,
* DC systems offer higher power quality.
* This study shows that the normative for AC microgrids is more mature than for DC microgrids, but there are several companies and organisms currently dealing with this subject.
* The costs of controllers and metering systems are lower for DC microgrids.
* AC microgrids are more suitable for feeding installations with a high number of AC loads (factories, big plants, etc.) and DC microgrids more appropriate for offices and data centres which include more DC load
*the presence of HVDC installations all over the world is permanently increasing and several projects about DC distribution lines in buildings can be found (Table 7). 
*it has been shown that although the number of DC microgrids has been growing during the last years (Fig. 11(b)), still most of them use AC distribution lines (Tables 16 and 17). This is because DC microgrids need more research efforts in standardisation, bus selection and islanding control techniques are needed. Thus, before DC microgrids are settled, hybrid AC/DC microgrids could be the intermediate step.</t>
  </si>
  <si>
    <t>IEEE Journal of Emerging and Selected Topics in Power Electronics</t>
  </si>
  <si>
    <t>*Studies suggest that a 20% cost-reduction is possible through gains associated with improved power-conversion efficiencies that can be realized with a fully DC microgrid
*In an AC microgrid with a centralized battery bank, there is a constant source of loss due to the always-on inverter. In a DC microgrid with distributed storage, this loss is mitigated during nighttime as the DC distribution is off at night.
*A majority of end-use appliances are inherently DC devices. The losses from POL AC-DC adapters have been estimated to be around 15% [12]. This is energy that is lost without any end-use benefit.
*In an AC microgrid, inverter losses can dominate with mismatch in rated-power to actual load. The size of the inverter (kVA-rating) is determined by the peak power-load expected. Inverters that are sized to match the average power demand are unable to mitigate these correlated peaks in demand and this mismatch leads to grid-wide brownouts. In a DC microgrid with distributed storage, the batteries function as local en-ergy buffers that filter variability in power-demand on upstream power converters.</t>
  </si>
  <si>
    <t xml:space="preserve">
*The grid voltage is allowed to operate in a range between 360-400 VDC; a higher voltage indicates more available generation supply.
*Wiring costs were estimated based on using aluminum distribution wire sized at keeping voltage drop across 1 km under 3% at full load.</t>
  </si>
  <si>
    <t xml:space="preserve">
The DC microgrid architecture utilized fixed ratio (8:1) bus converters to step down to an intermediate 48V bus for local clusters of
houses.</t>
  </si>
  <si>
    <t>IEEE 2nd International Conference on Direct Current Microgrids, ICDCM 2017</t>
  </si>
  <si>
    <t>*A medium office building using DC distribution may save up to 17%.
*Wiring loss can be substantial in larger buildings with low distribution voltage. As such, it is common for larger buildings to be designed with a high voltage backbone and a low voltage local distribution. Since the wiring loss is due entirely to resistive I2R losses (skin effect and inductive losses are local distribution. Since the wiring loss is due entirely to resistive I2R losses (skin effect and inductive losses are ignored), the building's wires are modeled as resistors. The resistance of a wire is calculated from its length and resistance per length.
*DC distribution networks in commercial buildings can be cost-effective when PV generation and battery storage are included in the building.
*The baseline parameter values coorespond to a ZNE building with a generous battery capacity and properly sized converters. This research found that the baseline efficiency savings of a medium office building with DC distribution is 11.0%. The best case scenarios yield savings of 17.3%. This study also confirms that DC distribution is best suited for buildings with a large solar capacity, a large battery bank, and a high voltage distribution backbone.</t>
  </si>
  <si>
    <t>*The simulation models use realistic load and generation profiles, as well as realistic power conversion efficiency curves that account for part-load energy consumption. 
*In addition, the modeled buildings account for wiring loss at the AC and DC distribution voltages.
*AC Low Voltage: 120 VRMS single phase (208 VRMS,L-L for three phase), DC Low Voltage: 48 V • DC High Voltage: 380 V
*Simulations are performed on the modeled small and medium office buildings.</t>
  </si>
  <si>
    <t xml:space="preserve">
The simulation software developed by the National Renewable Energy Laboratory (NREL) considered various commercial building types, operating schedules, system configurations, and climate zones to project 6%-8% electricity savings by using DC distribution.</t>
  </si>
  <si>
    <t xml:space="preserve">
The AC and DC building networks are modeled in Modelica and simulated in Dymola.</t>
  </si>
  <si>
    <t>Applied Energy</t>
  </si>
  <si>
    <t>*Buildings with large PV and battery capacity have &gt;11% efficiency savings with DC. 
*Zero Net Energy and islanding microgrid buildings should definitely use DC
*This research found that the baseline efficiency savings of a small and medium office building with DC distribution are 9.9% and 11.9%, respectively. The best case sce-nario yields savings of 17.9% and 18.5%.
*however, harmonic distortion isn’t very significant to the scope of this study since the AC and DC distribution networks both require an eventual rectification stage.
*Finally, the use of a battery introduces a considerable amount of loss in both grids, particularly for the ZNE baseline solar capacity.
*The loss breakdown also reveals some fundamental differences between the DCDC topologies for the small and medium office buildings. First, the 380 V MPPT converters and battery charge controllers perform significantly better than their 48 V counterparts. The trade-off is that a 380 V to 48 V DC-DC converter is necessary to deliver power to the low voltage loads in the medium building. Second, the unusually low 48 V distribution causes the small office building to have considerably more wiring loss.
*In addition, large battery capacity is cru-cial for islanding microgrid buildings.</t>
  </si>
  <si>
    <t>Building models with AC and DC distribution are simulated in Modelica and compared</t>
  </si>
  <si>
    <t>2015 IEEE First International Conference on DC Microgrids (ICDCM)</t>
  </si>
  <si>
    <t xml:space="preserve">*Cable power losses of a 1-phase 380 V DC power system are lower than of a 1-phase 230 V AC power system due to the higher RMS value of the nominal voltage and consequentially are lower current stress. 
*380 V DC power grids in buildings can be realized with excellent performance and safety features using available fuses, automated circuit breakers and control functions for low voltage DC power systems.
*2 % energy savings have measured at a relative small test bed installation with a 1-phase 80V DC grid using a 2 kW LED lighting installation as load and a hybrid supply from a 2 kW solar power system and a 2 kW central rectifier compared with a benchmark sub-system that uses a 230V/400V AC power grid. These savings are explained by reduced loss in an AC/DC rectifier and power-factor-correction circuits due to the use of natural DC electricity sources such as photovoltaic solar power systems and reduced loss in power cables when operating with 380 V DC instead of 230 V AC. It is explained in detail that the efficiency advantage can reach 5 % at twice the power level.
*DC power grids in buildings with higher power levels should also consider the used of bipolar 2-phase ±380 V DC power grid systems to be competitive with 3-phase, 400V AC power systems globally used and 3-phase, 480 V AC power systems used in North America. Both 2-phase DC and 3-phase AC grids halve cable power loss when operating with symmetrical loads at all phases.
</t>
  </si>
  <si>
    <t>*An office lighting test bed installation with both 230V/400V AC and 380 V DC power grids has been realized in building 37 at the High Tech Campus (HTC) in Eindhoven
.
*The test bed installation in a quite long corridor makes use of one 100 m power cable (3x 2.5 mm2) for each group of 18 luminaires.</t>
  </si>
  <si>
    <t>AC vs. DC Distribution: Maximum Transfer Capability</t>
  </si>
  <si>
    <t>2008 IEEE Power and Energy Society General Meeting - Conversion and Delivery of Electrical Energy in the 21st Century</t>
  </si>
  <si>
    <r>
      <rPr>
        <sz val="10"/>
        <color rgb="FFFF0000"/>
        <rFont val="Arial"/>
      </rPr>
      <t xml:space="preserve">
This study has shown that through the use of DC, the transmittable power can be increased by as much a</t>
    </r>
    <r>
      <rPr>
        <b/>
        <sz val="10"/>
        <color rgb="FFFF0000"/>
        <rFont val="Arial"/>
      </rPr>
      <t>s 10 time</t>
    </r>
    <r>
      <rPr>
        <sz val="10"/>
        <color rgb="FFFF0000"/>
        <rFont val="Arial"/>
      </rPr>
      <t>s. This increase could help alleviate many of the congestion problems currently faced in power systems along with allow for power flow optimization that are more  economical since constraints on the amount of power flow may no longer be reached.</t>
    </r>
  </si>
  <si>
    <r>
      <rPr>
        <sz val="10"/>
        <color rgb="FFFF0000"/>
        <rFont val="Arial"/>
      </rPr>
      <t xml:space="preserve">
*in a DC distribution system the reactive power requirements and line reactance are non-existent. This insinuates that a DC system could have a much larger power transfer capability compared to that of AC.
*One DC system is composed of two lines, one positive and one negative, while a second DC system contains a positive, negative, and neutral. </t>
    </r>
    <r>
      <rPr>
        <b/>
        <sz val="10"/>
        <color rgb="FFFF0000"/>
        <rFont val="Arial"/>
      </rPr>
      <t>This second system is ideal in replacing an AC system since AC systems also have three lines.</t>
    </r>
  </si>
  <si>
    <t xml:space="preserve">
the maximum transfer capability of an AC system and two DC systems, one with two lines and another with three, is determined through the continuation power flow method and compared.</t>
  </si>
  <si>
    <t>2016 Clemson University Power Systems Conference (PSC)</t>
  </si>
  <si>
    <t>*DC microgrids with DC generation are generally more optimized due to efficient generation, distribution and storage of electrical energy due to absence of subsequent DC- AC conversion stages.
*The ring architecture provides necessary redundancy in case of an open conductor fault, therefore, enhances the reliability of the system.
*In the presented analysis, the operation of grid is evaluated on 120V, 240V, 320V and 400V. The length of conductor between consecutive houses is assumed to be 20m. Similarly, the length of internal wiring of the house is also assumed 20m. Different cross sectional areas for conductors i.e. 0.2mm2, 0.45mm2, 2.5mm2, 6mm2 and 7.5mm2 are evaluated. Using (7) (8) and (10), %LLg, %ɳ and %VDg are calculated for the following scenarios of CGCSA and DGDSA.
*It can be seen from results that it is possible to achieve efficiency greater than 99% with almost all the proposed voltage levels and conductor masses.
*DGDSA has comparatively higher efficiencies in comparison to CGCSA due to usage diversity and mutual resource sharing capabilities.</t>
  </si>
  <si>
    <t>*The net power generating house is modeled via a DC power supply, while the net power consuming house is modeled via resistive units.
*Tensiones de 120 V, 230 V, 325 V, 400 V</t>
  </si>
  <si>
    <t>In this work, central and distributed architectures of DC microgrids for rural electrification are analyzed under central and distributed architectures of DC microgrids for rural electrification are analyzed under various operating conditions.
*two of the proposed architectures i.e. DGDSA and CGCSA at different voltage levels and different conductor masses. As a test case, a typical architectures i.e. DGDSA and CGCSA at different voltage levels and different conductor masses. As a test case, a typical rural community consisting of 40 households is considered for levels and different conductor masses. As a test case, a typical rural community consisting of 40 households is considered for microgrid implementation. It has been shown in subsequent rural community consisting of 40 households is considered for microgrid implementation. 
*Power flow analysis is performed to calculate optimal voltage level and conductor mass for DC microgrid operation.</t>
  </si>
  <si>
    <t>Design and verification of smart and scalable DC microgrids for emerging regions</t>
  </si>
  <si>
    <t>2013 IEEE Energy Conversion Congress and Exposition</t>
  </si>
  <si>
    <t xml:space="preserve">
the overall efficiency of DC microgrids is higher i.e. around 86% (for DC loads) compared to AC microgrids which are less than 63% efficient.
</t>
  </si>
  <si>
    <t>*Line transmission losses will be minimized by using 380 VDC and converted to safer 12 VDC at the households.
*The DC transmission lines will be connected to  each household via a PMU that provides the  power for all household appliances.
*Lithium-based storage in-tegrated into individual PMUs will reduce losses of stored energy by  minimizing conversion steps and line losses. distributed storage also allows for household loads to be decoupled from the grid supply as required.</t>
  </si>
  <si>
    <t>A village 2 km far away to the generation point</t>
  </si>
  <si>
    <t>Simulations Of Efficiency Improvements Using Measured Microgrid Data</t>
  </si>
  <si>
    <t>2012 IEEE Global Humanitarian Technology Conference</t>
  </si>
  <si>
    <t xml:space="preserve">*Reducing losses from power conversion could lower wholesale energy costs by 20% while improved battery chemistries could lower costs by up to 50%.
</t>
  </si>
  <si>
    <t>*We have installed 17 solar photovoltaic microgrid systems with remote connectivity using Short  Message Service (SMS) over the Global System for mobile Communications (GSM) networks in Mali and Uganda.
*Each of these systems consists of a 1.4 kWp array of photovoltaic panels with a 48 V, 360 Ah  battery bank. An MPPT charge controller handles battery charging and a 750 W inverter supplies the microgrid with 50 Hz, 220 V power. 
*Up to 20 customers are connected to these systems in a star topology where each customer has a dedicated wire to the central facility.</t>
  </si>
  <si>
    <t>INTERNATIONAL JOURNAL of RENEWABLE ENERGY RESEARCH</t>
  </si>
  <si>
    <t>*The selection of 380 VDC for power distribution is approved by several organizations such as Emerge Alliance, European Telecommunications Standards Institute (ETSI), International Electrotechnical  commission (IEC) and EPRI
*Several research groups have studied the low voltage DC microgrid and concluded that 48 V DC distribution systems for residential area located near the DC power resources with optimized cable area could be a more economical system</t>
  </si>
  <si>
    <t xml:space="preserve">*In this paper Table 1 is worth replying because in it were depicts some of DC grids for data center in all around the world
*48 V was the level chosen by the authors </t>
  </si>
  <si>
    <t>*Here a resistive load is used in place of DC appliance such as vacuum cleaner, toasters etc
*The focus is on using a current mode controller with paralleled non-isolated boost converters
*Multisim software</t>
  </si>
  <si>
    <t>Low-Voltage DC Distribution System for Commercial Power Systems with Sensitive Electronic Loads</t>
  </si>
  <si>
    <t>IEEE TRANSACTIONS ON POWER DELIVERY</t>
  </si>
  <si>
    <t>*The priority of using DC power in residential appliances use and elimination of AC-DC conversions in the restructured DC distribution network is favored
*The experimental results pre-sented show that dc may well be used to supply electric loads compared with ac. In the dc distribution, system there will not be any associated problems with current harmonics. Furthermore, if the loads are modified, there is a potential to reduce the losses since no rectifiers or PFC circuits are needed.
*It was demonstrated that supplying the loads with a dc system con-nected to the utility grid through an ac/dc interface can prevent disturbances to affect the loads. This solution has lower losses compared with a conventional ac UPS.</t>
  </si>
  <si>
    <t>230 V was the level chosen by the authors</t>
  </si>
  <si>
    <t>Commercial buildings, such as office buildings, often have a large amount of nonlinear electronic loads, such as office buildings, often have a large amount of nonlinear electronic loads, such as lighting, computers, monitors, and adjustable-speed drives for air conditioning</t>
  </si>
  <si>
    <t>DC Power for Improved Data Center Efficiency</t>
  </si>
  <si>
    <t>Lawrence Berkeley National Laboratory</t>
  </si>
  <si>
    <t>*This study on datacenters claimed a measured efficiency enhancement of 4% solely due to the UPS unit when used with dc as compared to ac.
*Our results indicate that the DC approach does provide an increase in conversion efficiency. 
*In this case, an improvement of over 28% is possible in an average data center. This means the DC  distribution system, as demonstrated, will have the potential of using 28% less energy than the typical AC system found in today’s data centers.
*We were also able to conclusively demonstrate to the data center industry (via the 200+ attendees and the media) that DC delivery systems are viable, can be 20% or more efficient than current AC delivery systems, be more reliable, and potentially cost less in the long run.
*The Demonstration Project showed that DC- powered servers exist in the same form factor as AC servers or can be built and operated from existing components with minimal effort. The Project reminded the industry that DC servers currently exist (in the 48V DC form factors), and also showed that 380V DC servers and storage equipment could be built and operated from existing components
*The Project demonstrated efficiency gains from the elimination of multiple conversion steps in the delivery of DC power to the server hardware. Results were measured and documented from two sets of DC delivery systems, and compared to two sets of AC delivery systems. In both cases, the DC delivery system showed a minimum of 5% to 7% efficiency gains without significant optimization over two AC distribution systems that are “best in class” and much more efficient than most systems found in today’s data centers. These measured efficiency gains did not include additional gains from a reduction in cooling loads, which can have the potential for additional savings.
*Grounding, Protection and Overloading Prevention: A number of grounding, protection and overload prevention practices for DC data centers are discussed in this report for industry considerations.
*Reliability: Anecdotal data shows that DC-powered data centers have the potential to be more reliable than AC-powered data centers. However, data does not exist for DC voltages higher than 48V DC. Leadership will need to come from the industry in adoption or additional testing for the industry to move forward on this area.
*Costs: While cost data exists, it has not yet been compiled in a way that direct comparisons can be made for the two distribution systems (or their TCO). The Demonstration has generated significant interests from data center designers and system integrators, and further discussion on this area can lead to at least first-order estimate of DC distribution costs. A related area is the costs of DC components vs. AC components. Currently, AC components may enjoy better economies of scale, but wide-spread DC power adoption may change this equation.
*Integration with Other Sources: A DC data center can also simplify the integration of alternative energy sources, such as solar and other forms of renewable energy, as well as fuel cells and distributed generation, which are all DC-based.
*Measurement Verification: The accuracy of measurements was confirmed with an additional measurement approach. This helped to address any concerns over introduced error factors from the instrumentation used.
*Other Issues: Of significant concerns is the lack of industry knowledge of the advantages of DC distribution, as well as misconceptions about DC power. Additional education and outreach efforts will be required if the energy savings potentials of DC powered data centers are to be realized.</t>
  </si>
  <si>
    <r>
      <rPr>
        <sz val="10"/>
        <color rgb="FFFF0000"/>
        <rFont val="Arial"/>
      </rPr>
      <t xml:space="preserve">These topics may lead us to give the main form to our review:
</t>
    </r>
    <r>
      <rPr>
        <b/>
        <sz val="10"/>
        <color rgb="FFFF0000"/>
        <rFont val="Arial"/>
      </rPr>
      <t>Eficiency, Grounding, Reliability, Costs, Integration with other sources, measurenments, other issues.</t>
    </r>
  </si>
  <si>
    <t>Journal of Power Sources</t>
  </si>
  <si>
    <t>*shows how a dc microgrid on ship could save upto 7% energy as compared to one without.
*The integration of these storage components with dc interconnec-tion would benefit more, as is shown to have 15% fuel savings compared to conventional ac system</t>
  </si>
  <si>
    <t>*Bus feeding line</t>
  </si>
  <si>
    <t>Simulation Matlab/Simulink</t>
  </si>
  <si>
    <t>Refurbishing Existing MVAC Distribution Cables to Operate Under DC Conditions</t>
  </si>
  <si>
    <t>2016 IEEE International Power Electronics and Motion Control Conference (PEMC)</t>
  </si>
  <si>
    <t>MV/LV</t>
  </si>
  <si>
    <t>*Compact bus and cable distribution system is a requirement in shipping applications due to limited space availability. It has been suggested that significant capacity gains can be achieved by opting for dc as compared to ac.
*the refurbishment of the ageing ac grid with the introduction of more flexible dc links is envisioned as the first step towards a more reliable and accessible grid.
*Cable joints and the dc link converters must be over-designed to handle the higher voltages imposed on the cable.</t>
  </si>
  <si>
    <t>monopolar/bipolar dc link with ground return</t>
  </si>
  <si>
    <t>2017 IEEE Second International Conference on DC Microgrids (ICDCM)</t>
  </si>
  <si>
    <t>*sustained series arcs were obtained for dc circuits operating loads as low as 100V, 5A
*Higher load capacitance should be preferred for high current operation as this reduces series arc sustainability.
*For lower load current, possibility of arcing is already low. If operating efficiency concerns are not too critical and choice of supply voltage is available, the option of lowering the supply voltage could help.
*Source side inductance should be minimized because a higher value not only makes it more possible for series arcs to survive, but also reduces the sensitivity and speed of arc detection algorithm</t>
  </si>
  <si>
    <t>Hybrid ac/dc microgrids—Part I: Review and classification of topologies</t>
  </si>
  <si>
    <t>*but dc-based microgrids are gaining interest due to the advantages they provide over their counterpart (no reactive power, no synchronization, increasing number of dc devices, etc.).
*The previously mentioned higher consumption levels (which are also reflected in the electric grid) and the  considerable ageing of the power network lead to a less efficient utility grid. According to the IEA, the total worldwide power losses in the transmission systems of the power grid were approximately 8% in 2011
*The high penetration of dc-based DG units, ESS units and loads, among other features, is opening the doors for dc operated distribution networks. Their main advantage is a higher overall efficiency as less interface converters are used and there is no circulation of reactive current in the network. Moreover, there is no need for synchronization of DG units. On the other hand, this configuration requires a high modification of the current distribution network and consequently the cost increases drastically.</t>
  </si>
  <si>
    <t>hybrid system</t>
  </si>
  <si>
    <t>IEEE Transactions on Smart Grid</t>
  </si>
  <si>
    <t>*Choose the highest load capacitance and lowest source inductance possible within the detection boundaries defined in this paper. In case sustained series arcs are still possible, the rated operating load current should be reduced.
*It is proved that the set threshold voltages of 6V and 7V are sensitive in detecting series arcing for a side range of natural frequencies and quality factors of the system configuration. Set thresholds of 8V or more  are sensitive only due to the amplifying effect of the circuit within the frequency spectrum of the designed bandpass filter of the detection algorithm. It is highlighted that 6V is the best choice because it is more sensitive in the regions of interest, while being insensitive to low frequency grid voltage fluctuations associated with load changes at 100 Hz.
*The detection time decreases with increasing natural frequency of the circuit until it saturates to a low value towards the outer limit of the filter band. The detection time dt of algorithm varies between 0 &lt; dt ≤ 3ms depending on the circuit parameters like grid inductance, resistance and load capacitance mapped in the natural frequency in the range of 100 Hz -5 kHz and quality factors in the range of 0.25-4.
*The zone of positive detection of series arcs by the algo-rithm is defined comprehensively for all load capacitance and grid inductance. For example, for a 100μH inductance, the load capacitance should be lower than 60μF to ensure posi-tive detection if we do not take resistance into account. This limitation is improved to 400μF with a higher quality fac-tor of 0.5 and &gt;1000μF for quality factor of 1. Therefore, it is concluded that the zone of positive detection increases with quality factor for the same grid inductance due to its amplifying effect on the arc detection signal.
*The detection scheme works in real time for both constant power and constant resistant loads for different supply volt-age and load currents. Experimental results show that series arcs can be detected in about 1 ms after initiation for a set threshold of 6V. The detection time increases with increasing set threshold voltage, while the sensitivity decreases. It is also observed that the detection time and sensitivity of the scheme was slightly different for different supply devices used because
of their own source dynamics to the arcing event. It is reason-able to conclude that 1-3ms is the empirical detection time
range and 6V is a good set point for positive arc detection
both theoretically and practically.</t>
  </si>
  <si>
    <t>Energy and buildings</t>
  </si>
  <si>
    <t xml:space="preserve">
*Based on this work, we estimate that net-metered PV residences could save 5% of their total electricity load for houses without storage and 14% for houses with storage. 
*Direct-DC energy savings are sensitive to power system and appliance conversion efficiencies but are not significantly influenced by climate.
*Table 1. Power system full-load conversion effieciencies
*Accounting for variable loads, for the average city direct-DC is esti-mated to save about 5% of total house electricity consumption for the non-storage case and about 14% for the storage case. Addi-tional energy savings of approximately 33% would be obtained by completing the current transition toward the use of DC-internal technologies to supply residential electricity demands.
*The modest savings for the non-storage case are a reflection of the fact that residential loads, which peak in the late afternoon and evening, do not facilitate the direct use of PV power. The larger the mid-day and summertime loads, the greater the energy sav-ings potential will be. On the other hand, on-site storage favors direct-DC, because excess power from the PV system can be sent to the batteries for storage directly in its DC form without DC–AC–DC conversion losses. Given that high PV penetration rates desired for decarbonization of the electricity supply also require on-site elec-tricity storage, direct-DC could facilitate by significantly reducing the effective PV system load.
</t>
  </si>
  <si>
    <t>As discussed earlier, cooling loads are separated from non-cooling loads, while the latter are further broken up to high- (380 V) and low-voltage (24 V) loads. High voltage is used for high-power consumption devices and to distribute DC power throughout the house with fewer losses.</t>
  </si>
  <si>
    <t>*14 US cities across the country
*The DC-house power system configuration eliminates DC–AC–DC conversion losses to DC internal appliances when adequate PV power is available, but incurs AC–DC losses via the bidirectional inverter when grid backup power, delivered as AC, is used.
*In the AC-house, which constitutes the base case, all power is distributed in AC form to appliances that accept AC power. In the DC-house, all power is distributed in DC-form to appliances that accept DC power, but these appliances are identical in every other way to their AC counterparts. That is, the AC appliances are assumed to be the DC-internal appliances with an AC–DC power converter on the input.</t>
  </si>
  <si>
    <t>Feasibility of a DC network for commercial facilities</t>
  </si>
  <si>
    <t xml:space="preserve"> IEEE Transactions on Industry Applications ( Volume: 39 , Issue: 5 , Sept.-Oct. 2003 ) </t>
  </si>
  <si>
    <t>*It can be concluded that a dc supply can lead to big advantages if a proper voltage level is chosen. From both the technical and the economical point of view, the most suitable dc voltage level seems to be 326 V. It has been shown that this voltage is readily applicable to existing systems, which makes it possible to use the existing cables.
*A backup system for the dc network has been designed, which consists of a battery block covering the essential loads in the system (about 8 kW) for durations of 1, 4, and 8 h. Results demonstrate that this solution is much cheaper than the tradi- tional ac solution, consisting of a UPS for each sensitive load
*For fault protection of the proposed low-voltage dc system, molded-case circuit breakers can be applied, provided that the ratings are adjusted by proper correction factors given by the manufacturers.
*Other advantages with such a system may be safety (direct current is not as dangerous as alternate current for the human body, as it does not lead to involuntary contractions of the mus-cles); reduction ofelectromagnetic fields; improvement ofelec-tric power quality, as the dc network is completely decoupled from the ac supply.</t>
  </si>
  <si>
    <t>*The voltages of 48, 120, 230, and 326 V dc are considered.
*Voltage drops and power losses have been calculated for an existing ac system and com-pared with the results obtained for the same system, with the same cables, operated using a dc voltage.</t>
  </si>
  <si>
    <t>Building-integrated microgrid: Advanced local energy management for forthcoming smart power grid communication</t>
  </si>
  <si>
    <t xml:space="preserve">
Due to the constraints presented by some elements, the DC bus voltage is chosen at 200 V for the experimental tests, despite the recommendation of 325VDC, and so, the grid voltage is adopted at 115 V/50 Hz. As the main objective is to validate the pro-posed control strategy, this voltage value does not affect the results.</t>
  </si>
  <si>
    <t>The difference of load consumption and PV generation causes fluctuations in the DC bus voltage</t>
  </si>
  <si>
    <t>DC Microgrids: Benefits and Barriers</t>
  </si>
  <si>
    <t>YALE report</t>
  </si>
  <si>
    <r>
      <rPr>
        <sz val="10"/>
        <color rgb="FFFF0000"/>
        <rFont val="Arial"/>
      </rPr>
      <t xml:space="preserve">*Let us start with DC-powered electronic devices—which represent 50% of the electric load in many buildings today
*Residential power consumption by addressable load, 2006 </t>
    </r>
    <r>
      <rPr>
        <b/>
        <sz val="10"/>
        <color rgb="FFFF0000"/>
        <rFont val="Arial"/>
      </rPr>
      <t>(they depicts an interesting gropu of home appliances and its possible energy reductions in case they operate in DC)
*</t>
    </r>
    <r>
      <rPr>
        <sz val="10"/>
        <color rgb="FFFF0000"/>
        <rFont val="Arial"/>
      </rPr>
      <t>DC microgrids can create power systems that are more efficient and more compatible with the fastest growing segment of the load today: electronic devices.
*The DC microgrid begins to change the paradigm from a centralized generation and distribution system of power delivery to a system that is more flexible and more accommodating of the load that has come to be: one that is more electronic, more ubiquitous, and more essential to our economy and our culture</t>
    </r>
  </si>
  <si>
    <t>It seems to be a report</t>
  </si>
  <si>
    <r>
      <t xml:space="preserve"> *Notable advantages, besides efficiency improvement, include a 15% less up-front capital cost, 33% less floor space, 36% lower lifetime cost, and 20 to 100 times less copper for converters compared to 48 Vdc. For these reasons, international standardization around 380 Vdc has begun since 2009 through the International Electrotechnical Commission (IEC), European Telecommunication Standards Institute (ETSI), and International Telecommunication Standardization Sector (ITU-T)
*To establish voltage standards for energy savings and safety, three criteria are addressed that include line thermal limits, voltage drops, and power losses.
*it is often claimed that DC systems do not experience harmonic currents or voltages. At a surface level, this is true by definition, since the fundamental frequency of a DC system is 0 Hz and integral multiple frequencies of 0 Hz other than the fundamental itself do not exist. </t>
    </r>
    <r>
      <rPr>
        <b/>
        <sz val="10"/>
        <rFont val="Arial"/>
      </rPr>
      <t>At a practical level, however, the presence of current and voltage oscillations on a DC system similar to AC harmonics make the extension of the discussion of harmonics to DC systems relevant</t>
    </r>
    <r>
      <rPr>
        <sz val="10"/>
        <color rgb="FF000000"/>
        <rFont val="Arial"/>
      </rPr>
      <t xml:space="preserve">. For this reason, as in the references cited, the term “harmonic” will be used in this section to refer to both oscillatory voltages and currents on a DC system.
*DC distribution systems require converters both to connect the DC bus to an AC grid and at each point of connection to the DC bus for distributed generation with AC output, some cases of energy storage, and loads.
*In 48 V DC power systems used for telecommunications, the positive pole is grounded and the system operates as a −48 V/0 V system. When considering higher DC voltages such as 380 V or 400 V for distribution, however, the IT grounding concept with high resistive mid-point connection to protective earth provides safety enhancements by limiting the potential ground current for a line-to-ground fault, as well as halving the voltage to ground on the system compared to the TN-S concept. The TN-S and IT grounding concepts for DC distribution systems are shown </t>
    </r>
    <r>
      <rPr>
        <b/>
        <sz val="10"/>
        <rFont val="Arial"/>
      </rPr>
      <t xml:space="preserve">in Figure 8.
</t>
    </r>
    <r>
      <rPr>
        <sz val="10"/>
        <color rgb="FF000000"/>
        <rFont val="Arial"/>
      </rPr>
      <t>*Appliances in the kitchen tend to be higher in power consumption than other many other appliances used in the home, many of which can be modeled as resistive loads and supplied with DC directly</t>
    </r>
    <r>
      <rPr>
        <b/>
        <sz val="10"/>
        <rFont val="Arial"/>
      </rPr>
      <t xml:space="preserve">
</t>
    </r>
    <r>
      <rPr>
        <sz val="10"/>
        <color rgb="FF000000"/>
        <rFont val="Arial"/>
      </rPr>
      <t xml:space="preserve">
*In particular, failures due to harmonic currents have been noted in literature in the DC link in variable frequency drives, and it is likely DC distribution systems that are not adequately designed with circulating currents due to nonlinear loads could experience similar failures.</t>
    </r>
  </si>
  <si>
    <t>Evaluation of 400V DC distribution in telco and data centers to improve energy efficiency</t>
  </si>
  <si>
    <t>INTELEC 07 - 29th International Telecommunications Energy Conference</t>
  </si>
  <si>
    <t>* Through an analysis of power delivery efficiencies of several power delivery architectures over a wide load range, this paper showed that facility-level 400Vdc distribution provides increased energy efficiency for data and telco centers. This is supported by measurements from a small scale demonstration of high efficiency 480Vac and 400Vdc distribution, which showed a 7% input power savings.
*However, the combination of high efficiency with the other advantages of 400Vdc distribution, including higher reliability, simplified implementation due to lack of phasing requirements and harmonic mitigation, and reduced components cost, makes for a compelling case in considering the adoption of facility-level 400Vdc distribution.</t>
  </si>
  <si>
    <t xml:space="preserve">
Through an analysis of several power delivery architectures, this paper shows that facility-level 400V DC distribution provides increased energy efficiency for data and telco centers over a wide load range. This is supported by measurements from a small scale demonstration of AC and 400V DC distribution.</t>
  </si>
  <si>
    <t>2014 IEEE 36th International Telecommunications Energy Conference (INTELEC)</t>
  </si>
  <si>
    <t>Bsed only en data centers</t>
  </si>
  <si>
    <t>Office of Electricity Delivery and Energy Reliability. Power Electronics Research and Development Program Plan</t>
  </si>
  <si>
    <t>https://www.energy.gov/oe/office-electricity</t>
  </si>
  <si>
    <t>Presently, 30% of all electric power generated uses power electronics technologies somewhere between the point of generation and end-use, and by 2030, 80% of all electric power is expected to flow through power electronics</t>
  </si>
  <si>
    <t>Edison revisited: Impact of DC distribution on the cost of LED lighting and distributed generation</t>
  </si>
  <si>
    <t>2010 Twenty-Fifth Annual IEEE Applied Power Electronics Conference and Exposition (APEC)</t>
  </si>
  <si>
    <t xml:space="preserve">*However, the choice of optimal DC bus voltage may depend upon factors not considered in this analysis such as the difference in installation and switch costs at high (&gt; 48 V) and low voltage (≤ 48 V), and cost-difference between AC- DC converters and DC-DC converters. </t>
  </si>
  <si>
    <t>On voltage standards for DC home microgrids energized by distributed sources</t>
  </si>
  <si>
    <t xml:space="preserve"> Proceedings of The 7th International Power Electronics and Motion Control Conference</t>
  </si>
  <si>
    <t>appliances that are non-resistive loads, such as microwave ovens, dishwashers, and refrigerators, can be energized with DC if these components are interfaced with inverters. Arguments in this paper have suggested the use of 120 Vdc for kitchens and air conditioning to achieve lower copper losses and wire costs.
*This paper proposes a configuration of DC home microgrid which divides the home appliances and equipment into five groups (1-kitchen, 2-Air conditioners, 3-Living, Bath, and bedrooms, and lighting for whole house, 4-Laundry room, 5-plug-in- hybrid electric cars) for separate connections with a common DC bus.
*The voltage levels are discussed for different load groups, according to line thermal limits, power losses, and voltage drops.
*The results show that, if 120 volts is chosen for the DC bus, higher voltage standard over 120 volts could not bring loss savings for load groups. It can also be concluded that, 24 V DC could be a standard only for extra-low power appliances in a small house or single room, because of big losses; instead, 48 V DC may be better suitable for lighting and low-power appliances, especially when most of them could be working on 48 V DC in future.</t>
  </si>
  <si>
    <r>
      <rPr>
        <sz val="10"/>
        <color rgb="FFFF0000"/>
        <rFont val="Arial"/>
      </rPr>
      <t xml:space="preserve">
Establishing reasonable voltage standards is a pressing need and precondition for the wide expansion of residential DC distribution. </t>
    </r>
    <r>
      <rPr>
        <b/>
        <sz val="10"/>
        <color rgb="FFFF0000"/>
        <rFont val="Arial"/>
      </rPr>
      <t>EPRI developed a voltage standard of 380V DC for data centers</t>
    </r>
    <r>
      <rPr>
        <sz val="10"/>
        <color rgb="FFFF0000"/>
        <rFont val="Arial"/>
      </rPr>
      <t xml:space="preserve">, together with the Lawrence Berkeley National Laboratory [21]. </t>
    </r>
    <r>
      <rPr>
        <b/>
        <i/>
        <sz val="10"/>
        <color rgb="FFFF0000"/>
        <rFont val="Arial"/>
      </rPr>
      <t>However, this standard might be unsuitable for home microgrids energized by local sources, due to safety issues and low line loss savings</t>
    </r>
    <r>
      <rPr>
        <sz val="10"/>
        <color rgb="FFFF0000"/>
        <rFont val="Arial"/>
      </rPr>
      <t xml:space="preserve">. Furthermore, it might not be an energy-efficiency strategy to upgrade the output voltages of local sources to such a high voltage (380 V DC) by a power converter, </t>
    </r>
    <r>
      <rPr>
        <i/>
        <sz val="10"/>
        <color rgb="FFFF0000"/>
        <rFont val="Arial"/>
      </rPr>
      <t>especially when the home microgrid is in a stand-alone mode or there are not big energy exchanges between the microgrid and macrogri</t>
    </r>
    <r>
      <rPr>
        <sz val="10"/>
        <color rgb="FFFF0000"/>
        <rFont val="Arial"/>
      </rPr>
      <t>d.</t>
    </r>
  </si>
  <si>
    <t>This research distribution is based on a DC bus configuration</t>
  </si>
  <si>
    <t>AC load conditioner and DC bus conditioner for a DC distribution power system</t>
  </si>
  <si>
    <t>2000 IEEE 31st Annual Power Electronics Specialists Conference. Conference Proceedings</t>
  </si>
  <si>
    <t>*As the DC bus serves as a connection between multiple power electronic converters, current harmonics and circulating currents can arise on a DC bus from nonlinear effects of the various power electronic converters
*The nonlinear loading effect has been identified as one of the system level control issues which impacts greatly on the stability of the DC distribution bus in a large signal sense.
*One is to use the load conditioner with a modified control reference, another is to use a DC bus conditioner, which is an extension of the AC load conditioner concept by performing active filter and damping functions. 
*The nonlinear loading effect to the distribution bus is a result of an unbalanced andor nonlinear load condition to the load converter.
*Two solutions are proposed to eliminate problems caused by the nonlinear loading effect of the load converters. The key point is to keep the low frequency ripple currents from entering the DC distribution bus and interfering with the PFC bus regulator and other loads on the primary DC bus.</t>
  </si>
  <si>
    <t>The importance of a DC side harmonic study for a DC distribution system</t>
  </si>
  <si>
    <t xml:space="preserve"> 6th IET International Conference on Power Electronics, Machines and Drives (PEMD 2012)</t>
  </si>
  <si>
    <t xml:space="preserve">in low voltage DC power systems, damaging resonance currents, unacceptable EMI, or problematic voltage oscillations can result from current harmonics on the DC bus, and a detailed harmonic study needs to be a consideration in the design of DC distribution systems.
*Electrolytic capacitors are operating successfully because their high ESR provides the damping needed.
*Low loss film caps require additional damping resistors
*System integrators need to know the ESR, the rms current rating and the farads of all the capacitor banks in the line up.
*The bus and cable connections must be designed to achieve the required inductance.
*A harmonic study is needed to determine how much damping is needed.
</t>
  </si>
  <si>
    <t xml:space="preserve">When two voltage source inverters are connected together on a common dc bus the inverter capacitors and the inductance of the dc bus bars form a resonant circuit. </t>
  </si>
  <si>
    <t>This paper explains how DC side harmonic currents are produced by PWM inverters and how they interact with the capacitors and cable inductances on the system.</t>
  </si>
  <si>
    <t>Advanced power electronics enabled distribution architectures: Design, operation, and control.</t>
  </si>
  <si>
    <t>8th International Conference on Power Electronics - ECCE Asia</t>
  </si>
  <si>
    <t>In a DC distribution system, however, a fault on the DC system can only draw fault current through converters or from energy resources or capacitance directly on the DC bus, and the fault current is limited by the power ratings of these converters and resources and the charge stored in the distributed capacitance in the buses of the circuit or connected capacitors</t>
  </si>
  <si>
    <t>The key components of these architectures are MIMO converters. Two topologies, one based on a boost and a buck converters and the other based on a fly-back converter is presented and explored</t>
  </si>
  <si>
    <t>Important issues with fault detection and clearance found in distributed power architectures caused by limited energy flow in power converters are addressed through
current limiting in MIMO converters I/O port connected to the fault point and through adequate capacitance sizing.</t>
  </si>
  <si>
    <t>Electric Power Systems Research</t>
  </si>
  <si>
    <t>*it can be concluded that the feasibility of adopting DC systems became evident, especially with the high penetration of DC-supplied loads, and the presence of advanced power electronics technologies.</t>
  </si>
  <si>
    <t>Low voltage DC distribution system compared with 230 V AC</t>
  </si>
  <si>
    <t>2011 IEEE Electrical Power and Energy Conference</t>
  </si>
  <si>
    <r>
      <rPr>
        <sz val="10"/>
        <color rgb="FFFF0000"/>
        <rFont val="Arial"/>
      </rPr>
      <t xml:space="preserve">*The power loss of the 24V DC system is higher than for the other systems. In the case with the 48V DC system with the optimized wire area the losses could be reduced by almost 44 % compared with 48 V DC systems. </t>
    </r>
    <r>
      <rPr>
        <b/>
        <sz val="10"/>
        <color rgb="FFFF0000"/>
        <rFont val="Arial"/>
      </rPr>
      <t>Table 3 shows</t>
    </r>
    <r>
      <rPr>
        <sz val="10"/>
        <color rgb="FFFF0000"/>
        <rFont val="Arial"/>
      </rPr>
      <t xml:space="preserve"> the losses in the feeder cable and energy consumption for different DC distribution system.
*The 230 V systems are the highest energy consuming system, 48 V DC with optimized cable area losses for different system.
*The power losses across the cable can be reduced by reducing the wire resistance. The resistance is inversely proportional to the cross section of the wire. By increasing the cross section of the cable, the losses in the cable can be reduced. For example a load of 500 W the power losses reduces 40% if a 2.5 mm2 cable is used instead of a 1.5 mm2 cable. Increasing the cross section of the cable, of course it increases the copper cost. The cable area is optimized to minimize the total cost of the cable.
*The total cost is calculated</t>
    </r>
  </si>
  <si>
    <t>Modeling and Analysis of DC Distribution Systems</t>
  </si>
  <si>
    <t>8th International Conference on Power  Electronics</t>
  </si>
  <si>
    <t>*When DC distribution is applied in a system with DC-preferred appliances, it is possible to enhance energy consumption efficiency by reducing conversion losses.
*Moreover, renewable energy sources and storage devices can be fully utilized because they are more compatible with DC based system where generated energy can be directly used to loads and stored which results in less conversion loss.
*The results efficiency improvement with DC show the 4.7% transmission and 1.5% with DC distribution without renewable source usage showing the feasibility of DC system.</t>
  </si>
  <si>
    <t xml:space="preserve">
Renewable energy sources and storage devices are not considered in this simulation.</t>
  </si>
  <si>
    <t>*Utilizing the modeling results, AC and DC
based household power system is simulated.
*It was utilized a 10 kW home to modelling this losses.</t>
  </si>
  <si>
    <t>*‘‘[A microgrid is] a group ofinterconnected loads and distributed energy resources within clearly defined electrical boundaries that acts as a single controllable entity with respect to the grid. A microgrid can connect and disconnect from the grid to enable it to operate in both grid-connected or island mode
*The costs of solar photovoltaic generation and battery storage are rapidly dropping, to the point that they are closing in on cost parity with traditional electricity sources.
*Whether microgrids remain a niche application or become ubiqui-tous depends on two main factors: (1) to what degree regulatory and legal challenges can be successfully surmounted, and (2) whether the value they deliver to property owners and communities in terms of power quality and reliability (PQR) and other economic benefits out-weigh any cost premiums incurred to capture those benefits.
*These losses can waste from 5% to 15% of power generation depending on the number of back-and-forth conversions. Additionally, faults in DC systems can be isolated with blocking diodes and issues of synchronition, harmonic distortion, and problematic circulating reactive currents are alleviated.
*It is worth noting that while the success of promising initiatives like “DC homes”, i.e. low voltage DC  grids for residential applications, has been limited by a lack of DC appliances and the need for large grid- connected AC-DC converters, DC or hybrid AC/DC microgrids have flourished in maritime applications, datacenters, and so-called mini- grids (another name used historically for remote microgrids) utilizing PV solar generation and batteries to charge electronic devices like laptops or cellphones</t>
  </si>
  <si>
    <t>Challenges: legal and regulatory uncertainty, Interconnection policy, Utility regulation, Utility opposition</t>
  </si>
  <si>
    <t>IEEE TRANSACTIONS ON SMART GRID</t>
  </si>
  <si>
    <t>*In addition, fewer ac–dc–ac conversions would lower power conversion losses and reduce required cooling and ventilation systems in application with intense power usage such as data centers.
*The simulation cases address the economic dispatch of bat-tery storage in grid-connected mode, as well as the unplanned islanding, load restoration and the resynchronization of IIT dc microgrid in island mode. The simulation results are com-pared with those of the IIT ac microgrid, which verify that the proposed coordinated dc strategy is an effective way of ensur-ing the resilient response of dc microgrids to emergencies and optimizing their economic operation at steady state.</t>
  </si>
  <si>
    <t>The objective is to analyze the merits and the functionalities of dc microgrids in terms of resilient and economic operations in emergencies and steady state</t>
  </si>
  <si>
    <t>Power management strategy for plug and play DC microgrid</t>
  </si>
  <si>
    <t>2012 3rd IEEE PES Innovative Smart Grid Technologies Europe (ISGT Europe)</t>
  </si>
  <si>
    <t xml:space="preserve">*Lower cable losses in dc microgrids, which are due to the absence of skin effects and reactive power flow in cables, would offer a more economic power delivery than that in ac microgrids.
*In the proposed power management scheme, the DC microgrid system can: 
1) operate stably in islanding mode and DC source-enable mode; 
2) seamlessly transit between different modes without severe without severe voltage or current oscillations; 
3) implement plug and unplug to integrate more DESDs and DRERs into the microgrid system; 
4) wireless communication ports to monitor the whole system operation
*When the DC source is disconnected from the DC bus, the system goes into the islanding mode and the batteries modules are responsible to support the bus voltage. The batteries have to generate power into the system because power generated by PVs is less than the load needed. As analysis before, the batteries are in droop control, so the DC bus voltage in islanding mode is smaller than 380V. To PV modules, they are always in MPPT control in either mode.
</t>
  </si>
  <si>
    <t xml:space="preserve">
In this paper, a typical DC microgrid system including two PVs and two batteries modules is constructed to simulate multiple DESDs and DRERs and the corresponding power management strategy is proposed.</t>
  </si>
  <si>
    <t>*It also improves overall sustainability, since expanding and integrating onsite clean energy
generation allows end users to directly meet their electricity requirements via a locally controlled grid.
*Ultimately, this literature and case analysis pinpoint the success factors and/or characteristics that are necessary in order to have a full-functioning and commercially viable microgrid. These success factors can be described as:
-Stable, reliable, and cost-effective power sources like CHP, reciprocating engines, hydro power, wind local primary energy, should be a share of the microgrid to supply stable energy during times of outage and/or disaster.
-Larger capacity and multiple technologies allow microgrids to meet power demands and maintain power quality more effectively in island mode.
-Backup equipment, particularly storage, to maximize peak shaving and facilitate the transition between grid-connected and island mode.
-Effective power quality and energy management system, which can seamlessly control and communicate between DER and with the main network operator, in order to optimize consumption, maintain power quality during island mode and switching from grid-connected to island mode.
-Supportive regulatory and market framework is critical in order to allow feeding microgrid power back into the grid, which in turn facilitates trading with the main network and between constituents.
-Stakeholder involvement in decision-making to foster trust and cohesiveness among consumers and other stakeholders, like manufacturing companies, DSOs, and power producers. Building a cooperative relationship between the DSO/utility and the microgrid system is especially important if the microgrid is to be connected to the grid.
-Microgrid operator training and user-friendly interfaces to easily and consistently maintain its normal operation, and particularly during unforeseen events, like faults and natural disasters.
*Table 4
Comparison of demonstration and real-world microgrid cases around the world; ordered by known year of completion. Refer to Appendix A for References. *R¼residential, C¼commercial, I¼industrial</t>
  </si>
  <si>
    <t>*In the first case of an island microgrid, a combination of DG units and DS units provides enough electricity for one customer or small community separate from the utility grid, because its remoteness often makes it difficult to connect to the grid. In the second case, a low voltage (LV) customer microgrid services the power demands of one customer, like a farm or detached house by connecting and operates parallel to the grid. Then when there is a fault in the utility grid, the customer's power needs are met by one or two of their own DG and DS units in islanding mode. The third case, an LV microgrid, is characterized by a group of LV customers, where power production is based on many small scale DGs, like solar panels on the roof of a house and a microturbine, for example. The LV microgrid can range from just a few consumption points to an entire low voltage network fed by an MV/LV transformer. Lastly, LV microgrids can be grouped into a MV microgrid where bigger production units, like wind power parks, can be applied. These are then centrally connected at one HV/MV substation, and can consist of partial or the entire output of the HV/MV substation.</t>
  </si>
  <si>
    <t>Journal of Physics: Conference Series</t>
  </si>
  <si>
    <t>*We measured the consumption of meaningful loads on both Alternating Current (AC) and DC. For instance, we used an induction stove for cooking giving a loss of the 16.66% of the maximum wattage level while in the medium wattage the loss is of the 32.72 % (on AC) while for a laptop adapter, the loss is 3.33%. Their respective losses operating on DC are zero.</t>
  </si>
  <si>
    <t>*Home appliances represent the main charge of the domestic sector to the public electric
network and they are used to satisface the needs at home. According to Martinez et. al. [3],
the main needs of electric energy of a home in Mexico, in accordance with their percentage of
consumption are as follows:
1. Lightning, 22 % ;
2. Food refrigeration, 30 %;
3. Cooking and food preparation;
4. Sanitary water heating;
5. Air conditioner, 19 %;
6. Entertainment and communications (TV, 14 %, cell phone, etc.).</t>
  </si>
  <si>
    <t>*The possibility to incorporate home appliances of high efficiency into a home Direct Current (DC) nanogrid is presented.</t>
  </si>
  <si>
    <t>A literature review on integration of distributed energy resources in the perspective of control, protection and stability of microgrid</t>
  </si>
  <si>
    <t>*Early DER-CAM results show that typical commercial customers can adopt on-site generation under all scenarios tested. As an outcome, it was proved that typical annual electricity cost savings for the customers is about 20–25%.</t>
  </si>
  <si>
    <t>DC versus AC in residential buildings: efficiency comparison</t>
  </si>
  <si>
    <t>Eurocon 2013</t>
  </si>
  <si>
    <t>*The nanogrid working on DC has a bus that fed different charges and can be connected to the public electric network by means of an inverter or a rectifier diode.
*In terms of efficiency it is quite clear that the efficiency of actual DC loads (lamps, computers,  household appliances...) is very low and connecting them to a common DC bus the efficiency will increase. The generation units connected to a DC bus are also more efficient if this energy is supplied in the same DC nanogrid, while the efficiency is worse if the power is injected to the grid.</t>
  </si>
  <si>
    <t>*Elevators are modeled using data recorded from one elevator in Mondragon Unibertsitatea, this elevator uses a regenerative brake that supplies power when the elevator is braking.</t>
  </si>
  <si>
    <t>AC-microgrids versus DC-microgrids with distributed energy resources: A review</t>
  </si>
  <si>
    <t>*The LVDC distribution network is a new concept which is one possibility to tackle the current power distribution problems and realize the future power system
*The low voltage DC links are based on bipolar configurations where the loads can be connected across the positive polarity and the ground or between the two polarities.
*It ensures a higher power quality to the customers than in the present distribution network and facilitates more DG units' connection
*Protection issues in the LVDC distribution system are a challen-ging problem addressed by few authors.
*Monopolar DC link. This type of DC link configuration uses one high voltage conductor and a ground-return or sea-return as indicated in Fig. 6(a). It is advantageous from economic point of view, but is prohibited in some countries because the ground current causes the corrosion of pipe lines and other buried metal objects.
*Bipolar DC link Fig. 6(b) shows the bipolar DC-link configuration with two conductors, one operating at positive-polarity and the other operating at negative-polarity. The junction between the two power converters may be grounded at one or both ends. However, if both ends are grounded, each link can be independently operated when necessary.
*Homopolar DC link The homopolar link, whose configuration is shown in Fig. 6(c), has two or more conductors having the same polarity. Usually negative polarities are preferred and can be operated with ground return or metallic return. Due to undesirability of a DC link with ground return, bipolar links are mostly used.
*The control strategy in the DC MGs is usually for (i) soft-start control approach, (ii) external common controller to restore the voltage deviation inside the DC system and (iii) regulation of the  current/power flow from/to an external stiff DC source which can be a medium voltage DC (MVDC) system or a DC/AC power converter connected to the AC 
*In the case of the DC MG system protection, the limits of the standard SFS 6000 about electrical safety must be fulfilled.
+Further, the distribution system has a better power quality, especially if either distributed generators or energy storage are integrated. Verification of the DC operation, also in "stand-alone" configuration, compared to the AC is in progress in particular, regarding the strategies for the control, the protection (either the main AC&amp;DC converter or the distributed accumulators) and the design of the components based on the adopted circuital scheme[32].</t>
  </si>
  <si>
    <t>*The emerged config-urations are designated as the central inverter or string inverter. In that way, the DC based DG units and energy storage devices produce the DC power which would be easily connected to the DC bus line or LVDC network. An ESS can also be charged/discharged with the LVDC network and loads (AC and DC loads) be connected.</t>
  </si>
  <si>
    <t xml:space="preserve">
Table 4. Comparison between AC distribution lines and DC distribution lines.
*Low voltage distribution lines are characterized by a number of parameters such as power transmission capability, system stability, reluctance, line resistance, frequency and susceptances. Table 4 shows the comparison between the two LV distribution lines. Operation of the AC and DC microgrids can also be expressed in terms of the voltage, flow of current and power transport in their distribution lines and circuits as indicated in Table 5.To demonstrate the influence of the line parameters, the AC and DC circuits are considered with only the type of source that differ-entiates the two circuits. The load has a power factor cos φ with the same voltage magnitude applied to both AC and DC loads. where RC and LC represent the conductor resistance and induc-tance, VIDC and VIAC are the DC and AC source voltages, VL and PL¼P2 are the load terminal voltage and active power consumed by the load while Q2 stand for the reactive power consumed by the PL¼P2 are the load terminal voltage and active power consumed by the load while Q2 stand for the reactive power consumed by the
AC load. VLDC and PLDC signify the voltage drop and power loss in the DC circuit, and VLAC and PLAC are the voltage drop and power losses in the AC circuit, respectively.
*Furthermore, there are five protection categories which are used namely: (i) utility protection, (ii) converter protection, (iii) DG unit protection, (iv) feeder protection and (v) busbar protection. Example of the protection devices which are commercially available for the LVDC
networks are fuses, molded-case circuit breakers (MCCBs), power circuit breakers (CBs) or fast static switches (SSs) and isolated-case
CBs. These categories can be operated with decentralized/centralized system in a similar way as in the case of the AC microgrid
protections. However, the inverters short-circuit current capability needs to fulfill the ‘used circuit breakers’ or other protection require-ments. That is to say, the load power converters cannot be dimensioned according to effective power but the short-circuit current determines their dimension. </t>
  </si>
  <si>
    <t>IREC2018</t>
  </si>
  <si>
    <t>Baja Tensión</t>
  </si>
  <si>
    <t>"This paper presents a roadmap to help the choice of appropriate voltage level for a given power for residential DC nanogrid in remote site with minimal outstanding rated power
of 1140W."
It presents a SoA about voltage levels in microgrids. They focus on connection topologies, bus voltage levels and comercial appliances.
They analyse the safety issues depending on voltage levels.
They calculate the losses depending on cable length abnd volatge level.</t>
  </si>
  <si>
    <t>Analysed voltage levels 12, 24, 48, 60 and 100 V
Cable sections are defined for a maximum voltage drop of 5%</t>
  </si>
  <si>
    <t>IEEE Access</t>
  </si>
  <si>
    <t>Baja tensión (Distribución)</t>
  </si>
  <si>
    <t>Example cases show the various phenomena that can appear under asymmetric loading, such as pole-to-pole connections combined with pole-to-neutral connections, parallel sources, meshed grids and their effect on the Location of Marginal Prices.
The paper presents a precise model to analyse bipolar unbalanced distribution systems.</t>
  </si>
  <si>
    <t>Microgrids research: A review of experimental microgrids and test systems</t>
  </si>
  <si>
    <t xml:space="preserve">*In the useofbatteries, either storage canbemountedon the dcbus ofeachmicro-source or canbe used as a central storage system. Batteries provide extra function being able to reserve energy for future demand. Super capacitors would be an expensive choice compared to both batteries and flywheel.
*Having the DC link LBCs allow connection of DERs at different voltages and frequencies.
*The DC linked microgrid comprises a PV panel, a fuel cell and a battery, which are connected to the same DC voltage bus through appropriate DC–DC power converters and controls, as shown in Fig. 24. The DC load represents the local DC load demand, while the AC load represents the power drawn by the upper level [40]. </t>
  </si>
  <si>
    <t>The approach adapted is hierarchical and power electronic interfaces and controls permit the aggregated units at each level to represent themselves to a higher level as a single self-controlled entity (DC or AC, load or generator). The controller for the PV subsystem has two modes of operation: maximum power point tracking (MPPT) mode and bus (battery) voltage limit (BVL) mode. The fuel cell operating under nearly steady state conditions, while the battery is responsible for  transient energy delivery or recovery by supplying or absorbing instantaneous peak power. Thus, the controller is responsible for managing the fuel cell output current and regulating the bus voltage. A classic PID compensator associated with a PWM generator is selected for fuel cell current control and the fuel cell is turned off when the battery is fully charged</t>
  </si>
  <si>
    <t>IEEE TRANSACTIONS ON POWER SYSTEMS</t>
  </si>
  <si>
    <t>*When uncertainties are involved, it is difficult to find the actual equilibria that the DC microgrid will converge to.
*Since the microgrid may operate at any equilibrium in the feasible set, the problem is formulated as a robust stability analysis problem of linear systems with polytopic uncertainties on system matrices.
*As a result, the vector of the overall CPL power lies in a polytopic uncertainty set. Different CPL vectors in the uncertainty set may lead to different system equilibria.We call the system locally robustly stable if all the resulting equi-libria are locally exponentially stable.</t>
  </si>
  <si>
    <t xml:space="preserve">
*It is well known that CPLs have negative impedance effects, which may cause instability in a dc microgrid.
</t>
  </si>
  <si>
    <t>The problem is formulated as a robust stability problem of a polytopic uncertain linear system.</t>
  </si>
  <si>
    <t>Constant Power Loads</t>
  </si>
  <si>
    <t>2015 IEEE 1st International Conference on Direct Current Microgrids, ICDCM 2015</t>
  </si>
  <si>
    <t>*We have successfully demonstrated a DC microgrid in our engineering building with 150kW rooftop solar system and DC lighting, DC air-conditioning and DC EV charging station.
*To power air-conditioning or electrical vehicle charging stations of a commercial building, extra power supply will be required that can be obtained by BIPV on the sidewall, glass windows or adjacent parking lots
*To efficiently adopt DC microgrid applications, a suitable size energy storage unit and a two way invertor are needed to ensure stable bus voltage and continuous power supplies. 
*We believe a DC and AC hybrid system would be a more suitable model for current commercial building applications</t>
  </si>
  <si>
    <t>*In order to power heavy loads such as air conditioning and EV charging stations, extra power are required, which can be obtained from the BIPV on the sidewall, glass window, or adjacent parking lots
*To ensure the stable bus voltage and continuous operation of the DC microgrid, a suitable energy storage unit and two way AC/DC invertors are needed</t>
  </si>
  <si>
    <t xml:space="preserve">
Therefore we believe to use the solar power only for the matched DC loads, and keep existing AC power in the building to power the rest loads (or an AC and DC hybrid microgrid) maybe a more viable solution.</t>
  </si>
  <si>
    <t>*The proper design of power electronics combined with a safety strategy can ensure the safe operation and protection of the grid and the devices connected to it
*For a highly reliable grid, a more decentralized architecture with a communication-less droop control should be considered. A more centralized, highly integrated system is rather suitable for low cost and small DC grids.
*A direct connection to the battery should be avoided to reduce the requirements towards the circuit breakers and for a better optimization capability of the power electronics.</t>
  </si>
  <si>
    <t>*Power electronics are the essential parts for the operation of a DC micro grid. 
*Switchgear for high current DC requires special measures to interrupt the electric arc that is inevitably established when opening contacts under load. Such means include permanent magnets and conductive plates to elongate and split up the arc, resulting in expensive and bulky switches
*Besides safety considerations, attention should be paid to the stability of a planned grid configuration. The interconnection of several DC/DC-converters in a grid could create resonant effects of the grid voltage</t>
  </si>
  <si>
    <t>24V, 380V, y 760V</t>
  </si>
  <si>
    <t>*The ongoing standardization processes provides the oppor-tunity to implement innovative features that will allow dc distribution systems to become more elegant than ac systems when applying smart grid concepts.</t>
  </si>
  <si>
    <t>*New protection strategies for large dc distribution systems and their open research questions are discussed</t>
  </si>
  <si>
    <t>IEEE Electrification Magazine</t>
  </si>
  <si>
    <r>
      <t xml:space="preserve">*Because of the dc nature of many renewable sources, energy-storage technologies, and modern loads, integra-tion of resources and loads in a dc bus is attractive in reducing the footprint of the installations, increasing the efficiency, and eventually reducing the cost of the microgrid. Lack of standardization, lack of dc-rated com-ponents, and obstacles in safety approval are factors impeding the implementation of dc microgrid demonstra-tion projects.
****
Some of the </t>
    </r>
    <r>
      <rPr>
        <b/>
        <sz val="10"/>
        <rFont val="Arial"/>
      </rPr>
      <t>challenges that project developers interested in building dc microgrid demonstrations</t>
    </r>
    <r>
      <rPr>
        <sz val="10"/>
        <color rgb="FF000000"/>
        <rFont val="Arial"/>
      </rPr>
      <t xml:space="preserve"> are facing are:
-difficulties in finding electric loads that will operate on dc due to the investment required to remove ac-rectifying elements that are an integral part of the ac products and due to the wide range of internal dc bus voltages in modern off-the-shelf loads.
-resistance from local authorities to approve dc instal-lations due to the limited experience with this type of project and the lack of references in safety codes 
-the need for custom power electronics equipment incorporating controls and communication features specific to dc microgrids that demands extensive r&amp;d effort (this increases the cost and extends the project execution time)
-unknowns regarding the protections needed in dc sys-tems and the lack of protection devices designed spe-cifically for dc systems 
-a wide variance of ratings and specifications and the repetition of efforts instead of collaboration that would accelerate the goal of more practical imple-mentations of dc microgrids (this is because dc microgrids have been conceived and designed by small groups in academia and industry with very little cooperation among them).</t>
    </r>
  </si>
  <si>
    <t>*The use of distributed resources to power local loads combined with the capability to operate indepen-dently of the ac grid makes  microgrids a technically feasible option to address the concerns of sustainability, resilience, and energy efficiency. Furthermore,  microgrids can operate while completely separated from the grid, representing a lower-cost option to provide electrical power to regions in developing countries where con-ventional ac grids are not  available or are too unreliable.</t>
  </si>
  <si>
    <t>Optimal scheduling of smart homes energy consumption with microgrid</t>
  </si>
  <si>
    <t>*In the case study, twelve domestic tasks from thirty homes are scheduled. Compared with the case where the tasks all start at their earliest possible starting time, the electricity consumption peak was decreased from 290kW to 165kW and the electricity consumption pattern became flatter.
*The smart homes energy consumption scheduling problem is formulated as a mixed integer linear programming model</t>
  </si>
  <si>
    <t>*The energy storage system is the fundamental piece of a DC microgrid able to operate independent of the main grid. 
*In order to minimize the size and cost of the energy storage system, communication amongst the different components in the microgrid is necessary to produce fast response that follows the power and energy management requirements. 
*Changes of operating mode including switching the DC voltage control function amongst components
is unnecessary and a potential cause for miss operation and instability.
*This paper proposes a power management system where the energy storage system always controls the DC bus and changes its value to send information to other components in the microgrid.</t>
  </si>
  <si>
    <t>*The plant consist of multiple distributed DC/DC converters connected to a common DC bus that feeds a constant voltage inverter. The inverter maintains the DC voltage at 780 VDC while transferring the produced power to the utility grid. Due to contractual requirements, the installation is not allowed to power above a certain limit. Nevertheless, additional PV power was installed to increase the financial return for the project by operating at larger powers for longer time. Consequently, the system has to be provided with a clipping method.</t>
  </si>
  <si>
    <t>*The proposed power flow analysis technique can be also used for power losses minimization, economic power dispatch or any optimi-zation problem via master-slave optimization structures.
*Moreover, the linear model can be combined with ac coun-terparts to solve power flow problems derived from hybrid ac-dc power grids. In terms of real-time applications, the proposed linear model can be integrated into control strategies for operating dc microgrids using real-time computation devices.</t>
  </si>
  <si>
    <t>International Journal of Electrical Power and Energy Systems</t>
  </si>
  <si>
    <t xml:space="preserve">Este paper fue desarrollando una caracterización de todos los elementos que pueden ser parte de una microred hibrida distribuida, tanto en caracteristicas matematicas, como técnicas, y economicas de los sistemas de generación y sus posibles sistemas de almacenamiento </t>
  </si>
  <si>
    <t>*The result is neither a linearization nor an approximation, but an analysis of the set of non-linear algebraic equations, which is valid for any LVDC grid regardless its size, topology or load condition. Computer simulation corroborates the theoretical analysis.
*This paper demonstrates the existence and uniqueness of the solution of the power flow in LVDC grids. This result is general since: 
(1) it is independent of the numerical method, 
(2) it is independent of size and load condition of the LVDC grid and 
(3) it is valid for any topology of the LVDC grid. 
A computational simulation demon-strates the theoretical analysis using a successive approximation method.
*It is important to emphasize that power flow in LVDC grids is different from the well known DC power flow in conventional power systems [7]. The former is a power flow in a grid which is actually DC and incorporates constant power terminals; while the latter is a linearization of the power flow equations in AC grids which, due to a pedagogic analogy, is named in this way. The most important difference is that LVDC power flow equations define in a non-linear, non-affine and not convex space due to the presence of power electronic converters with constant power controls. In addition, the state variables are voltages and not angles which actually does not exist in LVDC grids.</t>
  </si>
  <si>
    <t>*A direct use of the Banach fixed-point theorem was used to demonstrate uniqueness of the solution under four practical considerations namely: (a) the graph is connected, (b) there is at least one constant power terminal and one constant voltage terminal, (c) feasible  voltages remain in a given interval and (d) short circuit currents are higher than normal operation currents for all constant power terminals. These considerations are fulfilled by all real grids and hence the result is general. 
*Convergence was studied by a simple successive approximations algorithm. However, the result is independent of the algorithm. This means that any power flow algorithm will converge to the same region since uniqueness is guaranteed. Simulations results demonstrated that initial points close to 1 pu are not required to guarantee convergence. This fact was evaluated even for operative points close to the voltage collapse. This is a surpris- ing fact in comparison to AC grids since for AC grids the power flow method trends to diverge at high load conditions. This result requires future research and could give insights for transient and voltage stability analysis of LVDC grids.</t>
  </si>
  <si>
    <t>Energy efficiency: Is re-distribution worth the gains?</t>
  </si>
  <si>
    <t>Energy Policy</t>
  </si>
  <si>
    <t>This winner/loser conundrum causes problems for the corporation commissioners who must decide the level of energy efficiency standard to adopt. On the one hand, the standard could be set to maximize aggregate economy-wide net benefits. This would be the optimal solution if the answer was ‘‘yes’’ to the title of this paper – ‘‘is the redistribution worth the gains’’ – as this decision may result in larger redistribution impacts between participants (winners) and non-participants (losers), in part because aggressive energy efficiency standards may increase prices relative to moderate energy efficiency standards – as has been shown in Arizona.</t>
  </si>
  <si>
    <t>We explore who are the winners and losers when an energy efficiency standard is introduced (ESS)</t>
  </si>
  <si>
    <t>Procedia Computer Science</t>
  </si>
  <si>
    <t>*DC loads are directly fed though battery storage during unavailability of solar energy during cloudy hours or night time and simultaneously from PV array during sun shine, which enhance the overall efficiency of the system, storage is directly charged by Smart dc PV array during day time and efficiently used during night hours.
*A technique was develop to prevent the total blackout in system and using the priority load without affecting the backup time of storage at night hours. It was demonstrated that the proposed smart scheme can be useful in efficiently managing the various dc and ac loads together with priority switching and proper sizing of storage and PV array lead to the cheaper solution for domestic loads.</t>
  </si>
  <si>
    <t>*1KW of different loads were classified according to their priority, switching through wireless switches on feedback from weather forecast from atmosphere.
*The goal of this paper is to justify the efficient use dc appliances to minimize the losses during conversion from dc-ac-dc for solar PV array</t>
  </si>
  <si>
    <t>Generallized equations for solar PV and battery sizing have been drived using experimental results</t>
  </si>
  <si>
    <r>
      <t xml:space="preserve">*Results show site energy savings between 9% and 20% when solar PV is distributed to all home appliances. When battery storage for excess solar energy is considered, these savings increase to 14–25%. At present DC equipment prices, converting all equipment to DC causes levelized annual costs of electricity to homeowners to roughly double. However, by converting only homes’ air conditioning condensing units to DC, the costs of direct-DC are greatly reduced and home site energy savings of 7–16% are generated.
*In addition to quantifying savings, we find major </t>
    </r>
    <r>
      <rPr>
        <b/>
        <sz val="10"/>
        <rFont val="Arial"/>
      </rPr>
      <t xml:space="preserve">nontechnical barriers </t>
    </r>
    <r>
      <rPr>
        <sz val="10"/>
        <color rgb="FF000000"/>
        <rFont val="Arial"/>
      </rPr>
      <t xml:space="preserve">to implementing direct-DC in homes. These include a lack of standards for such systems, a relatively small market for DC appliances and components, utility programs designed for AC power, and a workforce unfamiliar with DC.
*
</t>
    </r>
    <r>
      <rPr>
        <b/>
        <sz val="10"/>
        <rFont val="Arial"/>
      </rPr>
      <t>Whole-Home DC:</t>
    </r>
    <r>
      <rPr>
        <sz val="10"/>
        <color rgb="FF000000"/>
        <rFont val="Arial"/>
      </rPr>
      <t xml:space="preserve"> Both whole-home DC scenarios see LAC roughly double compared to a home without a PV array. On average, this means LAC increases from around $1200 per home to over $2300 per home. While solar credits from PV generation and savings from converting to DC reduce each home’s annual electric bill by around $950 on average, the added cost of the solar array (average LAC $770 with applicable rebates), bidirec-tional inverter (average LAC $380), and DC appliances and com-ponents (average LAC $900) exceed these savings. In the whole-home case, as well as all others, the addition of battery storage results in a small reduction in energy costs while adding a sub-stantial capital cost (average LAC $500) that is largely not recovered.
</t>
    </r>
    <r>
      <rPr>
        <b/>
        <sz val="10"/>
        <rFont val="Arial"/>
      </rPr>
      <t xml:space="preserve">DC Lighting: </t>
    </r>
    <r>
      <rPr>
        <sz val="10"/>
        <color rgb="FF000000"/>
        <rFont val="Arial"/>
      </rPr>
      <t xml:space="preserve">DC lighting simulations see an increase in LAC due to the added cost of the bidirectional inverter and small energy savings. DC equipment costs are small as only one circuit must
be fitted with a DC-specific breaker and the cost of converting to DC LEDs is negligible when annualized over the life of the lamps. Power electronics make up a small fraction of the cost of an LED, so we do not expect the removal of a single rectifica-tion stage to significantly reduce equipment costs. 
</t>
    </r>
    <r>
      <rPr>
        <b/>
        <sz val="10"/>
        <rFont val="Arial"/>
      </rPr>
      <t>DC Condensing Unit:</t>
    </r>
    <r>
      <rPr>
        <sz val="10"/>
        <color rgb="FF000000"/>
        <rFont val="Arial"/>
      </rPr>
      <t xml:space="preserve"> While DC condensing units deliver sub-stantial energy savings, the cost of these units surpass cost sav-ings and results in a net increase in LAC of 9–80% without storage and 39–133% with storage. Existing units are intended for rugged, off-grid, often mobile applications and have features not required for a residential installation. Thus, while the costs used here are high, they are reflective of the best currently available technology to serve a home’s cooling load with vari-able speed BLDC motors.
</t>
    </r>
    <r>
      <rPr>
        <b/>
        <sz val="10"/>
        <rFont val="Arial"/>
      </rPr>
      <t>DC Plug-in Electric Vehicle Charger:</t>
    </r>
    <r>
      <rPr>
        <sz val="10"/>
        <color rgb="FF000000"/>
        <rFont val="Arial"/>
      </rPr>
      <t xml:space="preserve"> Similar to the conversion of home lighting loads to DC, EV chargers see minimal energy cost savings. DC implementation costs are also small as only one DC circuit is installed and the only hardware change at the charger is the removal of a rectification stage. The net results of these changes are an increase in LAC primarily due to the cost of a bidirectional inverter and storage, when applicable.</t>
    </r>
  </si>
  <si>
    <t xml:space="preserve">
The method established for this analysis uses Monte Carlo sim-ulation to account for uncertainty in the  engineering, economic, and other inputs to the model.</t>
  </si>
  <si>
    <t>It is addressed to Arizona State which is a very particular case</t>
  </si>
  <si>
    <t>Procedia Technology</t>
  </si>
  <si>
    <t>The power converters and control scheme of the Nushima DC micro grid power system have been  described and the system feasibility has been demonstrated in terms of the actual power efficiency  and energy utilization efficiency both of which are obtained from the field test results. The high power conversion efficiency over 90% and energy utilization efficiency around 80% have been attained for the total power processing. In conclusion, these results show electric power distribution systems, with autonomous energy-flow control schemes and low carbon dioxide emissions, may be expected to be implemented in community-scale clean power networks.</t>
  </si>
  <si>
    <t xml:space="preserve">DC bus of 360 V </t>
  </si>
  <si>
    <t>Edison Revisited: Should we use DC circuits for lighting in commercial buildings?</t>
  </si>
  <si>
    <t>*Using DOE performance targets for LEDs and solar PV, we find that by 2012 LEDs have the lowest levelized annualized cost (LAC). If a DC voltage standard were developed, so that each LED fixture’s driver could be eliminated, LACs could decrease, on average, by 5% compared to AC LEDs with a driver in each fixture. DC circuits in grid-connected PV-powered LED lighting systems can lower the total unsubsidized capital costs by 4–21% and LACs by 2–21% compared to AC grid-connected PV LEDs. Grid-connected PV LEDs may match the LAC of grid-powered fluorescents by 2013.
*There are currently several industry-led standards for DC circuits in a variety of applications which may be adapted for commercial building lighting systems, such as the Emerge Alliance-led 24-V
standards for lighting and 380-V standards for home appliances and plug-in hybrid electric chargers (Symanski and Watkins, 2010), the 12 V standard for automobile drivetrains, the Universal Serial Bus (USB) 5 V, 12 V, and 24 V standards for powering computer electro-nics, and the IEEE-led 48 V power over ethernet (PoE) (IEEE, 2009) standard and efforts to develop a Universal Power Adapter for Mobile Devices (UPAMD) standard (IEEE, 2010). The application of some of these standards could help the development of a centralized AC–DC power supply market, a prerequisite for the wider applica-tion of DC circuits in commercial buildings.
*Standardization as well as training efforts would be essential if a transition to DC building circuits were to occur.</t>
  </si>
  <si>
    <t xml:space="preserve">DC bus of 250 V </t>
  </si>
  <si>
    <t>*We examine the economic feasibility of using dedicated DC circuits to operate lighting in commercial buildings. We compare light-emitting diodes (LEDs) and fluorescents that are powered by either a central DC power supply or traditional AC grid electricity, with and without solar photovoltaics (PV) and battery back-up.</t>
  </si>
  <si>
    <t>Sustainable Cities and Society journal</t>
  </si>
  <si>
    <t>*The system is able to maintain the voltage level between a 20% variation. Moreover, the power losses for drop voltage and power dissipation were around 4%; far less than the losses in transmission and distribution system.
*Even more, the absence of rectifiers into the home appliances could lead to bigger reduction on the conversion losses.
*On the other hand, results suggest that there is an inversely pro- portional relation between the solar PV harvesting and the buck converter performance according to the observe in section results and discussion. For scenarios with surplus of generation, the buck has greater losses than in scenarios where power generation did  not allow large surpluses of energy</t>
  </si>
  <si>
    <t>*‘‘[A microgrid is] a group of interconnected loads and distributed energy resources within clearly defined electrical boundaries that acts as a single controllable entity with respect to the grid. A microgrid can connect and disconnect from the grid to enable it to operate in both grid-connected or island mode
*The costs of solar photovoltaic generation and battery storage are rapidly dropping, to the point that they are closing in on cost parity with traditional electricity sources.
*Whether microgrids remain a niche application or become ubiqui-tous depends on two main factors: (1) to what degree regulatory and legal challenges can be successfully surmounted, and (2) whether the value they deliver to property owners and communities in terms of power quality and reliability (PQR) and other economic benefits out-weigh any cost premiums incurred to capture those benefits.
*These losses can waste from 5% to 15% of power generation depending on the number of back-and-forth conversions. Additionally, faults in DC systems can be isolated with blocking diodes and issues of synchronition, harmonic distortion, and problematic circulating reactive currents are alleviated.
*It is worth noting that while the success of promising initiatives like “DC homes”, i.e. low voltage DC  grids for residential applications, has been limited by a lack of DC appliances and the need for large grid- connected AC-DC converters, DC or hybrid AC/DC microgrids have flourished in maritime applications, datacenters, and so-called mini- grids (another name used historically for remote microgrids) utilizing PV solar generation and batteries to charge electronic devices like laptops or cellphones</t>
  </si>
  <si>
    <t>*The objective is to analyze the mer-its and the functionalities of dc microgrids in terms of resilient and economic operations in emergencies and steady state.</t>
  </si>
  <si>
    <t>*The objective of this controller is to effectively stabilize the voltage of a DC microgrid only by controlling the output voltages of the DC-DC converters connected to the ES systems.</t>
  </si>
  <si>
    <t>*At bus 1, a 150 kW rated rectifier provides main connection of the microgrid. Bus 1 also includes 500 m2 PV generation operated with the MPPT algorithm, rated for 80 kW.</t>
  </si>
  <si>
    <t>*The performance evaluation of the proposed controller is thoroughly presented in this section through a case study of a 10-bus microgrid.</t>
  </si>
  <si>
    <t>2016 1st International Conference on Sustainable Green Buildings and Communities, SGBC 2016</t>
  </si>
  <si>
    <t>*Using the real-time SOC, the HEM algorithm can then place the homegrid in one of the following states, with subsequent pre-determined settings for loads and power import or export.
*Thus, by measuring the current at each load, and the total system voltage, HEM must be able to monitor the battery state-of-charge (SOC) to determine when to take the following actions: 
• Request power import from MEM
• Signal ability to export power
• Terminate power export
• Disable lower priority loads
• Enable lower priority loads
All of these actions are intended to meet the three primary goals of the homegrid: First, to ensure that the battery will always have sufficient charge to power the highest priority loads. Second, to ensure adequate charge for lower priority loads as often as possible. Finally, to be able to export power to support MEM and the larger microgrid system.
*The SOC value will also be required to monitor (and thus prolong) the long-term health of the battery. As batteries can be the costliest and highest-maintenance component of many microgrids, this will enable HEM to reduce the long-term maintenance costs of the system.</t>
  </si>
  <si>
    <t>MEM uses a hierarchical approach for microgrid manage-ment. Formally, the microgrid is defined as a small cluster of distributed generation units, loads, and energy storage systems, which connected to a utility grid and can operate in grid-connected or islanded mode</t>
  </si>
  <si>
    <t>Harmonic compensation, 
hybrid AC/DC microgrid, 
interfacing power electronics converters, 
power quality, 
primary and secondary control, 
smart converters, 
smart grids, 
unbalance compensation</t>
  </si>
  <si>
    <r>
      <t xml:space="preserve">Quizas este paper este mas orientado a los </t>
    </r>
    <r>
      <rPr>
        <b/>
        <sz val="10"/>
        <rFont val="Arial"/>
      </rPr>
      <t>convertidores Interlinked</t>
    </r>
  </si>
  <si>
    <t>Analysis of Wiring Design for 380-VDC Power Distribution System at Telecommunication Sites</t>
  </si>
  <si>
    <t>INTELEC, International Telecommunications Energy Conference (Proceedings)</t>
  </si>
  <si>
    <t>*Using 380 VDC as a distribution voltage in telecom facilities will dramatically decrease the cross-sectional area of the wiring compared to 48 VDC, reduce the obstruction of airflow under the raised floor for the air conditioning system, and provide more space in the facility. Future predicted expansions of ICT systems, especially at legacy sites or where there are installation space restrictions, will necessitate a higher voltage distribution system than the currently used 48-VDC one. 380-VDC distribution offers significant reduction in wiring cost and reduces site cabling costs by more than 90% of current costs</t>
  </si>
  <si>
    <t xml:space="preserve">We analyzed the 380-VDC distribution wiring for a typical telecom site in terms of costs and other benefits and evaluated it as an alternative to the existing 48-VDC power distribution system. </t>
  </si>
  <si>
    <t>They model the AC and DC distribution of builndings, in order to evaluate the cost of implementing a DC system within a life-cycle analysis.
They a analyze a wide literature review in the introduction.</t>
  </si>
  <si>
    <t>They model three small-size to medium-size buildings based on EnergyPlus Reference Buildings with different load profiles.
They employ a combined bus-star topology.
Distribution voltage is proposed at 380V and plug voltages at 48V
All the loads are assumed as DC friendly. DC LED drivers efficiency is assumed around 95-98% and AC Drivers 86-93%</t>
  </si>
  <si>
    <t>A Comparative analysis of system efficiency for AC and DC residential power distribution paradigms</t>
  </si>
  <si>
    <t>The U.S. Residential Energy Splits datafor year 2015 from ‘Buildings Energy Data Book’ has been used for modelling of residential buildings.Distribution system models have been made for both AC and DC powers.</t>
  </si>
  <si>
    <t>The AC system was found to be superior to DC with a minimum effi-ciency advantage of around 2% and a maximum of around 6%. Subsequently, the building air-conditioningloads were assumed to incorporate the modern concept of Variable Speed Drives (VSD) which use anintermediate DC power stage. If the building power supply is DC rather than AC, then the intermediateAC/DC conversion stage may be avoided. Taking the air-conditioning as a DC load roughly doubles theDC power demand of building. The DC system showed slightly (around 1%) higher efficiency for the VSDair-conditioning case.</t>
  </si>
  <si>
    <r>
      <t>*It found that the Bosch DC microgrid uses generated PV energy 6%–8% more efficiently than traditional AC systems.
*Bosch has developed a novel DC microgrid design that connects PV generation to DC loads with</t>
    </r>
    <r>
      <rPr>
        <b/>
        <sz val="10"/>
        <rFont val="Arial"/>
      </rPr>
      <t xml:space="preserve"> a minimal number of energy conversions, significantly increasing</t>
    </r>
    <r>
      <rPr>
        <sz val="10"/>
        <color rgb="FF000000"/>
        <rFont val="Arial"/>
      </rPr>
      <t xml:space="preserve"> energy efficiency compared to a traditional AC system. NREL’s simulation study of the DC microgrid concluded that it improves the percentage of PV energy that performs useful work to  approximately 97% from a baseline value of 90%, with small variations in response to design parameters, operating conditions, and location.</t>
    </r>
  </si>
  <si>
    <t>This paper gives an overview of the Bosch DC microgrid system and presents key results from a large simulation study done to estimate the energy savings of the Bosch DC microgrid over conventional AC systems. The study examined the system performance in locations across the United States for several commercial building types and operating profiles.</t>
  </si>
  <si>
    <t>IET Renewable Power Generation</t>
  </si>
  <si>
    <t>*The proposed model numerical simulation proves the viability of hybrid AC-DC microgrid in supplying loads. The objective of hybrid AC-DC microgrid planning problem is to maximize Net Social Welfare to simultaneously maximise consumers’ payments and reduce total planning cost.</t>
  </si>
  <si>
    <t>Journal of Energy Storage</t>
  </si>
  <si>
    <t>• Power management is the concept of continuous adjustment of DC bus voltage by making the balance between the power generation units and power consumption units with the cooperation of energy storage system and utility grid (if grid connected). Much research work is still needed management of power and Energy in MG cluster. The distributed secondary control with DBS power man-agement in the DC distribution system might be the future trend.  Robust control for power management strategies that work for all modes of operations; Grid-connected, islanded and transient mode, still suffering from many problems need to be solved. Invention of SST has made flexible DCMG integration with the utility grid, but it is still in early development stage and attracting many researchers.
*Sizing of renewable energy system components is an important issue of hybrid energy storage system to develop it because it affects system cost. Most of the developed systems are over rated lack of a proper strategy to determine the system components. Although some authors have proposed different strategies for it, still it required a lot of works, i.e. hardware implementation of proposed strategies, develop a generalized Algorithm/Strategy.
*The power losses of the storage devices, SoC and their responses time, the power-energy limitations and in some case  predictions of the power generated by the DGs are a portion of the ideas that must be considered by the EMS. Energy  management plays very im- portant role in optimizing the size and rating of energy storage system and their maximum utilization, improving its life and providing power to critical load.
*Different energy management strategies have been presented. The energy management of a battery super capacitor based HESS in all configurations with their pros and cons have been discussed in de- tail. It is found that simple power allocation control algorithms such as linear filters are not adequate for HESS system, nonlinear power allocation algorithms need to be developed more.</t>
  </si>
  <si>
    <t xml:space="preserve">The increasing distribution generation and nonlinear loads have made control structure very important. The control objectives of a DCMG system are given below.
• Efficient voltage and current control in both operating mode i.e. grid connected and Islanded mode.
• Proportional load sharing. 
• DCMG synchronisation with the Utility grid. 
• Coordination among different DERs and ESDs. 
• Stable operation with the Constant power load / Non-linear loads.
• Power flow control within DCMG and with the Utility Grid (if grid connected).
• Smooth transition between Grid connected to Islanded mode
• Economic Dispatching and optimization of generation cost. 
• Maximum utilization of potential of DERs.
</t>
  </si>
  <si>
    <t>Are presented several microgrid structures:
-Single-bus DCMG structure
-Multi-bus DCMG structure
-Multi-terminal DCMG structure
-Ring-bus DCMG structure
-Ladder-bus DCMG structure
Basic control strategies
Communication is the main element of control. The basic control is performed by three methods, distinguished by communication level.
1 Centralized Control
2 Decentralized Control
3 Distributed Control
4 Multi-level control</t>
  </si>
  <si>
    <t>CABLE PARAMETER DETERMINATION FOCUSING ON PROXIMITY EFFECT INCLUSION USING FINITE ELEMENT ANALYSIS</t>
  </si>
  <si>
    <t xml:space="preserve"> 2009 Brazilian Power Electronics Conference</t>
  </si>
  <si>
    <r>
      <rPr>
        <sz val="10"/>
        <color rgb="FFFF0000"/>
        <rFont val="Arial"/>
      </rPr>
      <t xml:space="preserve">*The AC cable resistance can be calculated, approximately, by a simple rule of three, considering that the current flow in the conductor is restricted only to the outermost layer of thickness equal to the skin depth, as shown in Fig. 3. From this illustration, the conduction area can be determined as:
</t>
    </r>
    <r>
      <rPr>
        <b/>
        <sz val="10"/>
        <color rgb="FFFF0000"/>
        <rFont val="Arial"/>
      </rPr>
      <t xml:space="preserve">TIENEN UNA ECUACIÓN INTERESANTE
</t>
    </r>
    <r>
      <rPr>
        <sz val="10"/>
        <color rgb="FFFF0000"/>
        <rFont val="Arial"/>
      </rPr>
      <t xml:space="preserve">*As observed in the obtained results, for close cables and high frequencies, the additional resistance offered by the cable due to proximity effect can be up to about 50,0 % (at 1 kHz) or 70,0 % (at 1 MHz) in a 240 mm2 cable, showing that the representation of the skin effect alone is far from being reasonable. The cable capacitance and inductance are also miscalculated if the proximity among cables is not taken into consideration, although much smaller discrepancies were observed for the inductance.
Therefore, in practical problems involving insulated cables and high-frequency quantities, as in the case of electromagnetic  compatibility, power quality and electromagnetic transients studies, among others, the inclusion of the proximity effect in the modeling is mandatory for the sake of accuracy. Since the traditional methods for parameter calculation do not take it into account, methodologies based on FEA, as the one described here, arise as a very attractive tool for cable modeling.
</t>
    </r>
  </si>
  <si>
    <t>2017 IEEE 2nd International Conference on Direct Current Microgrids, ICDCM 2017</t>
  </si>
  <si>
    <t>A model was created for dc distribution grids with any number of nodes, distribution lines, in any configuration. From the model (incremental) steady state equivalent circuits were derived. These equivalent circuits prompted multiple conditions for the existence of a appropriate equilibrium and the stability of the system. The constructed guidelines were derived from the worst case scenarios of these conditions. Subsequently, the accuracy of these guidelines was analyzed using three examples. This analysis showed that, while the accuracy for the stability around the equilibrium is quite accurate, the accuracy of the equilibrium can be lacking for more complex the systems. To improve the accuracy the equilibrium could be exactly determined, while the stability is ensured by the guidelines. Furthermore, it was discussed how the guidelines can be implemented to ensure stable dc distribution systems. A practical approach is to put constraints on the time constants of the lines and sources, and the output capacitance of the load converters. Furthermore, loads must disconnect when the voltage at their node goes below the minimum allowed voltage.</t>
  </si>
  <si>
    <t>*For simplicity’s sake it is assumed that the dc distribution systems in this paper have a single phase conductor (i.e. monopolar systems) or can be reduced to such a system.
*There are two requirements for a dc distribution system to be called stable. Firstly, an equilibrium must exist and
it must adhere to predefined standards (such as minimum and maximum voltage requirements). Secondly, the system’s voltages and currents must be stable around that equilibrium.
*Any dc distribution systems can be described by its n nodes, l distribution lines, o phase conductors, and m loads and sources (which are connected to the nodes via power electronic converters).</t>
  </si>
  <si>
    <t>Electrical Power and Energy Systems journal</t>
  </si>
  <si>
    <t>This paper proposes a comprehensive evaluation index of flexible DC distribution network based on droop control, namely GVE, and generates a strategy of dispatching power adjustable buses to decrease the deviation of the actual state and the expected state of the bus (in- cluding power and voltage) and reduce network losses. Finally, the following conclusions are drawn:
(1) The proposed comprehensive evaluation index GVE can effectivelevaluate the power and voltage of buses in flexible DC distribution network and provide a reliable judgment for real-time dispatching of flexible DC distribution network.
(2) Cases show that the presented dispatching control strategy based on GVE can adjust the power and voltage of each bus at the same time, which confirms the effectiveness of the dispatching control strategy.
(3) The presented dispatching control strategy based on GVE can make full use of DGs in the flexible DC distribution network to effectively optimize the powers and voltages of buses and reduce network losses, achieving the goal of the economic and safe operation</t>
  </si>
  <si>
    <t>International Journal of Hydrogen Energy</t>
  </si>
  <si>
    <t>figure 1</t>
  </si>
  <si>
    <t>*Are linked to the dc bus by their converters.
*At the same time, the battery bank is used for power balance and system stability. In addition, the excess power energy from the PV system can power the electrolyzer to produce the hydrogen as a backup of the DC microgrid.</t>
  </si>
  <si>
    <t>*The PV system and the FC in the hydrogen generation system operate as the main and secondary sources, respectively.</t>
  </si>
  <si>
    <t>Energy</t>
  </si>
  <si>
    <t>*Hybrid microgrids with both ac and dc feeders are becoming more attractive options than individual ac or dc microgrids due to easier and less expensive connection ofac and dc DERs and loads to proper feeders.
*Ratio of dc loads: The most decisive factor in determining the type ofeach feeder within the microgrid distribution network is the ratio of dc loads in each feeder. By increasing this parameter, more feeders are selected to be dc. 
*Removing the cost of conversion: In cases with both ac and dc feeders in the microgrid, the wind turbine is installed in ac feeders and the solar PV and DES are installed in dc feeders to avoid the cost of power conversion.
*Tradeoff between operation and investment costs: Among ac dispatchable units, those offering a less expensive power would be installed with larger capacities although their capital costs might be higher. Moreover, the wind and solar units would be installed with maximum capacity in almost all cases because their operation cost is zero.
Changes in the operation cost: Increasing critical loads, con- verters' efficiencies, or market prices would cause a decrease in the operation cost. Specifically for critical loads, by increasing their  percentage a larger dispatchable capacity would be installed. Since the total load in the microgrid does not change, there is excess generated power which would be sold to the utility grid. Therefore, the operation cost would decrease.
*Importance of more efficient converters: By using highly efficient converters, there would be less power loss in the micro-grid. Therefore, not only are dispatchable units installed with lower capacities, which reduce the investment cost, but also less energy would be imported from the utility grid, which reduces the operation cost.
*Impact of market prices: By increasing market prices, it would be desirable for the microgrid to install a larger dispatchable capacity in order to sell as much energy as possible to the utility grid, which increases the microgrid revenue by decreasing the operation cost.
*The microgrid economic viability: The proposed model is also capable of ensuring the microgrid economic viability. According to the obtained results in all studied cases, the microgrid deployment is economically viable since the planning cost is lower than the total cost of supplying loads without the microgrid deployment.</t>
  </si>
  <si>
    <t>Following cases are studied. The approximate computation time for each simulation is between 4 and 10 h.
Case 0. Base case hybrid microgrid planning
Case 1. Sensitivity analysis on the ratio of dc loads
Case 2. Sensitivity analysis on the ratio of critical loads
Case 3. Sensitivity analysis on the efficiency of ac-to-dc rectifiers and dc-to-ac inverters
Case 4. Sensitivity analysis on the market price</t>
  </si>
  <si>
    <t>Electrical Power Systems Research</t>
  </si>
  <si>
    <t>*In a distributed consensus framework, simulation and experimental results have validated the capability of the proposed control method to regu-late the current  sharing and to stabilize the DC bus-voltage of a 400 Vdc microgrid system.</t>
  </si>
  <si>
    <t>*The two NPC provide 400 Vdc to the DC bus, which supplies power to a load device (NHR9200).</t>
  </si>
  <si>
    <t>*This microgrid system also demonstrates the expandable, incrementally affordable nature that can be achieved through microgrids. As the load grows, additional generation and storage elements can be added to the system, which is made easier by utilising a distributed control system such as droop control as it requires no knowledge of the system layout, only local measure-ments of current and voltage.
*HOMER is used to examine the storage requirements for the insolation, wind and load profiles at Ruksibhanjyang
*Storage is included in the daily simulation, demonstrating the benefit of storage in the system, but the requirements of adequate generation to ensure the daily draw on the battery does not exceed the recharging capabilities.</t>
  </si>
  <si>
    <t>bus voltage at 408 V</t>
  </si>
  <si>
    <t>*Case study site: Ruksibhanjyang village, Mityal VDC, Nepal</t>
  </si>
  <si>
    <t>*Simulation results showed that power conversion losses can be reduced by 20-30% for residential buildings with a net-zero energy balance.
*The benefits of hybrid microgrids may be even larger for commercial and office buildings with integrated PV, due to a higher share of dc internal loads and increased self-consumption of PV electricity.
*PV and battery size are important parameters for the evaluation of hybrid microgrid performance. We find that dc networks are most efficient for buildings with a high degree of autarky enabled by a high share of dc renewable sources. Initial results of an experimental prototype indicate that dc microgrid coupling of PV and LED lighting leads to significant efficiency improvements compared to a conventional system. Finally, the current design of a hybrid microgrid implemented with a PV system at the NEST HiLo building has been presented. HiLo will provide several years operational phase research.</t>
  </si>
  <si>
    <t>Bus voltage at 380 V and 24 V for lighting</t>
  </si>
  <si>
    <t>*It was noticed during the experiment that the voltage of the DC bus dropped from 325 V to 319 V (1.85%) after the supplied power increased.
*If the voltage continues to drop or the percentage loading on the inverter continues to  ncrease, the local controller would take the necessary action either by load shedding or opening the Solid State Relay to protect the microgrid.</t>
  </si>
  <si>
    <t>Bus voltage at 380 V</t>
  </si>
  <si>
    <t>Complex Adaptive Systems Conference with Theme: Engineering Cyber Physical Systems, CAS October 30 – November 1, 2017, Chicago, Illinois, USA</t>
  </si>
  <si>
    <t>*The SSCB used IGBTs as the semiconductor switching devices which presents fairly lower conduction losses and a higher short-circuit current capability than that of other devices, which makes it a fit option for low- voltage dc systems such as microgrids, data centers and all-electric ships.
*The overcurrent method was validated by comparing the let through energies with the other methods. The  impact of the FCL function includes an inevitable controller delay in fault detection on many of the IGBTs requirements are assessed, giving consideration to controller delays that would not be avoidable during practical operation of the system. in the future, practically demonsrating these FCL techniques in real-time operating conditions would be a big step towards the creation of an optimal protection system that encompasses solidly safe and reliable protection requirements for DC microgrid systems. Even though the base system was a basic one that has only one source and one power converter, the presented analysis is applicable to DC microgrids that have multiple sources and power converters.</t>
  </si>
  <si>
    <t>Planning of Hybrid AC-DC Microgrid with High Penetration of Renewable Energy Sources</t>
  </si>
  <si>
    <t>*The proposed model numerical simulation proves the viability of hybrid AC-DC microgrid in supplying loads. The objective of hybrid AC-DC microgrid planning problem is to
maximize NSW to simultaneously maximise consumers’ payments and reduce total planning cost.</t>
  </si>
  <si>
    <t xml:space="preserve">
*To model the uncertainties related to wind speed, solar irradiance and load demand, hourly data for one year (8760 h) consisting of load demand, wind speed, solar irradiance
and price must be known.
*In this proposed hybrid AC-DC microgrid design, renewable-based distributed generators (DGs), controllable DGs, DC and AC loads are connected through separate DC and AC links. An operation model of hybrid microgrid is proposed in which mixed integer nonlinear model suggested to balance the generation and load taking into account the interconnection of DC and AC subgrids for maximizing the social welfare. The efficiency of the proposed model is established through the simulation studies on a test hybrid AC-DC microgrid.
</t>
  </si>
  <si>
    <t>This paper proposes a novel approach for planning of hybrid AC-DC microgrid within a novel microgrid market environment by maximizing NSW DGs considering and uncertainties associated with dispatchable load demand subject to network constraints and power flow of interlinking converters. Scenario Tree approach is used to model the uncertainties related to load irradiation. The method demand, wind speed and solar evaluates the optimal amount of active power generated by WT and PV over the planning horizon.</t>
  </si>
  <si>
    <t>Energy Conversion and Management</t>
  </si>
  <si>
    <t>A hybrid system is a more reliable and economical source of power, especially for remote areas and islands. In this work, a novel mathe-matical model has been developed for the online intelligent multi-ob-jective energy management and optimal sizing of energy storage system for the standalone microgrid in the Flinders Island by applying FL-GWO algorithm.</t>
  </si>
  <si>
    <t xml:space="preserve">All the devices are combined together to an AC bus through appropriate power conversion systems (power electronic converters), the voltage of the AC distribution bus is 11 kV and the system frequency is 50 Hz. </t>
  </si>
  <si>
    <t>Sustainable Cities and Society</t>
  </si>
  <si>
    <t>*The lack on the standardization in DC microgrid for re-sidential application have given rise to panoply of different voltage levels including the domain from ELVD to LVDC, the 380 DC being the most encountered bus voltage level. Thus considering a low power consumption home, the use of this latter may not be suitable.
*Unipolar and bipolar distribution topologies are indifferently found in the literature, each one having their pros and cons; these topologies can be presented in single bus or multi-bus configuration system.
*Despite the excellent performances offered by DC microgrids and the multitude of research on control methods, the implementation of different distribution topologies and the energy management, the protection schemes of DC microgrids remains a challenge.
*Moreover, the existing protection schemes for DC distribution system based on DC fuses and traditional electromechanical circuit breaker cannot manage to interrupt the current flow in the desired time because of the default nature and the devices slowness. So solid state circuit breaker and hybrid circuit breaker are currently the center of attention of researchers.
*A survey of DC home appliances has been performed and it pin-pointed that the most encountered commercialized DC loads generally run on 12 or 24 V. Some loads operating on 48 VDC also exist on the market but they are not yet as numerous as the previous. DC loads of higher rated voltage than these latter are rarely found in commercia-lized version.
*Electrical safety in DC distribution system shows that using a vol-tage lower than 15 V is safe for the user whatever the power of the application, without implementing protection scheme. For voltage level comprised between 15 and 100 V, depending on whether the power is greater or less than 1000 W, protection must be implemented for the first while the last one does not need. And for voltage higher than 100 V, protections are mandatory while the current in the application is higher than 40 mA.
*Regarding the performance comparison applied to the studied system, in order to remain in scope where only basic protection is needed, we considered voltage level ranging from 12 to 100 V. Among the investigate voltage, the 100 VDC presents the best performance in terms of voltage drop, power losses and maximum allowed cable length, while the 12 VDC presents the worst.  Though the 100 VDC distribution system offer the best performance, the absence of DC home appliance directly rated at this voltage makes this distribution a questionable choice due to the need to add an interfacing converter.
*From an economic point of view, the bus level choice de-pends on the cable, protection and converter costs. The cable cost is determined depending on the cable cross-section and the size of the considered house. Considering the cable length needed for the in-stallation and its cross-section, the cost of the cable will be deduced from. In addition, the protection devices are selected according to the cable size and the different house circuitry. For our case study, the hazard class is 2.2 and protection by circuit breaker is adopted.
*Moreover, the use of bus voltage different from 12 V–24 V-48 V implies the need to use an additional converter to interface the bus and the loads, not to mention a change in the wiring and protection of the installation. That will increase the cost of the application. Hence choosing a bus voltage level corresponding to the rated voltage of existing  commercialized load will lead to the elim-ination of an additional interface converter.</t>
  </si>
  <si>
    <t>The approach is applied to a small scale laboratory system with low power consumption and led to the choice of 48 V DC bus.</t>
  </si>
  <si>
    <t>A 1140W DC distribution system has been considered for the study.</t>
  </si>
  <si>
    <t>ESTE PAPER ES MUY INTERESANTE Y SE ALINEA MUCHO CON LO QUE BUSCAMOS HACER</t>
  </si>
  <si>
    <t>-a multistage configuration is employed, which includes the source stage, interface converter stage between buses, and common load stage.</t>
  </si>
  <si>
    <t>Low-Voltage DC Distribution—Utilization Potential
in a Large Distribution Network Company</t>
  </si>
  <si>
    <t>IEEE Transactions on Power Delivery</t>
  </si>
  <si>
    <t xml:space="preserve">*The power transfer capacity of the system has been calculated in this paper using voltage drop and maximum load of cable as boundaries.
*Based on the electrotechnical and customer outage costs (COC) analyses made, it can be inferred that LVDC distribution has good utilization potential. 
*Based on the power transfer capacity calculations, it is technically possible to replace branch lines up to 8 km long by LVDC distribution which means about 20% of the total medium-voltage network length in the distribution area of Elenia Oy.
*Power electronics enable several new network structures, of which a unipolar point-to-point LVDC system is the easiest option to replace an MV branch by LVDC from the perspective of the DSO. This is due to the fact that the present secondary transformer can be replaced by a centralized inverter when the LV network can be kept unchanged. This solution does not require changes at the customer's end like many other LVDC solutions since there is no need for an inverter for each customer.
*Pilot implementations have proved the technical suitability of the LVDC system as part of the distribution network. 
*The electrotechnical potential ofLVDC distribution has been clarified by using the power transfer capacity calculations ofthe LVDC system. </t>
  </si>
  <si>
    <t>*DC can be used at a higher voltage level because of the definitions of the ac and dc voltage ranges in the low-voltage (LV) directive 2006/95/EC, which defines the value ofLV as 50–1000 VAC and 75–1500 VDC [5].
Therefore, dc voltage makes larger power transfer possible with the LV than with ac voltage. The losses are also reduced when using the same root mean square (rms) voltage level, because with dc, reactive power is not transferred at all. Since dc increases the power transfer capacity of the LV, the low-power branches of the MV network can be replaced by LVDC distribution. More detailed studies of LVDC and power electronics of the LVDC systems can be found in[6]–[10].</t>
  </si>
  <si>
    <r>
      <t xml:space="preserve">*The AC topologies connected to the grid through a static switch (AC-microgrid and AC-microgrid with DC storage) are the most reliable ones, since in the grid-connected mode the consumers are connected directly to the electric grid. Moreover, the existing AC facilities can be easily reconfigured to implement these microgrid architectures only with a few modifications of their components, being it possible to reuse the existing AC loads.
*The reliability is also affected by the number of power electronic interfaces and their complexity. The hybrid AC–DC microgrid and the SST based microgrid present the simplest and lowest number of power electronic interfaces, since the distributed generators, energy storage devices and loads can be connected to the AC or DC feeders, depending on their characteristics and, therefore, the power elec- tronic interface device is simple or not needed.
*If a high power quality is required by the microgrid loads, the voltage of the microgrid must be generated by power electronic converters. </t>
    </r>
    <r>
      <rPr>
        <b/>
        <sz val="10"/>
        <rFont val="Arial"/>
      </rPr>
      <t>From this point of view, the preferred microgrid architectures could be AC (SST based microgrid) or DC (DC-microgrid, DC-zonal microgrid)</t>
    </r>
    <r>
      <rPr>
        <sz val="10"/>
        <color rgb="FF000000"/>
        <rFont val="Arial"/>
      </rPr>
      <t>. In these architectures a power electronic converter connects the grid to the microgrid, minimizing the effect of the grid disturbances and providing the needed power quality level.
* The management of the energy storage devices in a microgrid is an issue of great importance, since the charge level must be maximized and balanced between the different devices. Sometimes, the distance between the storage devices is large, becoming the communication between them a problematic issue. Moreover, in AC buses the management of the energy storage devices becomes more complicated. Thus, the DC-microgrid, DC-zonal microgrid and the SST based microgrid provide an easy management of the stored energy, whereas the AC-microgrid with DC-storage provides the simplest management, since the energy storage is grouped and connected to a DC bus.</t>
    </r>
  </si>
  <si>
    <t xml:space="preserve">
The architectures under consideration are the AC-microgrid, DC-microgrid, Hybrid AC–DC microgrid, AC-microgrid with DC storage, DC-zonal microgrid and solid state transformer based microgrid.</t>
  </si>
  <si>
    <t>Read Table 3</t>
  </si>
  <si>
    <t>Network integration of distributed power generation</t>
  </si>
  <si>
    <t xml:space="preserve">*The Institute of Electrical and Electronics Engineers (IEEE) defines distributed generation as follows: “The generation of electricity by facilities sufficiently smaller than central generating plants as to allow interconnection at nearly any point in a power system” 
*The International Council on Large Electric Systems (CIGRE) Working Group has set its definition of DG to be generation that is:
-not centrally planned; 
-not centrally dispatched; 
-usually connected to the distribution network; 
- smaller than 50–100 MW.
*Distributed generation and the network -the issues:
-islanding
-voltage regulation; 
-harmonics; 
-reverse (in comparison with the normal network expectations) power flow effects;
-over-voltage conditions; 
-metering; 
-system losses.
</t>
  </si>
  <si>
    <t>*DC power distribution has gained a significant interest especially with the concept of microgrids. Various parameters of the DC networks need research and/or development for a widespread practical implementation. These include suitable protection schemes for the system, reliability and stability of the system, the integration with RES and modern energy storage equipment and the investigation of efficiency as well economic advantage of using DC as compared to AC.
*As the loads become DC, it is natural to think about DC as the medium for in-building power distribution. Then again it is natural toconsider DC for the integration of distributed generation (DG) via Solar PV and also for the integration of different energy storage media such as batteries and super-capacitors. Thus microgrids, which can be thought of as a concept that can bring together alternative energy based DG, hybrid storage and residential and/or commercial loads while allowing connected or independent (islanded) operation from the utility grid (wherein the latter i.e. islanded mode may be regarded as a defining characteristic for microgrids), have shown an inclination towards re-search and development with DC power [18–26]. Fig. 2 shows the concept of a DC microgrid,
*In the recent past, the Hybrid Electric Vehicles (HEV) have been introduced in the market and research is going on for different options related to their charging stations. One of the options is the use DC bus for these charging stations.
*(00:00–06:00), Day- 1 (06:00–15:00) and Day-2 (15:00–00:00) and evaluated the system efficiencies to be 82.8%, 85.6% and 85.7% respectively. The Night 1 (06:00–15:00) and Day-2 (15:00–00:00) and evaluated the system efficiencies to be 82.8%, 85.6% and 85.7% respectively.
*The DC dis-tribution for an islanded building with PV and storage can give an advantage of 3.4%, and for a general case of having AC and DC sources along with battery consumption, the efficiency improvement due to DC is only 1.3%.</t>
  </si>
  <si>
    <t>It is a State of the Art of different publications about DC systems in terms of efficiency.
They focus on the mathematical models used to compare different scenarios.</t>
  </si>
  <si>
    <t>Figure 2 portrays efficiency of every systems on DC microgrids. (Take into account)
*We included both the medium voltage (MV) and the low voltage (LV) distribution in the study. The primary aim was to investigate the DC system efficiency for the case of variation in system load while taking into consideration the corresponding variation in the efficiencies of the constituent PEC.</t>
  </si>
  <si>
    <t>*The neural networks were used to model the output power of microgrid components. Each component was treated as an autonomous system. These autonomous components were collaborating to achieve the overall goal, which is supplying the electric load.</t>
  </si>
  <si>
    <t xml:space="preserve">
*This paper presented modeling and simulation of microgrid. This microgrid was treated as an SoSs and controlled to be able to utilize different energy sources.
*Setup in the previous section was run for 24 hours. 
*The voltage of phase A and phase B is 120 V, equal in magnitude and opposite in polarity. </t>
  </si>
  <si>
    <t xml:space="preserve"> A practical example from Missouri S&amp;T was implemented and simulated. The results were presented and to see that it utilized the renewable energy coming from the solar panels and optimally distributed it between homes.</t>
  </si>
  <si>
    <t>Engineering Science and Technology, an International Journal</t>
  </si>
  <si>
    <t>*A methodology for optimal sizing of DC Nano-grid for isolated households based on an alteration of the time of consumption of rural consumers has been successfully developed using intuitive and Particle Swarm Optimization (PSO) methods.</t>
  </si>
  <si>
    <t>*The alteration of the time of consumption of various loads profile has resulted in a reduced size of PV array. 
*The proposed approaches are validated by obtaining the opti-mal size of a DC Nano-grid system for a remote rural area in Tamil Nadu in India.
*Figure 1 is quite good</t>
  </si>
  <si>
    <t xml:space="preserve">IEEE Transactions on Smart Grid </t>
  </si>
  <si>
    <t>*In microgrid, an energy management system is es-sential for optimal use of these distributed energy resources in intelligent, secure, reliable, and coordinated ways.
*To manage the volatility and intermittency of renewable energy resources and load demand, various uncertainty quantification methods are summarized. A comparative analysis on communication technologies is also discussed for cost-effective implementation of microgrid energy management systems.</t>
  </si>
  <si>
    <t>Springer-Book Chapter</t>
  </si>
  <si>
    <t>HV
&amp;
MV
&amp;
LV</t>
  </si>
  <si>
    <t>*It is noted that elimina- tion of DC-AC power conversion can prevent power losses of entire system between 7 and 15% that is remarkable ratio for a microgrid.
*The short-circuit current capabilities of DC microgrids lead to significant hazards for users and properties.
*It is not possible to overcome arc faults occurred in a DC microgrid by using regular circuit breakers since DC current do not draw a natural zero crossing
waveform.
*The wide use of PV plants, batteries, fuel cells, and ESSs have increased interest on DC microgrid infrastructures at LV, MV, and HV ranges. The LVDC systems that were used in telecommunication applica-tions for long years have been integrated to residential and industrial uses.
*Although the researches on DC microgrid have been extensively performed, the protection systems of DC grids are still based on conventional circuit breakers and isolators that are widely used in AC grids. One of the most important barriers for improving an appropriate protection scheme is related with dc fault of voltage source inverters (VSIs). On the other hand, the accurate and instant detection of faults are other significant challenges in microgrid protection. Lack ofefficient dc circuit break-ers, fast and accurate relays, and sensitive reclosers mostly cause several challenges for DC protection. The fault detection and clearing approaches cause these chal-lenging issues due to lack of dedicated DC protection devices.
*Moreover, power electronics is widely used to tackle drawbacks of conventional electromechanical circuit breakers, fuses, and isolators. The specific protection schemes and improved protection devices are presented in detail for DC microgrid applications.
*The LVDC protection system includes grounding, power electronics protection devices, circuit breakers (CBs), fuses, and monitoring devices.
*Grounding is a detailed issue since there are many topologies and design approaches exist. It is required to ensure device and user safety besides increasing the performance of microgrid. A LVDC microgrid can be ungrounded or grounded with high resistance or low resistance. Furthermore, the grounding can be done between positive and negative terminals or at the common node of converter and ESSs.
*The LVDC infrastructure is mostly comprised by PV plants and ESSs, and connected to AC grid at MV level or can be integrated to an AC microgrid architecture. The most widely seen protection requirement is short-circuit (SC) current protection in LVDC networks. In case of any fault occurred in LVDC, the PV and ESSs contribute to this SC level. Power converters limit the SC current levels and power electronic devices prevent increment of SC.
*The DC SC fault protection systems should be designed considering IEC 61660-1 that is the most widely used international standard for DC SC characterization. Any power converter, ESSs, output capacitors, and DC motors with external excitation can supply the LVDC SC currents
*TheDCmicrogrids are classified into three categories according to bus topologies as single-bus, multibus, and reconfigurable bus. The single bus topology is mostly preferred in industrial applications and sometimes in residential applications. In this topology, a single dc bus is installed and sources are connected to this bus with ESS integration for comprising the backup of system. The most widely known usage area of single bus dc topology was improved for telecommunication applications at −48V supply is now widely researched for LVDC microgrid networks in literature.</t>
  </si>
  <si>
    <t>*The actual fault protection systems are based on over current detection for power electronic devices and improved circuit breakers, distributed gen-eration source controllers, and several types of relays.</t>
  </si>
  <si>
    <t>*The cost and bulky structure of DC circuit breakers is another important issue in this regard.
*These application areas include LVDC microgrids for data centers up to 1500 V, MVDC microgrids for electric ships up to 35 kV, and medium voltage connection centers for offshore wind energy plants. The recent tech-nical developments have facilitated residential and building microgrids for LVDC systems. The protection is one of the challenging issues in DC microgrid improve-ments.
*International Council onLarge Electric Systems (Conseil International des Grands Reseaux Electriques, CIGRE) has proposed a test system for MV distribution line with DG sources. The reference test system is based on a number of features such as short circuit ratio exceeding 20, current imbalance factors up to 20%, and voltage source converters with load supply over than 50% of entire loads.</t>
  </si>
  <si>
    <t>2019 IEEE 28th International Symposium on Industrial Electronics (ISIE)</t>
  </si>
  <si>
    <t>MVDC</t>
  </si>
  <si>
    <t>IEEE Transactions on Power Electronics</t>
  </si>
  <si>
    <t>LV &amp; MV</t>
  </si>
  <si>
    <t>*DC architecture is still restricted by fault protection challenges posed by the absence of natural current zero-crossing.
*Considering di/dt limitation of the triggering thyristor in the  commutating circuit, a saturable inductor is utilized to avoid hot spot failure in the thyristor.</t>
  </si>
  <si>
    <t>*Moreover, saturation characteristic of the inductor allows a sharp-rising commutating current which can provide zero-crossing for the main thyristor with a shorter delay. A real-time analog protecting unit is also introduced to interrupt fault current accurately and rapidly.
*The 400 V dc source is rectified from a 285 V three-phase ac source, which transformed from a 380 V three-phase ac source with an adjustable transformer.</t>
  </si>
  <si>
    <t>Electric Power Components and Systems</t>
  </si>
  <si>
    <t>*One important aspect is that full power converters should not separate nano- and microgrids at building entrances. In this way, the voltage levels inside buildings and in the street
will be equal.
*Operational aspects of the envisioned system were briefly discussed including flexibility, market design, control, and protection. Moreover, the challenging transition to the univer-sal DC distribution system was discussed with USB Type-C connector and USB Power Delivery as important enablers for the millions of small devices.
*In conclusion, this paper encourages to look at the big picture and longer term future applications of low voltage DC. Only considering near-future applications and business cases lead to (de-facto)  standards that are suboptimal for a widespread adoption of DC. These standards would compli-cate the large-scale utilization and rollout of DC distribution systems. The ongoing standardization efforts pose a unique opportunity to do it right in the first place and create a sys-tem that can cope with most future challenges to come and the various use cases in the different regions of this planet.</t>
  </si>
  <si>
    <t>*Furthermore, an MV grid and an LV distribution grid are required in order to bring the power to the customers.</t>
  </si>
  <si>
    <t>*The paper covers the possibilities of having DC nanogrids inside buildings, DC microgrids in neighbor-replace AC distribution grids. The paper covers the possibilities of having DC nanogrids inside buildings, DC microgrids in neighbor- hoods, and the connection to AC and DC medium voltage grids.</t>
  </si>
  <si>
    <t>Proceedings of the 28th Chinese Control and Decision Conference, CCDC 2016</t>
  </si>
  <si>
    <t xml:space="preserve">*As a branch of microgrid technologies, DC microgrid technology with its unique advantages has gradually entered into people's vision. It has the advantages of high stability, simple control, easy to be accessed to power supply, and easy to be implemented. 
*It is used in the electric field of high reliability of power supply. Based on the research and development of Zhuhai industrial building as the research object, it puts forward suitable for ultra-low power DC microgrid topology scheme for office building.
*DC microgrid can provide electric energy to different voltage levels of the DC load and the AC load by means of power electronic conversion device, DG and load fluctuations can be compensated energy storage device in the DC side.
*The radial DC microgrid can provide the service of high power quality of the power supply for the loads, loads through the inverter (DC/DC or DC/AC) incorporated DC microgrid rather than the transformer to obtain the desired voltage level;
*In a polycyclic DC microgrid structure, the DG interconnection depends on the DC voltage, without considering the synchronization issues between the DG in DC microgrid coordinated operation more easily, having more advantage in circulation inhibition. Polycyclic microgrid topology is suitable for a wide range of having more advantage in circulation inhibition. Polycyclic microgrid topology is suitable for a wide range of comprehensive building, data center, factory base on power quality requirements of different users.
*The DC microgrid structure is simple, and the phase and frequency are not considered when the large power grid is connected, and it only controls voltage and active power on the DC bus. This will reduce the difficulty of control; it can maximize the use of distributed energy and save power electronic devices. </t>
  </si>
  <si>
    <t>*The DC bus voltage in DC power supply system including DC microgrid is the unique symbol of measuring system power voltage in DC power supply system including DC microgrid is the unique  symbol of measuring system power balance and power quality.</t>
  </si>
  <si>
    <t>IEEE Power and Energy Society General Meeting</t>
  </si>
  <si>
    <t>Journal of Cleaner Production</t>
  </si>
  <si>
    <t>*One of the models based on a renewable generation system, model C, stands out from the other two models in almost all aspects: voltage, accuracy, average square error, and overall ef- ficiency of the installation. This results in signal stability when the load is delivered for consumption
*The technical and economic feasibility of the three systems demonstrates that DC systems can be viable in com- mercial buildings with DC loads, PVand ESS. This approach shows to be less expensive than the grid-connected system based on fossil fuel generation.</t>
  </si>
  <si>
    <t>Proceedings of the 2015 IEEE Innovative Smart Grid Technologies - Asia, ISGT ASIA 2015</t>
  </si>
  <si>
    <t>*The application of the DC distribution system can be extended if we integrate the renewable energy sources and energy storage system in the DC system</t>
  </si>
  <si>
    <t xml:space="preserve"> 2019 IEEE PES Innovative Smart Grid Technologies Conference - Latin America (ISGT Latin America)</t>
  </si>
  <si>
    <t>Microgrids can be fully simulated and studied before commissioning. These analysis are usually performed using softwares such as OpenDSSTM, HOMER PROTM (developed specifically for MGs), GridLAB-DTM (open-source), MATLAB Simscape ElectricalTM, DigSILENT PowerFactoryTM and PSCADTM. A method for locating faults is tested and simulated on GridLAB-DTM [33]. Using HOMER PROTM, Yuan at al., [34] try to answer the question of what is the right mix of DGs that minimize costs in small communities. A large distribution network, based on Nordic32 testbed, was
simulated in DigSILENT PowerFactoryTM, and fault cases are presented in [35].</t>
  </si>
  <si>
    <t>It is concluded that even MGs are the most promising systems towards DER, this type of system require more complex control strategies than the one employed in the utility grid.</t>
  </si>
  <si>
    <t xml:space="preserve">
The analyses reviewed in this study show that the conventional protection schemes must be modified to provide compared. The analyses reviewed in this study show that the conventional protection schemes must be modified to provide adequate protection for distribution systems with DGs. In parti-cular, the realization of future DC systems requires further inves-tigation about  protection issues/solution, especially in multi-terminal DC systems with DGs.</t>
  </si>
  <si>
    <t>A tener en cuenta para la sección de esquemas de protección</t>
  </si>
  <si>
    <t>Para sistemas de control de MGs y también para las topologías luce bastante interesante en estos puntos</t>
  </si>
  <si>
    <t>On the other hand, a virtual-impedance-based control strategy has been proposed for the voltage
regulation of DC microgrids. This technique is analogous to the VSM strategy, meaning that the
steady-state and transient behaviour of converters can be adapted by varying the control parameters.</t>
  </si>
  <si>
    <t>Para lo que se refiere a convertidores interlinkados será referencia</t>
  </si>
  <si>
    <t>Enegies</t>
  </si>
  <si>
    <t>Moreover, the power quality of the AC/DC hybrid DN is notably improved, and the active power network loss and voltage stability index are better than those of the planning model when considering the AC DN alone.</t>
  </si>
  <si>
    <t xml:space="preserve">
*The proposed decentralized power management method can make the interacted subgrids operate in coordination and support each other.
*First, taking the characteristics of the common bus configuration into consideration, a P_dc-v_dc^2 droop control strategy is proposed to maintain the common bus voltage and to realize power sharing among storages in the storage subgrid.</t>
  </si>
  <si>
    <t>IEEE TRANSACTIONS ON INDUSTRY APPLICATIONS</t>
  </si>
  <si>
    <t>SPRInger-Book Chapter</t>
  </si>
  <si>
    <t>DC Microgrid with Wind Energy Conversion
System Based on Switched Reluctance Generator
Operating in Grid Connected Mode</t>
  </si>
  <si>
    <t>Safety Concepts and Circuit Protection for LVDCGrids
in Datacenters and in Telecommunications</t>
  </si>
  <si>
    <t>Research on the Operation Control Strategy of a
Low-Voltage Direct Current Microgrid Based on a
Disturbance Observer and Neural Network Adaptive
Control Algorithm</t>
  </si>
  <si>
    <t>System Configuration, Fault Detection, Location,
Isolation and Restoration: A Review on LVDC
Microgrid Protections</t>
  </si>
  <si>
    <t>Accurate Power Sharing and Synthetic Inertia
Control for DC Building Microgrids With
Guaranteed Performance</t>
  </si>
  <si>
    <t>Low Voltage Direct Current(LVDC) Nanogrid for
Home Application</t>
  </si>
  <si>
    <t>A novel decentralized voltage control method for direct current
microgrids with sensitive loads</t>
  </si>
  <si>
    <t xml:space="preserve">
Secondary Power Sharing Regulation Strategy for a DC Microgrid via Maximum Loading Factor
</t>
  </si>
  <si>
    <t>IEEE TRANSACTIONS ON POWER ELECTRONICS</t>
  </si>
  <si>
    <t xml:space="preserve">
IEEE TRANSACTIONS ON INDUSTRIAL ELECTRONICS</t>
  </si>
  <si>
    <t xml:space="preserve"> ELECTRICAL ENGINEERING</t>
  </si>
  <si>
    <t>IET GENERATION TRANSMISSION &amp; DISTRIBUTION</t>
  </si>
  <si>
    <t>Miguel</t>
  </si>
  <si>
    <t xml:space="preserve"> JOURNAL OF ENGINEERING</t>
  </si>
  <si>
    <t>Cruz</t>
  </si>
  <si>
    <t xml:space="preserve">IEEE TRANSACTIONS ON SUSTAINABLE ENERGY </t>
  </si>
  <si>
    <t>Electronics</t>
  </si>
  <si>
    <t xml:space="preserve"> IET GENERATION TRANSMISSION &amp; DISTRIBUTION</t>
  </si>
  <si>
    <t xml:space="preserve">Accurate Power Sharing With Balanced Battery State of Charge in Distributed DC Microgrid
</t>
  </si>
  <si>
    <t>IEEE TRANSACTIONS ON INDUSTRIAL ELECTRONICS</t>
  </si>
  <si>
    <t>Jon</t>
  </si>
  <si>
    <t>2019 IEEE PES Innovative Smart Grid Technologies Asia, ISGT 2019</t>
  </si>
  <si>
    <t>*Power efficiency is improved to 79.2% as compared to the AC nanogrid (71.82%). The improvement is 7% and hence electricity bill is decreased by NZ$3.26 roughly per month.
*power losses due to inverter is 30%.
*Efficiency reduced by rectifier and converter is between 23%-26%,</t>
  </si>
  <si>
    <t>SPECIAL SECTION ON POWER QUALITY AND HARMONICS ISSUES OF FUTURE AND SMART GRIDS</t>
  </si>
  <si>
    <t>Ana</t>
  </si>
  <si>
    <t>Modeling Electronic Power Converters in Smart
DC Microgrids—An Overview</t>
  </si>
  <si>
    <t>Grounding Architectures for Enabling Ground Fault
Ride-Through Capability in DC Microgrids</t>
  </si>
  <si>
    <t>Research on the Optimal Operation Method of DC Microgrid Base on the New DC Power Distribution Management System</t>
  </si>
  <si>
    <t>electronics</t>
  </si>
  <si>
    <t>Cristian</t>
  </si>
  <si>
    <t>An Overview of Direct Current Distribution System
Architectures &amp; Benefits</t>
  </si>
  <si>
    <t xml:space="preserve">
energies</t>
  </si>
  <si>
    <t>itor energy storage system under variable supercapacitor operating voltage</t>
  </si>
  <si>
    <t xml:space="preserve">1.	Bidirectional power flow 
2.	Fault in current path 
3.	Relay, breakers and switches settings
4.	Capacity of short circuit
</t>
  </si>
  <si>
    <t>AC oriented</t>
  </si>
  <si>
    <t>3rd International Conference on Energy and Environment Research, ICEER 2016, 7-11 September
2016, Barcelona, Spain</t>
  </si>
  <si>
    <t>-Microgrids can operate independently called the islanded (autonomous) mode of operation or in conjunction with the
main grid called the grid connected mode of operation [2].
-Microgrids offer several advantages and benefits including increased reliability, improved energy efficiency and
resiliency, cost reduction, reduction in transmission losses, CO2 emission reduction, and other environmental
benefits.
-The major issues and potential solutions in microgrid protection and control include: 
• Bidirectional power flows: The power flow in a conventional distribution system is unidirectional, i.e. from the substation to the loads. Integration of DGs on the distribution side of the grid can cause reverse power flows. As a result, the conventional protection coordination schemes are no longer valid [3];
• Short circuit capacity: In the case of inverter based DGs, the fault current is limited (maximum 2 p.u.). Hence, the conventional overcurrent relay cannot sense the fault [3];
• Stability issues: Local oscillations may arise as a result of the interaction of the control system of micro- generators. Hence, small signal stability analysis and transient stability analysis are required to ensure proper operation in a microgrid [4];
• Low inertia: In a conventional power system, the bulk power is generated at power plants and hence they have high inertia. Microgrids, on the other hand, have dispersed generation and sizes of the DGs are very small. Consequently, they have a low inertia characteristic, especially for inverter based DGs. Low inertia can result in severe frequency deviations in islanded mode operation. Hence, special control mechanism is required [4];
• Intermittent Output: Microgrids with renewable energy resources (photovoltaic, or wind) as distributed
generation are intermittent in their power output. Hence, coordination between DGs and storage devices is
essential.
-The power flow analysis for a grid-connected microgrid can be solved in the same manner as a conventional power system. The DGs, in this  case, can be treated as a generator bus (PV bus) or a negative load bus (PQ bus). The variable output of DGs is not considered in power flow problem as they are considered as load buses. Furthermore, since the microgrid is connected to the main grid, the system frequency is assumed to be constant at all times. In the case of an islanded microgrid, conventional power flow methods cannot be applied directly.</t>
  </si>
  <si>
    <t>-A microgrid is a group of interconnected loads and DER devices within clearly defined electrical boundaries that acts as a single controllable entity with respect to the grid. A microgrid can connect and disconnect from the grid to enable it to operate in both grid-connected or island-mode. A remote microgrid is a variation of a microgrid that operates in islanded condition
-more and more integration into traditional energy supply systems of distributed energy resources (DERs), such as photovoltaics (PVs), geothermal and solar heat, wind turbines, microturbines, various energy storage systems (ESSs),
-The need for energy storage and flexible demand is increasing, and improving the business case for their deployment.
-Renewable sources, such as solar and wind, occur with intermittence and uncertainty.</t>
  </si>
  <si>
    <t>IEEE Transactions on Applied Superconductivity</t>
  </si>
  <si>
    <t xml:space="preserve">-Sistema de control y protección para generadores eólicos con máquina de inducción de doble alimentación
-La MG sólo es la carga en la que se provoca un fallo (no es objeto de estudio)
- El sistema de protección garantiza la V y limita la corriente para que los generadores sigan en funcionamiento
</t>
  </si>
  <si>
    <t>IEEE Applied Power Electronics Conference and Exposition (APEC)</t>
  </si>
  <si>
    <t>Electrical Engineering</t>
  </si>
  <si>
    <t>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</si>
</sst>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9">
    <font>
      <sz val="10"/>
      <color rgb="FF000000"/>
      <name val="Arial"/>
    </font>
    <font>
      <sz val="12"/>
      <name val="Arial"/>
    </font>
    <font>
      <sz val="10"/>
      <name val="Arial"/>
    </font>
    <font>
      <sz val="12"/>
      <color rgb="FF980000"/>
      <name val="Arial"/>
    </font>
    <font>
      <b/>
      <sz val="10"/>
      <name val="Arial"/>
    </font>
    <font>
      <b/>
      <sz val="10"/>
      <color rgb="FF434343"/>
      <name val="Arial"/>
    </font>
    <font>
      <sz val="10"/>
      <color rgb="FF434343"/>
      <name val="Arial"/>
    </font>
    <font>
      <u/>
      <sz val="11"/>
      <color rgb="FF333333"/>
      <name val="Arial"/>
    </font>
    <font>
      <u/>
      <sz val="11"/>
      <color rgb="FF333333"/>
      <name val="Arial"/>
    </font>
    <font>
      <u/>
      <sz val="10"/>
      <color rgb="FF0000FF"/>
      <name val="Arial"/>
    </font>
    <font>
      <b/>
      <sz val="11"/>
      <color rgb="FFFFFFFF"/>
      <name val="Cambria"/>
    </font>
    <font>
      <b/>
      <sz val="11"/>
      <color rgb="FFFFFFFF"/>
      <name val="Arial"/>
    </font>
    <font>
      <sz val="11"/>
      <name val="Arial"/>
    </font>
    <font>
      <i/>
      <sz val="11"/>
      <color rgb="FF000000"/>
      <name val="Arial"/>
    </font>
    <font>
      <sz val="10"/>
      <name val="Calibri"/>
    </font>
    <font>
      <sz val="11"/>
      <color rgb="FF000000"/>
      <name val="Arial"/>
    </font>
    <font>
      <sz val="11"/>
      <name val="Cambria"/>
    </font>
    <font>
      <b/>
      <sz val="11"/>
      <color rgb="FF000000"/>
      <name val="Arial"/>
    </font>
    <font>
      <sz val="10"/>
      <color rgb="FF000000"/>
      <name val="'Arial'"/>
    </font>
    <font>
      <sz val="10"/>
      <color rgb="FF000000"/>
      <name val="Arial"/>
    </font>
    <font>
      <b/>
      <sz val="10"/>
      <color rgb="FF000000"/>
      <name val="Arial"/>
    </font>
    <font>
      <u/>
      <sz val="11"/>
      <color rgb="FF333333"/>
      <name val="Sans-serif"/>
    </font>
    <font>
      <u/>
      <sz val="11"/>
      <color rgb="FF333333"/>
      <name val="Arial"/>
    </font>
    <font>
      <sz val="10"/>
      <color rgb="FF000000"/>
      <name val="Roboto"/>
    </font>
    <font>
      <sz val="10"/>
      <name val="Arial"/>
    </font>
    <font>
      <i/>
      <sz val="11"/>
      <name val="Cambria"/>
    </font>
    <font>
      <sz val="10"/>
      <color rgb="FF000000"/>
      <name val="&quot;Arial&quot;"/>
    </font>
    <font>
      <u/>
      <sz val="11"/>
      <color rgb="FF005274"/>
      <name val="Arial"/>
    </font>
    <font>
      <sz val="9"/>
      <color rgb="FF000000"/>
      <name val="Arial"/>
    </font>
    <font>
      <u/>
      <sz val="11"/>
      <color rgb="FF333333"/>
      <name val="Arial"/>
    </font>
    <font>
      <u/>
      <sz val="11"/>
      <color rgb="FF17445A"/>
      <name val="Sans-serif"/>
    </font>
    <font>
      <u/>
      <sz val="11"/>
      <color rgb="FF333333"/>
      <name val="Arial"/>
    </font>
    <font>
      <u/>
      <sz val="11"/>
      <color rgb="FF333333"/>
      <name val="Arial"/>
    </font>
    <font>
      <u/>
      <sz val="11"/>
      <color rgb="FF333333"/>
      <name val="Sans-serif"/>
    </font>
    <font>
      <sz val="11"/>
      <name val="Calibri"/>
    </font>
    <font>
      <u/>
      <sz val="11"/>
      <color rgb="FF333333"/>
      <name val="Sans-serif"/>
    </font>
    <font>
      <b/>
      <sz val="11"/>
      <name val="Cambria"/>
    </font>
    <font>
      <u/>
      <sz val="10"/>
      <color rgb="FF0000FF"/>
      <name val="Arial"/>
    </font>
    <font>
      <u/>
      <sz val="10"/>
      <color rgb="FF0000FF"/>
      <name val="Arial"/>
    </font>
    <font>
      <u/>
      <sz val="10"/>
      <color rgb="FF0000FF"/>
      <name val="Arial"/>
    </font>
    <font>
      <u/>
      <sz val="10"/>
      <color rgb="FF0000FF"/>
      <name val="Arial"/>
    </font>
    <font>
      <u/>
      <sz val="10"/>
      <color rgb="FF0000FF"/>
      <name val="Arial"/>
    </font>
    <font>
      <u/>
      <sz val="10"/>
      <color rgb="FF0000FF"/>
      <name val="Calibri"/>
    </font>
    <font>
      <u/>
      <sz val="10"/>
      <color rgb="FF0000FF"/>
      <name val="Calibri"/>
    </font>
    <font>
      <sz val="8"/>
      <name val="Serif"/>
    </font>
    <font>
      <u/>
      <sz val="10"/>
      <color rgb="FF0000FF"/>
      <name val="Calibri"/>
    </font>
    <font>
      <b/>
      <sz val="12"/>
      <name val="Arial"/>
    </font>
    <font>
      <u/>
      <sz val="11"/>
      <color rgb="FF333333"/>
      <name val="Sans-serif"/>
    </font>
    <font>
      <u/>
      <sz val="11"/>
      <color rgb="FF333333"/>
      <name val="Sans-serif"/>
    </font>
    <font>
      <u/>
      <sz val="10"/>
      <color rgb="FF0000FF"/>
      <name val="Arial"/>
    </font>
    <font>
      <b/>
      <sz val="10"/>
      <name val="Arial"/>
    </font>
    <font>
      <u/>
      <sz val="10"/>
      <color rgb="FF0000FF"/>
      <name val="Arial"/>
    </font>
    <font>
      <b/>
      <sz val="8"/>
      <color rgb="FF980000"/>
      <name val="''Arial''"/>
    </font>
    <font>
      <u/>
      <sz val="10"/>
      <color rgb="FF0000FF"/>
      <name val="Arial"/>
    </font>
    <font>
      <sz val="10"/>
      <color rgb="FFFF0000"/>
      <name val="Arial"/>
    </font>
    <font>
      <u/>
      <sz val="10"/>
      <color rgb="FFFF0000"/>
      <name val="Arial"/>
    </font>
    <font>
      <sz val="10"/>
      <color rgb="FF0C343D"/>
      <name val="Arial"/>
    </font>
    <font>
      <b/>
      <sz val="10"/>
      <color rgb="FF980000"/>
      <name val="Arial"/>
    </font>
    <font>
      <u/>
      <sz val="11"/>
      <color rgb="FF333333"/>
      <name val="Sans-serif"/>
    </font>
    <font>
      <u/>
      <sz val="10"/>
      <color rgb="FF0000FF"/>
      <name val="Arial"/>
    </font>
    <font>
      <sz val="10"/>
      <name val="Symbol"/>
    </font>
    <font>
      <sz val="11"/>
      <name val="&quot;Calibri&quot;"/>
    </font>
    <font>
      <b/>
      <sz val="10"/>
      <name val="Calibri"/>
    </font>
    <font>
      <i/>
      <sz val="10"/>
      <color rgb="FF000000"/>
      <name val="Arial"/>
    </font>
    <font>
      <sz val="11"/>
      <color rgb="FFFF0000"/>
      <name val="Cambria"/>
    </font>
    <font>
      <i/>
      <sz val="10"/>
      <name val="Calibri"/>
    </font>
    <font>
      <b/>
      <sz val="10"/>
      <color rgb="FFFF0000"/>
      <name val="Arial"/>
    </font>
    <font>
      <b/>
      <i/>
      <sz val="10"/>
      <color rgb="FFFF0000"/>
      <name val="Arial"/>
    </font>
    <font>
      <i/>
      <sz val="10"/>
      <color rgb="FFFF0000"/>
      <name val="Arial"/>
    </font>
  </fonts>
  <fills count="18">
    <fill>
      <patternFill patternType="none"/>
    </fill>
    <fill>
      <patternFill patternType="gray125"/>
    </fill>
    <fill>
      <patternFill patternType="solid">
        <fgColor rgb="FFFFFF00"/>
        <bgColor rgb="FFFFFF00"/>
      </patternFill>
    </fill>
    <fill>
      <patternFill patternType="solid">
        <fgColor rgb="FFEFEFEF"/>
        <bgColor rgb="FFEFEFEF"/>
      </patternFill>
    </fill>
    <fill>
      <patternFill patternType="solid">
        <fgColor rgb="FF434343"/>
        <bgColor rgb="FF434343"/>
      </patternFill>
    </fill>
    <fill>
      <patternFill patternType="solid">
        <fgColor rgb="FFF4CCCC"/>
        <bgColor rgb="FFF4CCCC"/>
      </patternFill>
    </fill>
    <fill>
      <patternFill patternType="solid">
        <fgColor rgb="FFFFF2CC"/>
        <bgColor rgb="FFFFF2CC"/>
      </patternFill>
    </fill>
    <fill>
      <patternFill patternType="solid">
        <fgColor rgb="FFA4C2F4"/>
        <bgColor rgb="FFA4C2F4"/>
      </patternFill>
    </fill>
    <fill>
      <patternFill patternType="solid">
        <fgColor rgb="FFE6B8AF"/>
        <bgColor rgb="FFE6B8AF"/>
      </patternFill>
    </fill>
    <fill>
      <patternFill patternType="solid">
        <fgColor rgb="FF7F6000"/>
        <bgColor rgb="FF7F6000"/>
      </patternFill>
    </fill>
    <fill>
      <patternFill patternType="solid">
        <fgColor rgb="FFC9DAF8"/>
        <bgColor rgb="FFC9DAF8"/>
      </patternFill>
    </fill>
    <fill>
      <patternFill patternType="solid">
        <fgColor rgb="FFD0E0E3"/>
        <bgColor rgb="FFD0E0E3"/>
      </patternFill>
    </fill>
    <fill>
      <patternFill patternType="solid">
        <fgColor rgb="FFCFE2F3"/>
        <bgColor rgb="FFCFE2F3"/>
      </patternFill>
    </fill>
    <fill>
      <patternFill patternType="solid">
        <fgColor rgb="FFFFE599"/>
        <bgColor rgb="FFFFE599"/>
      </patternFill>
    </fill>
    <fill>
      <patternFill patternType="solid">
        <fgColor rgb="FFFCE5CD"/>
        <bgColor rgb="FFFCE5CD"/>
      </patternFill>
    </fill>
    <fill>
      <patternFill patternType="solid">
        <fgColor rgb="FFB6D7A8"/>
        <bgColor rgb="FFB6D7A8"/>
      </patternFill>
    </fill>
    <fill>
      <patternFill patternType="solid">
        <fgColor rgb="FFEAD1DC"/>
        <bgColor rgb="FFEAD1DC"/>
      </patternFill>
    </fill>
    <fill>
      <patternFill patternType="solid">
        <fgColor rgb="FF00FF00"/>
        <bgColor rgb="FF00FF00"/>
      </patternFill>
    </fill>
  </fills>
  <borders count="6">
    <border>
      <left/>
      <right/>
      <top/>
      <bottom/>
      <diagonal/>
    </border>
    <border>
      <left style="hair">
        <color rgb="FF000000"/>
      </left>
      <right style="hair">
        <color rgb="FF000000"/>
      </right>
      <top style="hair">
        <color rgb="FF000000"/>
      </top>
      <bottom style="hair">
        <color rgb="FF000000"/>
      </bottom>
      <diagonal/>
    </border>
    <border>
      <left/>
      <right style="hair">
        <color rgb="FF000000"/>
      </right>
      <top style="hair">
        <color rgb="FF000000"/>
      </top>
      <bottom style="hair">
        <color rgb="FF000000"/>
      </bottom>
      <diagonal/>
    </border>
    <border>
      <left/>
      <right/>
      <top style="hair">
        <color rgb="FF000000"/>
      </top>
      <bottom style="hair">
        <color rgb="FF000000"/>
      </bottom>
      <diagonal/>
    </border>
    <border>
      <left/>
      <right style="thin">
        <color rgb="FF000000"/>
      </right>
      <top/>
      <bottom style="thin">
        <color rgb="FF000000"/>
      </bottom>
      <diagonal/>
    </border>
    <border>
      <left/>
      <right style="hair">
        <color rgb="FF000000"/>
      </right>
      <top/>
      <bottom style="hair">
        <color rgb="FF000000"/>
      </bottom>
      <diagonal/>
    </border>
  </borders>
  <cellStyleXfs count="1">
    <xf numFmtId="0" fontId="0" fillId="0" borderId="0"/>
  </cellStyleXfs>
  <cellXfs count="395">
    <xf numFmtId="0" fontId="0" fillId="0" borderId="0" xfId="0" applyFont="1" applyAlignment="1"/>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top"/>
    </xf>
    <xf numFmtId="0" fontId="1" fillId="0" borderId="0" xfId="0" applyFont="1" applyAlignment="1">
      <alignment vertical="top"/>
    </xf>
    <xf numFmtId="0" fontId="3" fillId="0" borderId="0" xfId="0" applyFont="1" applyAlignment="1">
      <alignment vertical="top"/>
    </xf>
    <xf numFmtId="0" fontId="2" fillId="0" borderId="0" xfId="0" applyFont="1" applyAlignment="1">
      <alignment horizontal="left"/>
    </xf>
    <xf numFmtId="0" fontId="2" fillId="0" borderId="0" xfId="0" applyFont="1" applyAlignment="1">
      <alignment horizontal="left"/>
    </xf>
    <xf numFmtId="0" fontId="2" fillId="0" borderId="0" xfId="0" applyFont="1" applyAlignment="1">
      <alignment horizontal="left"/>
    </xf>
    <xf numFmtId="0" fontId="4" fillId="0" borderId="0" xfId="0" applyFont="1" applyAlignment="1">
      <alignment horizontal="center" vertical="center"/>
    </xf>
    <xf numFmtId="0" fontId="4" fillId="0" borderId="0" xfId="0" applyFont="1" applyAlignment="1">
      <alignment vertical="center"/>
    </xf>
    <xf numFmtId="0" fontId="4" fillId="0" borderId="0" xfId="0" applyFont="1" applyAlignment="1"/>
    <xf numFmtId="0" fontId="4" fillId="0" borderId="0" xfId="0" applyFont="1"/>
    <xf numFmtId="0" fontId="2" fillId="0" borderId="0" xfId="0" applyFont="1" applyAlignment="1">
      <alignment horizontal="center" vertical="center"/>
    </xf>
    <xf numFmtId="0" fontId="2" fillId="0" borderId="0" xfId="0" applyFont="1" applyAlignment="1">
      <alignment vertical="center"/>
    </xf>
    <xf numFmtId="0" fontId="2" fillId="0" borderId="0" xfId="0" applyFont="1" applyAlignment="1">
      <alignment wrapText="1"/>
    </xf>
    <xf numFmtId="0" fontId="2" fillId="0" borderId="0" xfId="0" applyFont="1" applyAlignment="1"/>
    <xf numFmtId="0" fontId="2" fillId="3" borderId="0" xfId="0" applyFont="1" applyFill="1" applyAlignment="1">
      <alignment horizontal="center" vertical="center"/>
    </xf>
    <xf numFmtId="0" fontId="7" fillId="3" borderId="0" xfId="0" applyFont="1" applyFill="1" applyAlignment="1"/>
    <xf numFmtId="0" fontId="2" fillId="3" borderId="0" xfId="0" applyFont="1" applyFill="1" applyAlignment="1">
      <alignment wrapText="1"/>
    </xf>
    <xf numFmtId="0" fontId="2" fillId="3" borderId="0" xfId="0" applyFont="1" applyFill="1"/>
    <xf numFmtId="0" fontId="8" fillId="0" borderId="0" xfId="0" applyFont="1" applyAlignment="1"/>
    <xf numFmtId="0" fontId="9" fillId="0" borderId="0" xfId="0" applyFont="1" applyAlignment="1">
      <alignment vertical="center"/>
    </xf>
    <xf numFmtId="0" fontId="2" fillId="0" borderId="0" xfId="0" applyFont="1" applyAlignment="1">
      <alignment vertical="center"/>
    </xf>
    <xf numFmtId="0" fontId="10" fillId="4" borderId="0" xfId="0" applyFont="1" applyFill="1" applyAlignment="1">
      <alignment horizontal="center" vertical="center" wrapText="1"/>
    </xf>
    <xf numFmtId="0" fontId="10" fillId="4" borderId="1"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0" fillId="4" borderId="2" xfId="0" applyFont="1" applyFill="1" applyBorder="1" applyAlignment="1">
      <alignment horizontal="center" vertical="center" wrapText="1"/>
    </xf>
    <xf numFmtId="0" fontId="12" fillId="2" borderId="0" xfId="0" applyFont="1" applyFill="1" applyAlignment="1">
      <alignment horizontal="center" vertical="center" wrapText="1"/>
    </xf>
    <xf numFmtId="0" fontId="2" fillId="2" borderId="0" xfId="0" applyFont="1" applyFill="1" applyAlignment="1">
      <alignment horizontal="center" vertical="center" wrapText="1"/>
    </xf>
    <xf numFmtId="0" fontId="2" fillId="2" borderId="0" xfId="0" applyFont="1" applyFill="1" applyAlignment="1">
      <alignment horizontal="left" vertical="center" wrapText="1"/>
    </xf>
    <xf numFmtId="0" fontId="2" fillId="2" borderId="0" xfId="0" applyFont="1" applyFill="1" applyAlignment="1">
      <alignment horizontal="left" vertical="top" wrapText="1"/>
    </xf>
    <xf numFmtId="0" fontId="2" fillId="2" borderId="0" xfId="0" applyFont="1" applyFill="1"/>
    <xf numFmtId="0" fontId="2" fillId="2" borderId="0" xfId="0" applyFont="1" applyFill="1" applyAlignment="1">
      <alignment horizontal="left" vertical="center" wrapText="1"/>
    </xf>
    <xf numFmtId="0" fontId="13" fillId="2" borderId="4" xfId="0" applyFont="1" applyFill="1" applyBorder="1" applyAlignment="1">
      <alignment horizontal="left" vertical="center" wrapText="1"/>
    </xf>
    <xf numFmtId="0" fontId="14" fillId="2" borderId="4" xfId="0" applyFont="1" applyFill="1" applyBorder="1" applyAlignment="1">
      <alignment horizontal="left" vertical="center" wrapText="1"/>
    </xf>
    <xf numFmtId="0" fontId="15" fillId="2" borderId="4" xfId="0" applyFont="1" applyFill="1" applyBorder="1" applyAlignment="1">
      <alignment horizontal="left" vertical="center" wrapText="1"/>
    </xf>
    <xf numFmtId="0" fontId="16" fillId="2" borderId="4" xfId="0" applyFont="1" applyFill="1" applyBorder="1" applyAlignment="1">
      <alignment horizontal="center" vertical="center" wrapText="1"/>
    </xf>
    <xf numFmtId="0" fontId="16" fillId="2" borderId="4" xfId="0" applyFont="1" applyFill="1" applyBorder="1" applyAlignment="1">
      <alignment horizontal="left" vertical="center" wrapText="1"/>
    </xf>
    <xf numFmtId="0" fontId="15" fillId="2" borderId="4" xfId="0" applyFont="1" applyFill="1" applyBorder="1" applyAlignment="1">
      <alignment horizontal="left" vertical="center" wrapText="1"/>
    </xf>
    <xf numFmtId="0" fontId="2" fillId="2" borderId="0" xfId="0" applyFont="1" applyFill="1" applyAlignment="1">
      <alignment vertical="center"/>
    </xf>
    <xf numFmtId="0" fontId="12" fillId="5" borderId="0" xfId="0" applyFont="1" applyFill="1" applyAlignment="1">
      <alignment horizontal="center" vertical="center" wrapText="1"/>
    </xf>
    <xf numFmtId="0" fontId="2" fillId="5" borderId="0" xfId="0" applyFont="1" applyFill="1" applyAlignment="1">
      <alignment horizontal="center" vertical="center" wrapText="1"/>
    </xf>
    <xf numFmtId="0" fontId="2" fillId="5" borderId="0" xfId="0" applyFont="1" applyFill="1" applyAlignment="1">
      <alignment horizontal="left" vertical="center" wrapText="1"/>
    </xf>
    <xf numFmtId="0" fontId="2" fillId="5" borderId="0" xfId="0" applyFont="1" applyFill="1" applyAlignment="1">
      <alignment horizontal="left" vertical="center" wrapText="1"/>
    </xf>
    <xf numFmtId="0" fontId="13" fillId="5" borderId="4" xfId="0" applyFont="1" applyFill="1" applyBorder="1" applyAlignment="1">
      <alignment horizontal="left" vertical="center" wrapText="1"/>
    </xf>
    <xf numFmtId="0" fontId="2" fillId="5" borderId="0" xfId="0" applyFont="1" applyFill="1"/>
    <xf numFmtId="0" fontId="14" fillId="5" borderId="4" xfId="0" applyFont="1" applyFill="1" applyBorder="1" applyAlignment="1">
      <alignment horizontal="left" vertical="center" wrapText="1"/>
    </xf>
    <xf numFmtId="0" fontId="15" fillId="5" borderId="4" xfId="0" applyFont="1" applyFill="1" applyBorder="1" applyAlignment="1">
      <alignment horizontal="left" vertical="center" wrapText="1"/>
    </xf>
    <xf numFmtId="0" fontId="16" fillId="5" borderId="4" xfId="0" applyFont="1" applyFill="1" applyBorder="1" applyAlignment="1">
      <alignment horizontal="center" vertical="center" wrapText="1"/>
    </xf>
    <xf numFmtId="0" fontId="16" fillId="5" borderId="4" xfId="0" applyFont="1" applyFill="1" applyBorder="1" applyAlignment="1">
      <alignment horizontal="left" vertical="center" wrapText="1"/>
    </xf>
    <xf numFmtId="0" fontId="15" fillId="5" borderId="4" xfId="0" applyFont="1" applyFill="1" applyBorder="1" applyAlignment="1">
      <alignment horizontal="left" vertical="center" wrapText="1"/>
    </xf>
    <xf numFmtId="0" fontId="2" fillId="5" borderId="0" xfId="0" applyFont="1" applyFill="1" applyAlignment="1">
      <alignment vertical="center"/>
    </xf>
    <xf numFmtId="0" fontId="12" fillId="6" borderId="0" xfId="0" applyFont="1" applyFill="1" applyAlignment="1">
      <alignment horizontal="center" vertical="center" wrapText="1"/>
    </xf>
    <xf numFmtId="0" fontId="2" fillId="6" borderId="0" xfId="0" applyFont="1" applyFill="1" applyAlignment="1">
      <alignment horizontal="center" vertical="center" wrapText="1"/>
    </xf>
    <xf numFmtId="0" fontId="2" fillId="6" borderId="0" xfId="0" applyFont="1" applyFill="1" applyAlignment="1">
      <alignment horizontal="left" vertical="center" wrapText="1"/>
    </xf>
    <xf numFmtId="0" fontId="2" fillId="6" borderId="0" xfId="0" applyFont="1" applyFill="1" applyAlignment="1">
      <alignment horizontal="left" vertical="center" wrapText="1"/>
    </xf>
    <xf numFmtId="0" fontId="13" fillId="6" borderId="4" xfId="0" applyFont="1" applyFill="1" applyBorder="1" applyAlignment="1">
      <alignment horizontal="left" vertical="center" wrapText="1"/>
    </xf>
    <xf numFmtId="0" fontId="2" fillId="6" borderId="0" xfId="0" applyFont="1" applyFill="1" applyAlignment="1">
      <alignment vertical="center"/>
    </xf>
    <xf numFmtId="0" fontId="14" fillId="6" borderId="4" xfId="0" applyFont="1" applyFill="1" applyBorder="1" applyAlignment="1">
      <alignment horizontal="left" vertical="center" wrapText="1"/>
    </xf>
    <xf numFmtId="0" fontId="15" fillId="6" borderId="4" xfId="0" applyFont="1" applyFill="1" applyBorder="1" applyAlignment="1">
      <alignment horizontal="left" vertical="center" wrapText="1"/>
    </xf>
    <xf numFmtId="0" fontId="16" fillId="6" borderId="4" xfId="0" applyFont="1" applyFill="1" applyBorder="1" applyAlignment="1">
      <alignment horizontal="center" vertical="center" wrapText="1"/>
    </xf>
    <xf numFmtId="0" fontId="16" fillId="6" borderId="4" xfId="0" applyFont="1" applyFill="1" applyBorder="1" applyAlignment="1">
      <alignment horizontal="left" vertical="center" wrapText="1"/>
    </xf>
    <xf numFmtId="0" fontId="15" fillId="6" borderId="4" xfId="0" applyFont="1" applyFill="1" applyBorder="1" applyAlignment="1">
      <alignment horizontal="left" vertical="center" wrapText="1"/>
    </xf>
    <xf numFmtId="0" fontId="2" fillId="6" borderId="0" xfId="0" applyFont="1" applyFill="1" applyAlignment="1">
      <alignment horizontal="left" vertical="top" wrapText="1"/>
    </xf>
    <xf numFmtId="0" fontId="2" fillId="6" borderId="0" xfId="0" applyFont="1" applyFill="1"/>
    <xf numFmtId="0" fontId="12" fillId="7" borderId="0" xfId="0" applyFont="1" applyFill="1" applyAlignment="1">
      <alignment horizontal="center" vertical="center" wrapText="1"/>
    </xf>
    <xf numFmtId="0" fontId="2" fillId="7" borderId="0" xfId="0" applyFont="1" applyFill="1" applyAlignment="1">
      <alignment horizontal="center" vertical="center" wrapText="1"/>
    </xf>
    <xf numFmtId="0" fontId="2" fillId="7" borderId="0" xfId="0" applyFont="1" applyFill="1" applyAlignment="1">
      <alignment horizontal="left" vertical="center" wrapText="1"/>
    </xf>
    <xf numFmtId="0" fontId="2" fillId="7" borderId="0" xfId="0" applyFont="1" applyFill="1" applyAlignment="1">
      <alignment horizontal="left" vertical="top" wrapText="1"/>
    </xf>
    <xf numFmtId="0" fontId="2" fillId="7" borderId="0" xfId="0" applyFont="1" applyFill="1" applyAlignment="1">
      <alignment horizontal="left" vertical="center" wrapText="1"/>
    </xf>
    <xf numFmtId="0" fontId="13" fillId="7" borderId="4" xfId="0" applyFont="1" applyFill="1" applyBorder="1" applyAlignment="1">
      <alignment horizontal="left" vertical="center" wrapText="1"/>
    </xf>
    <xf numFmtId="0" fontId="2" fillId="7" borderId="0" xfId="0" applyFont="1" applyFill="1"/>
    <xf numFmtId="0" fontId="14" fillId="7" borderId="4" xfId="0" applyFont="1" applyFill="1" applyBorder="1" applyAlignment="1">
      <alignment horizontal="left" vertical="center" wrapText="1"/>
    </xf>
    <xf numFmtId="0" fontId="15" fillId="7" borderId="4" xfId="0" applyFont="1" applyFill="1" applyBorder="1" applyAlignment="1">
      <alignment horizontal="left" vertical="center" wrapText="1"/>
    </xf>
    <xf numFmtId="0" fontId="16" fillId="7" borderId="4" xfId="0" applyFont="1" applyFill="1" applyBorder="1" applyAlignment="1">
      <alignment horizontal="center" vertical="center" wrapText="1"/>
    </xf>
    <xf numFmtId="0" fontId="16" fillId="7" borderId="4" xfId="0" applyFont="1" applyFill="1" applyBorder="1" applyAlignment="1">
      <alignment horizontal="left" vertical="center" wrapText="1"/>
    </xf>
    <xf numFmtId="0" fontId="15" fillId="7" borderId="4" xfId="0" applyFont="1" applyFill="1" applyBorder="1" applyAlignment="1">
      <alignment horizontal="left" vertical="center" wrapText="1"/>
    </xf>
    <xf numFmtId="0" fontId="2" fillId="7" borderId="0" xfId="0" applyFont="1" applyFill="1" applyAlignment="1">
      <alignment vertical="center"/>
    </xf>
    <xf numFmtId="0" fontId="12" fillId="8" borderId="0" xfId="0" applyFont="1" applyFill="1" applyAlignment="1">
      <alignment horizontal="center" vertical="center" wrapText="1"/>
    </xf>
    <xf numFmtId="0" fontId="2" fillId="8" borderId="0" xfId="0" applyFont="1" applyFill="1" applyAlignment="1">
      <alignment horizontal="center" vertical="center" wrapText="1"/>
    </xf>
    <xf numFmtId="0" fontId="2" fillId="8" borderId="0" xfId="0" applyFont="1" applyFill="1" applyAlignment="1">
      <alignment horizontal="left" vertical="center" wrapText="1"/>
    </xf>
    <xf numFmtId="0" fontId="2" fillId="8" borderId="0" xfId="0" applyFont="1" applyFill="1" applyAlignment="1">
      <alignment horizontal="left" vertical="top" wrapText="1"/>
    </xf>
    <xf numFmtId="0" fontId="2" fillId="8" borderId="0" xfId="0" applyFont="1" applyFill="1" applyAlignment="1">
      <alignment horizontal="left" vertical="center" wrapText="1"/>
    </xf>
    <xf numFmtId="0" fontId="2" fillId="8" borderId="0" xfId="0" applyFont="1" applyFill="1" applyAlignment="1">
      <alignment vertical="center"/>
    </xf>
    <xf numFmtId="0" fontId="13" fillId="8" borderId="4" xfId="0" applyFont="1" applyFill="1" applyBorder="1" applyAlignment="1">
      <alignment horizontal="left" vertical="center" wrapText="1"/>
    </xf>
    <xf numFmtId="0" fontId="2" fillId="8" borderId="0" xfId="0" applyFont="1" applyFill="1"/>
    <xf numFmtId="0" fontId="14" fillId="8" borderId="4" xfId="0" applyFont="1" applyFill="1" applyBorder="1" applyAlignment="1">
      <alignment horizontal="left" vertical="center" wrapText="1"/>
    </xf>
    <xf numFmtId="0" fontId="15" fillId="8" borderId="4" xfId="0" applyFont="1" applyFill="1" applyBorder="1" applyAlignment="1">
      <alignment horizontal="left" vertical="center" wrapText="1"/>
    </xf>
    <xf numFmtId="0" fontId="16" fillId="8" borderId="4" xfId="0" applyFont="1" applyFill="1" applyBorder="1" applyAlignment="1">
      <alignment horizontal="center" vertical="center" wrapText="1"/>
    </xf>
    <xf numFmtId="0" fontId="16" fillId="8" borderId="4" xfId="0" applyFont="1" applyFill="1" applyBorder="1" applyAlignment="1">
      <alignment horizontal="left" vertical="center" wrapText="1"/>
    </xf>
    <xf numFmtId="0" fontId="15" fillId="8" borderId="4" xfId="0" applyFont="1" applyFill="1" applyBorder="1" applyAlignment="1">
      <alignment horizontal="left" vertical="center" wrapText="1"/>
    </xf>
    <xf numFmtId="0" fontId="2" fillId="8" borderId="0" xfId="0" applyFont="1" applyFill="1" applyAlignment="1">
      <alignment vertical="center"/>
    </xf>
    <xf numFmtId="0" fontId="12"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left" vertical="center" wrapText="1"/>
    </xf>
    <xf numFmtId="0" fontId="13" fillId="0" borderId="4" xfId="0" applyFont="1" applyBorder="1" applyAlignment="1">
      <alignment horizontal="left" vertical="center" wrapText="1"/>
    </xf>
    <xf numFmtId="0" fontId="15" fillId="0" borderId="4" xfId="0" applyFont="1" applyBorder="1" applyAlignment="1">
      <alignment horizontal="left" vertical="center" wrapText="1"/>
    </xf>
    <xf numFmtId="0" fontId="16" fillId="0" borderId="4" xfId="0" applyFont="1" applyBorder="1" applyAlignment="1">
      <alignment horizontal="center" vertical="center" wrapText="1"/>
    </xf>
    <xf numFmtId="0" fontId="16" fillId="0" borderId="4" xfId="0" applyFont="1" applyBorder="1" applyAlignment="1">
      <alignment horizontal="left" vertical="center" wrapText="1"/>
    </xf>
    <xf numFmtId="0" fontId="17" fillId="0" borderId="4" xfId="0" applyFont="1" applyBorder="1" applyAlignment="1">
      <alignment horizontal="left" vertical="center" wrapText="1"/>
    </xf>
    <xf numFmtId="0" fontId="18" fillId="0" borderId="0" xfId="0" applyFont="1" applyAlignment="1">
      <alignment vertical="center" wrapText="1"/>
    </xf>
    <xf numFmtId="0" fontId="15" fillId="0" borderId="4" xfId="0" applyFont="1" applyBorder="1" applyAlignment="1">
      <alignment horizontal="left" vertical="center" wrapText="1"/>
    </xf>
    <xf numFmtId="0" fontId="13" fillId="2" borderId="4" xfId="0" applyFont="1" applyFill="1" applyBorder="1" applyAlignment="1">
      <alignment horizontal="left" vertical="center" wrapText="1"/>
    </xf>
    <xf numFmtId="0" fontId="17" fillId="2" borderId="4" xfId="0" applyFont="1" applyFill="1" applyBorder="1" applyAlignment="1">
      <alignment horizontal="left" vertical="center" wrapText="1"/>
    </xf>
    <xf numFmtId="0" fontId="12" fillId="9" borderId="0" xfId="0" applyFont="1" applyFill="1" applyAlignment="1">
      <alignment horizontal="center" vertical="center" wrapText="1"/>
    </xf>
    <xf numFmtId="0" fontId="2" fillId="9" borderId="0" xfId="0" applyFont="1" applyFill="1" applyAlignment="1">
      <alignment horizontal="center" vertical="center" wrapText="1"/>
    </xf>
    <xf numFmtId="0" fontId="2" fillId="9" borderId="0" xfId="0" applyFont="1" applyFill="1" applyAlignment="1">
      <alignment horizontal="left" vertical="center" wrapText="1"/>
    </xf>
    <xf numFmtId="0" fontId="2" fillId="9" borderId="0" xfId="0" applyFont="1" applyFill="1" applyAlignment="1">
      <alignment horizontal="left" vertical="center" wrapText="1"/>
    </xf>
    <xf numFmtId="0" fontId="13" fillId="9" borderId="4" xfId="0" applyFont="1" applyFill="1" applyBorder="1" applyAlignment="1">
      <alignment horizontal="left" vertical="center" wrapText="1"/>
    </xf>
    <xf numFmtId="0" fontId="2" fillId="9" borderId="0" xfId="0" applyFont="1" applyFill="1" applyAlignment="1">
      <alignment vertical="center"/>
    </xf>
    <xf numFmtId="0" fontId="14" fillId="9" borderId="4" xfId="0" applyFont="1" applyFill="1" applyBorder="1" applyAlignment="1">
      <alignment horizontal="left" vertical="center" wrapText="1"/>
    </xf>
    <xf numFmtId="0" fontId="15" fillId="9" borderId="4" xfId="0" applyFont="1" applyFill="1" applyBorder="1" applyAlignment="1">
      <alignment horizontal="left" vertical="center" wrapText="1"/>
    </xf>
    <xf numFmtId="0" fontId="16" fillId="9" borderId="4" xfId="0" applyFont="1" applyFill="1" applyBorder="1" applyAlignment="1">
      <alignment horizontal="center" vertical="center" wrapText="1"/>
    </xf>
    <xf numFmtId="0" fontId="16" fillId="9" borderId="4" xfId="0" applyFont="1" applyFill="1" applyBorder="1" applyAlignment="1">
      <alignment horizontal="left" vertical="center" wrapText="1"/>
    </xf>
    <xf numFmtId="0" fontId="12" fillId="10" borderId="0" xfId="0" applyFont="1" applyFill="1" applyAlignment="1">
      <alignment horizontal="center" vertical="center" wrapText="1"/>
    </xf>
    <xf numFmtId="0" fontId="2" fillId="10" borderId="0" xfId="0" applyFont="1" applyFill="1" applyAlignment="1">
      <alignment horizontal="center" vertical="center" wrapText="1"/>
    </xf>
    <xf numFmtId="0" fontId="2" fillId="10" borderId="0" xfId="0" applyFont="1" applyFill="1" applyAlignment="1">
      <alignment horizontal="left" vertical="center" wrapText="1"/>
    </xf>
    <xf numFmtId="0" fontId="2" fillId="10" borderId="0" xfId="0" applyFont="1" applyFill="1"/>
    <xf numFmtId="0" fontId="2" fillId="10" borderId="0" xfId="0" applyFont="1" applyFill="1" applyAlignment="1">
      <alignment horizontal="left" vertical="center" wrapText="1"/>
    </xf>
    <xf numFmtId="0" fontId="13" fillId="10" borderId="4" xfId="0" applyFont="1" applyFill="1" applyBorder="1" applyAlignment="1">
      <alignment horizontal="left" vertical="center" wrapText="1"/>
    </xf>
    <xf numFmtId="0" fontId="2" fillId="10" borderId="0" xfId="0" applyFont="1" applyFill="1" applyAlignment="1">
      <alignment vertical="center"/>
    </xf>
    <xf numFmtId="0" fontId="14" fillId="10" borderId="4" xfId="0" applyFont="1" applyFill="1" applyBorder="1" applyAlignment="1">
      <alignment horizontal="left" vertical="center" wrapText="1"/>
    </xf>
    <xf numFmtId="0" fontId="15" fillId="10" borderId="4" xfId="0" applyFont="1" applyFill="1" applyBorder="1" applyAlignment="1">
      <alignment horizontal="left" vertical="center" wrapText="1"/>
    </xf>
    <xf numFmtId="0" fontId="16" fillId="10" borderId="4" xfId="0" applyFont="1" applyFill="1" applyBorder="1" applyAlignment="1">
      <alignment horizontal="center" vertical="center" wrapText="1"/>
    </xf>
    <xf numFmtId="0" fontId="16" fillId="10" borderId="4" xfId="0" applyFont="1" applyFill="1" applyBorder="1" applyAlignment="1">
      <alignment horizontal="left" vertical="center" wrapText="1"/>
    </xf>
    <xf numFmtId="0" fontId="15" fillId="10" borderId="4" xfId="0" applyFont="1" applyFill="1" applyBorder="1" applyAlignment="1">
      <alignment horizontal="left" vertical="center" wrapText="1"/>
    </xf>
    <xf numFmtId="0" fontId="2" fillId="5" borderId="0" xfId="0" applyFont="1" applyFill="1" applyAlignment="1">
      <alignment vertical="center" wrapText="1"/>
    </xf>
    <xf numFmtId="0" fontId="17" fillId="5" borderId="4" xfId="0" applyFont="1" applyFill="1" applyBorder="1" applyAlignment="1">
      <alignment horizontal="left" vertical="center" wrapText="1"/>
    </xf>
    <xf numFmtId="0" fontId="2" fillId="5" borderId="0" xfId="0" applyFont="1" applyFill="1" applyAlignment="1">
      <alignment vertical="center"/>
    </xf>
    <xf numFmtId="0" fontId="12" fillId="11" borderId="0" xfId="0" applyFont="1" applyFill="1" applyAlignment="1">
      <alignment horizontal="center" vertical="center" wrapText="1"/>
    </xf>
    <xf numFmtId="0" fontId="2" fillId="11" borderId="0" xfId="0" applyFont="1" applyFill="1" applyAlignment="1">
      <alignment horizontal="center" vertical="center" wrapText="1"/>
    </xf>
    <xf numFmtId="0" fontId="19" fillId="11" borderId="0" xfId="0" applyFont="1" applyFill="1" applyAlignment="1">
      <alignment horizontal="left" vertical="center" wrapText="1"/>
    </xf>
    <xf numFmtId="0" fontId="2" fillId="11" borderId="0" xfId="0" applyFont="1" applyFill="1" applyAlignment="1">
      <alignment horizontal="left" vertical="center" wrapText="1"/>
    </xf>
    <xf numFmtId="0" fontId="2" fillId="11" borderId="0" xfId="0" applyFont="1" applyFill="1" applyAlignment="1">
      <alignment horizontal="left" vertical="center" wrapText="1"/>
    </xf>
    <xf numFmtId="0" fontId="13" fillId="11" borderId="4" xfId="0" applyFont="1" applyFill="1" applyBorder="1" applyAlignment="1">
      <alignment horizontal="left" vertical="center" wrapText="1"/>
    </xf>
    <xf numFmtId="0" fontId="2" fillId="11" borderId="0" xfId="0" applyFont="1" applyFill="1" applyAlignment="1">
      <alignment vertical="center"/>
    </xf>
    <xf numFmtId="0" fontId="14" fillId="11" borderId="4" xfId="0" applyFont="1" applyFill="1" applyBorder="1" applyAlignment="1">
      <alignment horizontal="left" vertical="center" wrapText="1"/>
    </xf>
    <xf numFmtId="0" fontId="15" fillId="11" borderId="4" xfId="0" applyFont="1" applyFill="1" applyBorder="1" applyAlignment="1">
      <alignment horizontal="left" vertical="center" wrapText="1"/>
    </xf>
    <xf numFmtId="0" fontId="16" fillId="11" borderId="4" xfId="0" applyFont="1" applyFill="1" applyBorder="1" applyAlignment="1">
      <alignment horizontal="center" vertical="center" wrapText="1"/>
    </xf>
    <xf numFmtId="0" fontId="16" fillId="11" borderId="4" xfId="0" applyFont="1" applyFill="1" applyBorder="1" applyAlignment="1">
      <alignment horizontal="left" vertical="center" wrapText="1"/>
    </xf>
    <xf numFmtId="0" fontId="15" fillId="11" borderId="4" xfId="0" applyFont="1" applyFill="1" applyBorder="1" applyAlignment="1">
      <alignment horizontal="left" vertical="center" wrapText="1"/>
    </xf>
    <xf numFmtId="0" fontId="19" fillId="10" borderId="0" xfId="0" applyFont="1" applyFill="1" applyAlignment="1">
      <alignment horizontal="left" vertical="center" wrapText="1"/>
    </xf>
    <xf numFmtId="0" fontId="19" fillId="2" borderId="0" xfId="0" applyFont="1" applyFill="1" applyAlignment="1">
      <alignment horizontal="left" vertical="center" wrapText="1"/>
    </xf>
    <xf numFmtId="0" fontId="20" fillId="2" borderId="0" xfId="0" applyFont="1" applyFill="1" applyAlignment="1">
      <alignment horizontal="left" vertical="center" wrapText="1"/>
    </xf>
    <xf numFmtId="0" fontId="19" fillId="0" borderId="0" xfId="0" applyFont="1" applyAlignment="1">
      <alignment horizontal="left" vertical="center" wrapText="1"/>
    </xf>
    <xf numFmtId="0" fontId="20" fillId="0" borderId="0" xfId="0" applyFont="1" applyAlignment="1">
      <alignment horizontal="left" vertical="center" wrapText="1"/>
    </xf>
    <xf numFmtId="0" fontId="19" fillId="5" borderId="0" xfId="0" applyFont="1" applyFill="1" applyAlignment="1">
      <alignment horizontal="left" vertical="center" wrapText="1"/>
    </xf>
    <xf numFmtId="0" fontId="12" fillId="12" borderId="0" xfId="0" applyFont="1" applyFill="1" applyAlignment="1">
      <alignment horizontal="center" vertical="center" wrapText="1"/>
    </xf>
    <xf numFmtId="0" fontId="19" fillId="12" borderId="0" xfId="0" applyFont="1" applyFill="1" applyAlignment="1">
      <alignment horizontal="left" vertical="center" wrapText="1"/>
    </xf>
    <xf numFmtId="0" fontId="2" fillId="12" borderId="0" xfId="0" applyFont="1" applyFill="1" applyAlignment="1">
      <alignment horizontal="left" vertical="center" wrapText="1"/>
    </xf>
    <xf numFmtId="0" fontId="2" fillId="12" borderId="0" xfId="0" applyFont="1" applyFill="1"/>
    <xf numFmtId="0" fontId="2" fillId="11" borderId="0" xfId="0" applyFont="1" applyFill="1"/>
    <xf numFmtId="0" fontId="19" fillId="11" borderId="0" xfId="0" applyFont="1" applyFill="1" applyAlignment="1">
      <alignment horizontal="center" vertical="center" wrapText="1"/>
    </xf>
    <xf numFmtId="0" fontId="19" fillId="5" borderId="0" xfId="0" applyFont="1" applyFill="1" applyAlignment="1">
      <alignment horizontal="center" vertical="center" wrapText="1"/>
    </xf>
    <xf numFmtId="0" fontId="12" fillId="13" borderId="0" xfId="0" applyFont="1" applyFill="1" applyAlignment="1">
      <alignment horizontal="center" vertical="center" wrapText="1"/>
    </xf>
    <xf numFmtId="0" fontId="19" fillId="13" borderId="0" xfId="0" applyFont="1" applyFill="1" applyAlignment="1">
      <alignment horizontal="left" vertical="center" wrapText="1"/>
    </xf>
    <xf numFmtId="0" fontId="2" fillId="13" borderId="0" xfId="0" applyFont="1" applyFill="1" applyAlignment="1">
      <alignment horizontal="left" vertical="center" wrapText="1"/>
    </xf>
    <xf numFmtId="0" fontId="19" fillId="9" borderId="0" xfId="0" applyFont="1" applyFill="1" applyAlignment="1">
      <alignment horizontal="left" vertical="center" wrapText="1"/>
    </xf>
    <xf numFmtId="0" fontId="12" fillId="14" borderId="0" xfId="0" applyFont="1" applyFill="1" applyAlignment="1">
      <alignment horizontal="center" vertical="center" wrapText="1"/>
    </xf>
    <xf numFmtId="0" fontId="19" fillId="14" borderId="0" xfId="0" applyFont="1" applyFill="1" applyAlignment="1">
      <alignment horizontal="left" vertical="center" wrapText="1"/>
    </xf>
    <xf numFmtId="0" fontId="2" fillId="14" borderId="0" xfId="0" applyFont="1" applyFill="1" applyAlignment="1">
      <alignment horizontal="left" vertical="center" wrapText="1"/>
    </xf>
    <xf numFmtId="0" fontId="2" fillId="14" borderId="0" xfId="0" applyFont="1" applyFill="1" applyAlignment="1">
      <alignment horizontal="center" vertical="center" wrapText="1"/>
    </xf>
    <xf numFmtId="0" fontId="20" fillId="5" borderId="0" xfId="0" applyFont="1" applyFill="1" applyAlignment="1">
      <alignment horizontal="left" vertical="center" wrapText="1"/>
    </xf>
    <xf numFmtId="0" fontId="2" fillId="10" borderId="0" xfId="0" applyFont="1" applyFill="1" applyAlignment="1">
      <alignment vertical="center" wrapText="1"/>
    </xf>
    <xf numFmtId="0" fontId="2" fillId="0" borderId="0" xfId="0" applyFont="1" applyAlignment="1">
      <alignment vertical="center" wrapText="1"/>
    </xf>
    <xf numFmtId="0" fontId="2" fillId="9" borderId="0" xfId="0" applyFont="1" applyFill="1"/>
    <xf numFmtId="0" fontId="20" fillId="9" borderId="0" xfId="0" applyFont="1" applyFill="1" applyAlignment="1">
      <alignment horizontal="left" vertical="center" wrapText="1"/>
    </xf>
    <xf numFmtId="0" fontId="13" fillId="5" borderId="4" xfId="0" applyFont="1" applyFill="1" applyBorder="1" applyAlignment="1">
      <alignment horizontal="left" vertical="center" wrapText="1"/>
    </xf>
    <xf numFmtId="0" fontId="21" fillId="10" borderId="0" xfId="0" applyFont="1" applyFill="1" applyAlignment="1">
      <alignment horizontal="left" vertical="center" wrapText="1"/>
    </xf>
    <xf numFmtId="0" fontId="13" fillId="10" borderId="4" xfId="0" applyFont="1" applyFill="1" applyBorder="1" applyAlignment="1">
      <alignment horizontal="left" vertical="center" wrapText="1"/>
    </xf>
    <xf numFmtId="0" fontId="22" fillId="5" borderId="0" xfId="0" applyFont="1" applyFill="1" applyAlignment="1">
      <alignment horizontal="left" vertical="center" wrapText="1"/>
    </xf>
    <xf numFmtId="0" fontId="23" fillId="5" borderId="0" xfId="0" applyFont="1" applyFill="1" applyAlignment="1">
      <alignment horizontal="left" vertical="center" wrapText="1"/>
    </xf>
    <xf numFmtId="0" fontId="24" fillId="5" borderId="0" xfId="0" applyFont="1" applyFill="1" applyAlignment="1">
      <alignment horizontal="left" vertical="center" wrapText="1"/>
    </xf>
    <xf numFmtId="0" fontId="2" fillId="11" borderId="0" xfId="0" applyFont="1" applyFill="1" applyAlignment="1">
      <alignment horizontal="left" vertical="center" wrapText="1"/>
    </xf>
    <xf numFmtId="0" fontId="23" fillId="11" borderId="0" xfId="0" applyFont="1" applyFill="1" applyAlignment="1">
      <alignment horizontal="left" vertical="center" wrapText="1"/>
    </xf>
    <xf numFmtId="0" fontId="24" fillId="11" borderId="0" xfId="0" applyFont="1" applyFill="1" applyAlignment="1">
      <alignment horizontal="left" vertical="center" wrapText="1"/>
    </xf>
    <xf numFmtId="0" fontId="13" fillId="11" borderId="4" xfId="0" applyFont="1" applyFill="1" applyBorder="1" applyAlignment="1">
      <alignment horizontal="left" vertical="center" wrapText="1"/>
    </xf>
    <xf numFmtId="0" fontId="6" fillId="10" borderId="0" xfId="0" applyFont="1" applyFill="1" applyAlignment="1">
      <alignment horizontal="center" vertical="center" wrapText="1"/>
    </xf>
    <xf numFmtId="0" fontId="15" fillId="10" borderId="0" xfId="0" applyFont="1" applyFill="1" applyAlignment="1">
      <alignment horizontal="left" vertical="center" wrapText="1"/>
    </xf>
    <xf numFmtId="0" fontId="25" fillId="10" borderId="4" xfId="0" applyFont="1" applyFill="1" applyBorder="1" applyAlignment="1">
      <alignment horizontal="left" vertical="center" wrapText="1"/>
    </xf>
    <xf numFmtId="0" fontId="6" fillId="12" borderId="0" xfId="0" applyFont="1" applyFill="1" applyAlignment="1">
      <alignment horizontal="center" vertical="center" wrapText="1"/>
    </xf>
    <xf numFmtId="0" fontId="15" fillId="12" borderId="0" xfId="0" applyFont="1" applyFill="1" applyAlignment="1">
      <alignment horizontal="left" vertical="center" wrapText="1"/>
    </xf>
    <xf numFmtId="0" fontId="15" fillId="12" borderId="4" xfId="0" applyFont="1" applyFill="1" applyBorder="1" applyAlignment="1">
      <alignment horizontal="left" vertical="center" wrapText="1"/>
    </xf>
    <xf numFmtId="0" fontId="16" fillId="12" borderId="4" xfId="0" applyFont="1" applyFill="1" applyBorder="1" applyAlignment="1">
      <alignment horizontal="left" vertical="center" wrapText="1"/>
    </xf>
    <xf numFmtId="0" fontId="25" fillId="12" borderId="4" xfId="0" applyFont="1" applyFill="1" applyBorder="1" applyAlignment="1">
      <alignment horizontal="left" vertical="center" wrapText="1"/>
    </xf>
    <xf numFmtId="0" fontId="13" fillId="12" borderId="4" xfId="0" applyFont="1" applyFill="1" applyBorder="1" applyAlignment="1">
      <alignment horizontal="left" vertical="center" wrapText="1"/>
    </xf>
    <xf numFmtId="0" fontId="13" fillId="12" borderId="4" xfId="0" applyFont="1" applyFill="1" applyBorder="1" applyAlignment="1">
      <alignment horizontal="left" vertical="center" wrapText="1"/>
    </xf>
    <xf numFmtId="0" fontId="14" fillId="12" borderId="4" xfId="0" applyFont="1" applyFill="1" applyBorder="1" applyAlignment="1">
      <alignment horizontal="left" vertical="center" wrapText="1"/>
    </xf>
    <xf numFmtId="0" fontId="14" fillId="12" borderId="4" xfId="0" applyFont="1" applyFill="1" applyBorder="1" applyAlignment="1">
      <alignment horizontal="left" vertical="center" wrapText="1"/>
    </xf>
    <xf numFmtId="0" fontId="15" fillId="12" borderId="4" xfId="0" applyFont="1" applyFill="1" applyBorder="1" applyAlignment="1">
      <alignment horizontal="left" vertical="center" wrapText="1"/>
    </xf>
    <xf numFmtId="0" fontId="16" fillId="12" borderId="4" xfId="0" applyFont="1" applyFill="1" applyBorder="1" applyAlignment="1">
      <alignment horizontal="left" vertical="center" wrapText="1"/>
    </xf>
    <xf numFmtId="0" fontId="2" fillId="12" borderId="0" xfId="0" applyFont="1" applyFill="1" applyAlignment="1">
      <alignment vertical="center"/>
    </xf>
    <xf numFmtId="0" fontId="6" fillId="5" borderId="0" xfId="0" applyFont="1" applyFill="1" applyAlignment="1">
      <alignment horizontal="center" vertical="center" wrapText="1"/>
    </xf>
    <xf numFmtId="0" fontId="15" fillId="5" borderId="0" xfId="0" applyFont="1" applyFill="1" applyAlignment="1">
      <alignment horizontal="left" vertical="center" wrapText="1"/>
    </xf>
    <xf numFmtId="0" fontId="25" fillId="5" borderId="4" xfId="0" applyFont="1" applyFill="1" applyBorder="1" applyAlignment="1">
      <alignment horizontal="left" vertical="center" wrapText="1"/>
    </xf>
    <xf numFmtId="0" fontId="16" fillId="10" borderId="4" xfId="0" applyFont="1" applyFill="1" applyBorder="1" applyAlignment="1">
      <alignment horizontal="left" vertical="center" wrapText="1"/>
    </xf>
    <xf numFmtId="0" fontId="6" fillId="2" borderId="0" xfId="0" applyFont="1" applyFill="1" applyAlignment="1">
      <alignment horizontal="center" vertical="center" wrapText="1"/>
    </xf>
    <xf numFmtId="0" fontId="15" fillId="0" borderId="0" xfId="0" applyFont="1" applyAlignment="1">
      <alignment horizontal="left" vertical="center" wrapText="1"/>
    </xf>
    <xf numFmtId="0" fontId="25" fillId="0" borderId="4" xfId="0" applyFont="1" applyBorder="1" applyAlignment="1">
      <alignment horizontal="left" vertical="center" wrapText="1"/>
    </xf>
    <xf numFmtId="0" fontId="13" fillId="0" borderId="4" xfId="0" applyFont="1" applyBorder="1" applyAlignment="1">
      <alignment horizontal="left" vertical="center" wrapText="1"/>
    </xf>
    <xf numFmtId="0" fontId="15" fillId="15" borderId="4" xfId="0" applyFont="1" applyFill="1" applyBorder="1" applyAlignment="1">
      <alignment horizontal="left" vertical="center" wrapText="1"/>
    </xf>
    <xf numFmtId="0" fontId="16" fillId="0" borderId="4" xfId="0" applyFont="1" applyBorder="1" applyAlignment="1">
      <alignment horizontal="left" vertical="center" wrapText="1"/>
    </xf>
    <xf numFmtId="0" fontId="15" fillId="0" borderId="5" xfId="0" applyFont="1" applyBorder="1" applyAlignment="1">
      <alignment horizontal="left" vertical="center" wrapText="1"/>
    </xf>
    <xf numFmtId="0" fontId="16" fillId="0" borderId="5" xfId="0" applyFont="1" applyBorder="1" applyAlignment="1">
      <alignment horizontal="left" vertical="center" wrapText="1"/>
    </xf>
    <xf numFmtId="0" fontId="15" fillId="6" borderId="5" xfId="0" applyFont="1" applyFill="1" applyBorder="1" applyAlignment="1">
      <alignment horizontal="left" vertical="center" wrapText="1"/>
    </xf>
    <xf numFmtId="0" fontId="25" fillId="0" borderId="5" xfId="0" applyFont="1" applyBorder="1" applyAlignment="1">
      <alignment horizontal="left" vertical="center" wrapText="1"/>
    </xf>
    <xf numFmtId="0" fontId="13" fillId="0" borderId="5" xfId="0" applyFont="1" applyBorder="1" applyAlignment="1">
      <alignment horizontal="left" vertical="center" wrapText="1"/>
    </xf>
    <xf numFmtId="0" fontId="15" fillId="15" borderId="5" xfId="0" applyFont="1" applyFill="1" applyBorder="1" applyAlignment="1">
      <alignment horizontal="left" vertical="center" wrapText="1"/>
    </xf>
    <xf numFmtId="0" fontId="14" fillId="5" borderId="5" xfId="0" applyFont="1" applyFill="1" applyBorder="1" applyAlignment="1">
      <alignment horizontal="left" vertical="center" wrapText="1"/>
    </xf>
    <xf numFmtId="0" fontId="15" fillId="0" borderId="5" xfId="0" applyFont="1" applyBorder="1" applyAlignment="1">
      <alignment horizontal="left" vertical="center" wrapText="1"/>
    </xf>
    <xf numFmtId="0" fontId="15" fillId="0" borderId="0" xfId="0" applyFont="1" applyAlignment="1">
      <alignment horizontal="left" vertical="center" wrapText="1"/>
    </xf>
    <xf numFmtId="0" fontId="16" fillId="0" borderId="5" xfId="0" applyFont="1" applyBorder="1" applyAlignment="1">
      <alignment horizontal="left" vertical="center" wrapText="1"/>
    </xf>
    <xf numFmtId="0" fontId="15" fillId="6" borderId="5" xfId="0" applyFont="1" applyFill="1" applyBorder="1" applyAlignment="1">
      <alignment horizontal="left" vertical="center" wrapText="1"/>
    </xf>
    <xf numFmtId="0" fontId="15" fillId="15" borderId="5" xfId="0" applyFont="1" applyFill="1" applyBorder="1" applyAlignment="1">
      <alignment horizontal="left" vertical="center" wrapText="1"/>
    </xf>
    <xf numFmtId="0" fontId="14" fillId="5" borderId="5" xfId="0" applyFont="1" applyFill="1" applyBorder="1" applyAlignment="1">
      <alignment horizontal="left" vertical="center" wrapText="1"/>
    </xf>
    <xf numFmtId="0" fontId="13" fillId="0" borderId="5" xfId="0" applyFont="1" applyBorder="1" applyAlignment="1">
      <alignment horizontal="left" vertical="center" wrapText="1"/>
    </xf>
    <xf numFmtId="0" fontId="25" fillId="0" borderId="5" xfId="0" applyFont="1" applyBorder="1" applyAlignment="1">
      <alignment horizontal="left" vertical="center" wrapText="1"/>
    </xf>
    <xf numFmtId="0" fontId="13" fillId="0" borderId="5" xfId="0" applyFont="1" applyBorder="1" applyAlignment="1">
      <alignment horizontal="left" vertical="center" wrapText="1"/>
    </xf>
    <xf numFmtId="0" fontId="25" fillId="0" borderId="5" xfId="0" applyFont="1" applyBorder="1" applyAlignment="1">
      <alignment horizontal="left" vertical="center" wrapText="1"/>
    </xf>
    <xf numFmtId="0" fontId="26" fillId="0" borderId="0" xfId="0" applyFont="1" applyAlignment="1">
      <alignment wrapText="1"/>
    </xf>
    <xf numFmtId="0" fontId="6" fillId="6" borderId="0" xfId="0" applyFont="1" applyFill="1" applyAlignment="1">
      <alignment horizontal="center" vertical="center" wrapText="1"/>
    </xf>
    <xf numFmtId="0" fontId="15" fillId="6" borderId="0" xfId="0" applyFont="1" applyFill="1" applyAlignment="1">
      <alignment horizontal="left" vertical="center" wrapText="1"/>
    </xf>
    <xf numFmtId="0" fontId="16" fillId="6" borderId="5" xfId="0" applyFont="1" applyFill="1" applyBorder="1" applyAlignment="1">
      <alignment horizontal="left" vertical="center" wrapText="1"/>
    </xf>
    <xf numFmtId="0" fontId="25" fillId="6" borderId="5" xfId="0" applyFont="1" applyFill="1" applyBorder="1" applyAlignment="1">
      <alignment horizontal="left" vertical="center" wrapText="1"/>
    </xf>
    <xf numFmtId="0" fontId="13" fillId="6" borderId="5" xfId="0" applyFont="1" applyFill="1" applyBorder="1" applyAlignment="1">
      <alignment horizontal="left" vertical="center" wrapText="1"/>
    </xf>
    <xf numFmtId="0" fontId="14" fillId="6" borderId="5" xfId="0" applyFont="1" applyFill="1" applyBorder="1" applyAlignment="1">
      <alignment horizontal="left" vertical="center" wrapText="1"/>
    </xf>
    <xf numFmtId="0" fontId="13" fillId="6" borderId="5" xfId="0" applyFont="1" applyFill="1" applyBorder="1" applyAlignment="1">
      <alignment horizontal="left" vertical="center" wrapText="1"/>
    </xf>
    <xf numFmtId="0" fontId="15" fillId="5" borderId="5" xfId="0" applyFont="1" applyFill="1" applyBorder="1" applyAlignment="1">
      <alignment horizontal="left" vertical="center" wrapText="1"/>
    </xf>
    <xf numFmtId="0" fontId="16" fillId="5" borderId="5" xfId="0" applyFont="1" applyFill="1" applyBorder="1" applyAlignment="1">
      <alignment horizontal="left" vertical="center" wrapText="1"/>
    </xf>
    <xf numFmtId="0" fontId="25" fillId="5" borderId="5" xfId="0" applyFont="1" applyFill="1" applyBorder="1" applyAlignment="1">
      <alignment horizontal="left" vertical="center" wrapText="1"/>
    </xf>
    <xf numFmtId="0" fontId="13" fillId="5" borderId="5" xfId="0" applyFont="1" applyFill="1" applyBorder="1" applyAlignment="1">
      <alignment horizontal="left" vertical="center" wrapText="1"/>
    </xf>
    <xf numFmtId="0" fontId="13" fillId="5" borderId="5" xfId="0" applyFont="1" applyFill="1" applyBorder="1" applyAlignment="1">
      <alignment horizontal="left" vertical="center" wrapText="1"/>
    </xf>
    <xf numFmtId="0" fontId="23" fillId="12" borderId="0" xfId="0" applyFont="1" applyFill="1" applyAlignment="1">
      <alignment horizontal="left" vertical="center" wrapText="1"/>
    </xf>
    <xf numFmtId="0" fontId="15" fillId="12" borderId="5" xfId="0" applyFont="1" applyFill="1" applyBorder="1" applyAlignment="1">
      <alignment horizontal="left" vertical="center" wrapText="1"/>
    </xf>
    <xf numFmtId="0" fontId="16" fillId="12" borderId="5" xfId="0" applyFont="1" applyFill="1" applyBorder="1" applyAlignment="1">
      <alignment horizontal="left" vertical="center" wrapText="1"/>
    </xf>
    <xf numFmtId="0" fontId="25" fillId="12" borderId="5" xfId="0" applyFont="1" applyFill="1" applyBorder="1" applyAlignment="1">
      <alignment horizontal="left" vertical="center" wrapText="1"/>
    </xf>
    <xf numFmtId="0" fontId="13" fillId="12" borderId="5" xfId="0" applyFont="1" applyFill="1" applyBorder="1" applyAlignment="1">
      <alignment horizontal="left" vertical="center" wrapText="1"/>
    </xf>
    <xf numFmtId="0" fontId="13" fillId="12" borderId="5" xfId="0" applyFont="1" applyFill="1" applyBorder="1" applyAlignment="1">
      <alignment horizontal="left" vertical="center" wrapText="1"/>
    </xf>
    <xf numFmtId="0" fontId="14" fillId="12" borderId="5" xfId="0" applyFont="1" applyFill="1" applyBorder="1" applyAlignment="1">
      <alignment horizontal="left" vertical="center" wrapText="1"/>
    </xf>
    <xf numFmtId="0" fontId="15" fillId="12" borderId="5" xfId="0" applyFont="1" applyFill="1" applyBorder="1" applyAlignment="1">
      <alignment horizontal="left" vertical="center" wrapText="1"/>
    </xf>
    <xf numFmtId="0" fontId="2" fillId="12" borderId="0" xfId="0" applyFont="1" applyFill="1" applyAlignment="1">
      <alignment horizontal="left" vertical="center" wrapText="1"/>
    </xf>
    <xf numFmtId="0" fontId="27" fillId="5" borderId="0" xfId="0" applyFont="1" applyFill="1" applyAlignment="1">
      <alignment horizontal="left" vertical="center" wrapText="1"/>
    </xf>
    <xf numFmtId="0" fontId="15" fillId="5" borderId="5" xfId="0" applyFont="1" applyFill="1" applyBorder="1" applyAlignment="1">
      <alignment horizontal="left" vertical="center" wrapText="1"/>
    </xf>
    <xf numFmtId="0" fontId="28" fillId="12" borderId="5" xfId="0" applyFont="1" applyFill="1" applyBorder="1" applyAlignment="1">
      <alignment horizontal="left" vertical="center" wrapText="1"/>
    </xf>
    <xf numFmtId="0" fontId="29" fillId="0" borderId="0" xfId="0" applyFont="1" applyAlignment="1">
      <alignment horizontal="left" vertical="center" wrapText="1"/>
    </xf>
    <xf numFmtId="0" fontId="15" fillId="10" borderId="5" xfId="0" applyFont="1" applyFill="1" applyBorder="1" applyAlignment="1">
      <alignment horizontal="left" vertical="center" wrapText="1"/>
    </xf>
    <xf numFmtId="0" fontId="16" fillId="10" borderId="5" xfId="0" applyFont="1" applyFill="1" applyBorder="1" applyAlignment="1">
      <alignment horizontal="left" vertical="center" wrapText="1"/>
    </xf>
    <xf numFmtId="0" fontId="25" fillId="10" borderId="5" xfId="0" applyFont="1" applyFill="1" applyBorder="1" applyAlignment="1">
      <alignment horizontal="left" vertical="center" wrapText="1"/>
    </xf>
    <xf numFmtId="0" fontId="13" fillId="10" borderId="5" xfId="0" applyFont="1" applyFill="1" applyBorder="1" applyAlignment="1">
      <alignment horizontal="left" vertical="center" wrapText="1"/>
    </xf>
    <xf numFmtId="0" fontId="14" fillId="10" borderId="5" xfId="0" applyFont="1" applyFill="1" applyBorder="1" applyAlignment="1">
      <alignment horizontal="left" vertical="center" wrapText="1"/>
    </xf>
    <xf numFmtId="0" fontId="13" fillId="10" borderId="5" xfId="0" applyFont="1" applyFill="1" applyBorder="1" applyAlignment="1">
      <alignment horizontal="left" vertical="center" wrapText="1"/>
    </xf>
    <xf numFmtId="0" fontId="15" fillId="10" borderId="5" xfId="0" applyFont="1" applyFill="1" applyBorder="1" applyAlignment="1">
      <alignment horizontal="left" vertical="center" wrapText="1"/>
    </xf>
    <xf numFmtId="0" fontId="30" fillId="0" borderId="0" xfId="0" applyFont="1" applyAlignment="1">
      <alignment horizontal="left" vertical="center" wrapText="1"/>
    </xf>
    <xf numFmtId="0" fontId="31" fillId="5" borderId="0" xfId="0" applyFont="1" applyFill="1" applyAlignment="1">
      <alignment vertical="center"/>
    </xf>
    <xf numFmtId="0" fontId="32" fillId="0" borderId="0" xfId="0" applyFont="1" applyAlignment="1">
      <alignment vertical="center"/>
    </xf>
    <xf numFmtId="0" fontId="12" fillId="5" borderId="0" xfId="0" applyFont="1" applyFill="1" applyAlignment="1">
      <alignment wrapText="1"/>
    </xf>
    <xf numFmtId="0" fontId="12" fillId="5" borderId="0" xfId="0" applyFont="1" applyFill="1" applyAlignment="1"/>
    <xf numFmtId="0" fontId="33" fillId="10" borderId="0" xfId="0" applyFont="1" applyFill="1" applyAlignment="1">
      <alignment vertical="center"/>
    </xf>
    <xf numFmtId="0" fontId="34" fillId="0" borderId="0" xfId="0" applyFont="1" applyAlignment="1"/>
    <xf numFmtId="0" fontId="35" fillId="0" borderId="0" xfId="0" applyFont="1" applyAlignment="1">
      <alignment vertical="center"/>
    </xf>
    <xf numFmtId="0" fontId="12" fillId="0" borderId="0" xfId="0" applyFont="1" applyAlignment="1"/>
    <xf numFmtId="0" fontId="17" fillId="5" borderId="5" xfId="0" applyFont="1" applyFill="1" applyBorder="1" applyAlignment="1">
      <alignment horizontal="left" vertical="center" wrapText="1"/>
    </xf>
    <xf numFmtId="0" fontId="34" fillId="0" borderId="0" xfId="0" applyFont="1" applyAlignment="1">
      <alignment vertical="center" wrapText="1"/>
    </xf>
    <xf numFmtId="0" fontId="16" fillId="5" borderId="5" xfId="0" applyFont="1" applyFill="1" applyBorder="1" applyAlignment="1">
      <alignment horizontal="left" vertical="center" wrapText="1"/>
    </xf>
    <xf numFmtId="0" fontId="25" fillId="5" borderId="5" xfId="0" applyFont="1" applyFill="1" applyBorder="1" applyAlignment="1">
      <alignment horizontal="left" vertical="center" wrapText="1"/>
    </xf>
    <xf numFmtId="0" fontId="17" fillId="12" borderId="5" xfId="0" applyFont="1" applyFill="1" applyBorder="1" applyAlignment="1">
      <alignment horizontal="left" vertical="center" wrapText="1"/>
    </xf>
    <xf numFmtId="0" fontId="16" fillId="12" borderId="5" xfId="0" applyFont="1" applyFill="1" applyBorder="1" applyAlignment="1">
      <alignment horizontal="left" vertical="center" wrapText="1"/>
    </xf>
    <xf numFmtId="0" fontId="36" fillId="0" borderId="5" xfId="0" applyFont="1" applyBorder="1" applyAlignment="1">
      <alignment horizontal="left" vertical="center" wrapText="1"/>
    </xf>
    <xf numFmtId="0" fontId="16" fillId="15" borderId="5" xfId="0" applyFont="1" applyFill="1" applyBorder="1" applyAlignment="1">
      <alignment horizontal="left" vertical="center" wrapText="1"/>
    </xf>
    <xf numFmtId="0" fontId="16" fillId="15" borderId="5" xfId="0" applyFont="1" applyFill="1" applyBorder="1" applyAlignment="1">
      <alignment horizontal="left" vertical="center" wrapText="1"/>
    </xf>
    <xf numFmtId="0" fontId="36" fillId="5" borderId="5" xfId="0" applyFont="1" applyFill="1" applyBorder="1" applyAlignment="1">
      <alignment horizontal="left" vertical="center" wrapText="1"/>
    </xf>
    <xf numFmtId="0" fontId="36" fillId="10" borderId="5" xfId="0" applyFont="1" applyFill="1" applyBorder="1" applyAlignment="1">
      <alignment horizontal="left" vertical="center" wrapText="1"/>
    </xf>
    <xf numFmtId="0" fontId="16" fillId="10" borderId="5" xfId="0" applyFont="1" applyFill="1" applyBorder="1" applyAlignment="1">
      <alignment horizontal="left" vertical="center" wrapText="1"/>
    </xf>
    <xf numFmtId="0" fontId="17" fillId="10" borderId="5" xfId="0" applyFont="1" applyFill="1" applyBorder="1" applyAlignment="1">
      <alignment horizontal="left" vertical="center" wrapText="1"/>
    </xf>
    <xf numFmtId="0" fontId="2" fillId="12" borderId="0" xfId="0" applyFont="1" applyFill="1" applyAlignment="1">
      <alignment vertical="center"/>
    </xf>
    <xf numFmtId="0" fontId="14" fillId="12" borderId="0" xfId="0" applyFont="1" applyFill="1" applyAlignment="1">
      <alignment horizontal="left" vertical="center" wrapText="1"/>
    </xf>
    <xf numFmtId="0" fontId="37" fillId="12" borderId="0" xfId="0" applyFont="1" applyFill="1" applyAlignment="1">
      <alignment horizontal="left" vertical="center" wrapText="1"/>
    </xf>
    <xf numFmtId="0" fontId="24" fillId="12" borderId="0" xfId="0" applyFont="1" applyFill="1" applyAlignment="1">
      <alignment horizontal="left" vertical="center" wrapText="1"/>
    </xf>
    <xf numFmtId="0" fontId="14" fillId="12" borderId="0" xfId="0" applyFont="1" applyFill="1" applyAlignment="1">
      <alignment horizontal="left" vertical="center" wrapText="1"/>
    </xf>
    <xf numFmtId="0" fontId="14" fillId="5" borderId="0" xfId="0" applyFont="1" applyFill="1" applyAlignment="1">
      <alignment horizontal="left" vertical="center" wrapText="1"/>
    </xf>
    <xf numFmtId="0" fontId="38" fillId="5" borderId="0" xfId="0" applyFont="1" applyFill="1" applyAlignment="1">
      <alignment horizontal="left" vertical="center" wrapText="1"/>
    </xf>
    <xf numFmtId="0" fontId="14" fillId="5" borderId="0" xfId="0" applyFont="1" applyFill="1" applyAlignment="1">
      <alignment horizontal="left" vertical="center" wrapText="1"/>
    </xf>
    <xf numFmtId="0" fontId="6" fillId="13" borderId="0" xfId="0" applyFont="1" applyFill="1" applyAlignment="1">
      <alignment horizontal="center" vertical="center" wrapText="1"/>
    </xf>
    <xf numFmtId="0" fontId="14" fillId="13" borderId="0" xfId="0" applyFont="1" applyFill="1" applyAlignment="1">
      <alignment horizontal="left" vertical="center" wrapText="1"/>
    </xf>
    <xf numFmtId="0" fontId="39" fillId="13" borderId="0" xfId="0" applyFont="1" applyFill="1" applyAlignment="1">
      <alignment horizontal="left" vertical="center" wrapText="1"/>
    </xf>
    <xf numFmtId="0" fontId="14" fillId="13" borderId="0" xfId="0" applyFont="1" applyFill="1" applyAlignment="1">
      <alignment horizontal="left" vertical="center" wrapText="1"/>
    </xf>
    <xf numFmtId="0" fontId="2" fillId="13" borderId="0" xfId="0" applyFont="1" applyFill="1" applyAlignment="1">
      <alignment vertical="center"/>
    </xf>
    <xf numFmtId="0" fontId="14" fillId="0" borderId="0" xfId="0" applyFont="1" applyAlignment="1">
      <alignment horizontal="left" vertical="center" wrapText="1"/>
    </xf>
    <xf numFmtId="0" fontId="40" fillId="0" borderId="0" xfId="0" applyFont="1" applyAlignment="1">
      <alignment horizontal="left" vertical="center" wrapText="1"/>
    </xf>
    <xf numFmtId="0" fontId="14" fillId="0" borderId="0" xfId="0" applyFont="1" applyAlignment="1">
      <alignment horizontal="left" vertical="center" wrapText="1"/>
    </xf>
    <xf numFmtId="0" fontId="41" fillId="12" borderId="0" xfId="0" applyFont="1" applyFill="1" applyAlignment="1">
      <alignment horizontal="left" vertical="center" wrapText="1"/>
    </xf>
    <xf numFmtId="0" fontId="42" fillId="0" borderId="0" xfId="0" applyFont="1" applyAlignment="1">
      <alignment horizontal="left" vertical="center" wrapText="1"/>
    </xf>
    <xf numFmtId="0" fontId="14" fillId="13" borderId="0" xfId="0" applyFont="1" applyFill="1" applyAlignment="1">
      <alignment horizontal="center" vertical="center" wrapText="1"/>
    </xf>
    <xf numFmtId="0" fontId="43" fillId="13" borderId="0" xfId="0" applyFont="1" applyFill="1" applyAlignment="1">
      <alignment horizontal="left" vertical="center" wrapText="1"/>
    </xf>
    <xf numFmtId="0" fontId="44" fillId="0" borderId="0" xfId="0" applyFont="1" applyAlignment="1"/>
    <xf numFmtId="0" fontId="2" fillId="13" borderId="0" xfId="0" applyFont="1" applyFill="1" applyAlignment="1">
      <alignment vertical="center" wrapText="1"/>
    </xf>
    <xf numFmtId="0" fontId="14" fillId="0" borderId="0" xfId="0" applyFont="1" applyAlignment="1">
      <alignment horizontal="left" vertical="center"/>
    </xf>
    <xf numFmtId="0" fontId="14" fillId="5" borderId="0" xfId="0" applyFont="1" applyFill="1" applyAlignment="1">
      <alignment horizontal="left" vertical="center"/>
    </xf>
    <xf numFmtId="0" fontId="2" fillId="5" borderId="0" xfId="0" applyFont="1" applyFill="1" applyAlignment="1"/>
    <xf numFmtId="0" fontId="14" fillId="5" borderId="0" xfId="0" applyFont="1" applyFill="1" applyAlignment="1">
      <alignment horizontal="left" vertical="center"/>
    </xf>
    <xf numFmtId="0" fontId="14" fillId="5" borderId="0" xfId="0" applyFont="1" applyFill="1" applyAlignment="1">
      <alignment vertical="center"/>
    </xf>
    <xf numFmtId="0" fontId="14" fillId="5" borderId="0" xfId="0" applyFont="1" applyFill="1" applyAlignment="1">
      <alignment vertical="center"/>
    </xf>
    <xf numFmtId="0" fontId="14" fillId="10" borderId="0" xfId="0" applyFont="1" applyFill="1" applyAlignment="1">
      <alignment horizontal="left" vertical="center" wrapText="1"/>
    </xf>
    <xf numFmtId="0" fontId="45" fillId="10" borderId="0" xfId="0" applyFont="1" applyFill="1" applyAlignment="1">
      <alignment horizontal="left" vertical="center" wrapText="1"/>
    </xf>
    <xf numFmtId="0" fontId="14" fillId="10" borderId="0" xfId="0" applyFont="1" applyFill="1" applyAlignment="1">
      <alignment vertical="center"/>
    </xf>
    <xf numFmtId="0" fontId="14" fillId="10" borderId="0" xfId="0" applyFont="1" applyFill="1" applyAlignment="1">
      <alignment vertical="center"/>
    </xf>
    <xf numFmtId="0" fontId="14" fillId="10" borderId="0" xfId="0" applyFont="1" applyFill="1" applyAlignment="1">
      <alignment vertical="center" wrapText="1"/>
    </xf>
    <xf numFmtId="0" fontId="14" fillId="0" borderId="0" xfId="0" applyFont="1" applyAlignment="1">
      <alignment vertical="center" wrapText="1"/>
    </xf>
    <xf numFmtId="0" fontId="14" fillId="0" borderId="0" xfId="0" applyFont="1" applyAlignment="1">
      <alignment vertical="center"/>
    </xf>
    <xf numFmtId="0" fontId="14" fillId="0" borderId="0" xfId="0" applyFont="1" applyAlignment="1">
      <alignment vertical="center"/>
    </xf>
    <xf numFmtId="0" fontId="14" fillId="0" borderId="0" xfId="0" applyFont="1" applyAlignment="1">
      <alignment horizontal="center" vertical="center" wrapText="1"/>
    </xf>
    <xf numFmtId="0" fontId="14" fillId="0" borderId="0" xfId="0" applyFont="1" applyAlignment="1">
      <alignment vertical="center" wrapText="1"/>
    </xf>
    <xf numFmtId="0" fontId="14" fillId="6" borderId="0" xfId="0" applyFont="1" applyFill="1" applyAlignment="1">
      <alignment horizontal="center" vertical="center" wrapText="1"/>
    </xf>
    <xf numFmtId="0" fontId="2" fillId="0" borderId="0" xfId="0" applyFont="1" applyAlignment="1">
      <alignment horizontal="right"/>
    </xf>
    <xf numFmtId="0" fontId="14" fillId="12" borderId="0" xfId="0" applyFont="1" applyFill="1" applyAlignment="1">
      <alignment horizontal="center" vertical="center" wrapText="1"/>
    </xf>
    <xf numFmtId="0" fontId="14" fillId="0" borderId="0" xfId="0" applyFont="1" applyAlignment="1">
      <alignment horizontal="right" vertical="center" wrapText="1"/>
    </xf>
    <xf numFmtId="0" fontId="14" fillId="5" borderId="0" xfId="0" applyFont="1" applyFill="1" applyAlignment="1">
      <alignment horizontal="center" vertical="center" wrapText="1"/>
    </xf>
    <xf numFmtId="0" fontId="14" fillId="16" borderId="0" xfId="0" applyFont="1" applyFill="1" applyAlignment="1">
      <alignment horizontal="center" vertical="center" wrapText="1"/>
    </xf>
    <xf numFmtId="0" fontId="14" fillId="0" borderId="0" xfId="0" applyFont="1" applyAlignment="1">
      <alignment horizontal="center" vertical="center" wrapText="1"/>
    </xf>
    <xf numFmtId="0" fontId="14" fillId="9" borderId="0" xfId="0" applyFont="1" applyFill="1" applyAlignment="1">
      <alignment horizontal="center" vertical="center" wrapText="1"/>
    </xf>
    <xf numFmtId="0" fontId="14" fillId="2" borderId="0" xfId="0" applyFont="1" applyFill="1" applyAlignment="1">
      <alignment horizontal="center" vertical="center" wrapText="1"/>
    </xf>
    <xf numFmtId="0" fontId="46" fillId="0" borderId="0" xfId="0" applyFont="1" applyAlignment="1">
      <alignment vertical="top"/>
    </xf>
    <xf numFmtId="0" fontId="18" fillId="0" borderId="0" xfId="0" applyFont="1" applyAlignment="1"/>
    <xf numFmtId="0" fontId="2" fillId="0" borderId="0" xfId="0" applyFont="1" applyAlignment="1"/>
    <xf numFmtId="0" fontId="4" fillId="0" borderId="0" xfId="0" applyFont="1" applyAlignment="1">
      <alignment horizontal="center" vertical="top"/>
    </xf>
    <xf numFmtId="0" fontId="2" fillId="0" borderId="0" xfId="0" applyFont="1" applyAlignment="1">
      <alignment horizontal="center"/>
    </xf>
    <xf numFmtId="0" fontId="2" fillId="0" borderId="0" xfId="0" applyFont="1" applyAlignment="1">
      <alignment horizontal="center"/>
    </xf>
    <xf numFmtId="0" fontId="47" fillId="0" borderId="0" xfId="0" applyFont="1" applyAlignment="1">
      <alignment horizontal="center"/>
    </xf>
    <xf numFmtId="0" fontId="48" fillId="0" borderId="0" xfId="0" applyFont="1" applyAlignment="1"/>
    <xf numFmtId="0" fontId="49" fillId="0" borderId="0" xfId="0" applyFont="1" applyAlignment="1">
      <alignment horizontal="center" vertical="center"/>
    </xf>
    <xf numFmtId="0" fontId="2" fillId="0" borderId="0" xfId="0" applyFont="1" applyAlignment="1">
      <alignment horizontal="center"/>
    </xf>
    <xf numFmtId="0" fontId="50" fillId="0" borderId="0" xfId="0" applyFont="1" applyAlignment="1"/>
    <xf numFmtId="0" fontId="50" fillId="0" borderId="0" xfId="0" applyFont="1" applyAlignment="1"/>
    <xf numFmtId="0" fontId="2" fillId="0" borderId="0" xfId="0" applyFont="1" applyAlignment="1">
      <alignment vertical="center"/>
    </xf>
    <xf numFmtId="0" fontId="51" fillId="0" borderId="0" xfId="0" applyFont="1" applyAlignment="1">
      <alignment vertical="center" wrapText="1"/>
    </xf>
    <xf numFmtId="0" fontId="52" fillId="0" borderId="0" xfId="0" applyFont="1" applyAlignment="1">
      <alignment wrapText="1"/>
    </xf>
    <xf numFmtId="0" fontId="53" fillId="0" borderId="0" xfId="0" applyFont="1" applyAlignment="1"/>
    <xf numFmtId="0" fontId="4" fillId="0" borderId="0" xfId="0" applyFont="1" applyAlignment="1">
      <alignment horizontal="center" vertical="top" wrapText="1"/>
    </xf>
    <xf numFmtId="0" fontId="46" fillId="0" borderId="0" xfId="0" applyFont="1" applyAlignment="1">
      <alignment vertical="top" wrapText="1"/>
    </xf>
    <xf numFmtId="0" fontId="2" fillId="0" borderId="0" xfId="0" applyFont="1" applyAlignment="1">
      <alignment horizontal="center" vertical="top" wrapText="1"/>
    </xf>
    <xf numFmtId="0" fontId="2" fillId="0" borderId="0" xfId="0" applyFont="1" applyAlignment="1">
      <alignment horizontal="center" vertical="top"/>
    </xf>
    <xf numFmtId="0" fontId="54" fillId="0" borderId="0" xfId="0" applyFont="1" applyAlignment="1">
      <alignment horizontal="center" vertical="center" wrapText="1"/>
    </xf>
    <xf numFmtId="0" fontId="54" fillId="0" borderId="0" xfId="0" applyFont="1" applyAlignment="1">
      <alignment horizontal="left" vertical="center" wrapText="1"/>
    </xf>
    <xf numFmtId="0" fontId="54" fillId="0" borderId="0" xfId="0" applyFont="1" applyAlignment="1">
      <alignment horizontal="left" vertical="top" wrapText="1"/>
    </xf>
    <xf numFmtId="0" fontId="54" fillId="0" borderId="0" xfId="0" applyFont="1"/>
    <xf numFmtId="0" fontId="2" fillId="0" borderId="0" xfId="0" applyFont="1" applyAlignment="1">
      <alignment horizontal="center" vertical="center" wrapText="1"/>
    </xf>
    <xf numFmtId="0" fontId="2" fillId="0" borderId="0" xfId="0" applyFont="1" applyAlignment="1">
      <alignment horizontal="center" vertical="center" wrapText="1"/>
    </xf>
    <xf numFmtId="0" fontId="54" fillId="0" borderId="0" xfId="0" applyFont="1" applyAlignment="1">
      <alignment horizontal="center" vertical="center" wrapText="1"/>
    </xf>
    <xf numFmtId="0" fontId="54" fillId="0" borderId="0" xfId="0" applyFont="1" applyAlignment="1">
      <alignment horizontal="center" vertical="center" wrapText="1"/>
    </xf>
    <xf numFmtId="0" fontId="54" fillId="0" borderId="0" xfId="0" applyFont="1" applyAlignment="1">
      <alignment horizontal="left" vertical="center" wrapText="1"/>
    </xf>
    <xf numFmtId="0" fontId="54" fillId="0" borderId="0" xfId="0" applyFont="1" applyAlignment="1">
      <alignment horizontal="left" vertical="center" wrapText="1"/>
    </xf>
    <xf numFmtId="0" fontId="19" fillId="0" borderId="0" xfId="0" applyFont="1" applyAlignment="1">
      <alignment horizontal="center" vertical="center" wrapText="1"/>
    </xf>
    <xf numFmtId="0" fontId="19" fillId="0" borderId="0" xfId="0" applyFont="1"/>
    <xf numFmtId="0" fontId="19" fillId="0" borderId="0" xfId="0" applyFont="1" applyAlignment="1">
      <alignment horizontal="center" vertical="center" wrapText="1"/>
    </xf>
    <xf numFmtId="0" fontId="55" fillId="0" borderId="0" xfId="0" applyFont="1" applyAlignment="1">
      <alignment horizontal="center" vertical="center" wrapText="1"/>
    </xf>
    <xf numFmtId="0" fontId="19" fillId="0" borderId="0" xfId="0" applyFont="1" applyAlignment="1">
      <alignment horizontal="left" vertical="center" wrapText="1"/>
    </xf>
    <xf numFmtId="0" fontId="24" fillId="0" borderId="0" xfId="0" applyFont="1" applyAlignment="1">
      <alignment horizontal="center" wrapText="1"/>
    </xf>
    <xf numFmtId="0" fontId="24" fillId="0" borderId="0" xfId="0" applyFont="1" applyAlignment="1">
      <alignment horizontal="center" vertical="center" wrapText="1"/>
    </xf>
    <xf numFmtId="0" fontId="24" fillId="0" borderId="0" xfId="0" applyFont="1" applyAlignment="1">
      <alignment wrapText="1"/>
    </xf>
    <xf numFmtId="0" fontId="2" fillId="9" borderId="0" xfId="0" applyFont="1" applyFill="1" applyAlignment="1">
      <alignment horizontal="center" vertical="center" wrapText="1"/>
    </xf>
    <xf numFmtId="0" fontId="56" fillId="0" borderId="0" xfId="0" applyFont="1" applyAlignment="1">
      <alignment horizontal="center" vertical="center" wrapText="1"/>
    </xf>
    <xf numFmtId="0" fontId="56" fillId="0" borderId="0" xfId="0" applyFont="1" applyAlignment="1">
      <alignment horizontal="left" vertical="center" wrapText="1"/>
    </xf>
    <xf numFmtId="0" fontId="56" fillId="0" borderId="0" xfId="0" applyFont="1" applyAlignment="1">
      <alignment horizontal="center" vertical="center" wrapText="1"/>
    </xf>
    <xf numFmtId="0" fontId="56" fillId="0" borderId="0" xfId="0" applyFont="1"/>
    <xf numFmtId="0" fontId="4" fillId="0" borderId="0" xfId="0" applyFont="1" applyAlignment="1">
      <alignment horizontal="center" vertical="center" wrapText="1"/>
    </xf>
    <xf numFmtId="0" fontId="57" fillId="0" borderId="0" xfId="0" applyFont="1" applyAlignment="1">
      <alignment horizontal="center" vertical="center" wrapText="1"/>
    </xf>
    <xf numFmtId="0" fontId="2" fillId="0" borderId="0" xfId="0" applyFont="1" applyAlignment="1">
      <alignment wrapText="1"/>
    </xf>
    <xf numFmtId="0" fontId="4" fillId="0" borderId="0" xfId="0" applyFont="1" applyAlignment="1">
      <alignment horizontal="left" vertical="center" wrapText="1"/>
    </xf>
    <xf numFmtId="0" fontId="2" fillId="2" borderId="0" xfId="0" applyFont="1" applyFill="1" applyAlignment="1">
      <alignment horizontal="center" vertical="center" wrapText="1"/>
    </xf>
    <xf numFmtId="0" fontId="2" fillId="17" borderId="0" xfId="0" applyFont="1" applyFill="1" applyAlignment="1">
      <alignment horizontal="center" vertical="center" wrapText="1"/>
    </xf>
    <xf numFmtId="0" fontId="2" fillId="17" borderId="0" xfId="0" applyFont="1" applyFill="1" applyAlignment="1">
      <alignment horizontal="left" vertical="center" wrapText="1"/>
    </xf>
    <xf numFmtId="0" fontId="2" fillId="17" borderId="0" xfId="0" applyFont="1" applyFill="1" applyAlignment="1">
      <alignment horizontal="center" vertical="center" wrapText="1"/>
    </xf>
    <xf numFmtId="0" fontId="2" fillId="17" borderId="0" xfId="0" applyFont="1" applyFill="1"/>
    <xf numFmtId="0" fontId="2" fillId="0" borderId="0" xfId="0" applyFont="1" applyAlignment="1">
      <alignment horizontal="left" vertical="center"/>
    </xf>
    <xf numFmtId="0" fontId="58" fillId="2" borderId="0" xfId="0" applyFont="1" applyFill="1" applyAlignment="1"/>
    <xf numFmtId="0" fontId="2" fillId="2" borderId="0" xfId="0" applyFont="1" applyFill="1" applyAlignment="1">
      <alignment wrapText="1"/>
    </xf>
    <xf numFmtId="0" fontId="2" fillId="2" borderId="0" xfId="0" applyFont="1" applyFill="1" applyAlignment="1">
      <alignment horizontal="center" vertical="center"/>
    </xf>
    <xf numFmtId="0" fontId="2" fillId="2" borderId="0" xfId="0" applyFont="1" applyFill="1" applyAlignment="1">
      <alignment horizontal="center" vertical="center"/>
    </xf>
    <xf numFmtId="0" fontId="2" fillId="2" borderId="0" xfId="0" applyFont="1" applyFill="1" applyAlignment="1">
      <alignment horizontal="left" vertical="center"/>
    </xf>
    <xf numFmtId="0" fontId="24" fillId="0" borderId="0" xfId="0" applyFont="1" applyAlignment="1"/>
    <xf numFmtId="0" fontId="59" fillId="2" borderId="0" xfId="0" applyFont="1" applyFill="1"/>
    <xf numFmtId="0" fontId="60" fillId="0" borderId="0" xfId="0" applyFont="1" applyAlignment="1"/>
    <xf numFmtId="0" fontId="60" fillId="0" borderId="0" xfId="0" applyFont="1"/>
    <xf numFmtId="0" fontId="61" fillId="0" borderId="0" xfId="0" applyFont="1"/>
    <xf numFmtId="0" fontId="61" fillId="0" borderId="0" xfId="0" applyFont="1" applyAlignment="1"/>
    <xf numFmtId="0" fontId="1" fillId="0" borderId="0" xfId="0" applyFont="1" applyAlignment="1">
      <alignment horizontal="center" vertical="center"/>
    </xf>
    <xf numFmtId="0" fontId="0" fillId="0" borderId="0" xfId="0" applyFont="1" applyAlignment="1"/>
    <xf numFmtId="0" fontId="11" fillId="4" borderId="3" xfId="0" applyFont="1" applyFill="1" applyBorder="1" applyAlignment="1">
      <alignment horizontal="center" vertical="center" wrapText="1"/>
    </xf>
    <xf numFmtId="0" fontId="2" fillId="0" borderId="2" xfId="0" applyFont="1" applyBorder="1"/>
    <xf numFmtId="0" fontId="5" fillId="0" borderId="0" xfId="0" applyFont="1" applyFill="1" applyAlignment="1">
      <alignment vertical="center"/>
    </xf>
    <xf numFmtId="0" fontId="6" fillId="0" borderId="0" xfId="0" applyFont="1" applyFill="1" applyAlignment="1">
      <alignment vertical="center"/>
    </xf>
    <xf numFmtId="0" fontId="0" fillId="0" borderId="0" xfId="0" applyFont="1" applyFill="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s://doi.org/10.1109/ICDCM.2017.8001072" TargetMode="External"/><Relationship Id="rId13" Type="http://schemas.openxmlformats.org/officeDocument/2006/relationships/hyperlink" Target="https://doi.org/10.1016/j.epsr.2015.12.033" TargetMode="External"/><Relationship Id="rId18" Type="http://schemas.openxmlformats.org/officeDocument/2006/relationships/hyperlink" Target="https://doi.org/10.1109/IPEMC.2016.7512267" TargetMode="External"/><Relationship Id="rId3" Type="http://schemas.openxmlformats.org/officeDocument/2006/relationships/hyperlink" Target="https://doi.org/10.1109/ISGT-Asia.2018.8467923" TargetMode="External"/><Relationship Id="rId21" Type="http://schemas.openxmlformats.org/officeDocument/2006/relationships/hyperlink" Target="https://doi.org/10.1109/ETECHNXT.2018.8385341" TargetMode="External"/><Relationship Id="rId7" Type="http://schemas.openxmlformats.org/officeDocument/2006/relationships/hyperlink" Target="https://doi.org/10.3390/inventions3030063" TargetMode="External"/><Relationship Id="rId12" Type="http://schemas.openxmlformats.org/officeDocument/2006/relationships/hyperlink" Target="https://doi.org/10.1109/TPEL.2018.2878225" TargetMode="External"/><Relationship Id="rId17" Type="http://schemas.openxmlformats.org/officeDocument/2006/relationships/hyperlink" Target="https://doi.org/10.6113/JPE.2015.15.6.1609" TargetMode="External"/><Relationship Id="rId25" Type="http://schemas.openxmlformats.org/officeDocument/2006/relationships/comments" Target="../comments1.xml"/><Relationship Id="rId2" Type="http://schemas.openxmlformats.org/officeDocument/2006/relationships/hyperlink" Target="https://doi.org/10.1109/ICDCM.2015.7152057" TargetMode="External"/><Relationship Id="rId16" Type="http://schemas.openxmlformats.org/officeDocument/2006/relationships/hyperlink" Target="https://doi.org/10.6113/JPE.2016.16.1.340" TargetMode="External"/><Relationship Id="rId20" Type="http://schemas.openxmlformats.org/officeDocument/2006/relationships/hyperlink" Target="http://dx.doi.org/10.1016/j.apenergy.2016.05.066" TargetMode="External"/><Relationship Id="rId1" Type="http://schemas.openxmlformats.org/officeDocument/2006/relationships/hyperlink" Target="http://doi.org/10.1002/etep.1833" TargetMode="External"/><Relationship Id="rId6" Type="http://schemas.openxmlformats.org/officeDocument/2006/relationships/hyperlink" Target="https://doi.org/10.1109/ACCESS.2019.2915046" TargetMode="External"/><Relationship Id="rId11" Type="http://schemas.openxmlformats.org/officeDocument/2006/relationships/hyperlink" Target="https://doi.org/10.3390/en11030623" TargetMode="External"/><Relationship Id="rId24" Type="http://schemas.openxmlformats.org/officeDocument/2006/relationships/vmlDrawing" Target="../drawings/vmlDrawing1.vml"/><Relationship Id="rId5" Type="http://schemas.openxmlformats.org/officeDocument/2006/relationships/hyperlink" Target="https://dx.doi.org/10.1109/TIE.2018.2838107" TargetMode="External"/><Relationship Id="rId15" Type="http://schemas.openxmlformats.org/officeDocument/2006/relationships/hyperlink" Target="https://doi.org/10.3390/en9080651" TargetMode="External"/><Relationship Id="rId23" Type="http://schemas.openxmlformats.org/officeDocument/2006/relationships/hyperlink" Target="https://doi.org/10.1109/UPEC.2018.8541944" TargetMode="External"/><Relationship Id="rId10" Type="http://schemas.openxmlformats.org/officeDocument/2006/relationships/hyperlink" Target="https://doi.org/10.1109/PEAC.2014.7037883" TargetMode="External"/><Relationship Id="rId19" Type="http://schemas.openxmlformats.org/officeDocument/2006/relationships/hyperlink" Target="https://doi.org/10.3390/en12061162" TargetMode="External"/><Relationship Id="rId4" Type="http://schemas.openxmlformats.org/officeDocument/2006/relationships/hyperlink" Target="https://doi.org/10.1109/IAS.2018.8544718" TargetMode="External"/><Relationship Id="rId9" Type="http://schemas.openxmlformats.org/officeDocument/2006/relationships/hyperlink" Target="https://doi.org/10.1109/ECCE.2015.7310108" TargetMode="External"/><Relationship Id="rId14" Type="http://schemas.openxmlformats.org/officeDocument/2006/relationships/hyperlink" Target="https://doi.org/10.1109/TEC.2014.2329236" TargetMode="External"/><Relationship Id="rId22" Type="http://schemas.openxmlformats.org/officeDocument/2006/relationships/hyperlink" Target="https://doi.org/10.1109/TENCONSpring.2017.8069993" TargetMode="Externa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1" Type="http://schemas.openxmlformats.org/officeDocument/2006/relationships/hyperlink" Target="https://doi.org/10.1109/TASC.2014.2333031"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s://doi.org/10.1109/TASC.2014.2333031"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doi.org/10.1109/TASC.2014.2333031"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doi.org/10.1109/TASC.2014.2333031"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s://doi.org/10.1109/TASC.2014.2333031"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s://www.journals.elsevier.com/sustainable-energy-grids-and-networks" TargetMode="External"/><Relationship Id="rId2" Type="http://schemas.openxmlformats.org/officeDocument/2006/relationships/hyperlink" Target="https://www.mdpi.com/journal/energies/special_issues/DC_and_AC_OTL" TargetMode="External"/><Relationship Id="rId1" Type="http://schemas.openxmlformats.org/officeDocument/2006/relationships/hyperlink" Target="https://www.mdpi.com/journal/applsci/special_issues/Sustainable_Energy" TargetMode="External"/><Relationship Id="rId6" Type="http://schemas.openxmlformats.org/officeDocument/2006/relationships/hyperlink" Target="https://doi.org/10.1109/TASC.2014.2333031" TargetMode="External"/><Relationship Id="rId5" Type="http://schemas.openxmlformats.org/officeDocument/2006/relationships/hyperlink" Target="https://www.energy.gov/oe/office-electricity" TargetMode="External"/><Relationship Id="rId4" Type="http://schemas.openxmlformats.org/officeDocument/2006/relationships/hyperlink" Target="https://www.sciencedirect.com/journal/international-journal-of-electrical-power-and-energy-system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F431"/>
  <sheetViews>
    <sheetView topLeftCell="A142" workbookViewId="0"/>
  </sheetViews>
  <sheetFormatPr baseColWidth="10" defaultColWidth="14.42578125" defaultRowHeight="15.75" customHeight="1"/>
  <cols>
    <col min="2" max="2" width="44.42578125" customWidth="1"/>
    <col min="3" max="3" width="42.85546875" customWidth="1"/>
    <col min="4" max="4" width="37.140625" customWidth="1"/>
    <col min="5" max="5" width="33.5703125" customWidth="1"/>
    <col min="6" max="8" width="36" customWidth="1"/>
    <col min="9" max="9" width="41.140625" customWidth="1"/>
    <col min="10" max="10" width="18.28515625" customWidth="1"/>
    <col min="11" max="11" width="17.28515625" customWidth="1"/>
    <col min="12" max="12" width="22.42578125" customWidth="1"/>
    <col min="13" max="13" width="25.42578125" customWidth="1"/>
    <col min="14" max="14" width="23.140625" customWidth="1"/>
  </cols>
  <sheetData>
    <row r="1" spans="1:32" ht="15.75" customHeight="1">
      <c r="A1" s="1" t="s">
        <v>0</v>
      </c>
      <c r="B1" s="388" t="s">
        <v>1</v>
      </c>
      <c r="C1" s="389"/>
      <c r="D1" s="1"/>
      <c r="E1" s="1"/>
      <c r="F1" s="1"/>
      <c r="G1" s="1"/>
      <c r="H1" s="1"/>
      <c r="I1" s="1"/>
      <c r="J1" s="388" t="s">
        <v>2</v>
      </c>
      <c r="K1" s="389"/>
      <c r="L1" s="389"/>
      <c r="M1" s="389"/>
      <c r="N1" s="2"/>
      <c r="R1" s="2"/>
      <c r="S1" s="2"/>
      <c r="T1" s="2"/>
      <c r="U1" s="2"/>
      <c r="V1" s="2"/>
      <c r="W1" s="2"/>
      <c r="X1" s="2"/>
      <c r="Y1" s="2"/>
      <c r="Z1" s="2"/>
      <c r="AA1" s="2"/>
      <c r="AB1" s="2"/>
      <c r="AC1" s="2"/>
      <c r="AD1" s="2"/>
      <c r="AE1" s="2"/>
      <c r="AF1" s="2"/>
    </row>
    <row r="2" spans="1:32" ht="15.75" customHeight="1">
      <c r="A2" s="3"/>
      <c r="B2" s="4" t="s">
        <v>3</v>
      </c>
      <c r="C2" s="5" t="s">
        <v>4</v>
      </c>
      <c r="D2" s="5" t="s">
        <v>5</v>
      </c>
      <c r="E2" s="5" t="s">
        <v>6</v>
      </c>
      <c r="F2" s="5" t="s">
        <v>7</v>
      </c>
      <c r="G2" s="5" t="s">
        <v>8</v>
      </c>
      <c r="H2" s="5" t="s">
        <v>9</v>
      </c>
      <c r="I2" s="6" t="s">
        <v>10</v>
      </c>
      <c r="J2" s="5" t="s">
        <v>11</v>
      </c>
      <c r="K2" s="5" t="s">
        <v>12</v>
      </c>
      <c r="L2" s="5" t="s">
        <v>13</v>
      </c>
      <c r="M2" s="5" t="s">
        <v>14</v>
      </c>
      <c r="N2" s="5" t="s">
        <v>15</v>
      </c>
      <c r="O2" s="1" t="s">
        <v>16</v>
      </c>
      <c r="P2" s="1" t="s">
        <v>17</v>
      </c>
      <c r="Q2" s="1" t="s">
        <v>18</v>
      </c>
    </row>
    <row r="3" spans="1:32" ht="15.75" customHeight="1">
      <c r="A3" s="3">
        <v>1</v>
      </c>
      <c r="B3" s="7" t="s">
        <v>19</v>
      </c>
      <c r="C3" s="7" t="s">
        <v>20</v>
      </c>
      <c r="D3" s="7" t="s">
        <v>21</v>
      </c>
      <c r="E3" t="str">
        <f ca="1">IFERROR(__xludf.DUMMYFUNCTION("UNIQUE({(B3:B200); (C3:C200)}) "),"10.3390/app9040723")</f>
        <v>10.3390/app9040723</v>
      </c>
      <c r="F3" t="str">
        <f ca="1">IFERROR(__xludf.DUMMYFUNCTION("UNIQUE({(E3:E600); (D3:D600)}) "),"10.3390/app9040723")</f>
        <v>10.3390/app9040723</v>
      </c>
      <c r="G3" t="str">
        <f ca="1">IFERROR(__xludf.DUMMYFUNCTION("FILTER(B3:B200, NOT(COUNTIF(C3:C200, B3:B200)))"),"")</f>
        <v/>
      </c>
      <c r="H3" t="str">
        <f ca="1">IFERROR(__xludf.DUMMYFUNCTION("FILTER(C3:C200, NOT(COUNTIF(B3:B200, C3:C200)))"),"10.1007/s00202-019-00869-8")</f>
        <v>10.1007/s00202-019-00869-8</v>
      </c>
      <c r="I3" t="str">
        <f ca="1">IFERROR(__xludf.DUMMYFUNCTION("FILTER(E3:E600, NOT(COUNTIF(D3:D600, E3:E600)))"),"10.3390/app9040723")</f>
        <v>10.3390/app9040723</v>
      </c>
    </row>
    <row r="4" spans="1:32" ht="15.75" customHeight="1">
      <c r="A4" s="3">
        <v>2</v>
      </c>
      <c r="B4" s="7" t="s">
        <v>22</v>
      </c>
      <c r="C4" s="7" t="s">
        <v>23</v>
      </c>
      <c r="D4" s="8"/>
      <c r="E4" t="str">
        <f ca="1">IFERROR(__xludf.DUMMYFUNCTION("""COMPUTED_VALUE"""),"10.1051/e3sconf/20198402011")</f>
        <v>10.1051/e3sconf/20198402011</v>
      </c>
      <c r="F4" t="str">
        <f ca="1">IFERROR(__xludf.DUMMYFUNCTION("""COMPUTED_VALUE"""),"10.1051/e3sconf/20198402011")</f>
        <v>10.1051/e3sconf/20198402011</v>
      </c>
      <c r="H4" t="str">
        <f ca="1">IFERROR(__xludf.DUMMYFUNCTION("""COMPUTED_VALUE"""),"10.1088/1757-899X/631/4/042031")</f>
        <v>10.1088/1757-899X/631/4/042031</v>
      </c>
      <c r="I4" t="str">
        <f ca="1">IFERROR(__xludf.DUMMYFUNCTION("""COMPUTED_VALUE"""),"10.1051/e3sconf/20198402011")</f>
        <v>10.1051/e3sconf/20198402011</v>
      </c>
    </row>
    <row r="5" spans="1:32" ht="15.75" customHeight="1">
      <c r="A5" s="3">
        <v>3</v>
      </c>
      <c r="B5" s="7" t="s">
        <v>24</v>
      </c>
      <c r="C5" s="7" t="s">
        <v>25</v>
      </c>
      <c r="D5" s="8"/>
      <c r="E5" t="str">
        <f ca="1">IFERROR(__xludf.DUMMYFUNCTION("""COMPUTED_VALUE"""),"10.1109/TIE.2018.2795524")</f>
        <v>10.1109/TIE.2018.2795524</v>
      </c>
      <c r="F5" t="str">
        <f ca="1">IFERROR(__xludf.DUMMYFUNCTION("""COMPUTED_VALUE"""),"10.1109/TIE.2018.2795524")</f>
        <v>10.1109/TIE.2018.2795524</v>
      </c>
      <c r="H5" t="str">
        <f ca="1">IFERROR(__xludf.DUMMYFUNCTION("""COMPUTED_VALUE"""),"10.1109/MERCon.2019.8818896")</f>
        <v>10.1109/MERCon.2019.8818896</v>
      </c>
      <c r="I5" t="str">
        <f ca="1">IFERROR(__xludf.DUMMYFUNCTION("""COMPUTED_VALUE"""),"10.1109/TIE.2018.2795524")</f>
        <v>10.1109/TIE.2018.2795524</v>
      </c>
    </row>
    <row r="6" spans="1:32" ht="15.75" customHeight="1">
      <c r="A6" s="3">
        <v>4</v>
      </c>
      <c r="B6" s="9"/>
      <c r="C6" s="7" t="s">
        <v>26</v>
      </c>
      <c r="D6" s="7" t="s">
        <v>27</v>
      </c>
      <c r="H6" t="str">
        <f ca="1">IFERROR(__xludf.DUMMYFUNCTION("""COMPUTED_VALUE"""),"10.3390/inventions4020025")</f>
        <v>10.3390/inventions4020025</v>
      </c>
    </row>
    <row r="7" spans="1:32" ht="15.75" customHeight="1">
      <c r="A7" s="3">
        <v>5</v>
      </c>
      <c r="B7" s="9"/>
      <c r="C7" s="7" t="s">
        <v>19</v>
      </c>
      <c r="D7" s="7" t="s">
        <v>28</v>
      </c>
      <c r="E7" t="str">
        <f ca="1">IFERROR(__xludf.DUMMYFUNCTION("""COMPUTED_VALUE"""),"10.1109/TPEL.2016.2574751")</f>
        <v>10.1109/TPEL.2016.2574751</v>
      </c>
      <c r="F7" t="str">
        <f ca="1">IFERROR(__xludf.DUMMYFUNCTION("""COMPUTED_VALUE"""),"10.1109/TPEL.2016.2574751")</f>
        <v>10.1109/TPEL.2016.2574751</v>
      </c>
      <c r="H7" t="str">
        <f ca="1">IFERROR(__xludf.DUMMYFUNCTION("""COMPUTED_VALUE"""),"10.1109/SPEC.2018.8636080")</f>
        <v>10.1109/SPEC.2018.8636080</v>
      </c>
      <c r="I7" t="str">
        <f ca="1">IFERROR(__xludf.DUMMYFUNCTION("""COMPUTED_VALUE"""),"10.1109/TPEL.2016.2574751")</f>
        <v>10.1109/TPEL.2016.2574751</v>
      </c>
    </row>
    <row r="8" spans="1:32" ht="15.75" customHeight="1">
      <c r="A8" s="3">
        <v>6</v>
      </c>
      <c r="B8" s="9"/>
      <c r="C8" s="7" t="s">
        <v>22</v>
      </c>
      <c r="D8" s="7" t="s">
        <v>29</v>
      </c>
      <c r="E8" t="str">
        <f ca="1">IFERROR(__xludf.DUMMYFUNCTION("""COMPUTED_VALUE"""),"10.1109/ICEI.2017.68")</f>
        <v>10.1109/ICEI.2017.68</v>
      </c>
      <c r="F8" t="str">
        <f ca="1">IFERROR(__xludf.DUMMYFUNCTION("""COMPUTED_VALUE"""),"10.1109/ICEI.2017.68")</f>
        <v>10.1109/ICEI.2017.68</v>
      </c>
      <c r="H8" t="str">
        <f ca="1">IFERROR(__xludf.DUMMYFUNCTION("""COMPUTED_VALUE"""),"10.1109/MEPCON.2018.8635258")</f>
        <v>10.1109/MEPCON.2018.8635258</v>
      </c>
      <c r="I8" t="str">
        <f ca="1">IFERROR(__xludf.DUMMYFUNCTION("""COMPUTED_VALUE"""),"10.1109/ICEI.2017.68")</f>
        <v>10.1109/ICEI.2017.68</v>
      </c>
    </row>
    <row r="9" spans="1:32" ht="15.75" customHeight="1">
      <c r="A9" s="3">
        <v>7</v>
      </c>
      <c r="B9" s="9"/>
      <c r="C9" s="7" t="s">
        <v>30</v>
      </c>
      <c r="D9" s="7" t="s">
        <v>31</v>
      </c>
      <c r="E9" t="str">
        <f ca="1">IFERROR(__xludf.DUMMYFUNCTION("""COMPUTED_VALUE"""),"10.1049/iet-pel.2015.0325")</f>
        <v>10.1049/iet-pel.2015.0325</v>
      </c>
      <c r="F9" t="str">
        <f ca="1">IFERROR(__xludf.DUMMYFUNCTION("""COMPUTED_VALUE"""),"10.1049/iet-pel.2015.0325")</f>
        <v>10.1049/iet-pel.2015.0325</v>
      </c>
      <c r="H9" t="str">
        <f ca="1">IFERROR(__xludf.DUMMYFUNCTION("""COMPUTED_VALUE"""),"10.1109/MEPCON.2018.8635246")</f>
        <v>10.1109/MEPCON.2018.8635246</v>
      </c>
      <c r="I9" t="str">
        <f ca="1">IFERROR(__xludf.DUMMYFUNCTION("""COMPUTED_VALUE"""),"10.1049/iet-pel.2015.0325")</f>
        <v>10.1049/iet-pel.2015.0325</v>
      </c>
    </row>
    <row r="10" spans="1:32" ht="15.75" customHeight="1">
      <c r="A10" s="3">
        <v>8</v>
      </c>
      <c r="B10" s="7" t="s">
        <v>32</v>
      </c>
      <c r="C10" s="7" t="s">
        <v>33</v>
      </c>
      <c r="D10" s="7" t="s">
        <v>34</v>
      </c>
      <c r="E10" t="str">
        <f ca="1">IFERROR(__xludf.DUMMYFUNCTION("""COMPUTED_VALUE"""),"10.1109/TPWRD.2015.2456934")</f>
        <v>10.1109/TPWRD.2015.2456934</v>
      </c>
      <c r="F10" t="str">
        <f ca="1">IFERROR(__xludf.DUMMYFUNCTION("""COMPUTED_VALUE"""),"10.1109/TPWRD.2015.2456934")</f>
        <v>10.1109/TPWRD.2015.2456934</v>
      </c>
      <c r="H10" t="str">
        <f ca="1">IFERROR(__xludf.DUMMYFUNCTION("""COMPUTED_VALUE"""),"10.3390/en12061162")</f>
        <v>10.3390/en12061162</v>
      </c>
      <c r="I10" t="str">
        <f ca="1">IFERROR(__xludf.DUMMYFUNCTION("""COMPUTED_VALUE"""),"10.1109/TPWRD.2015.2456934")</f>
        <v>10.1109/TPWRD.2015.2456934</v>
      </c>
    </row>
    <row r="11" spans="1:32" ht="15.75" customHeight="1">
      <c r="A11" s="3">
        <v>9</v>
      </c>
      <c r="B11" s="8"/>
      <c r="C11" s="7" t="s">
        <v>35</v>
      </c>
      <c r="D11" s="7" t="s">
        <v>36</v>
      </c>
      <c r="E11" t="str">
        <f ca="1">IFERROR(__xludf.DUMMYFUNCTION("""COMPUTED_VALUE"""),"10.1049/iet-gtd.2014.1228")</f>
        <v>10.1049/iet-gtd.2014.1228</v>
      </c>
      <c r="F11" t="str">
        <f ca="1">IFERROR(__xludf.DUMMYFUNCTION("""COMPUTED_VALUE"""),"10.1049/iet-gtd.2014.1228")</f>
        <v>10.1049/iet-gtd.2014.1228</v>
      </c>
      <c r="H11" t="str">
        <f ca="1">IFERROR(__xludf.DUMMYFUNCTION("""COMPUTED_VALUE"""),"10.1049/iet-gtd.2018.5140")</f>
        <v>10.1049/iet-gtd.2018.5140</v>
      </c>
      <c r="I11" t="str">
        <f ca="1">IFERROR(__xludf.DUMMYFUNCTION("""COMPUTED_VALUE"""),"10.1049/iet-gtd.2014.1228")</f>
        <v>10.1049/iet-gtd.2014.1228</v>
      </c>
    </row>
    <row r="12" spans="1:32" ht="15.75" customHeight="1">
      <c r="A12" s="3">
        <v>10</v>
      </c>
      <c r="B12" s="8"/>
      <c r="C12" s="7" t="s">
        <v>37</v>
      </c>
      <c r="D12" s="7" t="s">
        <v>38</v>
      </c>
      <c r="E12" t="str">
        <f ca="1">IFERROR(__xludf.DUMMYFUNCTION("""COMPUTED_VALUE"""),"10.1007/s00202-019-00869-8")</f>
        <v>10.1007/s00202-019-00869-8</v>
      </c>
      <c r="F12" t="str">
        <f ca="1">IFERROR(__xludf.DUMMYFUNCTION("""COMPUTED_VALUE"""),"10.1007/s00202-019-00869-8")</f>
        <v>10.1007/s00202-019-00869-8</v>
      </c>
      <c r="H12" t="str">
        <f ca="1">IFERROR(__xludf.DUMMYFUNCTION("""COMPUTED_VALUE"""),"10.1109/UPEC.2018.8541944")</f>
        <v>10.1109/UPEC.2018.8541944</v>
      </c>
      <c r="I12" t="str">
        <f ca="1">IFERROR(__xludf.DUMMYFUNCTION("""COMPUTED_VALUE"""),"10.1007/s00202-019-00869-8")</f>
        <v>10.1007/s00202-019-00869-8</v>
      </c>
    </row>
    <row r="13" spans="1:32" ht="15.75" customHeight="1">
      <c r="A13" s="3">
        <v>11</v>
      </c>
      <c r="B13" s="8"/>
      <c r="C13" s="7" t="s">
        <v>39</v>
      </c>
      <c r="D13" s="8"/>
      <c r="E13" t="str">
        <f ca="1">IFERROR(__xludf.DUMMYFUNCTION("""COMPUTED_VALUE"""),"10.1088/1757-899X/631/4/042031")</f>
        <v>10.1088/1757-899X/631/4/042031</v>
      </c>
      <c r="F13" t="str">
        <f ca="1">IFERROR(__xludf.DUMMYFUNCTION("""COMPUTED_VALUE"""),"10.1088/1757-899X/631/4/042031")</f>
        <v>10.1088/1757-899X/631/4/042031</v>
      </c>
      <c r="H13" t="str">
        <f ca="1">IFERROR(__xludf.DUMMYFUNCTION("""COMPUTED_VALUE"""),"10.1016/j.apenergy.2018.07.082")</f>
        <v>10.1016/j.apenergy.2018.07.082</v>
      </c>
      <c r="I13" t="str">
        <f ca="1">IFERROR(__xludf.DUMMYFUNCTION("""COMPUTED_VALUE"""),"10.1088/1757-899X/631/4/042031")</f>
        <v>10.1088/1757-899X/631/4/042031</v>
      </c>
    </row>
    <row r="14" spans="1:32" ht="15.75" customHeight="1">
      <c r="A14" s="3">
        <v>12</v>
      </c>
      <c r="B14" s="8"/>
      <c r="C14" s="7" t="s">
        <v>40</v>
      </c>
      <c r="D14" s="7" t="s">
        <v>41</v>
      </c>
      <c r="E14" t="str">
        <f ca="1">IFERROR(__xludf.DUMMYFUNCTION("""COMPUTED_VALUE"""),"10.1109/MERCon.2019.8818896")</f>
        <v>10.1109/MERCon.2019.8818896</v>
      </c>
      <c r="F14" t="str">
        <f ca="1">IFERROR(__xludf.DUMMYFUNCTION("""COMPUTED_VALUE"""),"10.1109/MERCon.2019.8818896")</f>
        <v>10.1109/MERCon.2019.8818896</v>
      </c>
      <c r="H14" t="str">
        <f ca="1">IFERROR(__xludf.DUMMYFUNCTION("""COMPUTED_VALUE"""),"10.1109/ISGT-Asia.2018.8467923")</f>
        <v>10.1109/ISGT-Asia.2018.8467923</v>
      </c>
      <c r="I14" t="str">
        <f ca="1">IFERROR(__xludf.DUMMYFUNCTION("""COMPUTED_VALUE"""),"10.1109/MERCon.2019.8818896")</f>
        <v>10.1109/MERCon.2019.8818896</v>
      </c>
    </row>
    <row r="15" spans="1:32" ht="15.75" customHeight="1">
      <c r="A15" s="3">
        <v>13</v>
      </c>
      <c r="B15" s="8"/>
      <c r="C15" s="7" t="s">
        <v>42</v>
      </c>
      <c r="D15" s="8"/>
      <c r="E15" t="str">
        <f ca="1">IFERROR(__xludf.DUMMYFUNCTION("""COMPUTED_VALUE"""),"10.3390/inventions4020025")</f>
        <v>10.3390/inventions4020025</v>
      </c>
      <c r="F15" t="str">
        <f ca="1">IFERROR(__xludf.DUMMYFUNCTION("""COMPUTED_VALUE"""),"10.3390/inventions4020025")</f>
        <v>10.3390/inventions4020025</v>
      </c>
      <c r="H15" t="str">
        <f ca="1">IFERROR(__xludf.DUMMYFUNCTION("""COMPUTED_VALUE"""),"10.3390/inventions3030063")</f>
        <v>10.3390/inventions3030063</v>
      </c>
      <c r="I15" t="str">
        <f ca="1">IFERROR(__xludf.DUMMYFUNCTION("""COMPUTED_VALUE"""),"10.3390/inventions4020025")</f>
        <v>10.3390/inventions4020025</v>
      </c>
    </row>
    <row r="16" spans="1:32" ht="15.75" customHeight="1">
      <c r="A16" s="3">
        <v>14</v>
      </c>
      <c r="B16" s="8"/>
      <c r="C16" s="7" t="s">
        <v>43</v>
      </c>
      <c r="D16" s="7" t="s">
        <v>44</v>
      </c>
      <c r="E16" t="str">
        <f ca="1">IFERROR(__xludf.DUMMYFUNCTION("""COMPUTED_VALUE"""),"10.1109/SPEC.2018.8636080")</f>
        <v>10.1109/SPEC.2018.8636080</v>
      </c>
      <c r="F16" t="str">
        <f ca="1">IFERROR(__xludf.DUMMYFUNCTION("""COMPUTED_VALUE"""),"10.1109/SPEC.2018.8636080")</f>
        <v>10.1109/SPEC.2018.8636080</v>
      </c>
      <c r="H16" t="str">
        <f ca="1">IFERROR(__xludf.DUMMYFUNCTION("""COMPUTED_VALUE"""),"10.1109/ICIEA.2018.8397866")</f>
        <v>10.1109/ICIEA.2018.8397866</v>
      </c>
      <c r="I16" t="str">
        <f ca="1">IFERROR(__xludf.DUMMYFUNCTION("""COMPUTED_VALUE"""),"10.1109/SPEC.2018.8636080")</f>
        <v>10.1109/SPEC.2018.8636080</v>
      </c>
    </row>
    <row r="17" spans="1:9" ht="15.75" customHeight="1">
      <c r="A17" s="3">
        <v>15</v>
      </c>
      <c r="B17" s="7" t="s">
        <v>45</v>
      </c>
      <c r="C17" s="7" t="s">
        <v>24</v>
      </c>
      <c r="D17" s="7" t="s">
        <v>46</v>
      </c>
      <c r="E17" t="str">
        <f ca="1">IFERROR(__xludf.DUMMYFUNCTION("""COMPUTED_VALUE"""),"10.1109/MEPCON.2018.8635258")</f>
        <v>10.1109/MEPCON.2018.8635258</v>
      </c>
      <c r="F17" t="str">
        <f ca="1">IFERROR(__xludf.DUMMYFUNCTION("""COMPUTED_VALUE"""),"10.1109/MEPCON.2018.8635258")</f>
        <v>10.1109/MEPCON.2018.8635258</v>
      </c>
      <c r="H17" t="str">
        <f ca="1">IFERROR(__xludf.DUMMYFUNCTION("""COMPUTED_VALUE"""),"10.1109/ICPES.2017.8387344")</f>
        <v>10.1109/ICPES.2017.8387344</v>
      </c>
      <c r="I17" t="str">
        <f ca="1">IFERROR(__xludf.DUMMYFUNCTION("""COMPUTED_VALUE"""),"10.1109/MEPCON.2018.8635258")</f>
        <v>10.1109/MEPCON.2018.8635258</v>
      </c>
    </row>
    <row r="18" spans="1:9" ht="15.75" customHeight="1">
      <c r="A18" s="3">
        <v>16</v>
      </c>
      <c r="B18" s="8"/>
      <c r="C18" s="7" t="s">
        <v>47</v>
      </c>
      <c r="D18" s="7" t="s">
        <v>48</v>
      </c>
      <c r="E18" t="str">
        <f ca="1">IFERROR(__xludf.DUMMYFUNCTION("""COMPUTED_VALUE"""),"10.1109/MEPCON.2018.8635246")</f>
        <v>10.1109/MEPCON.2018.8635246</v>
      </c>
      <c r="F18" t="str">
        <f ca="1">IFERROR(__xludf.DUMMYFUNCTION("""COMPUTED_VALUE"""),"10.1109/MEPCON.2018.8635246")</f>
        <v>10.1109/MEPCON.2018.8635246</v>
      </c>
      <c r="H18" t="str">
        <f ca="1">IFERROR(__xludf.DUMMYFUNCTION("""COMPUTED_VALUE"""),"10.1109/ETECHNXT.2018.8385341")</f>
        <v>10.1109/ETECHNXT.2018.8385341</v>
      </c>
      <c r="I18" t="str">
        <f ca="1">IFERROR(__xludf.DUMMYFUNCTION("""COMPUTED_VALUE"""),"10.1109/MEPCON.2018.8635246")</f>
        <v>10.1109/MEPCON.2018.8635246</v>
      </c>
    </row>
    <row r="19" spans="1:9" ht="15.75" customHeight="1">
      <c r="A19" s="3">
        <v>17</v>
      </c>
      <c r="B19" s="8"/>
      <c r="C19" s="7" t="s">
        <v>49</v>
      </c>
      <c r="D19" s="7" t="s">
        <v>50</v>
      </c>
      <c r="E19" t="str">
        <f ca="1">IFERROR(__xludf.DUMMYFUNCTION("""COMPUTED_VALUE"""),"10.3390/en12061162")</f>
        <v>10.3390/en12061162</v>
      </c>
      <c r="F19" t="str">
        <f ca="1">IFERROR(__xludf.DUMMYFUNCTION("""COMPUTED_VALUE"""),"10.3390/en12061162")</f>
        <v>10.3390/en12061162</v>
      </c>
      <c r="H19" t="str">
        <f ca="1">IFERROR(__xludf.DUMMYFUNCTION("""COMPUTED_VALUE"""),"10.1016/j.ijepes.2017.11.019")</f>
        <v>10.1016/j.ijepes.2017.11.019</v>
      </c>
      <c r="I19" t="str">
        <f ca="1">IFERROR(__xludf.DUMMYFUNCTION("""COMPUTED_VALUE"""),"10.3390/en12061162")</f>
        <v>10.3390/en12061162</v>
      </c>
    </row>
    <row r="20" spans="1:9" ht="15.75" customHeight="1">
      <c r="A20" s="3">
        <v>18</v>
      </c>
      <c r="B20" s="7" t="s">
        <v>51</v>
      </c>
      <c r="C20" s="7" t="s">
        <v>52</v>
      </c>
      <c r="D20" s="8"/>
      <c r="E20" t="str">
        <f ca="1">IFERROR(__xludf.DUMMYFUNCTION("""COMPUTED_VALUE"""),"10.1049/iet-gtd.2018.5140")</f>
        <v>10.1049/iet-gtd.2018.5140</v>
      </c>
      <c r="F20" t="str">
        <f ca="1">IFERROR(__xludf.DUMMYFUNCTION("""COMPUTED_VALUE"""),"10.1049/iet-gtd.2018.5140")</f>
        <v>10.1049/iet-gtd.2018.5140</v>
      </c>
      <c r="H20" t="str">
        <f ca="1">IFERROR(__xludf.DUMMYFUNCTION("""COMPUTED_VALUE"""),"10.1109/TPWRS.2017.2757150")</f>
        <v>10.1109/TPWRS.2017.2757150</v>
      </c>
      <c r="I20" t="str">
        <f ca="1">IFERROR(__xludf.DUMMYFUNCTION("""COMPUTED_VALUE"""),"10.1049/iet-gtd.2018.5140")</f>
        <v>10.1049/iet-gtd.2018.5140</v>
      </c>
    </row>
    <row r="21" spans="1:9" ht="15.75" customHeight="1">
      <c r="A21" s="3">
        <v>19</v>
      </c>
      <c r="B21" s="7" t="s">
        <v>53</v>
      </c>
      <c r="C21" s="7" t="s">
        <v>54</v>
      </c>
      <c r="D21" s="7" t="s">
        <v>55</v>
      </c>
      <c r="E21" t="str">
        <f ca="1">IFERROR(__xludf.DUMMYFUNCTION("""COMPUTED_VALUE"""),"10.1109/UPEC.2018.8541944")</f>
        <v>10.1109/UPEC.2018.8541944</v>
      </c>
      <c r="F21" t="str">
        <f ca="1">IFERROR(__xludf.DUMMYFUNCTION("""COMPUTED_VALUE"""),"10.1109/UPEC.2018.8541944")</f>
        <v>10.1109/UPEC.2018.8541944</v>
      </c>
      <c r="H21" t="str">
        <f ca="1">IFERROR(__xludf.DUMMYFUNCTION("""COMPUTED_VALUE"""),"10.3390/en11030623")</f>
        <v>10.3390/en11030623</v>
      </c>
      <c r="I21" t="str">
        <f ca="1">IFERROR(__xludf.DUMMYFUNCTION("""COMPUTED_VALUE"""),"10.1109/UPEC.2018.8541944")</f>
        <v>10.1109/UPEC.2018.8541944</v>
      </c>
    </row>
    <row r="22" spans="1:9" ht="15.75" customHeight="1">
      <c r="A22" s="3">
        <v>20</v>
      </c>
      <c r="B22" s="7" t="s">
        <v>56</v>
      </c>
      <c r="C22" s="7" t="s">
        <v>57</v>
      </c>
      <c r="D22" s="7" t="s">
        <v>58</v>
      </c>
      <c r="E22" t="str">
        <f ca="1">IFERROR(__xludf.DUMMYFUNCTION("""COMPUTED_VALUE"""),"10.1016/j.apenergy.2018.07.082")</f>
        <v>10.1016/j.apenergy.2018.07.082</v>
      </c>
      <c r="F22" t="str">
        <f ca="1">IFERROR(__xludf.DUMMYFUNCTION("""COMPUTED_VALUE"""),"10.1016/j.apenergy.2018.07.082")</f>
        <v>10.1016/j.apenergy.2018.07.082</v>
      </c>
      <c r="H22" t="str">
        <f ca="1">IFERROR(__xludf.DUMMYFUNCTION("""COMPUTED_VALUE"""),"10.1109/ICIEA.2017.8283087")</f>
        <v>10.1109/ICIEA.2017.8283087</v>
      </c>
      <c r="I22" t="str">
        <f ca="1">IFERROR(__xludf.DUMMYFUNCTION("""COMPUTED_VALUE"""),"10.1016/j.apenergy.2018.07.082")</f>
        <v>10.1016/j.apenergy.2018.07.082</v>
      </c>
    </row>
    <row r="23" spans="1:9" ht="12.75">
      <c r="A23" s="3">
        <v>21</v>
      </c>
      <c r="B23" s="8"/>
      <c r="C23" s="7" t="s">
        <v>59</v>
      </c>
      <c r="D23" s="7" t="s">
        <v>60</v>
      </c>
      <c r="E23" t="str">
        <f ca="1">IFERROR(__xludf.DUMMYFUNCTION("""COMPUTED_VALUE"""),"10.1109/ISGT-Asia.2018.8467923")</f>
        <v>10.1109/ISGT-Asia.2018.8467923</v>
      </c>
      <c r="F23" t="str">
        <f ca="1">IFERROR(__xludf.DUMMYFUNCTION("""COMPUTED_VALUE"""),"10.1109/ISGT-Asia.2018.8467923")</f>
        <v>10.1109/ISGT-Asia.2018.8467923</v>
      </c>
      <c r="H23" t="str">
        <f ca="1">IFERROR(__xludf.DUMMYFUNCTION("""COMPUTED_VALUE"""),"10.1109/IGESC.2017.8283455")</f>
        <v>10.1109/IGESC.2017.8283455</v>
      </c>
      <c r="I23" t="str">
        <f ca="1">IFERROR(__xludf.DUMMYFUNCTION("""COMPUTED_VALUE"""),"10.1109/ISGT-Asia.2018.8467923")</f>
        <v>10.1109/ISGT-Asia.2018.8467923</v>
      </c>
    </row>
    <row r="24" spans="1:9" ht="12.75">
      <c r="A24" s="3">
        <v>22</v>
      </c>
      <c r="B24" s="8"/>
      <c r="C24" s="7" t="s">
        <v>61</v>
      </c>
      <c r="D24" s="8"/>
      <c r="E24" t="str">
        <f ca="1">IFERROR(__xludf.DUMMYFUNCTION("""COMPUTED_VALUE"""),"10.3390/inventions3030063")</f>
        <v>10.3390/inventions3030063</v>
      </c>
      <c r="F24" t="str">
        <f ca="1">IFERROR(__xludf.DUMMYFUNCTION("""COMPUTED_VALUE"""),"10.3390/inventions3030063")</f>
        <v>10.3390/inventions3030063</v>
      </c>
      <c r="H24" t="str">
        <f ca="1">IFERROR(__xludf.DUMMYFUNCTION("""COMPUTED_VALUE"""),"10.1109/PESGM.2017.8274134")</f>
        <v>10.1109/PESGM.2017.8274134</v>
      </c>
      <c r="I24" t="str">
        <f ca="1">IFERROR(__xludf.DUMMYFUNCTION("""COMPUTED_VALUE"""),"10.3390/inventions3030063")</f>
        <v>10.3390/inventions3030063</v>
      </c>
    </row>
    <row r="25" spans="1:9" ht="12.75">
      <c r="A25" s="3">
        <v>23</v>
      </c>
      <c r="B25" s="8"/>
      <c r="C25" s="7" t="s">
        <v>62</v>
      </c>
      <c r="D25" s="7" t="s">
        <v>63</v>
      </c>
      <c r="E25" t="str">
        <f ca="1">IFERROR(__xludf.DUMMYFUNCTION("""COMPUTED_VALUE"""),"10.1109/ICIEA.2018.8397866")</f>
        <v>10.1109/ICIEA.2018.8397866</v>
      </c>
      <c r="F25" t="str">
        <f ca="1">IFERROR(__xludf.DUMMYFUNCTION("""COMPUTED_VALUE"""),"10.1109/ICIEA.2018.8397866")</f>
        <v>10.1109/ICIEA.2018.8397866</v>
      </c>
      <c r="H25" t="str">
        <f ca="1">IFERROR(__xludf.DUMMYFUNCTION("""COMPUTED_VALUE"""),"10.3390/en11051130")</f>
        <v>10.3390/en11051130</v>
      </c>
      <c r="I25" t="str">
        <f ca="1">IFERROR(__xludf.DUMMYFUNCTION("""COMPUTED_VALUE"""),"10.1109/ICIEA.2018.8397866")</f>
        <v>10.1109/ICIEA.2018.8397866</v>
      </c>
    </row>
    <row r="26" spans="1:9" ht="12.75">
      <c r="A26" s="3">
        <v>24</v>
      </c>
      <c r="B26" s="8"/>
      <c r="C26" s="7" t="s">
        <v>64</v>
      </c>
      <c r="D26" s="8"/>
      <c r="E26" t="str">
        <f ca="1">IFERROR(__xludf.DUMMYFUNCTION("""COMPUTED_VALUE"""),"10.1109/ICPES.2017.8387344")</f>
        <v>10.1109/ICPES.2017.8387344</v>
      </c>
      <c r="F26" t="str">
        <f ca="1">IFERROR(__xludf.DUMMYFUNCTION("""COMPUTED_VALUE"""),"10.1109/ICPES.2017.8387344")</f>
        <v>10.1109/ICPES.2017.8387344</v>
      </c>
      <c r="H26" t="str">
        <f ca="1">IFERROR(__xludf.DUMMYFUNCTION("""COMPUTED_VALUE"""),"10.1109/JESTPE.2018.2885613")</f>
        <v>10.1109/JESTPE.2018.2885613</v>
      </c>
      <c r="I26" t="str">
        <f ca="1">IFERROR(__xludf.DUMMYFUNCTION("""COMPUTED_VALUE"""),"10.1109/ICPES.2017.8387344")</f>
        <v>10.1109/ICPES.2017.8387344</v>
      </c>
    </row>
    <row r="27" spans="1:9" ht="12.75">
      <c r="A27" s="3">
        <v>25</v>
      </c>
      <c r="B27" s="8"/>
      <c r="C27" s="7" t="s">
        <v>65</v>
      </c>
      <c r="D27" s="7" t="s">
        <v>66</v>
      </c>
      <c r="E27" t="str">
        <f ca="1">IFERROR(__xludf.DUMMYFUNCTION("""COMPUTED_VALUE"""),"10.1109/ETECHNXT.2018.8385341")</f>
        <v>10.1109/ETECHNXT.2018.8385341</v>
      </c>
      <c r="F27" t="str">
        <f ca="1">IFERROR(__xludf.DUMMYFUNCTION("""COMPUTED_VALUE"""),"10.1109/ETECHNXT.2018.8385341")</f>
        <v>10.1109/ETECHNXT.2018.8385341</v>
      </c>
      <c r="H27" t="str">
        <f ca="1">IFERROR(__xludf.DUMMYFUNCTION("""COMPUTED_VALUE"""),"10.1016/j.egypro.2018.04.006")</f>
        <v>10.1016/j.egypro.2018.04.006</v>
      </c>
      <c r="I27" t="str">
        <f ca="1">IFERROR(__xludf.DUMMYFUNCTION("""COMPUTED_VALUE"""),"10.1109/ETECHNXT.2018.8385341")</f>
        <v>10.1109/ETECHNXT.2018.8385341</v>
      </c>
    </row>
    <row r="28" spans="1:9" ht="12.75">
      <c r="A28" s="3">
        <v>26</v>
      </c>
      <c r="B28" s="8"/>
      <c r="C28" s="7" t="s">
        <v>67</v>
      </c>
      <c r="D28" s="7" t="s">
        <v>68</v>
      </c>
      <c r="E28" t="str">
        <f ca="1">IFERROR(__xludf.DUMMYFUNCTION("""COMPUTED_VALUE"""),"10.1016/j.ijepes.2017.11.019")</f>
        <v>10.1016/j.ijepes.2017.11.019</v>
      </c>
      <c r="F28" t="str">
        <f ca="1">IFERROR(__xludf.DUMMYFUNCTION("""COMPUTED_VALUE"""),"10.1016/j.ijepes.2017.11.019")</f>
        <v>10.1016/j.ijepes.2017.11.019</v>
      </c>
      <c r="H28" t="str">
        <f ca="1">IFERROR(__xludf.DUMMYFUNCTION("""COMPUTED_VALUE"""),"10.1109/TENCONSpring.2017.8069980")</f>
        <v>10.1109/TENCONSpring.2017.8069980</v>
      </c>
      <c r="I28" t="str">
        <f ca="1">IFERROR(__xludf.DUMMYFUNCTION("""COMPUTED_VALUE"""),"10.1016/j.ijepes.2017.11.019")</f>
        <v>10.1016/j.ijepes.2017.11.019</v>
      </c>
    </row>
    <row r="29" spans="1:9" ht="12.75">
      <c r="A29" s="3">
        <v>27</v>
      </c>
      <c r="B29" s="8"/>
      <c r="C29" s="7" t="s">
        <v>69</v>
      </c>
      <c r="D29" s="7" t="s">
        <v>70</v>
      </c>
      <c r="E29" t="str">
        <f ca="1">IFERROR(__xludf.DUMMYFUNCTION("""COMPUTED_VALUE"""),"10.1109/TPWRS.2017.2757150")</f>
        <v>10.1109/TPWRS.2017.2757150</v>
      </c>
      <c r="F29" t="str">
        <f ca="1">IFERROR(__xludf.DUMMYFUNCTION("""COMPUTED_VALUE"""),"10.1109/TPWRS.2017.2757150")</f>
        <v>10.1109/TPWRS.2017.2757150</v>
      </c>
      <c r="H29" t="str">
        <f ca="1">IFERROR(__xludf.DUMMYFUNCTION("""COMPUTED_VALUE"""),"10.1109/TENCONSpring.2017.8069993")</f>
        <v>10.1109/TENCONSpring.2017.8069993</v>
      </c>
      <c r="I29" t="str">
        <f ca="1">IFERROR(__xludf.DUMMYFUNCTION("""COMPUTED_VALUE"""),"10.3390/en11030623")</f>
        <v>10.3390/en11030623</v>
      </c>
    </row>
    <row r="30" spans="1:9" ht="12.75">
      <c r="A30" s="3">
        <v>28</v>
      </c>
      <c r="B30" s="8"/>
      <c r="C30" s="7" t="s">
        <v>71</v>
      </c>
      <c r="D30" s="7" t="s">
        <v>72</v>
      </c>
      <c r="E30" t="str">
        <f ca="1">IFERROR(__xludf.DUMMYFUNCTION("""COMPUTED_VALUE"""),"10.3390/en11030623")</f>
        <v>10.3390/en11030623</v>
      </c>
      <c r="F30" t="str">
        <f ca="1">IFERROR(__xludf.DUMMYFUNCTION("""COMPUTED_VALUE"""),"10.3390/en11030623")</f>
        <v>10.3390/en11030623</v>
      </c>
      <c r="H30" t="str">
        <f ca="1">IFERROR(__xludf.DUMMYFUNCTION("""COMPUTED_VALUE"""),"10.1109/JESTPE.2017.2674300")</f>
        <v>10.1109/JESTPE.2017.2674300</v>
      </c>
      <c r="I30" t="str">
        <f ca="1">IFERROR(__xludf.DUMMYFUNCTION("""COMPUTED_VALUE"""),"10.1109/ICIEA.2017.8283087")</f>
        <v>10.1109/ICIEA.2017.8283087</v>
      </c>
    </row>
    <row r="31" spans="1:9" ht="12.75">
      <c r="A31" s="3">
        <v>29</v>
      </c>
      <c r="B31" s="8"/>
      <c r="C31" s="7" t="s">
        <v>73</v>
      </c>
      <c r="D31" s="7" t="s">
        <v>74</v>
      </c>
      <c r="E31" t="str">
        <f ca="1">IFERROR(__xludf.DUMMYFUNCTION("""COMPUTED_VALUE"""),"10.1109/ICIEA.2017.8283087")</f>
        <v>10.1109/ICIEA.2017.8283087</v>
      </c>
      <c r="F31" t="str">
        <f ca="1">IFERROR(__xludf.DUMMYFUNCTION("""COMPUTED_VALUE"""),"10.1109/ICIEA.2017.8283087")</f>
        <v>10.1109/ICIEA.2017.8283087</v>
      </c>
      <c r="H31" t="str">
        <f ca="1">IFERROR(__xludf.DUMMYFUNCTION("""COMPUTED_VALUE"""),"10.1109/ICDCM.2017.8001072")</f>
        <v>10.1109/ICDCM.2017.8001072</v>
      </c>
      <c r="I31" t="str">
        <f ca="1">IFERROR(__xludf.DUMMYFUNCTION("""COMPUTED_VALUE"""),"10.1109/IGESC.2017.8283455")</f>
        <v>10.1109/IGESC.2017.8283455</v>
      </c>
    </row>
    <row r="32" spans="1:9" ht="12.75">
      <c r="A32" s="3">
        <v>30</v>
      </c>
      <c r="B32" s="8"/>
      <c r="C32" s="7" t="s">
        <v>70</v>
      </c>
      <c r="D32" s="7" t="s">
        <v>75</v>
      </c>
      <c r="E32" t="str">
        <f ca="1">IFERROR(__xludf.DUMMYFUNCTION("""COMPUTED_VALUE"""),"10.1109/IGESC.2017.8283455")</f>
        <v>10.1109/IGESC.2017.8283455</v>
      </c>
      <c r="F32" t="str">
        <f ca="1">IFERROR(__xludf.DUMMYFUNCTION("""COMPUTED_VALUE"""),"10.1109/IGESC.2017.8283455")</f>
        <v>10.1109/IGESC.2017.8283455</v>
      </c>
      <c r="H32" t="str">
        <f ca="1">IFERROR(__xludf.DUMMYFUNCTION("""COMPUTED_VALUE"""),"10.1109/SGBC.2016.7935992")</f>
        <v>10.1109/SGBC.2016.7935992</v>
      </c>
      <c r="I32" t="str">
        <f ca="1">IFERROR(__xludf.DUMMYFUNCTION("""COMPUTED_VALUE"""),"10.3390/en11051130")</f>
        <v>10.3390/en11051130</v>
      </c>
    </row>
    <row r="33" spans="1:9" ht="12.75">
      <c r="A33" s="3">
        <v>31</v>
      </c>
      <c r="B33" s="8"/>
      <c r="C33" s="7" t="s">
        <v>76</v>
      </c>
      <c r="D33" s="7" t="s">
        <v>21</v>
      </c>
      <c r="E33" t="str">
        <f ca="1">IFERROR(__xludf.DUMMYFUNCTION("""COMPUTED_VALUE"""),"10.1109/PESGM.2017.8274134")</f>
        <v>10.1109/PESGM.2017.8274134</v>
      </c>
      <c r="F33" t="str">
        <f ca="1">IFERROR(__xludf.DUMMYFUNCTION("""COMPUTED_VALUE"""),"10.1109/PESGM.2017.8274134")</f>
        <v>10.1109/PESGM.2017.8274134</v>
      </c>
      <c r="H33" t="str">
        <f ca="1">IFERROR(__xludf.DUMMYFUNCTION("""COMPUTED_VALUE"""),"10.1109/SGBC.2016.7935990")</f>
        <v>10.1109/SGBC.2016.7935990</v>
      </c>
      <c r="I33" t="str">
        <f ca="1">IFERROR(__xludf.DUMMYFUNCTION("""COMPUTED_VALUE"""),"10.1109/JESTPE.2018.2885613")</f>
        <v>10.1109/JESTPE.2018.2885613</v>
      </c>
    </row>
    <row r="34" spans="1:9" ht="12.75">
      <c r="A34" s="3">
        <v>32</v>
      </c>
      <c r="C34" s="7" t="s">
        <v>77</v>
      </c>
      <c r="D34" s="7" t="s">
        <v>78</v>
      </c>
      <c r="E34" t="str">
        <f ca="1">IFERROR(__xludf.DUMMYFUNCTION("""COMPUTED_VALUE"""),"10.3390/en11051130")</f>
        <v>10.3390/en11051130</v>
      </c>
      <c r="F34" t="str">
        <f ca="1">IFERROR(__xludf.DUMMYFUNCTION("""COMPUTED_VALUE"""),"10.3390/en11051130")</f>
        <v>10.3390/en11051130</v>
      </c>
      <c r="H34" t="str">
        <f ca="1">IFERROR(__xludf.DUMMYFUNCTION("""COMPUTED_VALUE"""),"10.1109/APEC.2017.7930855")</f>
        <v>10.1109/APEC.2017.7930855</v>
      </c>
      <c r="I34" t="str">
        <f ca="1">IFERROR(__xludf.DUMMYFUNCTION("""COMPUTED_VALUE"""),"10.1016/j.egypro.2018.04.006")</f>
        <v>10.1016/j.egypro.2018.04.006</v>
      </c>
    </row>
    <row r="35" spans="1:9" ht="12.75">
      <c r="A35" s="3">
        <v>33</v>
      </c>
      <c r="C35" s="7" t="s">
        <v>79</v>
      </c>
      <c r="D35" s="7" t="s">
        <v>80</v>
      </c>
      <c r="E35" t="str">
        <f ca="1">IFERROR(__xludf.DUMMYFUNCTION("""COMPUTED_VALUE"""),"10.1109/JESTPE.2018.2885613")</f>
        <v>10.1109/JESTPE.2018.2885613</v>
      </c>
      <c r="F35" t="str">
        <f ca="1">IFERROR(__xludf.DUMMYFUNCTION("""COMPUTED_VALUE"""),"10.1109/JESTPE.2018.2885613")</f>
        <v>10.1109/JESTPE.2018.2885613</v>
      </c>
      <c r="H35" t="str">
        <f ca="1">IFERROR(__xludf.DUMMYFUNCTION("""COMPUTED_VALUE"""),"10.1109/APEC.2017.7930900")</f>
        <v>10.1109/APEC.2017.7930900</v>
      </c>
      <c r="I35" t="str">
        <f ca="1">IFERROR(__xludf.DUMMYFUNCTION("""COMPUTED_VALUE"""),"10.1109/TENCONSpring.2017.8069980")</f>
        <v>10.1109/TENCONSpring.2017.8069980</v>
      </c>
    </row>
    <row r="36" spans="1:9" ht="12.75">
      <c r="A36" s="3">
        <v>34</v>
      </c>
      <c r="C36" s="7" t="s">
        <v>81</v>
      </c>
      <c r="D36" s="7" t="s">
        <v>82</v>
      </c>
      <c r="E36" t="str">
        <f ca="1">IFERROR(__xludf.DUMMYFUNCTION("""COMPUTED_VALUE"""),"10.1016/j.egypro.2018.04.006")</f>
        <v>10.1016/j.egypro.2018.04.006</v>
      </c>
      <c r="F36" t="str">
        <f ca="1">IFERROR(__xludf.DUMMYFUNCTION("""COMPUTED_VALUE"""),"10.1016/j.egypro.2018.04.006")</f>
        <v>10.1016/j.egypro.2018.04.006</v>
      </c>
      <c r="H36" t="str">
        <f ca="1">IFERROR(__xludf.DUMMYFUNCTION("""COMPUTED_VALUE"""),"10.1109/PEDES.2016.7914314")</f>
        <v>10.1109/PEDES.2016.7914314</v>
      </c>
      <c r="I36" t="str">
        <f ca="1">IFERROR(__xludf.DUMMYFUNCTION("""COMPUTED_VALUE"""),"10.1109/JESTPE.2017.2674300")</f>
        <v>10.1109/JESTPE.2017.2674300</v>
      </c>
    </row>
    <row r="37" spans="1:9" ht="12.75">
      <c r="A37" s="3">
        <v>35</v>
      </c>
      <c r="C37" s="7" t="s">
        <v>83</v>
      </c>
      <c r="D37" s="7" t="s">
        <v>84</v>
      </c>
      <c r="E37" t="str">
        <f ca="1">IFERROR(__xludf.DUMMYFUNCTION("""COMPUTED_VALUE"""),"10.1109/TENCONSpring.2017.8069980")</f>
        <v>10.1109/TENCONSpring.2017.8069980</v>
      </c>
      <c r="F37" t="str">
        <f ca="1">IFERROR(__xludf.DUMMYFUNCTION("""COMPUTED_VALUE"""),"10.1109/TENCONSpring.2017.8069980")</f>
        <v>10.1109/TENCONSpring.2017.8069980</v>
      </c>
      <c r="H37" t="str">
        <f ca="1">IFERROR(__xludf.DUMMYFUNCTION("""COMPUTED_VALUE"""),"10.1109/ICPEICES.2016.7853407")</f>
        <v>10.1109/ICPEICES.2016.7853407</v>
      </c>
      <c r="I37" t="str">
        <f ca="1">IFERROR(__xludf.DUMMYFUNCTION("""COMPUTED_VALUE"""),"10.1109/ICDCM.2017.8001072")</f>
        <v>10.1109/ICDCM.2017.8001072</v>
      </c>
    </row>
    <row r="38" spans="1:9" ht="12.75">
      <c r="A38" s="3">
        <v>36</v>
      </c>
      <c r="C38" s="7" t="s">
        <v>85</v>
      </c>
      <c r="D38" s="7" t="s">
        <v>86</v>
      </c>
      <c r="E38" t="str">
        <f ca="1">IFERROR(__xludf.DUMMYFUNCTION("""COMPUTED_VALUE"""),"10.1109/TENCONSpring.2017.8069993")</f>
        <v>10.1109/TENCONSpring.2017.8069993</v>
      </c>
      <c r="F38" t="str">
        <f ca="1">IFERROR(__xludf.DUMMYFUNCTION("""COMPUTED_VALUE"""),"10.1109/TENCONSpring.2017.8069993")</f>
        <v>10.1109/TENCONSpring.2017.8069993</v>
      </c>
      <c r="H38" t="str">
        <f ca="1">IFERROR(__xludf.DUMMYFUNCTION("""COMPUTED_VALUE"""),"10.1109/TENCON.2016.7848251")</f>
        <v>10.1109/TENCON.2016.7848251</v>
      </c>
      <c r="I38" t="str">
        <f ca="1">IFERROR(__xludf.DUMMYFUNCTION("""COMPUTED_VALUE"""),"10.1109/SGBC.2016.7935990")</f>
        <v>10.1109/SGBC.2016.7935990</v>
      </c>
    </row>
    <row r="39" spans="1:9" ht="12.75">
      <c r="A39" s="3">
        <v>37</v>
      </c>
      <c r="C39" s="7" t="s">
        <v>45</v>
      </c>
      <c r="D39" s="7" t="s">
        <v>70</v>
      </c>
      <c r="E39" t="str">
        <f ca="1">IFERROR(__xludf.DUMMYFUNCTION("""COMPUTED_VALUE"""),"10.1109/JESTPE.2017.2674300")</f>
        <v>10.1109/JESTPE.2017.2674300</v>
      </c>
      <c r="F39" t="str">
        <f ca="1">IFERROR(__xludf.DUMMYFUNCTION("""COMPUTED_VALUE"""),"10.1109/JESTPE.2017.2674300")</f>
        <v>10.1109/JESTPE.2017.2674300</v>
      </c>
      <c r="H39" t="str">
        <f ca="1">IFERROR(__xludf.DUMMYFUNCTION("""COMPUTED_VALUE"""),"10.15199/48.2017.04.22")</f>
        <v>10.15199/48.2017.04.22</v>
      </c>
      <c r="I39" t="str">
        <f ca="1">IFERROR(__xludf.DUMMYFUNCTION("""COMPUTED_VALUE"""),"10.1109/APEC.2017.7930855")</f>
        <v>10.1109/APEC.2017.7930855</v>
      </c>
    </row>
    <row r="40" spans="1:9" ht="12.75">
      <c r="A40" s="3">
        <v>38</v>
      </c>
      <c r="C40" s="7" t="s">
        <v>87</v>
      </c>
      <c r="D40" s="7" t="s">
        <v>88</v>
      </c>
      <c r="E40" t="str">
        <f ca="1">IFERROR(__xludf.DUMMYFUNCTION("""COMPUTED_VALUE"""),"10.1109/ICDCM.2017.8001072")</f>
        <v>10.1109/ICDCM.2017.8001072</v>
      </c>
      <c r="F40" t="str">
        <f ca="1">IFERROR(__xludf.DUMMYFUNCTION("""COMPUTED_VALUE"""),"10.1109/ICDCM.2017.8001072")</f>
        <v>10.1109/ICDCM.2017.8001072</v>
      </c>
      <c r="H40" t="str">
        <f ca="1">IFERROR(__xludf.DUMMYFUNCTION("""COMPUTED_VALUE"""),"10.1016/j.rser.2016.11.134")</f>
        <v>10.1016/j.rser.2016.11.134</v>
      </c>
      <c r="I40" t="str">
        <f ca="1">IFERROR(__xludf.DUMMYFUNCTION("""COMPUTED_VALUE"""),"10.1109/APEC.2017.7930900")</f>
        <v>10.1109/APEC.2017.7930900</v>
      </c>
    </row>
    <row r="41" spans="1:9" ht="12.75">
      <c r="A41" s="3">
        <v>39</v>
      </c>
      <c r="C41" s="7" t="s">
        <v>32</v>
      </c>
      <c r="D41" s="7" t="s">
        <v>89</v>
      </c>
      <c r="E41" t="str">
        <f ca="1">IFERROR(__xludf.DUMMYFUNCTION("""COMPUTED_VALUE"""),"10.1109/SGBC.2016.7935992")</f>
        <v>10.1109/SGBC.2016.7935992</v>
      </c>
      <c r="F41" t="str">
        <f ca="1">IFERROR(__xludf.DUMMYFUNCTION("""COMPUTED_VALUE"""),"10.1109/SGBC.2016.7935992")</f>
        <v>10.1109/SGBC.2016.7935992</v>
      </c>
      <c r="I41" t="str">
        <f ca="1">IFERROR(__xludf.DUMMYFUNCTION("""COMPUTED_VALUE"""),"10.1109/PEDES.2016.7914314")</f>
        <v>10.1109/PEDES.2016.7914314</v>
      </c>
    </row>
    <row r="42" spans="1:9" ht="12.75">
      <c r="A42" s="3">
        <v>40</v>
      </c>
      <c r="C42" s="7" t="s">
        <v>90</v>
      </c>
      <c r="D42" s="7" t="s">
        <v>91</v>
      </c>
      <c r="E42" t="str">
        <f ca="1">IFERROR(__xludf.DUMMYFUNCTION("""COMPUTED_VALUE"""),"10.1109/SGBC.2016.7935990")</f>
        <v>10.1109/SGBC.2016.7935990</v>
      </c>
      <c r="F42" t="str">
        <f ca="1">IFERROR(__xludf.DUMMYFUNCTION("""COMPUTED_VALUE"""),"10.1109/SGBC.2016.7935990")</f>
        <v>10.1109/SGBC.2016.7935990</v>
      </c>
      <c r="H42" t="str">
        <f ca="1">IFERROR(__xludf.DUMMYFUNCTION("""COMPUTED_VALUE"""),"10.1061/(ASCE)EY.1943-7897.0000344")</f>
        <v>10.1061/(ASCE)EY.1943-7897.0000344</v>
      </c>
      <c r="I42" t="str">
        <f ca="1">IFERROR(__xludf.DUMMYFUNCTION("""COMPUTED_VALUE"""),"10.1109/ICPEICES.2016.7853407")</f>
        <v>10.1109/ICPEICES.2016.7853407</v>
      </c>
    </row>
    <row r="43" spans="1:9" ht="12.75">
      <c r="A43" s="3">
        <v>41</v>
      </c>
      <c r="C43" s="7" t="s">
        <v>92</v>
      </c>
      <c r="D43" s="7" t="s">
        <v>93</v>
      </c>
      <c r="E43" t="str">
        <f ca="1">IFERROR(__xludf.DUMMYFUNCTION("""COMPUTED_VALUE"""),"10.1109/APEC.2017.7930855")</f>
        <v>10.1109/APEC.2017.7930855</v>
      </c>
      <c r="F43" t="str">
        <f ca="1">IFERROR(__xludf.DUMMYFUNCTION("""COMPUTED_VALUE"""),"10.1109/APEC.2017.7930855")</f>
        <v>10.1109/APEC.2017.7930855</v>
      </c>
      <c r="H43" t="str">
        <f ca="1">IFERROR(__xludf.DUMMYFUNCTION("""COMPUTED_VALUE"""),"10.1109/CMD.2016.7757819")</f>
        <v>10.1109/CMD.2016.7757819</v>
      </c>
      <c r="I43" t="str">
        <f ca="1">IFERROR(__xludf.DUMMYFUNCTION("""COMPUTED_VALUE"""),"10.1109/TENCON.2016.7848251")</f>
        <v>10.1109/TENCON.2016.7848251</v>
      </c>
    </row>
    <row r="44" spans="1:9" ht="12.75">
      <c r="A44" s="3">
        <v>42</v>
      </c>
      <c r="C44" s="7" t="s">
        <v>94</v>
      </c>
      <c r="D44" s="7" t="s">
        <v>95</v>
      </c>
      <c r="E44" t="str">
        <f ca="1">IFERROR(__xludf.DUMMYFUNCTION("""COMPUTED_VALUE"""),"10.1109/APEC.2017.7930900")</f>
        <v>10.1109/APEC.2017.7930900</v>
      </c>
      <c r="F44" t="str">
        <f ca="1">IFERROR(__xludf.DUMMYFUNCTION("""COMPUTED_VALUE"""),"10.1109/APEC.2017.7930900")</f>
        <v>10.1109/APEC.2017.7930900</v>
      </c>
      <c r="H44" t="str">
        <f ca="1">IFERROR(__xludf.DUMMYFUNCTION("""COMPUTED_VALUE"""),"10.1109/INTLEC.2016.7749139")</f>
        <v>10.1109/INTLEC.2016.7749139</v>
      </c>
      <c r="I44" t="str">
        <f ca="1">IFERROR(__xludf.DUMMYFUNCTION("""COMPUTED_VALUE"""),"10.15199/48.2017.04.22")</f>
        <v>10.15199/48.2017.04.22</v>
      </c>
    </row>
    <row r="45" spans="1:9" ht="12.75">
      <c r="A45" s="3">
        <v>43</v>
      </c>
      <c r="C45" s="7" t="s">
        <v>96</v>
      </c>
      <c r="D45" s="7" t="s">
        <v>97</v>
      </c>
      <c r="E45" t="str">
        <f ca="1">IFERROR(__xludf.DUMMYFUNCTION("""COMPUTED_VALUE"""),"10.1109/PEDES.2016.7914314")</f>
        <v>10.1109/PEDES.2016.7914314</v>
      </c>
      <c r="F45" t="str">
        <f ca="1">IFERROR(__xludf.DUMMYFUNCTION("""COMPUTED_VALUE"""),"10.1109/PEDES.2016.7914314")</f>
        <v>10.1109/PEDES.2016.7914314</v>
      </c>
      <c r="H45" t="str">
        <f ca="1">IFERROR(__xludf.DUMMYFUNCTION("""COMPUTED_VALUE"""),"10.1109/ICEETS.2016.7582892")</f>
        <v>10.1109/ICEETS.2016.7582892</v>
      </c>
      <c r="I45" t="str">
        <f ca="1">IFERROR(__xludf.DUMMYFUNCTION("""COMPUTED_VALUE"""),"10.1016/j.rser.2016.11.134")</f>
        <v>10.1016/j.rser.2016.11.134</v>
      </c>
    </row>
    <row r="46" spans="1:9" ht="12.75">
      <c r="A46" s="3">
        <v>44</v>
      </c>
      <c r="C46" s="8"/>
      <c r="D46" s="8"/>
      <c r="E46" t="str">
        <f ca="1">IFERROR(__xludf.DUMMYFUNCTION("""COMPUTED_VALUE"""),"10.1109/ICPEICES.2016.7853407")</f>
        <v>10.1109/ICPEICES.2016.7853407</v>
      </c>
      <c r="F46" t="str">
        <f ca="1">IFERROR(__xludf.DUMMYFUNCTION("""COMPUTED_VALUE"""),"10.1109/ICPEICES.2016.7853407")</f>
        <v>10.1109/ICPEICES.2016.7853407</v>
      </c>
      <c r="H46" t="str">
        <f ca="1">IFERROR(__xludf.DUMMYFUNCTION("""COMPUTED_VALUE"""),"10.1109/CPE.2016.7544171")</f>
        <v>10.1109/CPE.2016.7544171</v>
      </c>
      <c r="I46" t="str">
        <f ca="1">IFERROR(__xludf.DUMMYFUNCTION("""COMPUTED_VALUE"""),"10.1061/(ASCE)EY.1943-7897.0000344")</f>
        <v>10.1061/(ASCE)EY.1943-7897.0000344</v>
      </c>
    </row>
    <row r="47" spans="1:9" ht="12.75">
      <c r="A47" s="3">
        <v>45</v>
      </c>
      <c r="C47" s="7" t="s">
        <v>98</v>
      </c>
      <c r="D47" s="8"/>
      <c r="E47" t="str">
        <f ca="1">IFERROR(__xludf.DUMMYFUNCTION("""COMPUTED_VALUE"""),"10.1109/TENCON.2016.7848251")</f>
        <v>10.1109/TENCON.2016.7848251</v>
      </c>
      <c r="F47" t="str">
        <f ca="1">IFERROR(__xludf.DUMMYFUNCTION("""COMPUTED_VALUE"""),"10.1109/TENCON.2016.7848251")</f>
        <v>10.1109/TENCON.2016.7848251</v>
      </c>
      <c r="H47" t="str">
        <f ca="1">IFERROR(__xludf.DUMMYFUNCTION("""COMPUTED_VALUE"""),"10.1109/PEDG.2016.7527062")</f>
        <v>10.1109/PEDG.2016.7527062</v>
      </c>
      <c r="I47" t="str">
        <f ca="1">IFERROR(__xludf.DUMMYFUNCTION("""COMPUTED_VALUE"""),"10.1109/CMD.2016.7757819")</f>
        <v>10.1109/CMD.2016.7757819</v>
      </c>
    </row>
    <row r="48" spans="1:9" ht="12.75">
      <c r="A48" s="3">
        <v>46</v>
      </c>
      <c r="C48" s="7" t="s">
        <v>99</v>
      </c>
      <c r="D48" s="7" t="s">
        <v>100</v>
      </c>
      <c r="E48" t="str">
        <f ca="1">IFERROR(__xludf.DUMMYFUNCTION("""COMPUTED_VALUE"""),"10.15199/48.2017.04.22")</f>
        <v>10.15199/48.2017.04.22</v>
      </c>
      <c r="F48" t="str">
        <f ca="1">IFERROR(__xludf.DUMMYFUNCTION("""COMPUTED_VALUE"""),"10.15199/48.2017.04.22")</f>
        <v>10.15199/48.2017.04.22</v>
      </c>
      <c r="H48" t="str">
        <f ca="1">IFERROR(__xludf.DUMMYFUNCTION("""COMPUTED_VALUE"""),"10.1109/IPEMC.2016.7512267")</f>
        <v>10.1109/IPEMC.2016.7512267</v>
      </c>
      <c r="I48" t="str">
        <f ca="1">IFERROR(__xludf.DUMMYFUNCTION("""COMPUTED_VALUE"""),"10.1109/INTLEC.2016.7749139")</f>
        <v>10.1109/INTLEC.2016.7749139</v>
      </c>
    </row>
    <row r="49" spans="1:9" ht="12.75">
      <c r="A49" s="3">
        <v>47</v>
      </c>
      <c r="C49" s="7" t="s">
        <v>101</v>
      </c>
      <c r="D49" s="7" t="s">
        <v>102</v>
      </c>
      <c r="E49" t="str">
        <f ca="1">IFERROR(__xludf.DUMMYFUNCTION("""COMPUTED_VALUE"""),"10.1016/j.rser.2016.11.134")</f>
        <v>10.1016/j.rser.2016.11.134</v>
      </c>
      <c r="F49" t="str">
        <f ca="1">IFERROR(__xludf.DUMMYFUNCTION("""COMPUTED_VALUE"""),"10.1016/j.rser.2016.11.134")</f>
        <v>10.1016/j.rser.2016.11.134</v>
      </c>
      <c r="H49" t="str">
        <f ca="1">IFERROR(__xludf.DUMMYFUNCTION("""COMPUTED_VALUE"""),"10.1109/IICPE.2016.8079448")</f>
        <v>10.1109/IICPE.2016.8079448</v>
      </c>
      <c r="I49" t="str">
        <f ca="1">IFERROR(__xludf.DUMMYFUNCTION("""COMPUTED_VALUE"""),"10.1109/ICEETS.2016.7582892")</f>
        <v>10.1109/ICEETS.2016.7582892</v>
      </c>
    </row>
    <row r="50" spans="1:9" ht="12.75">
      <c r="A50" s="3">
        <v>48</v>
      </c>
      <c r="C50" s="7" t="s">
        <v>103</v>
      </c>
      <c r="D50" s="8"/>
      <c r="E50" t="str">
        <f ca="1">IFERROR(__xludf.DUMMYFUNCTION("""COMPUTED_VALUE"""),"10.1061/(ASCE)EY.1943-7897.0000344")</f>
        <v>10.1061/(ASCE)EY.1943-7897.0000344</v>
      </c>
      <c r="F50" t="str">
        <f ca="1">IFERROR(__xludf.DUMMYFUNCTION("""COMPUTED_VALUE"""),"10.1061/(ASCE)EY.1943-7897.0000344")</f>
        <v>10.1061/(ASCE)EY.1943-7897.0000344</v>
      </c>
      <c r="H50" t="str">
        <f ca="1">IFERROR(__xludf.DUMMYFUNCTION("""COMPUTED_VALUE"""),"10.1016/j.epsr.2015.12.033")</f>
        <v>10.1016/j.epsr.2015.12.033</v>
      </c>
      <c r="I50" t="str">
        <f ca="1">IFERROR(__xludf.DUMMYFUNCTION("""COMPUTED_VALUE"""),"10.1109/CPE.2016.7544171")</f>
        <v>10.1109/CPE.2016.7544171</v>
      </c>
    </row>
    <row r="51" spans="1:9" ht="12.75">
      <c r="A51" s="3">
        <v>49</v>
      </c>
      <c r="C51" s="7" t="s">
        <v>104</v>
      </c>
      <c r="D51" s="8"/>
      <c r="E51" t="str">
        <f ca="1">IFERROR(__xludf.DUMMYFUNCTION("""COMPUTED_VALUE"""),"10.1109/CMD.2016.7757819")</f>
        <v>10.1109/CMD.2016.7757819</v>
      </c>
      <c r="F51" t="str">
        <f ca="1">IFERROR(__xludf.DUMMYFUNCTION("""COMPUTED_VALUE"""),"10.1109/CMD.2016.7757819")</f>
        <v>10.1109/CMD.2016.7757819</v>
      </c>
      <c r="H51" t="str">
        <f ca="1">IFERROR(__xludf.DUMMYFUNCTION("""COMPUTED_VALUE"""),"10.1109/ICCE-Berlin.2015.7391268")</f>
        <v>10.1109/ICCE-Berlin.2015.7391268</v>
      </c>
      <c r="I51" t="str">
        <f ca="1">IFERROR(__xludf.DUMMYFUNCTION("""COMPUTED_VALUE"""),"10.1109/PEDG.2016.7527062")</f>
        <v>10.1109/PEDG.2016.7527062</v>
      </c>
    </row>
    <row r="52" spans="1:9" ht="12.75">
      <c r="A52" s="3">
        <v>50</v>
      </c>
      <c r="C52" s="7" t="s">
        <v>105</v>
      </c>
      <c r="D52" s="7" t="s">
        <v>106</v>
      </c>
      <c r="E52" t="str">
        <f ca="1">IFERROR(__xludf.DUMMYFUNCTION("""COMPUTED_VALUE"""),"10.1109/INTLEC.2016.7749139")</f>
        <v>10.1109/INTLEC.2016.7749139</v>
      </c>
      <c r="F52" t="str">
        <f ca="1">IFERROR(__xludf.DUMMYFUNCTION("""COMPUTED_VALUE"""),"10.1109/INTLEC.2016.7749139")</f>
        <v>10.1109/INTLEC.2016.7749139</v>
      </c>
      <c r="H52" t="str">
        <f ca="1">IFERROR(__xludf.DUMMYFUNCTION("""COMPUTED_VALUE"""),"10.1109/SPEC.2016.7846222")</f>
        <v>10.1109/SPEC.2016.7846222</v>
      </c>
      <c r="I52" t="str">
        <f ca="1">IFERROR(__xludf.DUMMYFUNCTION("""COMPUTED_VALUE"""),"10.1109/IPEMC.2016.7512267")</f>
        <v>10.1109/IPEMC.2016.7512267</v>
      </c>
    </row>
    <row r="53" spans="1:9" ht="12.75">
      <c r="A53" s="3">
        <v>51</v>
      </c>
      <c r="C53" s="7" t="s">
        <v>107</v>
      </c>
      <c r="D53" s="7" t="s">
        <v>108</v>
      </c>
      <c r="E53" t="str">
        <f ca="1">IFERROR(__xludf.DUMMYFUNCTION("""COMPUTED_VALUE"""),"10.1109/ICEETS.2016.7582892")</f>
        <v>10.1109/ICEETS.2016.7582892</v>
      </c>
      <c r="F53" t="str">
        <f ca="1">IFERROR(__xludf.DUMMYFUNCTION("""COMPUTED_VALUE"""),"10.1109/ICEETS.2016.7582892")</f>
        <v>10.1109/ICEETS.2016.7582892</v>
      </c>
      <c r="H53" t="str">
        <f ca="1">IFERROR(__xludf.DUMMYFUNCTION("""COMPUTED_VALUE"""),"10.1109/ECCE.2016.7854926")</f>
        <v>10.1109/ECCE.2016.7854926</v>
      </c>
      <c r="I53" t="str">
        <f ca="1">IFERROR(__xludf.DUMMYFUNCTION("""COMPUTED_VALUE"""),"10.1109/IICPE.2016.8079448")</f>
        <v>10.1109/IICPE.2016.8079448</v>
      </c>
    </row>
    <row r="54" spans="1:9" ht="12.75">
      <c r="A54" s="3">
        <v>52</v>
      </c>
      <c r="C54" s="7" t="s">
        <v>109</v>
      </c>
      <c r="D54" s="7" t="s">
        <v>110</v>
      </c>
      <c r="E54" t="str">
        <f ca="1">IFERROR(__xludf.DUMMYFUNCTION("""COMPUTED_VALUE"""),"10.1109/CPE.2016.7544171")</f>
        <v>10.1109/CPE.2016.7544171</v>
      </c>
      <c r="F54" t="str">
        <f ca="1">IFERROR(__xludf.DUMMYFUNCTION("""COMPUTED_VALUE"""),"10.1109/CPE.2016.7544171")</f>
        <v>10.1109/CPE.2016.7544171</v>
      </c>
      <c r="H54" t="str">
        <f ca="1">IFERROR(__xludf.DUMMYFUNCTION("""COMPUTED_VALUE"""),"10.3390/en9080651")</f>
        <v>10.3390/en9080651</v>
      </c>
      <c r="I54" t="str">
        <f ca="1">IFERROR(__xludf.DUMMYFUNCTION("""COMPUTED_VALUE"""),"10.1016/j.epsr.2015.12.033")</f>
        <v>10.1016/j.epsr.2015.12.033</v>
      </c>
    </row>
    <row r="55" spans="1:9" ht="12.75">
      <c r="A55" s="3">
        <v>53</v>
      </c>
      <c r="C55" s="7" t="s">
        <v>51</v>
      </c>
      <c r="D55" s="7" t="s">
        <v>111</v>
      </c>
      <c r="E55" t="str">
        <f ca="1">IFERROR(__xludf.DUMMYFUNCTION("""COMPUTED_VALUE"""),"10.1109/PEDG.2016.7527062")</f>
        <v>10.1109/PEDG.2016.7527062</v>
      </c>
      <c r="F55" t="str">
        <f ca="1">IFERROR(__xludf.DUMMYFUNCTION("""COMPUTED_VALUE"""),"10.1109/PEDG.2016.7527062")</f>
        <v>10.1109/PEDG.2016.7527062</v>
      </c>
      <c r="I55" t="str">
        <f ca="1">IFERROR(__xludf.DUMMYFUNCTION("""COMPUTED_VALUE"""),"10.1109/ICCE-Berlin.2015.7391268")</f>
        <v>10.1109/ICCE-Berlin.2015.7391268</v>
      </c>
    </row>
    <row r="56" spans="1:9" ht="12.75">
      <c r="A56" s="3">
        <v>54</v>
      </c>
      <c r="C56" s="7" t="s">
        <v>112</v>
      </c>
      <c r="D56" s="7" t="s">
        <v>113</v>
      </c>
      <c r="E56" t="str">
        <f ca="1">IFERROR(__xludf.DUMMYFUNCTION("""COMPUTED_VALUE"""),"10.1109/IPEMC.2016.7512267")</f>
        <v>10.1109/IPEMC.2016.7512267</v>
      </c>
      <c r="F56" t="str">
        <f ca="1">IFERROR(__xludf.DUMMYFUNCTION("""COMPUTED_VALUE"""),"10.1109/IPEMC.2016.7512267")</f>
        <v>10.1109/IPEMC.2016.7512267</v>
      </c>
      <c r="H56" t="str">
        <f ca="1">IFERROR(__xludf.DUMMYFUNCTION("""COMPUTED_VALUE"""),"10.6113/JPE.2016.16.1.340")</f>
        <v>10.6113/JPE.2016.16.1.340</v>
      </c>
      <c r="I56" t="str">
        <f ca="1">IFERROR(__xludf.DUMMYFUNCTION("""COMPUTED_VALUE"""),"10.1109/SPEC.2016.7846222")</f>
        <v>10.1109/SPEC.2016.7846222</v>
      </c>
    </row>
    <row r="57" spans="1:9" ht="12.75">
      <c r="A57" s="3">
        <v>55</v>
      </c>
      <c r="C57" s="7" t="s">
        <v>53</v>
      </c>
      <c r="D57" s="7" t="s">
        <v>114</v>
      </c>
      <c r="E57" t="str">
        <f ca="1">IFERROR(__xludf.DUMMYFUNCTION("""COMPUTED_VALUE"""),"10.1109/IICPE.2016.8079448")</f>
        <v>10.1109/IICPE.2016.8079448</v>
      </c>
      <c r="F57" t="str">
        <f ca="1">IFERROR(__xludf.DUMMYFUNCTION("""COMPUTED_VALUE"""),"10.1109/IICPE.2016.8079448")</f>
        <v>10.1109/IICPE.2016.8079448</v>
      </c>
      <c r="H57" t="str">
        <f ca="1">IFERROR(__xludf.DUMMYFUNCTION("""COMPUTED_VALUE"""),"10.1109/IFEEC.2015.7361508")</f>
        <v>10.1109/IFEEC.2015.7361508</v>
      </c>
      <c r="I57" t="str">
        <f ca="1">IFERROR(__xludf.DUMMYFUNCTION("""COMPUTED_VALUE"""),"10.1109/ECCE.2016.7854926")</f>
        <v>10.1109/ECCE.2016.7854926</v>
      </c>
    </row>
    <row r="58" spans="1:9" ht="12.75">
      <c r="A58" s="3">
        <v>56</v>
      </c>
      <c r="C58" s="7" t="s">
        <v>115</v>
      </c>
      <c r="D58" s="7" t="s">
        <v>116</v>
      </c>
      <c r="E58" t="str">
        <f ca="1">IFERROR(__xludf.DUMMYFUNCTION("""COMPUTED_VALUE"""),"10.1016/j.epsr.2015.12.033")</f>
        <v>10.1016/j.epsr.2015.12.033</v>
      </c>
      <c r="F58" t="str">
        <f ca="1">IFERROR(__xludf.DUMMYFUNCTION("""COMPUTED_VALUE"""),"10.1016/j.epsr.2015.12.033")</f>
        <v>10.1016/j.epsr.2015.12.033</v>
      </c>
      <c r="H58" t="str">
        <f ca="1">IFERROR(__xludf.DUMMYFUNCTION("""COMPUTED_VALUE"""),"10.1109/PVSC.2015.7356272")</f>
        <v>10.1109/PVSC.2015.7356272</v>
      </c>
      <c r="I58" t="str">
        <f ca="1">IFERROR(__xludf.DUMMYFUNCTION("""COMPUTED_VALUE"""),"10.3390/en9080651")</f>
        <v>10.3390/en9080651</v>
      </c>
    </row>
    <row r="59" spans="1:9" ht="12.75">
      <c r="A59" s="3">
        <v>57</v>
      </c>
      <c r="C59" s="7" t="s">
        <v>56</v>
      </c>
      <c r="D59" s="7" t="s">
        <v>117</v>
      </c>
      <c r="E59" t="str">
        <f ca="1">IFERROR(__xludf.DUMMYFUNCTION("""COMPUTED_VALUE"""),"10.1109/ICCE-Berlin.2015.7391268")</f>
        <v>10.1109/ICCE-Berlin.2015.7391268</v>
      </c>
      <c r="F59" t="str">
        <f ca="1">IFERROR(__xludf.DUMMYFUNCTION("""COMPUTED_VALUE"""),"10.1109/ICCE-Berlin.2015.7391268")</f>
        <v>10.1109/ICCE-Berlin.2015.7391268</v>
      </c>
      <c r="H59" t="str">
        <f ca="1">IFERROR(__xludf.DUMMYFUNCTION("""COMPUTED_VALUE"""),"10.1109/PVSC.2015.7356297")</f>
        <v>10.1109/PVSC.2015.7356297</v>
      </c>
      <c r="I59" t="str">
        <f ca="1">IFERROR(__xludf.DUMMYFUNCTION("""COMPUTED_VALUE"""),"10.6113/JPE.2016.16.1.340")</f>
        <v>10.6113/JPE.2016.16.1.340</v>
      </c>
    </row>
    <row r="60" spans="1:9" ht="12.75">
      <c r="A60" s="3">
        <v>58</v>
      </c>
      <c r="C60" s="7" t="s">
        <v>118</v>
      </c>
      <c r="D60" s="7" t="s">
        <v>82</v>
      </c>
      <c r="E60" t="str">
        <f ca="1">IFERROR(__xludf.DUMMYFUNCTION("""COMPUTED_VALUE"""),"10.1109/SPEC.2016.7846222")</f>
        <v>10.1109/SPEC.2016.7846222</v>
      </c>
      <c r="F60" t="str">
        <f ca="1">IFERROR(__xludf.DUMMYFUNCTION("""COMPUTED_VALUE"""),"10.1109/SPEC.2016.7846222")</f>
        <v>10.1109/SPEC.2016.7846222</v>
      </c>
      <c r="H60" t="str">
        <f ca="1">IFERROR(__xludf.DUMMYFUNCTION("""COMPUTED_VALUE"""),"10.1109/ECCE.2015.7310108")</f>
        <v>10.1109/ECCE.2015.7310108</v>
      </c>
      <c r="I60" t="str">
        <f ca="1">IFERROR(__xludf.DUMMYFUNCTION("""COMPUTED_VALUE"""),"10.1109/IFEEC.2015.7361508")</f>
        <v>10.1109/IFEEC.2015.7361508</v>
      </c>
    </row>
    <row r="61" spans="1:9" ht="12.75">
      <c r="A61" s="3">
        <v>59</v>
      </c>
      <c r="C61" s="7" t="s">
        <v>119</v>
      </c>
      <c r="D61" s="7" t="s">
        <v>120</v>
      </c>
      <c r="E61" t="str">
        <f ca="1">IFERROR(__xludf.DUMMYFUNCTION("""COMPUTED_VALUE"""),"10.1109/ECCE.2016.7854926")</f>
        <v>10.1109/ECCE.2016.7854926</v>
      </c>
      <c r="F61" t="str">
        <f ca="1">IFERROR(__xludf.DUMMYFUNCTION("""COMPUTED_VALUE"""),"10.1109/ECCE.2016.7854926")</f>
        <v>10.1109/ECCE.2016.7854926</v>
      </c>
      <c r="H61" t="str">
        <f ca="1">IFERROR(__xludf.DUMMYFUNCTION("""COMPUTED_VALUE"""),"10.1109/ICUE.2015.7280278")</f>
        <v>10.1109/ICUE.2015.7280278</v>
      </c>
      <c r="I61" t="str">
        <f ca="1">IFERROR(__xludf.DUMMYFUNCTION("""COMPUTED_VALUE"""),"10.1109/PVSC.2015.7356272")</f>
        <v>10.1109/PVSC.2015.7356272</v>
      </c>
    </row>
    <row r="62" spans="1:9" ht="12.75">
      <c r="A62" s="3">
        <v>60</v>
      </c>
      <c r="C62" s="7" t="s">
        <v>121</v>
      </c>
      <c r="D62" s="7" t="s">
        <v>122</v>
      </c>
      <c r="E62" t="str">
        <f ca="1">IFERROR(__xludf.DUMMYFUNCTION("""COMPUTED_VALUE"""),"10.3390/en9080651")</f>
        <v>10.3390/en9080651</v>
      </c>
      <c r="F62" t="str">
        <f ca="1">IFERROR(__xludf.DUMMYFUNCTION("""COMPUTED_VALUE"""),"10.3390/en9080651")</f>
        <v>10.3390/en9080651</v>
      </c>
      <c r="H62" t="str">
        <f ca="1">IFERROR(__xludf.DUMMYFUNCTION("""COMPUTED_VALUE"""),"10.1016/j.rser.2014.11.054")</f>
        <v>10.1016/j.rser.2014.11.054</v>
      </c>
      <c r="I62" t="str">
        <f ca="1">IFERROR(__xludf.DUMMYFUNCTION("""COMPUTED_VALUE"""),"10.1109/PVSC.2015.7356297")</f>
        <v>10.1109/PVSC.2015.7356297</v>
      </c>
    </row>
    <row r="63" spans="1:9" ht="12.75">
      <c r="A63" s="3">
        <v>61</v>
      </c>
      <c r="C63" s="8"/>
      <c r="D63" s="7" t="s">
        <v>123</v>
      </c>
      <c r="E63" t="str">
        <f ca="1">IFERROR(__xludf.DUMMYFUNCTION("""COMPUTED_VALUE"""),"10.6113/JPE.2016.16.1.340")</f>
        <v>10.6113/JPE.2016.16.1.340</v>
      </c>
      <c r="F63" t="str">
        <f ca="1">IFERROR(__xludf.DUMMYFUNCTION("""COMPUTED_VALUE"""),"10.6113/JPE.2016.16.1.340")</f>
        <v>10.6113/JPE.2016.16.1.340</v>
      </c>
      <c r="H63" t="str">
        <f ca="1">IFERROR(__xludf.DUMMYFUNCTION("""COMPUTED_VALUE"""),"10.1109/TSTE.2014.2360628")</f>
        <v>10.1109/TSTE.2014.2360628</v>
      </c>
      <c r="I63" t="str">
        <f ca="1">IFERROR(__xludf.DUMMYFUNCTION("""COMPUTED_VALUE"""),"10.1109/ECCE.2015.7310108")</f>
        <v>10.1109/ECCE.2015.7310108</v>
      </c>
    </row>
    <row r="64" spans="1:9" ht="12.75">
      <c r="A64" s="3">
        <v>62</v>
      </c>
      <c r="C64" s="7" t="s">
        <v>124</v>
      </c>
      <c r="D64" s="7" t="s">
        <v>111</v>
      </c>
      <c r="E64" t="str">
        <f ca="1">IFERROR(__xludf.DUMMYFUNCTION("""COMPUTED_VALUE"""),"10.1109/IFEEC.2015.7361508")</f>
        <v>10.1109/IFEEC.2015.7361508</v>
      </c>
      <c r="F64" t="str">
        <f ca="1">IFERROR(__xludf.DUMMYFUNCTION("""COMPUTED_VALUE"""),"10.1109/IFEEC.2015.7361508")</f>
        <v>10.1109/IFEEC.2015.7361508</v>
      </c>
      <c r="H64" t="str">
        <f ca="1">IFERROR(__xludf.DUMMYFUNCTION("""COMPUTED_VALUE"""),"10.1109/ICDCM.2015.7152057")</f>
        <v>10.1109/ICDCM.2015.7152057</v>
      </c>
      <c r="I64" t="str">
        <f ca="1">IFERROR(__xludf.DUMMYFUNCTION("""COMPUTED_VALUE"""),"10.1109/ICUE.2015.7280278")</f>
        <v>10.1109/ICUE.2015.7280278</v>
      </c>
    </row>
    <row r="65" spans="1:9" ht="12.75">
      <c r="A65" s="3">
        <v>63</v>
      </c>
      <c r="C65" s="7" t="s">
        <v>125</v>
      </c>
      <c r="D65" s="7" t="s">
        <v>126</v>
      </c>
      <c r="E65" t="str">
        <f ca="1">IFERROR(__xludf.DUMMYFUNCTION("""COMPUTED_VALUE"""),"10.1109/PVSC.2015.7356272")</f>
        <v>10.1109/PVSC.2015.7356272</v>
      </c>
      <c r="F65" t="str">
        <f ca="1">IFERROR(__xludf.DUMMYFUNCTION("""COMPUTED_VALUE"""),"10.1109/PVSC.2015.7356272")</f>
        <v>10.1109/PVSC.2015.7356272</v>
      </c>
      <c r="H65" t="str">
        <f ca="1">IFERROR(__xludf.DUMMYFUNCTION("""COMPUTED_VALUE"""),"10.1109/ICDCM.2015.7152047")</f>
        <v>10.1109/ICDCM.2015.7152047</v>
      </c>
      <c r="I65" t="str">
        <f ca="1">IFERROR(__xludf.DUMMYFUNCTION("""COMPUTED_VALUE"""),"10.1109/TSTE.2014.2360628")</f>
        <v>10.1109/TSTE.2014.2360628</v>
      </c>
    </row>
    <row r="66" spans="1:9" ht="12.75">
      <c r="A66" s="3">
        <v>64</v>
      </c>
      <c r="C66" s="7" t="s">
        <v>127</v>
      </c>
      <c r="D66" s="7" t="s">
        <v>128</v>
      </c>
      <c r="E66" t="str">
        <f ca="1">IFERROR(__xludf.DUMMYFUNCTION("""COMPUTED_VALUE"""),"10.1109/PVSC.2015.7356297")</f>
        <v>10.1109/PVSC.2015.7356297</v>
      </c>
      <c r="F66" t="str">
        <f ca="1">IFERROR(__xludf.DUMMYFUNCTION("""COMPUTED_VALUE"""),"10.1109/PVSC.2015.7356297")</f>
        <v>10.1109/PVSC.2015.7356297</v>
      </c>
      <c r="H66" t="str">
        <f ca="1">IFERROR(__xludf.DUMMYFUNCTION("""COMPUTED_VALUE"""),"10.1049/cp.2015.1632")</f>
        <v>10.1049/cp.2015.1632</v>
      </c>
      <c r="I66" t="str">
        <f ca="1">IFERROR(__xludf.DUMMYFUNCTION("""COMPUTED_VALUE"""),"10.1109/ICDCM.2015.7152057")</f>
        <v>10.1109/ICDCM.2015.7152057</v>
      </c>
    </row>
    <row r="67" spans="1:9" ht="12.75">
      <c r="A67" s="3">
        <v>65</v>
      </c>
      <c r="C67" s="7" t="s">
        <v>129</v>
      </c>
      <c r="D67" s="8"/>
      <c r="E67" t="str">
        <f ca="1">IFERROR(__xludf.DUMMYFUNCTION("""COMPUTED_VALUE"""),"10.1109/ECCE.2015.7310108")</f>
        <v>10.1109/ECCE.2015.7310108</v>
      </c>
      <c r="F67" t="str">
        <f ca="1">IFERROR(__xludf.DUMMYFUNCTION("""COMPUTED_VALUE"""),"10.1109/ECCE.2015.7310108")</f>
        <v>10.1109/ECCE.2015.7310108</v>
      </c>
      <c r="H67" t="str">
        <f ca="1">IFERROR(__xludf.DUMMYFUNCTION("""COMPUTED_VALUE"""),"10.6113/JPE.2015.15.6.1609")</f>
        <v>10.6113/JPE.2015.15.6.1609</v>
      </c>
      <c r="I67" t="str">
        <f ca="1">IFERROR(__xludf.DUMMYFUNCTION("""COMPUTED_VALUE"""),"10.1109/ICDCM.2015.7152047")</f>
        <v>10.1109/ICDCM.2015.7152047</v>
      </c>
    </row>
    <row r="68" spans="1:9" ht="12.75">
      <c r="A68" s="3">
        <v>66</v>
      </c>
      <c r="C68" s="7" t="s">
        <v>130</v>
      </c>
      <c r="D68" s="7" t="s">
        <v>131</v>
      </c>
      <c r="E68" t="str">
        <f ca="1">IFERROR(__xludf.DUMMYFUNCTION("""COMPUTED_VALUE"""),"10.1109/ICUE.2015.7280278")</f>
        <v>10.1109/ICUE.2015.7280278</v>
      </c>
      <c r="F68" t="str">
        <f ca="1">IFERROR(__xludf.DUMMYFUNCTION("""COMPUTED_VALUE"""),"10.1109/ICUE.2015.7280278")</f>
        <v>10.1109/ICUE.2015.7280278</v>
      </c>
      <c r="H68" t="str">
        <f ca="1">IFERROR(__xludf.DUMMYFUNCTION("""COMPUTED_VALUE"""),"10.5370/JEET.2015.10.3.786")</f>
        <v>10.5370/JEET.2015.10.3.786</v>
      </c>
      <c r="I68" t="str">
        <f ca="1">IFERROR(__xludf.DUMMYFUNCTION("""COMPUTED_VALUE"""),"10.1049/cp.2015.1632")</f>
        <v>10.1049/cp.2015.1632</v>
      </c>
    </row>
    <row r="69" spans="1:9" ht="12.75">
      <c r="A69" s="3">
        <v>67</v>
      </c>
      <c r="C69" s="7" t="s">
        <v>132</v>
      </c>
      <c r="D69" s="7" t="s">
        <v>133</v>
      </c>
      <c r="E69" t="str">
        <f ca="1">IFERROR(__xludf.DUMMYFUNCTION("""COMPUTED_VALUE"""),"10.1016/j.rser.2014.11.054")</f>
        <v>10.1016/j.rser.2014.11.054</v>
      </c>
      <c r="F69" t="str">
        <f ca="1">IFERROR(__xludf.DUMMYFUNCTION("""COMPUTED_VALUE"""),"10.1016/j.rser.2014.11.054")</f>
        <v>10.1016/j.rser.2014.11.054</v>
      </c>
      <c r="H69" t="str">
        <f ca="1">IFERROR(__xludf.DUMMYFUNCTION("""COMPUTED_VALUE"""),"10.1109/ICCEP.2015.7177621")</f>
        <v>10.1109/ICCEP.2015.7177621</v>
      </c>
      <c r="I69" t="str">
        <f ca="1">IFERROR(__xludf.DUMMYFUNCTION("""COMPUTED_VALUE"""),"10.6113/JPE.2015.15.6.1609")</f>
        <v>10.6113/JPE.2015.15.6.1609</v>
      </c>
    </row>
    <row r="70" spans="1:9" ht="12.75">
      <c r="A70" s="3">
        <v>68</v>
      </c>
      <c r="C70" s="7" t="s">
        <v>134</v>
      </c>
      <c r="D70" s="7" t="s">
        <v>135</v>
      </c>
      <c r="E70" t="str">
        <f ca="1">IFERROR(__xludf.DUMMYFUNCTION("""COMPUTED_VALUE"""),"10.1109/TSTE.2014.2360628")</f>
        <v>10.1109/TSTE.2014.2360628</v>
      </c>
      <c r="F70" t="str">
        <f ca="1">IFERROR(__xludf.DUMMYFUNCTION("""COMPUTED_VALUE"""),"10.1109/TSTE.2014.2360628")</f>
        <v>10.1109/TSTE.2014.2360628</v>
      </c>
      <c r="H70" t="str">
        <f ca="1">IFERROR(__xludf.DUMMYFUNCTION("""COMPUTED_VALUE"""),"10.1109/TASC.2014.2333031")</f>
        <v>10.1109/TASC.2014.2333031</v>
      </c>
      <c r="I70" t="str">
        <f ca="1">IFERROR(__xludf.DUMMYFUNCTION("""COMPUTED_VALUE"""),"10.5370/JEET.2015.10.3.786")</f>
        <v>10.5370/JEET.2015.10.3.786</v>
      </c>
    </row>
    <row r="71" spans="1:9" ht="12.75">
      <c r="A71" s="3">
        <v>69</v>
      </c>
      <c r="C71" s="7" t="s">
        <v>136</v>
      </c>
      <c r="D71" s="7" t="s">
        <v>137</v>
      </c>
      <c r="E71" t="str">
        <f ca="1">IFERROR(__xludf.DUMMYFUNCTION("""COMPUTED_VALUE"""),"10.1109/ICDCM.2015.7152057")</f>
        <v>10.1109/ICDCM.2015.7152057</v>
      </c>
      <c r="F71" t="str">
        <f ca="1">IFERROR(__xludf.DUMMYFUNCTION("""COMPUTED_VALUE"""),"10.1109/ICDCM.2015.7152057")</f>
        <v>10.1109/ICDCM.2015.7152057</v>
      </c>
      <c r="H71" t="str">
        <f ca="1">IFERROR(__xludf.DUMMYFUNCTION("""COMPUTED_VALUE"""),"10.1109/PEAC.2014.7037883")</f>
        <v>10.1109/PEAC.2014.7037883</v>
      </c>
      <c r="I71" t="str">
        <f ca="1">IFERROR(__xludf.DUMMYFUNCTION("""COMPUTED_VALUE"""),"10.1109/ICCEP.2015.7177621")</f>
        <v>10.1109/ICCEP.2015.7177621</v>
      </c>
    </row>
    <row r="72" spans="1:9" ht="12.75">
      <c r="A72" s="3">
        <v>70</v>
      </c>
      <c r="C72" s="7" t="s">
        <v>138</v>
      </c>
      <c r="D72" s="7" t="s">
        <v>134</v>
      </c>
      <c r="E72" t="str">
        <f ca="1">IFERROR(__xludf.DUMMYFUNCTION("""COMPUTED_VALUE"""),"10.1109/ICDCM.2015.7152047")</f>
        <v>10.1109/ICDCM.2015.7152047</v>
      </c>
      <c r="F72" t="str">
        <f ca="1">IFERROR(__xludf.DUMMYFUNCTION("""COMPUTED_VALUE"""),"10.1109/ICDCM.2015.7152047")</f>
        <v>10.1109/ICDCM.2015.7152047</v>
      </c>
      <c r="H72" t="str">
        <f ca="1">IFERROR(__xludf.DUMMYFUNCTION("""COMPUTED_VALUE"""),"10.1109/INPAC.2014.6981129")</f>
        <v>10.1109/INPAC.2014.6981129</v>
      </c>
      <c r="I72" t="str">
        <f ca="1">IFERROR(__xludf.DUMMYFUNCTION("""COMPUTED_VALUE"""),"10.1109/TASC.2014.2333031")</f>
        <v>10.1109/TASC.2014.2333031</v>
      </c>
    </row>
    <row r="73" spans="1:9" ht="12.75">
      <c r="A73" s="3">
        <v>71</v>
      </c>
      <c r="C73" s="7" t="s">
        <v>139</v>
      </c>
      <c r="D73" s="7" t="s">
        <v>140</v>
      </c>
      <c r="E73" t="str">
        <f ca="1">IFERROR(__xludf.DUMMYFUNCTION("""COMPUTED_VALUE"""),"10.1049/cp.2015.1632")</f>
        <v>10.1049/cp.2015.1632</v>
      </c>
      <c r="F73" t="str">
        <f ca="1">IFERROR(__xludf.DUMMYFUNCTION("""COMPUTED_VALUE"""),"10.1049/cp.2015.1632")</f>
        <v>10.1049/cp.2015.1632</v>
      </c>
      <c r="H73" t="str">
        <f ca="1">IFERROR(__xludf.DUMMYFUNCTION("""COMPUTED_VALUE"""),"10.1109/TEC.2014.2329236")</f>
        <v>10.1109/TEC.2014.2329236</v>
      </c>
      <c r="I73" t="str">
        <f ca="1">IFERROR(__xludf.DUMMYFUNCTION("""COMPUTED_VALUE"""),"10.1109/PEAC.2014.7037883")</f>
        <v>10.1109/PEAC.2014.7037883</v>
      </c>
    </row>
    <row r="74" spans="1:9" ht="12.75">
      <c r="A74" s="3">
        <v>72</v>
      </c>
      <c r="C74" s="7" t="s">
        <v>141</v>
      </c>
      <c r="D74" s="7" t="s">
        <v>142</v>
      </c>
      <c r="E74" t="str">
        <f ca="1">IFERROR(__xludf.DUMMYFUNCTION("""COMPUTED_VALUE"""),"10.6113/JPE.2015.15.6.1609")</f>
        <v>10.6113/JPE.2015.15.6.1609</v>
      </c>
      <c r="F74" t="str">
        <f ca="1">IFERROR(__xludf.DUMMYFUNCTION("""COMPUTED_VALUE"""),"10.6113/JPE.2015.15.6.1609")</f>
        <v>10.6113/JPE.2015.15.6.1609</v>
      </c>
      <c r="I74" t="str">
        <f ca="1">IFERROR(__xludf.DUMMYFUNCTION("""COMPUTED_VALUE"""),"10.1109/INPAC.2014.6981129")</f>
        <v>10.1109/INPAC.2014.6981129</v>
      </c>
    </row>
    <row r="75" spans="1:9" ht="12.75">
      <c r="A75" s="3">
        <v>73</v>
      </c>
      <c r="C75" s="7" t="s">
        <v>143</v>
      </c>
      <c r="D75" s="7" t="s">
        <v>144</v>
      </c>
      <c r="E75" t="str">
        <f ca="1">IFERROR(__xludf.DUMMYFUNCTION("""COMPUTED_VALUE"""),"10.5370/JEET.2015.10.3.786")</f>
        <v>10.5370/JEET.2015.10.3.786</v>
      </c>
      <c r="F75" t="str">
        <f ca="1">IFERROR(__xludf.DUMMYFUNCTION("""COMPUTED_VALUE"""),"10.5370/JEET.2015.10.3.786")</f>
        <v>10.5370/JEET.2015.10.3.786</v>
      </c>
      <c r="H75" t="str">
        <f ca="1">IFERROR(__xludf.DUMMYFUNCTION("""COMPUTED_VALUE"""),"10.1109/PEDSTC.2014.6799349")</f>
        <v>10.1109/PEDSTC.2014.6799349</v>
      </c>
      <c r="I75" t="str">
        <f ca="1">IFERROR(__xludf.DUMMYFUNCTION("""COMPUTED_VALUE"""),"10.1109/TEC.2014.2329236")</f>
        <v>10.1109/TEC.2014.2329236</v>
      </c>
    </row>
    <row r="76" spans="1:9" ht="12.75">
      <c r="A76" s="3">
        <v>74</v>
      </c>
      <c r="C76" s="7" t="s">
        <v>145</v>
      </c>
      <c r="D76" s="7" t="s">
        <v>146</v>
      </c>
      <c r="E76" t="str">
        <f ca="1">IFERROR(__xludf.DUMMYFUNCTION("""COMPUTED_VALUE"""),"10.1109/ICCEP.2015.7177621")</f>
        <v>10.1109/ICCEP.2015.7177621</v>
      </c>
      <c r="F76" t="str">
        <f ca="1">IFERROR(__xludf.DUMMYFUNCTION("""COMPUTED_VALUE"""),"10.1109/ICCEP.2015.7177621")</f>
        <v>10.1109/ICCEP.2015.7177621</v>
      </c>
      <c r="H76" t="str">
        <f ca="1">IFERROR(__xludf.DUMMYFUNCTION("""COMPUTED_VALUE"""),"10.1109/EPE.2014.6910922")</f>
        <v>10.1109/EPE.2014.6910922</v>
      </c>
      <c r="I76" t="str">
        <f ca="1">IFERROR(__xludf.DUMMYFUNCTION("""COMPUTED_VALUE"""),"10.1109/PEDSTC.2014.6799349")</f>
        <v>10.1109/PEDSTC.2014.6799349</v>
      </c>
    </row>
    <row r="77" spans="1:9" ht="12.75">
      <c r="A77" s="3">
        <v>75</v>
      </c>
      <c r="C77" s="7" t="s">
        <v>147</v>
      </c>
      <c r="D77" s="7" t="s">
        <v>148</v>
      </c>
      <c r="E77" t="str">
        <f ca="1">IFERROR(__xludf.DUMMYFUNCTION("""COMPUTED_VALUE"""),"10.1109/TASC.2014.2333031")</f>
        <v>10.1109/TASC.2014.2333031</v>
      </c>
      <c r="F77" t="str">
        <f ca="1">IFERROR(__xludf.DUMMYFUNCTION("""COMPUTED_VALUE"""),"10.1109/TASC.2014.2333031")</f>
        <v>10.1109/TASC.2014.2333031</v>
      </c>
      <c r="I77" t="str">
        <f ca="1">IFERROR(__xludf.DUMMYFUNCTION("""COMPUTED_VALUE"""),"10.1109/EPE.2014.6910922")</f>
        <v>10.1109/EPE.2014.6910922</v>
      </c>
    </row>
    <row r="78" spans="1:9" ht="12.75">
      <c r="A78" s="3">
        <v>76</v>
      </c>
      <c r="C78" s="7" t="s">
        <v>149</v>
      </c>
      <c r="D78" s="7" t="s">
        <v>150</v>
      </c>
      <c r="E78" t="str">
        <f ca="1">IFERROR(__xludf.DUMMYFUNCTION("""COMPUTED_VALUE"""),"10.1109/PEAC.2014.7037883")</f>
        <v>10.1109/PEAC.2014.7037883</v>
      </c>
      <c r="F78" t="str">
        <f ca="1">IFERROR(__xludf.DUMMYFUNCTION("""COMPUTED_VALUE"""),"10.1109/PEAC.2014.7037883")</f>
        <v>10.1109/PEAC.2014.7037883</v>
      </c>
    </row>
    <row r="79" spans="1:9" ht="12.75">
      <c r="A79" s="3">
        <v>77</v>
      </c>
      <c r="C79" s="7" t="s">
        <v>151</v>
      </c>
      <c r="D79" s="7" t="s">
        <v>152</v>
      </c>
      <c r="E79" t="str">
        <f ca="1">IFERROR(__xludf.DUMMYFUNCTION("""COMPUTED_VALUE"""),"10.1109/INPAC.2014.6981129")</f>
        <v>10.1109/INPAC.2014.6981129</v>
      </c>
      <c r="F79" t="str">
        <f ca="1">IFERROR(__xludf.DUMMYFUNCTION("""COMPUTED_VALUE"""),"10.1109/INPAC.2014.6981129")</f>
        <v>10.1109/INPAC.2014.6981129</v>
      </c>
    </row>
    <row r="80" spans="1:9" ht="12.75">
      <c r="A80" s="3">
        <v>78</v>
      </c>
      <c r="C80" s="7" t="s">
        <v>153</v>
      </c>
      <c r="D80" s="7" t="s">
        <v>154</v>
      </c>
      <c r="E80" t="str">
        <f ca="1">IFERROR(__xludf.DUMMYFUNCTION("""COMPUTED_VALUE"""),"10.1109/TEC.2014.2329236")</f>
        <v>10.1109/TEC.2014.2329236</v>
      </c>
      <c r="F80" t="str">
        <f ca="1">IFERROR(__xludf.DUMMYFUNCTION("""COMPUTED_VALUE"""),"10.1109/TEC.2014.2329236")</f>
        <v>10.1109/TEC.2014.2329236</v>
      </c>
    </row>
    <row r="81" spans="1:6" ht="12.75">
      <c r="A81" s="3">
        <v>79</v>
      </c>
      <c r="C81" s="7" t="s">
        <v>155</v>
      </c>
      <c r="D81" s="7" t="s">
        <v>156</v>
      </c>
      <c r="E81" t="str">
        <f ca="1">IFERROR(__xludf.DUMMYFUNCTION("""COMPUTED_VALUE"""),"10.1109/PEDSTC.2014.6799349")</f>
        <v>10.1109/PEDSTC.2014.6799349</v>
      </c>
      <c r="F81" t="str">
        <f ca="1">IFERROR(__xludf.DUMMYFUNCTION("""COMPUTED_VALUE"""),"10.1109/PEDSTC.2014.6799349")</f>
        <v>10.1109/PEDSTC.2014.6799349</v>
      </c>
    </row>
    <row r="82" spans="1:6" ht="12.75">
      <c r="A82" s="3">
        <v>80</v>
      </c>
      <c r="C82" s="8"/>
      <c r="D82" s="7" t="s">
        <v>157</v>
      </c>
      <c r="E82" t="str">
        <f ca="1">IFERROR(__xludf.DUMMYFUNCTION("""COMPUTED_VALUE"""),"10.1109/EPE.2014.6910922")</f>
        <v>10.1109/EPE.2014.6910922</v>
      </c>
      <c r="F82" t="str">
        <f ca="1">IFERROR(__xludf.DUMMYFUNCTION("""COMPUTED_VALUE"""),"10.1109/EPE.2014.6910922")</f>
        <v>10.1109/EPE.2014.6910922</v>
      </c>
    </row>
    <row r="83" spans="1:6" ht="12.75">
      <c r="A83" s="3">
        <v>81</v>
      </c>
      <c r="C83" s="7" t="s">
        <v>158</v>
      </c>
      <c r="D83" s="8"/>
      <c r="F83" t="str">
        <f ca="1">IFERROR(__xludf.DUMMYFUNCTION("""COMPUTED_VALUE"""),"10.1109/TII.2019.2941268")</f>
        <v>10.1109/TII.2019.2941268</v>
      </c>
    </row>
    <row r="84" spans="1:6" ht="12.75">
      <c r="A84" s="3">
        <v>82</v>
      </c>
      <c r="C84" s="7" t="s">
        <v>159</v>
      </c>
      <c r="D84" s="7" t="s">
        <v>160</v>
      </c>
      <c r="F84" t="str">
        <f ca="1">IFERROR(__xludf.DUMMYFUNCTION("""COMPUTED_VALUE"""),"10.1016/0022-2313(79)90235-7")</f>
        <v>10.1016/0022-2313(79)90235-7</v>
      </c>
    </row>
    <row r="85" spans="1:6" ht="12.75">
      <c r="A85" s="3">
        <v>83</v>
      </c>
      <c r="D85" s="7" t="s">
        <v>161</v>
      </c>
      <c r="F85" t="str">
        <f ca="1">IFERROR(__xludf.DUMMYFUNCTION("""COMPUTED_VALUE"""),"10.3390/resources4030713")</f>
        <v>10.3390/resources4030713</v>
      </c>
    </row>
    <row r="86" spans="1:6" ht="12.75">
      <c r="A86" s="3">
        <v>84</v>
      </c>
      <c r="D86" s="7" t="s">
        <v>162</v>
      </c>
      <c r="F86" t="str">
        <f ca="1">IFERROR(__xludf.DUMMYFUNCTION("""COMPUTED_VALUE"""),"10.1109/PSCC.2016.7541031")</f>
        <v>10.1109/PSCC.2016.7541031</v>
      </c>
    </row>
    <row r="87" spans="1:6" ht="12.75">
      <c r="A87" s="3">
        <v>85</v>
      </c>
      <c r="D87" s="7" t="s">
        <v>163</v>
      </c>
      <c r="F87" t="str">
        <f ca="1">IFERROR(__xludf.DUMMYFUNCTION("""COMPUTED_VALUE"""),"10.1038/d41586-019-02014-8")</f>
        <v>10.1038/d41586-019-02014-8</v>
      </c>
    </row>
    <row r="88" spans="1:6" ht="12.75">
      <c r="A88" s="3">
        <v>86</v>
      </c>
      <c r="D88" s="8"/>
      <c r="F88" t="str">
        <f ca="1">IFERROR(__xludf.DUMMYFUNCTION("""COMPUTED_VALUE"""),"10.1109/ICDCM.2017.8001042")</f>
        <v>10.1109/ICDCM.2017.8001042</v>
      </c>
    </row>
    <row r="89" spans="1:6" ht="12.75">
      <c r="A89" s="3">
        <v>87</v>
      </c>
      <c r="D89" s="8"/>
      <c r="F89" t="str">
        <f ca="1">IFERROR(__xludf.DUMMYFUNCTION("""COMPUTED_VALUE"""),"10.1109/ICCTCT.2018.8551175")</f>
        <v>10.1109/ICCTCT.2018.8551175</v>
      </c>
    </row>
    <row r="90" spans="1:6" ht="12.75">
      <c r="A90" s="3">
        <v>88</v>
      </c>
      <c r="D90" s="7" t="s">
        <v>27</v>
      </c>
      <c r="F90" t="str">
        <f ca="1">IFERROR(__xludf.DUMMYFUNCTION("""COMPUTED_VALUE"""),"10.1016/j.solener.2018.12.008")</f>
        <v>10.1016/j.solener.2018.12.008</v>
      </c>
    </row>
    <row r="91" spans="1:6" ht="12.75">
      <c r="D91" s="7" t="s">
        <v>164</v>
      </c>
      <c r="F91" t="str">
        <f ca="1">IFERROR(__xludf.DUMMYFUNCTION("""COMPUTED_VALUE"""),"10.1109/APEC.2010.5433612")</f>
        <v>10.1109/APEC.2010.5433612</v>
      </c>
    </row>
    <row r="92" spans="1:6" ht="12.75">
      <c r="D92" s="8"/>
      <c r="F92" t="str">
        <f ca="1">IFERROR(__xludf.DUMMYFUNCTION("""COMPUTED_VALUE"""),"10.1109/PTC.2019.8810563")</f>
        <v>10.1109/PTC.2019.8810563</v>
      </c>
    </row>
    <row r="93" spans="1:6" ht="12.75">
      <c r="D93" s="7" t="s">
        <v>165</v>
      </c>
      <c r="F93" t="str">
        <f ca="1">IFERROR(__xludf.DUMMYFUNCTION("""COMPUTED_VALUE"""),"10.1016/j.scs.2018.01.010")</f>
        <v>10.1016/j.scs.2018.01.010</v>
      </c>
    </row>
    <row r="94" spans="1:6" ht="12.75">
      <c r="D94" s="7" t="s">
        <v>166</v>
      </c>
      <c r="F94" t="str">
        <f ca="1">IFERROR(__xludf.DUMMYFUNCTION("""COMPUTED_VALUE"""),"10.1109/ISGTEurope.2012.6465882")</f>
        <v>10.1109/ISGTEurope.2012.6465882</v>
      </c>
    </row>
    <row r="95" spans="1:6" ht="12.75">
      <c r="D95" s="8"/>
      <c r="F95" t="str">
        <f ca="1">IFERROR(__xludf.DUMMYFUNCTION("""COMPUTED_VALUE"""),"10.1109/NAPS.2011.6024858")</f>
        <v>10.1109/NAPS.2011.6024858</v>
      </c>
    </row>
    <row r="96" spans="1:6" ht="12.75">
      <c r="D96" s="7" t="s">
        <v>167</v>
      </c>
      <c r="F96" t="str">
        <f ca="1">IFERROR(__xludf.DUMMYFUNCTION("""COMPUTED_VALUE"""),"10.1016/j.solener.2016.05.045")</f>
        <v>10.1016/j.solener.2016.05.045</v>
      </c>
    </row>
    <row r="97" spans="4:6" ht="12.75">
      <c r="D97" s="7" t="s">
        <v>168</v>
      </c>
      <c r="F97" t="str">
        <f ca="1">IFERROR(__xludf.DUMMYFUNCTION("""COMPUTED_VALUE"""),"10.1049/oap-cired.2017.0974")</f>
        <v>10.1049/oap-cired.2017.0974</v>
      </c>
    </row>
    <row r="98" spans="4:6" ht="12.75">
      <c r="D98" s="7" t="s">
        <v>60</v>
      </c>
      <c r="F98" t="str">
        <f ca="1">IFERROR(__xludf.DUMMYFUNCTION("""COMPUTED_VALUE"""),"10.1109/TMECH.2015.2506818")</f>
        <v>10.1109/TMECH.2015.2506818</v>
      </c>
    </row>
    <row r="99" spans="4:6" ht="12.75">
      <c r="D99" s="7" t="s">
        <v>65</v>
      </c>
      <c r="F99" t="str">
        <f ca="1">IFERROR(__xludf.DUMMYFUNCTION("""COMPUTED_VALUE"""),"10.1109/ICDCM.2017.8001098")</f>
        <v>10.1109/ICDCM.2017.8001098</v>
      </c>
    </row>
    <row r="100" spans="4:6" ht="12.75">
      <c r="D100" s="7" t="s">
        <v>169</v>
      </c>
      <c r="F100" t="str">
        <f ca="1">IFERROR(__xludf.DUMMYFUNCTION("""COMPUTED_VALUE"""),"10.1038/s41597-019-0199-y")</f>
        <v>10.1038/s41597-019-0199-y</v>
      </c>
    </row>
    <row r="101" spans="4:6" ht="12.75">
      <c r="D101" s="7" t="s">
        <v>170</v>
      </c>
      <c r="F101" t="str">
        <f ca="1">IFERROR(__xludf.DUMMYFUNCTION("""COMPUTED_VALUE"""),"10.1109/ICDCM.2017.8001057")</f>
        <v>10.1109/ICDCM.2017.8001057</v>
      </c>
    </row>
    <row r="102" spans="4:6" ht="12.75">
      <c r="D102" s="7" t="s">
        <v>171</v>
      </c>
      <c r="F102" t="str">
        <f ca="1">IFERROR(__xludf.DUMMYFUNCTION("""COMPUTED_VALUE"""),"10.1016/j.apenergy.2017.12.048")</f>
        <v>10.1016/j.apenergy.2017.12.048</v>
      </c>
    </row>
    <row r="103" spans="4:6" ht="12.75">
      <c r="D103" s="7" t="s">
        <v>172</v>
      </c>
      <c r="F103" t="str">
        <f ca="1">IFERROR(__xludf.DUMMYFUNCTION("""COMPUTED_VALUE"""),"10.1109/T-PAS.1977.32405")</f>
        <v>10.1109/T-PAS.1977.32405</v>
      </c>
    </row>
    <row r="104" spans="4:6" ht="12.75">
      <c r="D104" s="7" t="s">
        <v>173</v>
      </c>
      <c r="F104" t="str">
        <f ca="1">IFERROR(__xludf.DUMMYFUNCTION("""COMPUTED_VALUE"""),"10.1016/j.apenergy.2018.04.103")</f>
        <v>10.1016/j.apenergy.2018.04.103</v>
      </c>
    </row>
    <row r="105" spans="4:6" ht="12.75">
      <c r="D105" s="7" t="s">
        <v>174</v>
      </c>
      <c r="F105" t="str">
        <f ca="1">IFERROR(__xludf.DUMMYFUNCTION("""COMPUTED_VALUE"""),"10.1016/j.ijforecast.2015.11.009")</f>
        <v>10.1016/j.ijforecast.2015.11.009</v>
      </c>
    </row>
    <row r="106" spans="4:6" ht="12.75">
      <c r="D106" s="7" t="s">
        <v>59</v>
      </c>
      <c r="F106" t="str">
        <f ca="1">IFERROR(__xludf.DUMMYFUNCTION("""COMPUTED_VALUE"""),"10.1155/2018/2717129")</f>
        <v>10.1155/2018/2717129</v>
      </c>
    </row>
    <row r="107" spans="4:6" ht="12.75">
      <c r="D107" s="7" t="s">
        <v>175</v>
      </c>
      <c r="F107" t="str">
        <f ca="1">IFERROR(__xludf.DUMMYFUNCTION("""COMPUTED_VALUE"""),"10.1016/j.rser.2013.03.067")</f>
        <v>10.1016/j.rser.2013.03.067</v>
      </c>
    </row>
    <row r="108" spans="4:6" ht="12.75">
      <c r="D108" s="7" t="s">
        <v>176</v>
      </c>
      <c r="F108" t="str">
        <f ca="1">IFERROR(__xludf.DUMMYFUNCTION("""COMPUTED_VALUE"""),"10.1016/j.epsr.2017.01.021")</f>
        <v>10.1016/j.epsr.2017.01.021</v>
      </c>
    </row>
    <row r="109" spans="4:6" ht="12.75">
      <c r="D109" s="7" t="s">
        <v>177</v>
      </c>
      <c r="F109" t="str">
        <f ca="1">IFERROR(__xludf.DUMMYFUNCTION("""COMPUTED_VALUE"""),"10.3390/en6042110")</f>
        <v>10.3390/en6042110</v>
      </c>
    </row>
    <row r="110" spans="4:6" ht="12.75">
      <c r="D110" s="7" t="s">
        <v>123</v>
      </c>
      <c r="F110" t="str">
        <f ca="1">IFERROR(__xludf.DUMMYFUNCTION("""COMPUTED_VALUE"""),"10.1109/ISGTEurope.2011.6162642")</f>
        <v>10.1109/ISGTEurope.2011.6162642</v>
      </c>
    </row>
    <row r="111" spans="4:6" ht="12.75">
      <c r="D111" s="7" t="s">
        <v>178</v>
      </c>
      <c r="F111" t="str">
        <f ca="1">IFERROR(__xludf.DUMMYFUNCTION("""COMPUTED_VALUE"""),"10.1049/iet-rpg.2018.5116")</f>
        <v>10.1049/iet-rpg.2018.5116</v>
      </c>
    </row>
    <row r="112" spans="4:6" ht="12.75">
      <c r="D112" s="8"/>
      <c r="F112" t="str">
        <f ca="1">IFERROR(__xludf.DUMMYFUNCTION("""COMPUTED_VALUE"""),"10.1016/j.rser.2010.09.041")</f>
        <v>10.1016/j.rser.2010.09.041</v>
      </c>
    </row>
    <row r="113" spans="4:6" ht="12.75">
      <c r="D113" s="7" t="s">
        <v>179</v>
      </c>
      <c r="F113" t="str">
        <f ca="1">IFERROR(__xludf.DUMMYFUNCTION("""COMPUTED_VALUE"""),"10.17501/icoah.2017.4201.")</f>
        <v>10.17501/icoah.2017.4201.</v>
      </c>
    </row>
    <row r="114" spans="4:6" ht="12.75">
      <c r="D114" s="7" t="s">
        <v>59</v>
      </c>
      <c r="F114" t="str">
        <f ca="1">IFERROR(__xludf.DUMMYFUNCTION("""COMPUTED_VALUE"""),"10.1016/j.rser.2015.07.194")</f>
        <v>10.1016/j.rser.2015.07.194</v>
      </c>
    </row>
    <row r="115" spans="4:6" ht="12.75">
      <c r="D115" s="7" t="s">
        <v>180</v>
      </c>
      <c r="F115" t="str">
        <f ca="1">IFERROR(__xludf.DUMMYFUNCTION("""COMPUTED_VALUE"""),"10.1016/j.epsr.2017.06.004")</f>
        <v>10.1016/j.epsr.2017.06.004</v>
      </c>
    </row>
    <row r="116" spans="4:6" ht="12.75">
      <c r="D116" s="7" t="s">
        <v>175</v>
      </c>
      <c r="F116" t="str">
        <f ca="1">IFERROR(__xludf.DUMMYFUNCTION("""COMPUTED_VALUE"""),"10.20944/preprints201702.0055.v1")</f>
        <v>10.20944/preprints201702.0055.v1</v>
      </c>
    </row>
    <row r="117" spans="4:6" ht="12.75">
      <c r="D117" s="7" t="s">
        <v>181</v>
      </c>
      <c r="F117" t="str">
        <f ca="1">IFERROR(__xludf.DUMMYFUNCTION("""COMPUTED_VALUE"""),"10.1016/j.ijepes.2018.06.057")</f>
        <v>10.1016/j.ijepes.2018.06.057</v>
      </c>
    </row>
    <row r="118" spans="4:6" ht="12.75">
      <c r="D118" s="8"/>
      <c r="F118" t="str">
        <f ca="1">IFERROR(__xludf.DUMMYFUNCTION("""COMPUTED_VALUE"""),"10.1038/s41598-019-47803-3")</f>
        <v>10.1038/s41598-019-47803-3</v>
      </c>
    </row>
    <row r="119" spans="4:6" ht="12.75">
      <c r="D119" s="7" t="s">
        <v>182</v>
      </c>
      <c r="F119" t="str">
        <f ca="1">IFERROR(__xludf.DUMMYFUNCTION("""COMPUTED_VALUE"""),"10.1016/j.epsr.2019.106009")</f>
        <v>10.1016/j.epsr.2019.106009</v>
      </c>
    </row>
    <row r="120" spans="4:6" ht="12.75">
      <c r="D120" s="7" t="s">
        <v>183</v>
      </c>
      <c r="F120" t="str">
        <f ca="1">IFERROR(__xludf.DUMMYFUNCTION("""COMPUTED_VALUE"""),"10.1049/iet-rpg.2018.6024")</f>
        <v>10.1049/iet-rpg.2018.6024</v>
      </c>
    </row>
    <row r="121" spans="4:6" ht="12.75">
      <c r="D121" s="7" t="s">
        <v>120</v>
      </c>
      <c r="F121" t="str">
        <f ca="1">IFERROR(__xludf.DUMMYFUNCTION("""COMPUTED_VALUE"""),"10.1016/j.scs.2019.101431")</f>
        <v>10.1016/j.scs.2019.101431</v>
      </c>
    </row>
    <row r="122" spans="4:6" ht="12.75">
      <c r="D122" s="7" t="s">
        <v>78</v>
      </c>
      <c r="F122" t="str">
        <f ca="1">IFERROR(__xludf.DUMMYFUNCTION("""COMPUTED_VALUE"""),"10.1109/ICDCM.2015.7152068")</f>
        <v>10.1109/ICDCM.2015.7152068</v>
      </c>
    </row>
    <row r="123" spans="4:6" ht="12.75">
      <c r="D123" s="8"/>
      <c r="F123" t="str">
        <f ca="1">IFERROR(__xludf.DUMMYFUNCTION("""COMPUTED_VALUE"""),"10.1007/978-3-030-23723-3_27")</f>
        <v>10.1007/978-3-030-23723-3_27</v>
      </c>
    </row>
    <row r="124" spans="4:6" ht="12.75">
      <c r="D124" s="7" t="s">
        <v>184</v>
      </c>
      <c r="F124" t="str">
        <f ca="1">IFERROR(__xludf.DUMMYFUNCTION("""COMPUTED_VALUE"""),"10.1016/j.rser.2018.08.002")</f>
        <v>10.1016/j.rser.2018.08.002</v>
      </c>
    </row>
    <row r="125" spans="4:6" ht="12.75">
      <c r="D125" s="7" t="s">
        <v>185</v>
      </c>
      <c r="F125" t="str">
        <f ca="1">IFERROR(__xludf.DUMMYFUNCTION("""COMPUTED_VALUE"""),"10.1109/EUROCON.2013.6625162")</f>
        <v>10.1109/EUROCON.2013.6625162</v>
      </c>
    </row>
    <row r="126" spans="4:6" ht="12.75">
      <c r="D126" s="8"/>
      <c r="F126" t="str">
        <f ca="1">IFERROR(__xludf.DUMMYFUNCTION("""COMPUTED_VALUE"""),"10.1109/COBEP.2009.5347744")</f>
        <v>10.1109/COBEP.2009.5347744</v>
      </c>
    </row>
    <row r="127" spans="4:6" ht="12.75">
      <c r="D127" s="7" t="s">
        <v>186</v>
      </c>
      <c r="F127" t="str">
        <f ca="1">IFERROR(__xludf.DUMMYFUNCTION("""COMPUTED_VALUE"""),"10.1038/s41586-019-1339-4")</f>
        <v>10.1038/s41586-019-1339-4</v>
      </c>
    </row>
    <row r="128" spans="4:6" ht="12.75">
      <c r="D128" s="7" t="s">
        <v>187</v>
      </c>
      <c r="F128" t="str">
        <f ca="1">IFERROR(__xludf.DUMMYFUNCTION("""COMPUTED_VALUE"""),"10.1016/j.rser.2015.07.013")</f>
        <v>10.1016/j.rser.2015.07.013</v>
      </c>
    </row>
    <row r="129" spans="4:6" ht="12.75">
      <c r="D129" s="7" t="s">
        <v>188</v>
      </c>
      <c r="F129" t="str">
        <f ca="1">IFERROR(__xludf.DUMMYFUNCTION("""COMPUTED_VALUE"""),"10.1038/nchem.1945")</f>
        <v>10.1038/nchem.1945</v>
      </c>
    </row>
    <row r="130" spans="4:6" ht="12.75">
      <c r="D130" s="8"/>
      <c r="F130" t="str">
        <f ca="1">IFERROR(__xludf.DUMMYFUNCTION("""COMPUTED_VALUE"""),"10.1049/iet-gtd.2014.0545")</f>
        <v>10.1049/iet-gtd.2014.0545</v>
      </c>
    </row>
    <row r="131" spans="4:6" ht="12.75">
      <c r="D131" s="7" t="s">
        <v>189</v>
      </c>
      <c r="F131" t="str">
        <f ca="1">IFERROR(__xludf.DUMMYFUNCTION("""COMPUTED_VALUE"""),"10.1016/j.epsr.2017.04.003")</f>
        <v>10.1016/j.epsr.2017.04.003</v>
      </c>
    </row>
    <row r="132" spans="4:6" ht="12.75">
      <c r="D132" s="7" t="s">
        <v>190</v>
      </c>
      <c r="F132" t="str">
        <f ca="1">IFERROR(__xludf.DUMMYFUNCTION("""COMPUTED_VALUE"""),"10.1016/j.rser.2015.04.025")</f>
        <v>10.1016/j.rser.2015.04.025</v>
      </c>
    </row>
    <row r="133" spans="4:6" ht="12.75">
      <c r="D133" s="7" t="s">
        <v>191</v>
      </c>
      <c r="F133" t="str">
        <f ca="1">IFERROR(__xludf.DUMMYFUNCTION("""COMPUTED_VALUE"""),"10.1109/IPEC.2010.5543501")</f>
        <v>10.1109/IPEC.2010.5543501</v>
      </c>
    </row>
    <row r="134" spans="4:6" ht="12.75">
      <c r="D134" s="7" t="s">
        <v>192</v>
      </c>
      <c r="F134" t="str">
        <f ca="1">IFERROR(__xludf.DUMMYFUNCTION("""COMPUTED_VALUE"""),"10.1016/j.ijhydene.2018.08.135")</f>
        <v>10.1016/j.ijhydene.2018.08.135</v>
      </c>
    </row>
    <row r="135" spans="4:6" ht="12.75">
      <c r="D135" s="7" t="s">
        <v>193</v>
      </c>
      <c r="F135" t="str">
        <f ca="1">IFERROR(__xludf.DUMMYFUNCTION("""COMPUTED_VALUE"""),"10.1016/j.rser.2016.05.025")</f>
        <v>10.1016/j.rser.2016.05.025</v>
      </c>
    </row>
    <row r="136" spans="4:6" ht="12.75">
      <c r="D136" s="7" t="s">
        <v>194</v>
      </c>
      <c r="F136" t="str">
        <f ca="1">IFERROR(__xludf.DUMMYFUNCTION("""COMPUTED_VALUE"""),"10.1016/j.apenergy.2019.02.055")</f>
        <v>10.1016/j.apenergy.2019.02.055</v>
      </c>
    </row>
    <row r="137" spans="4:6" ht="12.75">
      <c r="D137" s="8"/>
      <c r="F137" t="str">
        <f ca="1">IFERROR(__xludf.DUMMYFUNCTION("""COMPUTED_VALUE"""),"10.1109/GPECOM.2019.8778573")</f>
        <v>10.1109/GPECOM.2019.8778573</v>
      </c>
    </row>
    <row r="138" spans="4:6" ht="12.75">
      <c r="D138" s="7" t="s">
        <v>195</v>
      </c>
      <c r="F138" t="str">
        <f ca="1">IFERROR(__xludf.DUMMYFUNCTION("""COMPUTED_VALUE"""),"10.1088/1748-9326/ab31d9")</f>
        <v>10.1088/1748-9326/ab31d9</v>
      </c>
    </row>
    <row r="139" spans="4:6" ht="12.75">
      <c r="D139" s="7" t="s">
        <v>196</v>
      </c>
      <c r="F139" t="str">
        <f ca="1">IFERROR(__xludf.DUMMYFUNCTION("""COMPUTED_VALUE"""),"10.1109/SURV.2014.032014.00094")</f>
        <v>10.1109/SURV.2014.032014.00094</v>
      </c>
    </row>
    <row r="140" spans="4:6" ht="12.75">
      <c r="D140" s="8"/>
      <c r="F140" t="str">
        <f ca="1">IFERROR(__xludf.DUMMYFUNCTION("""COMPUTED_VALUE"""),"10.1109/TENCON.2015.7373131")</f>
        <v>10.1109/TENCON.2015.7373131</v>
      </c>
    </row>
    <row r="141" spans="4:6" ht="12.75">
      <c r="D141" s="7" t="s">
        <v>197</v>
      </c>
      <c r="F141" t="str">
        <f ca="1">IFERROR(__xludf.DUMMYFUNCTION("""COMPUTED_VALUE"""),"10.1109/INTLEC.2012.6374529")</f>
        <v>10.1109/INTLEC.2012.6374529</v>
      </c>
    </row>
    <row r="142" spans="4:6" ht="12.75">
      <c r="D142" s="7" t="s">
        <v>198</v>
      </c>
      <c r="F142" t="str">
        <f ca="1">IFERROR(__xludf.DUMMYFUNCTION("""COMPUTED_VALUE"""),"10.1109/TSG.2017.2707438")</f>
        <v>10.1109/TSG.2017.2707438</v>
      </c>
    </row>
    <row r="143" spans="4:6" ht="12.75">
      <c r="D143" s="8"/>
      <c r="F143" t="str">
        <f ca="1">IFERROR(__xludf.DUMMYFUNCTION("""COMPUTED_VALUE"""),"10.1109/JPROC.2015.2458990")</f>
        <v>10.1109/JPROC.2015.2458990</v>
      </c>
    </row>
    <row r="144" spans="4:6" ht="12.75">
      <c r="D144" s="7" t="s">
        <v>199</v>
      </c>
      <c r="F144" t="str">
        <f ca="1">IFERROR(__xludf.DUMMYFUNCTION("""COMPUTED_VALUE"""),"10.1109/ESTS.2015.7157872")</f>
        <v>10.1109/ESTS.2015.7157872</v>
      </c>
    </row>
    <row r="145" spans="4:6" ht="12.75">
      <c r="D145" s="7" t="s">
        <v>200</v>
      </c>
      <c r="F145" t="str">
        <f ca="1">IFERROR(__xludf.DUMMYFUNCTION("""COMPUTED_VALUE"""),"10.1109/MIE.2016.2589061")</f>
        <v>10.1109/MIE.2016.2589061</v>
      </c>
    </row>
    <row r="146" spans="4:6" ht="12.75">
      <c r="D146" s="8"/>
      <c r="F146" t="str">
        <f ca="1">IFERROR(__xludf.DUMMYFUNCTION("""COMPUTED_VALUE"""),"10.1109/MCE.2015.2484699")</f>
        <v>10.1109/MCE.2015.2484699</v>
      </c>
    </row>
    <row r="147" spans="4:6" ht="12.75">
      <c r="D147" s="8"/>
      <c r="F147" t="str">
        <f ca="1">IFERROR(__xludf.DUMMYFUNCTION("""COMPUTED_VALUE"""),"10.1109/MPE.2008.918703")</f>
        <v>10.1109/MPE.2008.918703</v>
      </c>
    </row>
    <row r="148" spans="4:6" ht="12.75">
      <c r="D148" s="8"/>
      <c r="F148" t="str">
        <f ca="1">IFERROR(__xludf.DUMMYFUNCTION("""COMPUTED_VALUE"""),"10.1109/ICDCM.2017.8001107")</f>
        <v>10.1109/ICDCM.2017.8001107</v>
      </c>
    </row>
    <row r="149" spans="4:6" ht="12.75">
      <c r="D149" s="7" t="s">
        <v>201</v>
      </c>
      <c r="F149" t="str">
        <f ca="1">IFERROR(__xludf.DUMMYFUNCTION("""COMPUTED_VALUE"""),"10.1109/PTC.2017.7980818")</f>
        <v>10.1109/PTC.2017.7980818</v>
      </c>
    </row>
    <row r="150" spans="4:6" ht="12.75">
      <c r="D150" s="7" t="s">
        <v>137</v>
      </c>
      <c r="F150" t="str">
        <f ca="1">IFERROR(__xludf.DUMMYFUNCTION("""COMPUTED_VALUE"""),"10.1109/COMPEL.2018.8460104")</f>
        <v>10.1109/COMPEL.2018.8460104</v>
      </c>
    </row>
    <row r="151" spans="4:6" ht="12.75">
      <c r="D151" s="7" t="s">
        <v>202</v>
      </c>
      <c r="F151" t="str">
        <f ca="1">IFERROR(__xludf.DUMMYFUNCTION("""COMPUTED_VALUE"""),"10.1109/TDC.2018.8440219")</f>
        <v>10.1109/TDC.2018.8440219</v>
      </c>
    </row>
    <row r="152" spans="4:6" ht="12.75">
      <c r="D152" s="7" t="s">
        <v>203</v>
      </c>
      <c r="F152" t="str">
        <f ca="1">IFERROR(__xludf.DUMMYFUNCTION("""COMPUTED_VALUE"""),"10.1016/j.ejor.2015.12.030")</f>
        <v>10.1016/j.ejor.2015.12.030</v>
      </c>
    </row>
    <row r="153" spans="4:6" ht="12.75">
      <c r="D153" s="7" t="s">
        <v>66</v>
      </c>
      <c r="F153" t="str">
        <f ca="1">IFERROR(__xludf.DUMMYFUNCTION("""COMPUTED_VALUE"""),"10.1109/TSG.2014.2305904")</f>
        <v>10.1109/TSG.2014.2305904</v>
      </c>
    </row>
    <row r="154" spans="4:6" ht="12.75">
      <c r="D154" s="7" t="s">
        <v>204</v>
      </c>
      <c r="F154" t="str">
        <f ca="1">IFERROR(__xludf.DUMMYFUNCTION("""COMPUTED_VALUE"""),"10.1109/ACCESS.2015.2443119")</f>
        <v>10.1109/ACCESS.2015.2443119</v>
      </c>
    </row>
    <row r="155" spans="4:6" ht="12.75">
      <c r="D155" s="7" t="s">
        <v>205</v>
      </c>
      <c r="F155" t="str">
        <f ca="1">IFERROR(__xludf.DUMMYFUNCTION("""COMPUTED_VALUE"""),"10.1109/ICPE.2011.5944508")</f>
        <v>10.1109/ICPE.2011.5944508</v>
      </c>
    </row>
    <row r="156" spans="4:6" ht="12.75">
      <c r="D156" s="7" t="s">
        <v>91</v>
      </c>
      <c r="F156" t="str">
        <f ca="1">IFERROR(__xludf.DUMMYFUNCTION("""COMPUTED_VALUE"""),"10.1016/j.procs.2017.09.053")</f>
        <v>10.1016/j.procs.2017.09.053</v>
      </c>
    </row>
    <row r="157" spans="4:6" ht="12.75">
      <c r="D157" s="8"/>
      <c r="F157" t="str">
        <f ca="1">IFERROR(__xludf.DUMMYFUNCTION("""COMPUTED_VALUE"""),"10.1016/j.ijepes.2018.10.016")</f>
        <v>10.1016/j.ijepes.2018.10.016</v>
      </c>
    </row>
    <row r="158" spans="4:6" ht="12.75">
      <c r="D158" s="7" t="s">
        <v>206</v>
      </c>
      <c r="F158" t="str">
        <f ca="1">IFERROR(__xludf.DUMMYFUNCTION("""COMPUTED_VALUE"""),"10.3390/batteries5030063")</f>
        <v>10.3390/batteries5030063</v>
      </c>
    </row>
    <row r="159" spans="4:6" ht="12.75">
      <c r="D159" s="7" t="s">
        <v>134</v>
      </c>
      <c r="F159" t="str">
        <f ca="1">IFERROR(__xludf.DUMMYFUNCTION("""COMPUTED_VALUE"""),"10.1109/UIC-ATC-ScalCom-CBDCom-IoP-SmartWorld.2016.0052")</f>
        <v>10.1109/UIC-ATC-ScalCom-CBDCom-IoP-SmartWorld.2016.0052</v>
      </c>
    </row>
    <row r="160" spans="4:6" ht="12.75">
      <c r="D160" s="7" t="s">
        <v>207</v>
      </c>
      <c r="F160" t="str">
        <f ca="1">IFERROR(__xludf.DUMMYFUNCTION("""COMPUTED_VALUE"""),"10.1109/ICDCM.2015.7152031")</f>
        <v>10.1109/ICDCM.2015.7152031</v>
      </c>
    </row>
    <row r="161" spans="4:6" ht="12.75">
      <c r="D161" s="7" t="s">
        <v>208</v>
      </c>
      <c r="F161" t="str">
        <f ca="1">IFERROR(__xludf.DUMMYFUNCTION("""COMPUTED_VALUE"""),"10.1371/journal.pone.0115059")</f>
        <v>10.1371/journal.pone.0115059</v>
      </c>
    </row>
    <row r="162" spans="4:6" ht="12.75">
      <c r="D162" s="7" t="s">
        <v>209</v>
      </c>
      <c r="F162" t="str">
        <f ca="1">IFERROR(__xludf.DUMMYFUNCTION("""COMPUTED_VALUE"""),"10.1109/MPAE.2007.376583")</f>
        <v>10.1109/MPAE.2007.376583</v>
      </c>
    </row>
    <row r="163" spans="4:6" ht="12.75">
      <c r="D163" s="7" t="s">
        <v>210</v>
      </c>
      <c r="F163" t="str">
        <f ca="1">IFERROR(__xludf.DUMMYFUNCTION("""COMPUTED_VALUE"""),"10.1016/j.enbuild.2012.12.039")</f>
        <v>10.1016/j.enbuild.2012.12.039</v>
      </c>
    </row>
    <row r="164" spans="4:6" ht="12.75">
      <c r="D164" s="7" t="s">
        <v>211</v>
      </c>
      <c r="F164" t="str">
        <f ca="1">IFERROR(__xludf.DUMMYFUNCTION("""COMPUTED_VALUE"""),"10.1016/j.ijforecast.2015.11.011")</f>
        <v>10.1016/j.ijforecast.2015.11.011</v>
      </c>
    </row>
    <row r="165" spans="4:6" ht="12.75">
      <c r="D165" s="7" t="s">
        <v>102</v>
      </c>
      <c r="F165" t="str">
        <f ca="1">IFERROR(__xludf.DUMMYFUNCTION("""COMPUTED_VALUE"""),"10.1109/ISIE.2012.6237330")</f>
        <v>10.1109/ISIE.2012.6237330</v>
      </c>
    </row>
    <row r="166" spans="4:6" ht="12.75">
      <c r="D166" s="7" t="s">
        <v>212</v>
      </c>
      <c r="F166" t="str">
        <f ca="1">IFERROR(__xludf.DUMMYFUNCTION("""COMPUTED_VALUE"""),"10.1186/s13705-018-0154-3")</f>
        <v>10.1186/s13705-018-0154-3</v>
      </c>
    </row>
    <row r="167" spans="4:6" ht="12.75">
      <c r="D167" s="7" t="s">
        <v>213</v>
      </c>
      <c r="F167" t="str">
        <f ca="1">IFERROR(__xludf.DUMMYFUNCTION("""COMPUTED_VALUE"""),"10.1109/ICDCM.2015.7152041")</f>
        <v>10.1109/ICDCM.2015.7152041</v>
      </c>
    </row>
    <row r="168" spans="4:6" ht="12.75">
      <c r="D168" s="7" t="s">
        <v>214</v>
      </c>
      <c r="F168" t="str">
        <f ca="1">IFERROR(__xludf.DUMMYFUNCTION("""COMPUTED_VALUE"""),"10.1109/TPEL.2009.2013862")</f>
        <v>10.1109/TPEL.2009.2013862</v>
      </c>
    </row>
    <row r="169" spans="4:6" ht="12.75">
      <c r="D169" s="7" t="s">
        <v>215</v>
      </c>
      <c r="F169" t="str">
        <f ca="1">IFERROR(__xludf.DUMMYFUNCTION("""COMPUTED_VALUE"""),"10.1016/S0378-7753(01)01031-X")</f>
        <v>10.1016/S0378-7753(01)01031-X</v>
      </c>
    </row>
    <row r="170" spans="4:6" ht="12.75">
      <c r="D170" s="8"/>
      <c r="F170" t="str">
        <f ca="1">IFERROR(__xludf.DUMMYFUNCTION("""COMPUTED_VALUE"""),"10.1016/j.rser.2012.05.043")</f>
        <v>10.1016/j.rser.2012.05.043</v>
      </c>
    </row>
    <row r="171" spans="4:6" ht="12.75">
      <c r="D171" s="7" t="s">
        <v>140</v>
      </c>
      <c r="F171" t="str">
        <f ca="1">IFERROR(__xludf.DUMMYFUNCTION("""COMPUTED_VALUE"""),"10.1016/j.solener.2004.10.004")</f>
        <v>10.1016/j.solener.2004.10.004</v>
      </c>
    </row>
    <row r="172" spans="4:6" ht="12.75">
      <c r="D172" s="7" t="s">
        <v>216</v>
      </c>
      <c r="F172" t="str">
        <f ca="1">IFERROR(__xludf.DUMMYFUNCTION("""COMPUTED_VALUE"""),"10.1109/TAC.2018.2867507")</f>
        <v>10.1109/TAC.2018.2867507</v>
      </c>
    </row>
    <row r="173" spans="4:6" ht="12.75">
      <c r="D173" s="8"/>
      <c r="F173" t="str">
        <f ca="1">IFERROR(__xludf.DUMMYFUNCTION("""COMPUTED_VALUE"""),"10.3390/en11020367")</f>
        <v>10.3390/en11020367</v>
      </c>
    </row>
    <row r="174" spans="4:6" ht="12.75">
      <c r="D174" s="7" t="s">
        <v>217</v>
      </c>
      <c r="F174" t="str">
        <f ca="1">IFERROR(__xludf.DUMMYFUNCTION("""COMPUTED_VALUE"""),"10.1109/PESGM.2015.7286469")</f>
        <v>10.1109/PESGM.2015.7286469</v>
      </c>
    </row>
    <row r="175" spans="4:6" ht="12.75">
      <c r="D175" s="7" t="s">
        <v>218</v>
      </c>
      <c r="F175" t="str">
        <f ca="1">IFERROR(__xludf.DUMMYFUNCTION("""COMPUTED_VALUE"""),"10.4067/S0718-33052013000300008")</f>
        <v>10.4067/S0718-33052013000300008</v>
      </c>
    </row>
    <row r="176" spans="4:6" ht="12.75">
      <c r="D176" s="7" t="s">
        <v>219</v>
      </c>
      <c r="F176" t="str">
        <f ca="1">IFERROR(__xludf.DUMMYFUNCTION("""COMPUTED_VALUE"""),"10.1109/TSTE.2017.2736160")</f>
        <v>10.1109/TSTE.2017.2736160</v>
      </c>
    </row>
    <row r="177" spans="4:6" ht="12.75">
      <c r="D177" s="7" t="s">
        <v>220</v>
      </c>
      <c r="F177" t="str">
        <f ca="1">IFERROR(__xludf.DUMMYFUNCTION("""COMPUTED_VALUE"""),"10.1109/ICDCM.2017.8001031")</f>
        <v>10.1109/ICDCM.2017.8001031</v>
      </c>
    </row>
    <row r="178" spans="4:6" ht="12.75">
      <c r="D178" s="7" t="s">
        <v>84</v>
      </c>
      <c r="F178" t="str">
        <f ca="1">IFERROR(__xludf.DUMMYFUNCTION("""COMPUTED_VALUE"""),"10.1021/pr0602489")</f>
        <v>10.1021/pr0602489</v>
      </c>
    </row>
    <row r="179" spans="4:6" ht="12.75">
      <c r="D179" s="8"/>
      <c r="F179" t="str">
        <f ca="1">IFERROR(__xludf.DUMMYFUNCTION("""COMPUTED_VALUE"""),"10.1016/j.ijepes.2017.06.012")</f>
        <v>10.1016/j.ijepes.2017.06.012</v>
      </c>
    </row>
    <row r="180" spans="4:6" ht="12.75">
      <c r="D180" s="7" t="s">
        <v>195</v>
      </c>
      <c r="F180" t="str">
        <f ca="1">IFERROR(__xludf.DUMMYFUNCTION("""COMPUTED_VALUE"""),"10.1016/j.epsr.2014.10.017")</f>
        <v>10.1016/j.epsr.2014.10.017</v>
      </c>
    </row>
    <row r="181" spans="4:6" ht="12.75">
      <c r="D181" s="7" t="s">
        <v>221</v>
      </c>
      <c r="F181" t="str">
        <f ca="1">IFERROR(__xludf.DUMMYFUNCTION("""COMPUTED_VALUE"""),"10.1016/j.apenergy.2015.04.040")</f>
        <v>10.1016/j.apenergy.2015.04.040</v>
      </c>
    </row>
    <row r="182" spans="4:6" ht="12.75">
      <c r="D182" s="8"/>
      <c r="F182" t="str">
        <f ca="1">IFERROR(__xludf.DUMMYFUNCTION("""COMPUTED_VALUE"""),"10.1016/j.rser.2014.02.003")</f>
        <v>10.1016/j.rser.2014.02.003</v>
      </c>
    </row>
    <row r="183" spans="4:6" ht="12.75">
      <c r="D183" s="7" t="s">
        <v>222</v>
      </c>
      <c r="F183" t="str">
        <f ca="1">IFERROR(__xludf.DUMMYFUNCTION("""COMPUTED_VALUE"""),"10.1109/TPWRD.2016.2600278")</f>
        <v>10.1109/TPWRD.2016.2600278</v>
      </c>
    </row>
    <row r="184" spans="4:6" ht="12.75">
      <c r="D184" s="7" t="s">
        <v>223</v>
      </c>
      <c r="F184" t="str">
        <f ca="1">IFERROR(__xludf.DUMMYFUNCTION("""COMPUTED_VALUE"""),"10.1109/CCDC.2016.7531468")</f>
        <v>10.1109/CCDC.2016.7531468</v>
      </c>
    </row>
    <row r="185" spans="4:6" ht="12.75">
      <c r="D185" s="7" t="s">
        <v>224</v>
      </c>
      <c r="F185" t="str">
        <f ca="1">IFERROR(__xludf.DUMMYFUNCTION("""COMPUTED_VALUE"""),"10.1109/PES.2004.1373299")</f>
        <v>10.1109/PES.2004.1373299</v>
      </c>
    </row>
    <row r="186" spans="4:6" ht="12.75">
      <c r="D186" s="7" t="s">
        <v>225</v>
      </c>
      <c r="F186" t="str">
        <f ca="1">IFERROR(__xludf.DUMMYFUNCTION("""COMPUTED_VALUE"""),"10.1109/IranianCEE.2019.8786484")</f>
        <v>10.1109/IranianCEE.2019.8786484</v>
      </c>
    </row>
    <row r="187" spans="4:6" ht="12.75">
      <c r="D187" s="7" t="s">
        <v>226</v>
      </c>
      <c r="F187" t="str">
        <f ca="1">IFERROR(__xludf.DUMMYFUNCTION("""COMPUTED_VALUE"""),"10.1109/TPWRS.2017.2697765")</f>
        <v>10.1109/TPWRS.2017.2697765</v>
      </c>
    </row>
    <row r="188" spans="4:6" ht="12.75">
      <c r="D188" s="7" t="s">
        <v>227</v>
      </c>
      <c r="F188" t="str">
        <f ca="1">IFERROR(__xludf.DUMMYFUNCTION("""COMPUTED_VALUE"""),"10.1109/IECON.2013.6700499")</f>
        <v>10.1109/IECON.2013.6700499</v>
      </c>
    </row>
    <row r="189" spans="4:6" ht="12.75">
      <c r="D189" s="8"/>
      <c r="F189" t="str">
        <f ca="1">IFERROR(__xludf.DUMMYFUNCTION("""COMPUTED_VALUE"""),"10.1016/j.enconman.2016.05.011")</f>
        <v>10.1016/j.enconman.2016.05.011</v>
      </c>
    </row>
    <row r="190" spans="4:6" ht="12.75">
      <c r="D190" s="8"/>
      <c r="F190" t="str">
        <f ca="1">IFERROR(__xludf.DUMMYFUNCTION("""COMPUTED_VALUE"""),"10.1016/j.solener.2017.11.044")</f>
        <v>10.1016/j.solener.2017.11.044</v>
      </c>
    </row>
    <row r="191" spans="4:6" ht="12.75">
      <c r="D191" s="7" t="s">
        <v>228</v>
      </c>
      <c r="F191" t="str">
        <f ca="1">IFERROR(__xludf.DUMMYFUNCTION("""COMPUTED_VALUE"""),"10.1049/oap-cired.2017.0946")</f>
        <v>10.1049/oap-cired.2017.0946</v>
      </c>
    </row>
    <row r="192" spans="4:6" ht="12.75">
      <c r="D192" s="7" t="s">
        <v>229</v>
      </c>
      <c r="F192" t="str">
        <f ca="1">IFERROR(__xludf.DUMMYFUNCTION("""COMPUTED_VALUE"""),"10.1109/ICDCM.2015.7152067")</f>
        <v>10.1109/ICDCM.2015.7152067</v>
      </c>
    </row>
    <row r="193" spans="4:6" ht="12.75">
      <c r="D193" s="7" t="s">
        <v>230</v>
      </c>
      <c r="F193" t="str">
        <f ca="1">IFERROR(__xludf.DUMMYFUNCTION("""COMPUTED_VALUE"""),"10.1109/ICPE.2011.5944475")</f>
        <v>10.1109/ICPE.2011.5944475</v>
      </c>
    </row>
    <row r="194" spans="4:6" ht="12.75">
      <c r="D194" s="8"/>
      <c r="F194" t="str">
        <f ca="1">IFERROR(__xludf.DUMMYFUNCTION("""COMPUTED_VALUE"""),"10.1007/s40313-019-00525-3")</f>
        <v>10.1007/s40313-019-00525-3</v>
      </c>
    </row>
    <row r="195" spans="4:6" ht="12.75">
      <c r="D195" s="8"/>
      <c r="F195" t="str">
        <f ca="1">IFERROR(__xludf.DUMMYFUNCTION("""COMPUTED_VALUE"""),"10.1109/INTLEC.2007.4448733")</f>
        <v>10.1109/INTLEC.2007.4448733</v>
      </c>
    </row>
    <row r="196" spans="4:6" ht="12.75">
      <c r="D196" s="7" t="s">
        <v>231</v>
      </c>
      <c r="F196" t="str">
        <f ca="1">IFERROR(__xludf.DUMMYFUNCTION("""COMPUTED_VALUE"""),"10.1109/TSG.2016.2626389")</f>
        <v>10.1109/TSG.2016.2626389</v>
      </c>
    </row>
    <row r="197" spans="4:6" ht="12.75">
      <c r="D197" s="7" t="s">
        <v>232</v>
      </c>
      <c r="F197" t="str">
        <f ca="1">IFERROR(__xludf.DUMMYFUNCTION("""COMPUTED_VALUE"""),"10.1016/j.ifacol.2018.09.467")</f>
        <v>10.1016/j.ifacol.2018.09.467</v>
      </c>
    </row>
    <row r="198" spans="4:6" ht="12.75">
      <c r="D198" s="7" t="s">
        <v>233</v>
      </c>
      <c r="F198" t="str">
        <f ca="1">IFERROR(__xludf.DUMMYFUNCTION("""COMPUTED_VALUE"""),"10.1109/TIE.2019.2931281")</f>
        <v>10.1109/TIE.2019.2931281</v>
      </c>
    </row>
    <row r="199" spans="4:6" ht="12.75">
      <c r="D199" s="8"/>
      <c r="F199" t="str">
        <f ca="1">IFERROR(__xludf.DUMMYFUNCTION("""COMPUTED_VALUE"""),"10.1021/acsenergylett.8b01322")</f>
        <v>10.1021/acsenergylett.8b01322</v>
      </c>
    </row>
    <row r="200" spans="4:6" ht="12.75">
      <c r="D200" s="8"/>
      <c r="F200" t="str">
        <f ca="1">IFERROR(__xludf.DUMMYFUNCTION("""COMPUTED_VALUE"""),"10.1109/TPWRS.2011.2177867")</f>
        <v>10.1109/TPWRS.2011.2177867</v>
      </c>
    </row>
    <row r="201" spans="4:6" ht="12.75">
      <c r="D201" s="7" t="s">
        <v>234</v>
      </c>
      <c r="F201" t="str">
        <f ca="1">IFERROR(__xludf.DUMMYFUNCTION("""COMPUTED_VALUE"""),"10.1109/ICDCM.2017.8001100")</f>
        <v>10.1109/ICDCM.2017.8001100</v>
      </c>
    </row>
    <row r="202" spans="4:6" ht="12.75">
      <c r="D202" s="7" t="s">
        <v>229</v>
      </c>
      <c r="F202" t="str">
        <f ca="1">IFERROR(__xludf.DUMMYFUNCTION("""COMPUTED_VALUE"""),"10.1109/ISGT-Asia.2017.8378317")</f>
        <v>10.1109/ISGT-Asia.2017.8378317</v>
      </c>
    </row>
    <row r="203" spans="4:6" ht="12.75">
      <c r="D203" s="7" t="s">
        <v>235</v>
      </c>
      <c r="F203" t="str">
        <f ca="1">IFERROR(__xludf.DUMMYFUNCTION("""COMPUTED_VALUE"""),"10.1016/j.ijepes.2019.01.025")</f>
        <v>10.1016/j.ijepes.2019.01.025</v>
      </c>
    </row>
    <row r="204" spans="4:6" ht="12.75">
      <c r="D204" s="7" t="s">
        <v>236</v>
      </c>
      <c r="F204" t="str">
        <f ca="1">IFERROR(__xludf.DUMMYFUNCTION("""COMPUTED_VALUE"""),"10.1016/j.epsr.2010.08.007")</f>
        <v>10.1016/j.epsr.2010.08.007</v>
      </c>
    </row>
    <row r="205" spans="4:6" ht="12.75">
      <c r="D205" s="7" t="s">
        <v>237</v>
      </c>
      <c r="F205" t="str">
        <f ca="1">IFERROR(__xludf.DUMMYFUNCTION("""COMPUTED_VALUE"""),"10.1016/j.egypro.2015.11.539")</f>
        <v>10.1016/j.egypro.2015.11.539</v>
      </c>
    </row>
    <row r="206" spans="4:6" ht="12.75">
      <c r="D206" s="7" t="s">
        <v>238</v>
      </c>
      <c r="F206" t="str">
        <f ca="1">IFERROR(__xludf.DUMMYFUNCTION("""COMPUTED_VALUE"""),"10.1016/j.est.2018.11.013")</f>
        <v>10.1016/j.est.2018.11.013</v>
      </c>
    </row>
    <row r="207" spans="4:6" ht="12.75">
      <c r="D207" s="7" t="s">
        <v>228</v>
      </c>
      <c r="F207" t="str">
        <f ca="1">IFERROR(__xludf.DUMMYFUNCTION("""COMPUTED_VALUE"""),"10.1016/j.solener.2019.04.034")</f>
        <v>10.1016/j.solener.2019.04.034</v>
      </c>
    </row>
    <row r="208" spans="4:6" ht="12.75">
      <c r="D208" s="7" t="s">
        <v>239</v>
      </c>
      <c r="F208" t="str">
        <f ca="1">IFERROR(__xludf.DUMMYFUNCTION("""COMPUTED_VALUE"""),"10.1109/TPWRD.2005.861334")</f>
        <v>10.1109/TPWRD.2005.861334</v>
      </c>
    </row>
    <row r="209" spans="4:6" ht="12.75">
      <c r="D209" s="7" t="s">
        <v>240</v>
      </c>
      <c r="F209" t="str">
        <f ca="1">IFERROR(__xludf.DUMMYFUNCTION("""COMPUTED_VALUE"""),"10.1109/TII.2019.2942426")</f>
        <v>10.1109/TII.2019.2942426</v>
      </c>
    </row>
    <row r="210" spans="4:6" ht="12.75">
      <c r="D210" s="7" t="s">
        <v>241</v>
      </c>
      <c r="F210" t="str">
        <f ca="1">IFERROR(__xludf.DUMMYFUNCTION("""COMPUTED_VALUE"""),"10.1016/j.procs.2015.04.160")</f>
        <v>10.1016/j.procs.2015.04.160</v>
      </c>
    </row>
    <row r="211" spans="4:6" ht="12.75">
      <c r="D211" s="7" t="s">
        <v>242</v>
      </c>
      <c r="F211" t="str">
        <f ca="1">IFERROR(__xludf.DUMMYFUNCTION("""COMPUTED_VALUE"""),"10.1109/PESGM.2015.7286090")</f>
        <v>10.1109/PESGM.2015.7286090</v>
      </c>
    </row>
    <row r="212" spans="4:6" ht="12.75">
      <c r="D212" s="7" t="s">
        <v>243</v>
      </c>
      <c r="F212" t="str">
        <f ca="1">IFERROR(__xludf.DUMMYFUNCTION("""COMPUTED_VALUE"""),"10.1016/j.ijforecast.2019.02.006")</f>
        <v>10.1016/j.ijforecast.2019.02.006</v>
      </c>
    </row>
    <row r="213" spans="4:6" ht="12.75">
      <c r="D213" s="7" t="s">
        <v>244</v>
      </c>
      <c r="F213" t="str">
        <f ca="1">IFERROR(__xludf.DUMMYFUNCTION("""COMPUTED_VALUE"""),"10.1016/j.ifacol.2018.05.065")</f>
        <v>10.1016/j.ifacol.2018.05.065</v>
      </c>
    </row>
    <row r="214" spans="4:6" ht="12.75">
      <c r="D214" s="8"/>
      <c r="F214" t="str">
        <f ca="1">IFERROR(__xludf.DUMMYFUNCTION("""COMPUTED_VALUE"""),"10.1016/j.rser.2014.10.012")</f>
        <v>10.1016/j.rser.2014.10.012</v>
      </c>
    </row>
    <row r="215" spans="4:6" ht="12.75">
      <c r="D215" s="7" t="s">
        <v>227</v>
      </c>
      <c r="F215" t="str">
        <f ca="1">IFERROR(__xludf.DUMMYFUNCTION("""COMPUTED_VALUE"""),"10.1109/TPWRD.2006.883024")</f>
        <v>10.1109/TPWRD.2006.883024</v>
      </c>
    </row>
    <row r="216" spans="4:6" ht="12.75">
      <c r="D216" s="7" t="s">
        <v>173</v>
      </c>
      <c r="F216" t="str">
        <f ca="1">IFERROR(__xludf.DUMMYFUNCTION("""COMPUTED_VALUE"""),"10.1016/j.rser.2016.12.102")</f>
        <v>10.1016/j.rser.2016.12.102</v>
      </c>
    </row>
    <row r="217" spans="4:6" ht="12.75">
      <c r="D217" s="7" t="s">
        <v>245</v>
      </c>
      <c r="F217" t="str">
        <f ca="1">IFERROR(__xludf.DUMMYFUNCTION("""COMPUTED_VALUE"""),"10.1109/PROC.1974.9544")</f>
        <v>10.1109/PROC.1974.9544</v>
      </c>
    </row>
    <row r="218" spans="4:6" ht="12.75">
      <c r="D218" s="7" t="s">
        <v>231</v>
      </c>
      <c r="F218" t="str">
        <f ca="1">IFERROR(__xludf.DUMMYFUNCTION("""COMPUTED_VALUE"""),"10.1109/PEDG.2016.7527045")</f>
        <v>10.1109/PEDG.2016.7527045</v>
      </c>
    </row>
    <row r="219" spans="4:6" ht="12.75">
      <c r="D219" s="7" t="s">
        <v>246</v>
      </c>
      <c r="F219" t="str">
        <f ca="1">IFERROR(__xludf.DUMMYFUNCTION("""COMPUTED_VALUE"""),"10.1109/PES.2010.5589736")</f>
        <v>10.1109/PES.2010.5589736</v>
      </c>
    </row>
    <row r="220" spans="4:6" ht="12.75">
      <c r="D220" s="7" t="s">
        <v>247</v>
      </c>
      <c r="F220" t="str">
        <f ca="1">IFERROR(__xludf.DUMMYFUNCTION("""COMPUTED_VALUE"""),"10.1016/j.enbuild.2013.09.009")</f>
        <v>10.1016/j.enbuild.2013.09.009</v>
      </c>
    </row>
    <row r="221" spans="4:6" ht="12.75">
      <c r="D221" s="7" t="s">
        <v>248</v>
      </c>
      <c r="F221" t="str">
        <f ca="1">IFERROR(__xludf.DUMMYFUNCTION("""COMPUTED_VALUE"""),"10.1049/piee.1977.0089")</f>
        <v>10.1049/piee.1977.0089</v>
      </c>
    </row>
    <row r="222" spans="4:6" ht="12.75">
      <c r="D222" s="7" t="s">
        <v>249</v>
      </c>
      <c r="F222" t="str">
        <f ca="1">IFERROR(__xludf.DUMMYFUNCTION("""COMPUTED_VALUE"""),"10.1016/j.energy.2018.06.219")</f>
        <v>10.1016/j.energy.2018.06.219</v>
      </c>
    </row>
    <row r="223" spans="4:6" ht="12.75">
      <c r="D223" s="7" t="s">
        <v>250</v>
      </c>
      <c r="F223" t="str">
        <f ca="1">IFERROR(__xludf.DUMMYFUNCTION("""COMPUTED_VALUE"""),"10.1016/j.epsr.2018.07.003")</f>
        <v>10.1016/j.epsr.2018.07.003</v>
      </c>
    </row>
    <row r="224" spans="4:6" ht="12.75">
      <c r="D224" s="7" t="s">
        <v>209</v>
      </c>
      <c r="F224" t="str">
        <f ca="1">IFERROR(__xludf.DUMMYFUNCTION("""COMPUTED_VALUE"""),"10.1109/ICEAST.2019.8802594")</f>
        <v>10.1109/ICEAST.2019.8802594</v>
      </c>
    </row>
    <row r="225" spans="4:6" ht="12.75">
      <c r="D225" s="8"/>
      <c r="F225" t="str">
        <f ca="1">IFERROR(__xludf.DUMMYFUNCTION("""COMPUTED_VALUE"""),"10.1016/j.epsr.2011.01.020")</f>
        <v>10.1016/j.epsr.2011.01.020</v>
      </c>
    </row>
    <row r="226" spans="4:6" ht="12.75">
      <c r="D226" s="8"/>
      <c r="F226" t="str">
        <f ca="1">IFERROR(__xludf.DUMMYFUNCTION("""COMPUTED_VALUE"""),"10.1109/tpel.2019.2926581")</f>
        <v>10.1109/tpel.2019.2926581</v>
      </c>
    </row>
    <row r="227" spans="4:6" ht="12.75">
      <c r="D227" s="7" t="s">
        <v>251</v>
      </c>
      <c r="F227" t="str">
        <f ca="1">IFERROR(__xludf.DUMMYFUNCTION("""COMPUTED_VALUE"""),"10.1016/j.rser.2009.01.010")</f>
        <v>10.1016/j.rser.2009.01.010</v>
      </c>
    </row>
    <row r="228" spans="4:6" ht="12.75">
      <c r="D228" s="7" t="s">
        <v>252</v>
      </c>
      <c r="F228" t="str">
        <f ca="1">IFERROR(__xludf.DUMMYFUNCTION("""COMPUTED_VALUE"""),"10.1016/j.procs.2017.09.024")</f>
        <v>10.1016/j.procs.2017.09.024</v>
      </c>
    </row>
    <row r="229" spans="4:6" ht="12.75">
      <c r="D229" s="7" t="s">
        <v>253</v>
      </c>
      <c r="F229" t="str">
        <f ca="1">IFERROR(__xludf.DUMMYFUNCTION("""COMPUTED_VALUE"""),"10.1080/15325008.2017.1318977")</f>
        <v>10.1080/15325008.2017.1318977</v>
      </c>
    </row>
    <row r="230" spans="4:6" ht="12.75">
      <c r="D230" s="7" t="s">
        <v>123</v>
      </c>
      <c r="F230" t="str">
        <f ca="1">IFERROR(__xludf.DUMMYFUNCTION("""COMPUTED_VALUE"""),"10.1109/TIA.2003.816517")</f>
        <v>10.1109/TIA.2003.816517</v>
      </c>
    </row>
    <row r="231" spans="4:6" ht="12.75">
      <c r="D231" s="7" t="s">
        <v>248</v>
      </c>
      <c r="F231" t="str">
        <f ca="1">IFERROR(__xludf.DUMMYFUNCTION("""COMPUTED_VALUE"""),"10.1016/j.jclepro.2019.118870")</f>
        <v>10.1016/j.jclepro.2019.118870</v>
      </c>
    </row>
    <row r="232" spans="4:6" ht="12.75">
      <c r="D232" s="7" t="s">
        <v>170</v>
      </c>
      <c r="F232" t="str">
        <f ca="1">IFERROR(__xludf.DUMMYFUNCTION("""COMPUTED_VALUE"""),"10.1109/TPEL.2006.889939")</f>
        <v>10.1109/TPEL.2006.889939</v>
      </c>
    </row>
    <row r="233" spans="4:6" ht="12.75">
      <c r="D233" s="7" t="s">
        <v>254</v>
      </c>
      <c r="F233" t="str">
        <f ca="1">IFERROR(__xludf.DUMMYFUNCTION("""COMPUTED_VALUE"""),"10.1016/j.enconman.2018.08.076")</f>
        <v>10.1016/j.enconman.2018.08.076</v>
      </c>
    </row>
    <row r="234" spans="4:6" ht="12.75">
      <c r="D234" s="7" t="s">
        <v>91</v>
      </c>
      <c r="F234" t="str">
        <f ca="1">IFERROR(__xludf.DUMMYFUNCTION("""COMPUTED_VALUE"""),"10.1016/j.rser.2017.09.022")</f>
        <v>10.1016/j.rser.2017.09.022</v>
      </c>
    </row>
    <row r="235" spans="4:6" ht="12.75">
      <c r="D235" s="7" t="s">
        <v>255</v>
      </c>
      <c r="F235" t="str">
        <f ca="1">IFERROR(__xludf.DUMMYFUNCTION("""COMPUTED_VALUE"""),"10.1109/PESC.2000.878816")</f>
        <v>10.1109/PESC.2000.878816</v>
      </c>
    </row>
    <row r="236" spans="4:6" ht="12.75">
      <c r="D236" s="8"/>
      <c r="F236" t="str">
        <f ca="1">IFERROR(__xludf.DUMMYFUNCTION("""COMPUTED_VALUE"""),"10.1109/TSG.2018.2856893")</f>
        <v>10.1109/TSG.2018.2856893</v>
      </c>
    </row>
    <row r="237" spans="4:6" ht="12.75">
      <c r="D237" s="7" t="s">
        <v>34</v>
      </c>
      <c r="F237" t="str">
        <f ca="1">IFERROR(__xludf.DUMMYFUNCTION("""COMPUTED_VALUE"""),"10.1016/j.enpol.2012.02.037")</f>
        <v>10.1016/j.enpol.2012.02.037</v>
      </c>
    </row>
    <row r="238" spans="4:6" ht="12.75">
      <c r="D238" s="7" t="s">
        <v>256</v>
      </c>
      <c r="F238" t="str">
        <f ca="1">IFERROR(__xludf.DUMMYFUNCTION("""COMPUTED_VALUE"""),"10.1109/ICPE.2011.5944589")</f>
        <v>10.1109/ICPE.2011.5944589</v>
      </c>
    </row>
    <row r="239" spans="4:6" ht="12.75">
      <c r="D239" s="7" t="s">
        <v>174</v>
      </c>
      <c r="F239" t="str">
        <f ca="1">IFERROR(__xludf.DUMMYFUNCTION("""COMPUTED_VALUE"""),"10.1109/ICHQP.2004.1409390")</f>
        <v>10.1109/ICHQP.2004.1409390</v>
      </c>
    </row>
    <row r="240" spans="4:6" ht="12.75">
      <c r="D240" s="7" t="s">
        <v>257</v>
      </c>
      <c r="F240" t="str">
        <f ca="1">IFERROR(__xludf.DUMMYFUNCTION("""COMPUTED_VALUE"""),"10.1016/S1474-6670(17)63411-6")</f>
        <v>10.1016/S1474-6670(17)63411-6</v>
      </c>
    </row>
    <row r="241" spans="4:6" ht="12.75">
      <c r="D241" s="7" t="s">
        <v>225</v>
      </c>
      <c r="F241" t="str">
        <f ca="1">IFERROR(__xludf.DUMMYFUNCTION("""COMPUTED_VALUE"""),"10.1109/TPEL.2015.2464277")</f>
        <v>10.1109/TPEL.2015.2464277</v>
      </c>
    </row>
    <row r="242" spans="4:6" ht="12.75">
      <c r="D242" s="7" t="s">
        <v>258</v>
      </c>
      <c r="F242" t="str">
        <f ca="1">IFERROR(__xludf.DUMMYFUNCTION("""COMPUTED_VALUE"""),"10.1109/TSG.2010.2089069")</f>
        <v>10.1109/TSG.2010.2089069</v>
      </c>
    </row>
    <row r="243" spans="4:6" ht="12.75">
      <c r="D243" s="7" t="s">
        <v>241</v>
      </c>
      <c r="F243" t="str">
        <f ca="1">IFERROR(__xludf.DUMMYFUNCTION("""COMPUTED_VALUE"""),"10.1109/ACCESS.2019.2912376")</f>
        <v>10.1109/ACCESS.2019.2912376</v>
      </c>
    </row>
    <row r="244" spans="4:6" ht="12.75">
      <c r="D244" s="7" t="s">
        <v>259</v>
      </c>
      <c r="F244" t="str">
        <f ca="1">IFERROR(__xludf.DUMMYFUNCTION("""COMPUTED_VALUE"""),"10.1049/piee.1978.0010")</f>
        <v>10.1049/piee.1978.0010</v>
      </c>
    </row>
    <row r="245" spans="4:6" ht="12.75">
      <c r="D245" s="8"/>
      <c r="F245" t="str">
        <f ca="1">IFERROR(__xludf.DUMMYFUNCTION("""COMPUTED_VALUE"""),"10.1109/JPROC.2017.2714022")</f>
        <v>10.1109/JPROC.2017.2714022</v>
      </c>
    </row>
    <row r="246" spans="4:6" ht="12.75">
      <c r="D246" s="7" t="s">
        <v>133</v>
      </c>
      <c r="F246" t="str">
        <f ca="1">IFERROR(__xludf.DUMMYFUNCTION("""COMPUTED_VALUE"""),"10.1109/ISGTEUROPE.2010.5638863")</f>
        <v>10.1109/ISGTEUROPE.2010.5638863</v>
      </c>
    </row>
    <row r="247" spans="4:6" ht="12.75">
      <c r="D247" s="7" t="s">
        <v>179</v>
      </c>
      <c r="F247" t="str">
        <f ca="1">IFERROR(__xludf.DUMMYFUNCTION("""COMPUTED_VALUE"""),"10.1016/j.protcy.2014.11.011")</f>
        <v>10.1016/j.protcy.2014.11.011</v>
      </c>
    </row>
    <row r="248" spans="4:6" ht="12.75">
      <c r="D248" s="7" t="s">
        <v>169</v>
      </c>
      <c r="F248" t="str">
        <f ca="1">IFERROR(__xludf.DUMMYFUNCTION("""COMPUTED_VALUE"""),"10.1002/pip")</f>
        <v>10.1002/pip</v>
      </c>
    </row>
    <row r="249" spans="4:6" ht="12.75">
      <c r="D249" s="7" t="s">
        <v>260</v>
      </c>
      <c r="F249" t="str">
        <f ca="1">IFERROR(__xludf.DUMMYFUNCTION("""COMPUTED_VALUE"""),"NREL/PR-6A20-68425")</f>
        <v>NREL/PR-6A20-68425</v>
      </c>
    </row>
    <row r="250" spans="4:6" ht="12.75">
      <c r="D250" s="7" t="s">
        <v>261</v>
      </c>
      <c r="F250" t="str">
        <f ca="1">IFERROR(__xludf.DUMMYFUNCTION("""COMPUTED_VALUE"""),"10.1109/TEM.2019.2940340")</f>
        <v>10.1109/TEM.2019.2940340</v>
      </c>
    </row>
    <row r="251" spans="4:6" ht="12.75">
      <c r="D251" s="7" t="s">
        <v>262</v>
      </c>
      <c r="F251" t="str">
        <f ca="1">IFERROR(__xludf.DUMMYFUNCTION("""COMPUTED_VALUE"""),"10.1109/SPEEDAM.2018.8445361")</f>
        <v>10.1109/SPEEDAM.2018.8445361</v>
      </c>
    </row>
    <row r="252" spans="4:6" ht="12.75">
      <c r="D252" s="7" t="s">
        <v>220</v>
      </c>
      <c r="F252" t="str">
        <f ca="1">IFERROR(__xludf.DUMMYFUNCTION("""COMPUTED_VALUE"""),"10.1109/ISGT-Asia.2011.6167091")</f>
        <v>10.1109/ISGT-Asia.2011.6167091</v>
      </c>
    </row>
    <row r="253" spans="4:6" ht="12.75">
      <c r="D253" s="7" t="s">
        <v>263</v>
      </c>
      <c r="F253" t="str">
        <f ca="1">IFERROR(__xludf.DUMMYFUNCTION("""COMPUTED_VALUE"""),"10.1109/UPEC.2018.8542045")</f>
        <v>10.1109/UPEC.2018.8542045</v>
      </c>
    </row>
    <row r="254" spans="4:6" ht="12.75">
      <c r="D254" s="7" t="s">
        <v>176</v>
      </c>
      <c r="F254" t="str">
        <f ca="1">IFERROR(__xludf.DUMMYFUNCTION("""COMPUTED_VALUE"""),"10.1109/SPICES.2017.8091303")</f>
        <v>10.1109/SPICES.2017.8091303</v>
      </c>
    </row>
    <row r="255" spans="4:6" ht="12.75">
      <c r="D255" s="7" t="s">
        <v>264</v>
      </c>
      <c r="F255" t="str">
        <f ca="1">IFERROR(__xludf.DUMMYFUNCTION("""COMPUTED_VALUE"""),"10.2172/981732")</f>
        <v>10.2172/981732</v>
      </c>
    </row>
    <row r="256" spans="4:6" ht="12.75">
      <c r="D256" s="7" t="s">
        <v>126</v>
      </c>
      <c r="F256" t="str">
        <f ca="1">IFERROR(__xludf.DUMMYFUNCTION("""COMPUTED_VALUE"""),"10.1109/TPWRD.2015.2398199")</f>
        <v>10.1109/TPWRD.2015.2398199</v>
      </c>
    </row>
    <row r="257" spans="4:6" ht="12.75">
      <c r="D257" s="7" t="s">
        <v>265</v>
      </c>
      <c r="F257" t="str">
        <f ca="1">IFERROR(__xludf.DUMMYFUNCTION("""COMPUTED_VALUE"""),"10.1109/TIA.2015.2427119")</f>
        <v>10.1109/TIA.2015.2427119</v>
      </c>
    </row>
    <row r="258" spans="4:6" ht="12.75">
      <c r="D258" s="7" t="s">
        <v>144</v>
      </c>
      <c r="F258" t="str">
        <f ca="1">IFERROR(__xludf.DUMMYFUNCTION("""COMPUTED_VALUE"""),"10.1109/ISIE.2019.8781148")</f>
        <v>10.1109/ISIE.2019.8781148</v>
      </c>
    </row>
    <row r="259" spans="4:6" ht="12.75">
      <c r="D259" s="7" t="s">
        <v>266</v>
      </c>
      <c r="F259" t="str">
        <f ca="1">IFERROR(__xludf.DUMMYFUNCTION("""COMPUTED_VALUE"""),"10.1016/j.energy.2016.12.015")</f>
        <v>10.1016/j.energy.2016.12.015</v>
      </c>
    </row>
    <row r="260" spans="4:6" ht="12.75">
      <c r="D260" s="7" t="s">
        <v>267</v>
      </c>
      <c r="F260" t="str">
        <f ca="1">IFERROR(__xludf.DUMMYFUNCTION("""COMPUTED_VALUE"""),"10.1109/ICDCM.2017.8001060")</f>
        <v>10.1109/ICDCM.2017.8001060</v>
      </c>
    </row>
    <row r="261" spans="4:6" ht="12.75">
      <c r="D261" s="7" t="s">
        <v>268</v>
      </c>
      <c r="F261" t="str">
        <f ca="1">IFERROR(__xludf.DUMMYFUNCTION("""COMPUTED_VALUE"""),"10.1088/1742-6596/1221/1/012048")</f>
        <v>10.1088/1742-6596/1221/1/012048</v>
      </c>
    </row>
    <row r="262" spans="4:6" ht="12.75">
      <c r="D262" s="7" t="s">
        <v>269</v>
      </c>
      <c r="F262" t="str">
        <f ca="1">IFERROR(__xludf.DUMMYFUNCTION("""COMPUTED_VALUE"""),"10.1049/iet-rpg.2015.0376")</f>
        <v>10.1049/iet-rpg.2015.0376</v>
      </c>
    </row>
    <row r="263" spans="4:6" ht="12.75">
      <c r="D263" s="7" t="s">
        <v>161</v>
      </c>
      <c r="F263" t="str">
        <f ca="1">IFERROR(__xludf.DUMMYFUNCTION("""COMPUTED_VALUE"""),"10.1016/j.rser.2014.07.198")</f>
        <v>10.1016/j.rser.2014.07.198</v>
      </c>
    </row>
    <row r="264" spans="4:6" ht="12.75">
      <c r="D264" s="7" t="s">
        <v>270</v>
      </c>
      <c r="F264" t="str">
        <f ca="1">IFERROR(__xludf.DUMMYFUNCTION("""COMPUTED_VALUE"""),"10.1016/j.egypro.2017.11.076")</f>
        <v>10.1016/j.egypro.2017.11.076</v>
      </c>
    </row>
    <row r="265" spans="4:6" ht="12.75">
      <c r="D265" s="7" t="s">
        <v>271</v>
      </c>
      <c r="F265" t="str">
        <f ca="1">IFERROR(__xludf.DUMMYFUNCTION("""COMPUTED_VALUE"""),"10.3390/en10122107")</f>
        <v>10.3390/en10122107</v>
      </c>
    </row>
    <row r="266" spans="4:6" ht="12.75">
      <c r="D266" s="7" t="s">
        <v>79</v>
      </c>
      <c r="F266" t="str">
        <f ca="1">IFERROR(__xludf.DUMMYFUNCTION("""COMPUTED_VALUE"""),"10.1109/TSG.2015.2455017")</f>
        <v>10.1109/TSG.2015.2455017</v>
      </c>
    </row>
    <row r="267" spans="4:6" ht="12.75">
      <c r="D267" s="7" t="s">
        <v>272</v>
      </c>
      <c r="F267" t="str">
        <f ca="1">IFERROR(__xludf.DUMMYFUNCTION("""COMPUTED_VALUE"""),"10.1109/TPEL.2017.2724145")</f>
        <v>10.1109/TPEL.2017.2724145</v>
      </c>
    </row>
    <row r="268" spans="4:6" ht="12.75">
      <c r="D268" s="7" t="s">
        <v>269</v>
      </c>
      <c r="F268" t="str">
        <f ca="1">IFERROR(__xludf.DUMMYFUNCTION("""COMPUTED_VALUE"""),"10.1016/j.jpowsour.2014.01.031")</f>
        <v>10.1016/j.jpowsour.2014.01.031</v>
      </c>
    </row>
    <row r="269" spans="4:6" ht="12.75">
      <c r="D269" s="7" t="s">
        <v>273</v>
      </c>
      <c r="F269" t="str">
        <f ca="1">IFERROR(__xludf.DUMMYFUNCTION("""COMPUTED_VALUE"""),"10.1109/INTLEC.2014.6972218")</f>
        <v>10.1109/INTLEC.2014.6972218</v>
      </c>
    </row>
    <row r="270" spans="4:6" ht="12.75">
      <c r="D270" s="7" t="s">
        <v>224</v>
      </c>
      <c r="F270" t="str">
        <f ca="1">IFERROR(__xludf.DUMMYFUNCTION("""COMPUTED_VALUE"""),"10.1109/EPE.2013.6631774")</f>
        <v>10.1109/EPE.2013.6631774</v>
      </c>
    </row>
    <row r="271" spans="4:6" ht="12.75">
      <c r="D271" s="7" t="s">
        <v>274</v>
      </c>
      <c r="F271" t="str">
        <f ca="1">IFERROR(__xludf.DUMMYFUNCTION("""COMPUTED_VALUE"""),"10.1016/j.energy.2008.12.008")</f>
        <v>10.1016/j.energy.2008.12.008</v>
      </c>
    </row>
    <row r="272" spans="4:6" ht="12.75">
      <c r="D272" s="7" t="s">
        <v>275</v>
      </c>
      <c r="F272" t="str">
        <f ca="1">IFERROR(__xludf.DUMMYFUNCTION("""COMPUTED_VALUE"""),"10.1109/TPEL.2014.2310656")</f>
        <v>10.1109/TPEL.2014.2310656</v>
      </c>
    </row>
    <row r="273" spans="4:6" ht="12.75">
      <c r="D273" s="7" t="s">
        <v>276</v>
      </c>
      <c r="F273" t="str">
        <f ca="1">IFERROR(__xludf.DUMMYFUNCTION("""COMPUTED_VALUE"""),"10.1109/ICDCM.2015.7152038")</f>
        <v>10.1109/ICDCM.2015.7152038</v>
      </c>
    </row>
    <row r="274" spans="4:6" ht="12.75">
      <c r="D274" s="7" t="s">
        <v>277</v>
      </c>
      <c r="F274" t="str">
        <f ca="1">IFERROR(__xludf.DUMMYFUNCTION("""COMPUTED_VALUE"""),"10.1109/ACCESS.2018.2789522")</f>
        <v>10.1109/ACCESS.2018.2789522</v>
      </c>
    </row>
    <row r="275" spans="4:6" ht="12.75">
      <c r="D275" s="7" t="s">
        <v>148</v>
      </c>
      <c r="F275" t="str">
        <f ca="1">IFERROR(__xludf.DUMMYFUNCTION("""COMPUTED_VALUE"""),"10.1016/j.compeleceng.2018.01.031")</f>
        <v>10.1016/j.compeleceng.2018.01.031</v>
      </c>
    </row>
    <row r="276" spans="4:6" ht="12.75">
      <c r="D276" s="7" t="s">
        <v>199</v>
      </c>
      <c r="F276" t="str">
        <f ca="1">IFERROR(__xludf.DUMMYFUNCTION("""COMPUTED_VALUE"""),"10.1016/j.energy.2018.06.101")</f>
        <v>10.1016/j.energy.2018.06.101</v>
      </c>
    </row>
    <row r="277" spans="4:6" ht="12.75">
      <c r="D277" s="8"/>
      <c r="F277" t="str">
        <f ca="1">IFERROR(__xludf.DUMMYFUNCTION("""COMPUTED_VALUE"""),"10.1109/PES.2011.6039082")</f>
        <v>10.1109/PES.2011.6039082</v>
      </c>
    </row>
    <row r="278" spans="4:6" ht="12.75">
      <c r="D278" s="7" t="s">
        <v>278</v>
      </c>
      <c r="F278" t="str">
        <f ca="1">IFERROR(__xludf.DUMMYFUNCTION("""COMPUTED_VALUE"""),"10.1109/TSG.2014.2344024")</f>
        <v>10.1109/TSG.2014.2344024</v>
      </c>
    </row>
    <row r="279" spans="4:6" ht="12.75">
      <c r="D279" s="7" t="s">
        <v>230</v>
      </c>
      <c r="F279" t="str">
        <f ca="1">IFERROR(__xludf.DUMMYFUNCTION("""COMPUTED_VALUE"""),"10.1109/EPEPEMC.2016.7752039")</f>
        <v>10.1109/EPEPEMC.2016.7752039</v>
      </c>
    </row>
    <row r="280" spans="4:6" ht="12.75">
      <c r="D280" s="7" t="s">
        <v>279</v>
      </c>
      <c r="F280" t="str">
        <f ca="1">IFERROR(__xludf.DUMMYFUNCTION("""COMPUTED_VALUE"""),"10.1109/PEDG.2014.6878696")</f>
        <v>10.1109/PEDG.2014.6878696</v>
      </c>
    </row>
    <row r="281" spans="4:6" ht="12.75">
      <c r="D281" s="8"/>
      <c r="F281" t="str">
        <f ca="1">IFERROR(__xludf.DUMMYFUNCTION("""COMPUTED_VALUE"""),"10.1109/UPEC.2018.8541919")</f>
        <v>10.1109/UPEC.2018.8541919</v>
      </c>
    </row>
    <row r="282" spans="4:6" ht="12.75">
      <c r="D282" s="7" t="s">
        <v>280</v>
      </c>
      <c r="F282" t="str">
        <f ca="1">IFERROR(__xludf.DUMMYFUNCTION("""COMPUTED_VALUE"""),"10.1016/j.jestch.2017.12.006")</f>
        <v>10.1016/j.jestch.2017.12.006</v>
      </c>
    </row>
    <row r="283" spans="4:6" ht="12.75">
      <c r="D283" s="7" t="s">
        <v>281</v>
      </c>
      <c r="F283" t="str">
        <f ca="1">IFERROR(__xludf.DUMMYFUNCTION("""COMPUTED_VALUE"""),"10.1016/j.apenergy.2018.08.069")</f>
        <v>10.1016/j.apenergy.2018.08.069</v>
      </c>
    </row>
    <row r="284" spans="4:6" ht="12.75">
      <c r="D284" s="7" t="s">
        <v>72</v>
      </c>
      <c r="F284" t="str">
        <f ca="1">IFERROR(__xludf.DUMMYFUNCTION("""COMPUTED_VALUE"""),"10.3168/jds.S0022-0302(82)82351-5")</f>
        <v>10.3168/jds.S0022-0302(82)82351-5</v>
      </c>
    </row>
    <row r="285" spans="4:6" ht="12.75">
      <c r="D285" s="7" t="s">
        <v>212</v>
      </c>
      <c r="F285" t="str">
        <f ca="1">IFERROR(__xludf.DUMMYFUNCTION("""COMPUTED_VALUE"""),"10.1016/j.epsr.2017.05.031")</f>
        <v>10.1016/j.epsr.2017.05.031</v>
      </c>
    </row>
    <row r="286" spans="4:6" ht="12.75">
      <c r="D286" s="7" t="s">
        <v>184</v>
      </c>
      <c r="F286" t="str">
        <f ca="1">IFERROR(__xludf.DUMMYFUNCTION("""COMPUTED_VALUE"""),"10.1109/PESC.1999.785618")</f>
        <v>10.1109/PESC.1999.785618</v>
      </c>
    </row>
    <row r="287" spans="4:6" ht="12.75">
      <c r="D287" s="7" t="s">
        <v>282</v>
      </c>
      <c r="F287" t="str">
        <f ca="1">IFERROR(__xludf.DUMMYFUNCTION("""COMPUTED_VALUE"""),"10.1016/j.scs.2018.02.003")</f>
        <v>10.1016/j.scs.2018.02.003</v>
      </c>
    </row>
    <row r="288" spans="4:6" ht="12.75">
      <c r="D288" s="7" t="s">
        <v>201</v>
      </c>
      <c r="F288" t="str">
        <f ca="1">IFERROR(__xludf.DUMMYFUNCTION("""COMPUTED_VALUE"""),"10.1109/TPEL.2012.2209461")</f>
        <v>10.1109/TPEL.2012.2209461</v>
      </c>
    </row>
    <row r="289" spans="4:6" ht="12.75">
      <c r="D289" s="8"/>
      <c r="F289" t="str">
        <f ca="1">IFERROR(__xludf.DUMMYFUNCTION("""COMPUTED_VALUE"""),"10.1109/TPEL.2017.2703300")</f>
        <v>10.1109/TPEL.2017.2703300</v>
      </c>
    </row>
    <row r="290" spans="4:6" ht="12.75">
      <c r="D290" s="7" t="s">
        <v>283</v>
      </c>
      <c r="F290" t="str">
        <f ca="1">IFERROR(__xludf.DUMMYFUNCTION("""COMPUTED_VALUE"""),"10.1109/TIA.2003.818969")</f>
        <v>10.1109/TIA.2003.818969</v>
      </c>
    </row>
    <row r="291" spans="4:6" ht="12.75">
      <c r="D291" s="7" t="s">
        <v>284</v>
      </c>
      <c r="F291" t="str">
        <f ca="1">IFERROR(__xludf.DUMMYFUNCTION("""COMPUTED_VALUE"""),"10.3390/en12010033")</f>
        <v>10.3390/en12010033</v>
      </c>
    </row>
    <row r="292" spans="4:6" ht="12.75">
      <c r="D292" s="7" t="s">
        <v>285</v>
      </c>
      <c r="F292" t="str">
        <f ca="1">IFERROR(__xludf.DUMMYFUNCTION("""COMPUTED_VALUE"""),"10.1016/j.enpol.2017.01.010")</f>
        <v>10.1016/j.enpol.2017.01.010</v>
      </c>
    </row>
    <row r="293" spans="4:6" ht="12.75">
      <c r="D293" s="7" t="s">
        <v>286</v>
      </c>
      <c r="F293" t="str">
        <f ca="1">IFERROR(__xludf.DUMMYFUNCTION("""COMPUTED_VALUE"""),"10.2172/1209276")</f>
        <v>10.2172/1209276</v>
      </c>
    </row>
    <row r="294" spans="4:6" ht="12.75">
      <c r="D294" s="7" t="s">
        <v>75</v>
      </c>
      <c r="F294" t="str">
        <f ca="1">IFERROR(__xludf.DUMMYFUNCTION("""COMPUTED_VALUE"""),"10.1016/j.procs.2016.04.182")</f>
        <v>10.1016/j.procs.2016.04.182</v>
      </c>
    </row>
    <row r="295" spans="4:6" ht="12.75">
      <c r="D295" s="7" t="s">
        <v>287</v>
      </c>
      <c r="F295" t="str">
        <f ca="1">IFERROR(__xludf.DUMMYFUNCTION("""COMPUTED_VALUE"""),"10.1016/j.rser.2014.11.067")</f>
        <v>10.1016/j.rser.2014.11.067</v>
      </c>
    </row>
    <row r="296" spans="4:6" ht="12.75">
      <c r="D296" s="7" t="s">
        <v>203</v>
      </c>
      <c r="F296" t="str">
        <f ca="1">IFERROR(__xludf.DUMMYFUNCTION("""COMPUTED_VALUE"""),"10.1109/TPEL.2016.2558660")</f>
        <v>10.1109/TPEL.2016.2558660</v>
      </c>
    </row>
    <row r="297" spans="4:6" ht="12.75">
      <c r="D297" s="8"/>
      <c r="F297" t="str">
        <f ca="1">IFERROR(__xludf.DUMMYFUNCTION("""COMPUTED_VALUE"""),"10.13140/RG.2.1.1967.8565")</f>
        <v>10.13140/RG.2.1.1967.8565</v>
      </c>
    </row>
    <row r="298" spans="4:6" ht="12.75">
      <c r="D298" s="7" t="s">
        <v>288</v>
      </c>
      <c r="F298" t="str">
        <f ca="1">IFERROR(__xludf.DUMMYFUNCTION("""COMPUTED_VALUE"""),"10.1016/j.ijepes.2019.03.057")</f>
        <v>10.1016/j.ijepes.2019.03.057</v>
      </c>
    </row>
    <row r="299" spans="4:6" ht="12.75">
      <c r="D299" s="7" t="s">
        <v>289</v>
      </c>
      <c r="F299" t="str">
        <f ca="1">IFERROR(__xludf.DUMMYFUNCTION("""COMPUTED_VALUE"""),"10.1109/TPEL.2004.833454")</f>
        <v>10.1109/TPEL.2004.833454</v>
      </c>
    </row>
    <row r="300" spans="4:6" ht="12.75">
      <c r="D300" s="7" t="s">
        <v>290</v>
      </c>
      <c r="F300" t="str">
        <f ca="1">IFERROR(__xludf.DUMMYFUNCTION("""COMPUTED_VALUE"""),"10.1016/j.rser.2018.07.045")</f>
        <v>10.1016/j.rser.2018.07.045</v>
      </c>
    </row>
    <row r="301" spans="4:6" ht="12.75">
      <c r="D301" s="7" t="s">
        <v>93</v>
      </c>
      <c r="F301" t="str">
        <f ca="1">IFERROR(__xludf.DUMMYFUNCTION("""COMPUTED_VALUE"""),"10.1109/GHTC.2012.84")</f>
        <v>10.1109/GHTC.2012.84</v>
      </c>
    </row>
    <row r="302" spans="4:6" ht="12.75">
      <c r="D302" s="7" t="s">
        <v>291</v>
      </c>
      <c r="F302" t="str">
        <f ca="1">IFERROR(__xludf.DUMMYFUNCTION("""COMPUTED_VALUE"""),"10.3390/en8054378")</f>
        <v>10.3390/en8054378</v>
      </c>
    </row>
    <row r="303" spans="4:6" ht="12.75">
      <c r="D303" s="7" t="s">
        <v>274</v>
      </c>
      <c r="F303" t="str">
        <f ca="1">IFERROR(__xludf.DUMMYFUNCTION("""COMPUTED_VALUE"""),"10.1109/ICACC.2014.91")</f>
        <v>10.1109/ICACC.2014.91</v>
      </c>
    </row>
    <row r="304" spans="4:6" ht="12.75">
      <c r="D304" s="7" t="s">
        <v>111</v>
      </c>
      <c r="F304" t="str">
        <f ca="1">IFERROR(__xludf.DUMMYFUNCTION("""COMPUTED_VALUE"""),"10.1016/j.conengprac.2018.10.013")</f>
        <v>10.1016/j.conengprac.2018.10.013</v>
      </c>
    </row>
    <row r="305" spans="4:6" ht="12.75">
      <c r="D305" s="7" t="s">
        <v>292</v>
      </c>
      <c r="F305" t="str">
        <f ca="1">IFERROR(__xludf.DUMMYFUNCTION("""COMPUTED_VALUE"""),"10.1016/j.scs.2018.10.044")</f>
        <v>10.1016/j.scs.2018.10.044</v>
      </c>
    </row>
    <row r="306" spans="4:6" ht="12.75">
      <c r="D306" s="7" t="s">
        <v>293</v>
      </c>
      <c r="F306" t="str">
        <f ca="1">IFERROR(__xludf.DUMMYFUNCTION("""COMPUTED_VALUE"""),"10.1109/TSG.2017.2738610")</f>
        <v>10.1109/TSG.2017.2738610</v>
      </c>
    </row>
    <row r="307" spans="4:6" ht="12.75">
      <c r="D307" s="7" t="s">
        <v>246</v>
      </c>
      <c r="F307" t="str">
        <f ca="1">IFERROR(__xludf.DUMMYFUNCTION("""COMPUTED_VALUE"""),"10.1109/ICDCM.2017.800108")</f>
        <v>10.1109/ICDCM.2017.800108</v>
      </c>
    </row>
    <row r="308" spans="4:6" ht="12.75">
      <c r="D308" s="7" t="s">
        <v>294</v>
      </c>
      <c r="F308" t="str">
        <f ca="1">IFERROR(__xludf.DUMMYFUNCTION("""COMPUTED_VALUE"""),"10.3732/ajb.0800322")</f>
        <v>10.3732/ajb.0800322</v>
      </c>
    </row>
    <row r="309" spans="4:6" ht="12.75">
      <c r="D309" s="8"/>
      <c r="F309" t="str">
        <f ca="1">IFERROR(__xludf.DUMMYFUNCTION("""COMPUTED_VALUE"""),"10.1109/MPE.2013.2245587")</f>
        <v>10.1109/MPE.2013.2245587</v>
      </c>
    </row>
    <row r="310" spans="4:6" ht="12.75">
      <c r="D310" s="7" t="s">
        <v>295</v>
      </c>
      <c r="F310" t="str">
        <f ca="1">IFERROR(__xludf.DUMMYFUNCTION("""COMPUTED_VALUE"""),"10.1049/cp.2015.0096")</f>
        <v>10.1049/cp.2015.0096</v>
      </c>
    </row>
    <row r="311" spans="4:6" ht="12.75">
      <c r="D311" s="7" t="s">
        <v>196</v>
      </c>
      <c r="F311" t="str">
        <f ca="1">IFERROR(__xludf.DUMMYFUNCTION("""COMPUTED_VALUE"""),"10.2172/1326888")</f>
        <v>10.2172/1326888</v>
      </c>
    </row>
    <row r="312" spans="4:6" ht="12.75">
      <c r="D312" s="7" t="s">
        <v>271</v>
      </c>
      <c r="F312" t="str">
        <f ca="1">IFERROR(__xludf.DUMMYFUNCTION("""COMPUTED_VALUE"""),"10.1109/TSG.2016.2596788")</f>
        <v>10.1109/TSG.2016.2596788</v>
      </c>
    </row>
    <row r="313" spans="4:6" ht="12.75">
      <c r="D313" s="7" t="s">
        <v>296</v>
      </c>
      <c r="F313" t="str">
        <f ca="1">IFERROR(__xludf.DUMMYFUNCTION("""COMPUTED_VALUE"""),"10.1016/j.renene.2019.04.108")</f>
        <v>10.1016/j.renene.2019.04.108</v>
      </c>
    </row>
    <row r="314" spans="4:6" ht="12.75">
      <c r="D314" s="7" t="s">
        <v>280</v>
      </c>
      <c r="F314" t="str">
        <f ca="1">IFERROR(__xludf.DUMMYFUNCTION("""COMPUTED_VALUE"""),"10.1109/ECCE.2013.6646683")</f>
        <v>10.1109/ECCE.2013.6646683</v>
      </c>
    </row>
    <row r="315" spans="4:6" ht="12.75">
      <c r="D315" s="7" t="s">
        <v>297</v>
      </c>
      <c r="F315" t="str">
        <f ca="1">IFERROR(__xludf.DUMMYFUNCTION("""COMPUTED_VALUE"""),"10.1016/j.apenergy.2016.07.036")</f>
        <v>10.1016/j.apenergy.2016.07.036</v>
      </c>
    </row>
    <row r="316" spans="4:6" ht="12.75">
      <c r="D316" s="7" t="s">
        <v>298</v>
      </c>
      <c r="F316" t="str">
        <f ca="1">IFERROR(__xludf.DUMMYFUNCTION("""COMPUTED_VALUE"""),"10.1016/j.enpol.2012.02.048")</f>
        <v>10.1016/j.enpol.2012.02.048</v>
      </c>
    </row>
    <row r="317" spans="4:6" ht="12.75">
      <c r="D317" s="7" t="s">
        <v>152</v>
      </c>
      <c r="F317" t="str">
        <f ca="1">IFERROR(__xludf.DUMMYFUNCTION("""COMPUTED_VALUE"""),"10.1016/j.rser.2018.03.040")</f>
        <v>10.1016/j.rser.2018.03.040</v>
      </c>
    </row>
    <row r="318" spans="4:6" ht="12.75">
      <c r="D318" s="7" t="s">
        <v>299</v>
      </c>
      <c r="F318" t="str">
        <f ca="1">IFERROR(__xludf.DUMMYFUNCTION("""COMPUTED_VALUE"""),"10.1049/iet-rpg.2016.0629")</f>
        <v>10.1049/iet-rpg.2016.0629</v>
      </c>
    </row>
    <row r="319" spans="4:6" ht="12.75">
      <c r="D319" s="8"/>
      <c r="F319" t="str">
        <f ca="1">IFERROR(__xludf.DUMMYFUNCTION("""COMPUTED_VALUE"""),"10.1016/j.aasri.2014.05.031")</f>
        <v>10.1016/j.aasri.2014.05.031</v>
      </c>
    </row>
    <row r="320" spans="4:6" ht="12.75">
      <c r="D320" s="7" t="s">
        <v>300</v>
      </c>
      <c r="F320" t="str">
        <f ca="1">IFERROR(__xludf.DUMMYFUNCTION("""COMPUTED_VALUE"""),"10.1109/PEDES.2016.7914226")</f>
        <v>10.1109/PEDES.2016.7914226</v>
      </c>
    </row>
    <row r="321" spans="4:6" ht="12.75">
      <c r="D321" s="7" t="s">
        <v>301</v>
      </c>
      <c r="F321" t="str">
        <f ca="1">IFERROR(__xludf.DUMMYFUNCTION("""COMPUTED_VALUE"""),"10.1109/ICDCM.2015.7152014")</f>
        <v>10.1109/ICDCM.2015.7152014</v>
      </c>
    </row>
    <row r="322" spans="4:6" ht="12.75">
      <c r="D322" s="7" t="s">
        <v>302</v>
      </c>
      <c r="F322" t="str">
        <f ca="1">IFERROR(__xludf.DUMMYFUNCTION("""COMPUTED_VALUE"""),"10.1109/PEDS.1999.792869")</f>
        <v>10.1109/PEDS.1999.792869</v>
      </c>
    </row>
    <row r="323" spans="4:6" ht="12.75">
      <c r="D323" s="7" t="s">
        <v>303</v>
      </c>
      <c r="F323" t="str">
        <f ca="1">IFERROR(__xludf.DUMMYFUNCTION("""COMPUTED_VALUE"""),"10.1109/IREC.2018.8362444")</f>
        <v>10.1109/IREC.2018.8362444</v>
      </c>
    </row>
    <row r="324" spans="4:6" ht="12.75">
      <c r="D324" s="7" t="s">
        <v>304</v>
      </c>
      <c r="F324" t="str">
        <f ca="1">IFERROR(__xludf.DUMMYFUNCTION("""COMPUTED_VALUE"""),"10.1109/MELE.2016.2544238")</f>
        <v>10.1109/MELE.2016.2544238</v>
      </c>
    </row>
    <row r="325" spans="4:6" ht="12.75">
      <c r="D325" s="8"/>
      <c r="F325" t="str">
        <f ca="1">IFERROR(__xludf.DUMMYFUNCTION("""COMPUTED_VALUE"""),"10.1109/IECON.2010.5674947")</f>
        <v>10.1109/IECON.2010.5674947</v>
      </c>
    </row>
    <row r="326" spans="4:6" ht="12.75">
      <c r="D326" s="7" t="s">
        <v>237</v>
      </c>
      <c r="F326" t="str">
        <f ca="1">IFERROR(__xludf.DUMMYFUNCTION("""COMPUTED_VALUE"""),"10.1109/IECON.2017.8217191")</f>
        <v>10.1109/IECON.2017.8217191</v>
      </c>
    </row>
    <row r="327" spans="4:6" ht="12.75">
      <c r="D327" s="7" t="s">
        <v>131</v>
      </c>
      <c r="F327" t="str">
        <f ca="1">IFERROR(__xludf.DUMMYFUNCTION("""COMPUTED_VALUE"""),"10.1109/IPEMC.2012.6259203")</f>
        <v>10.1109/IPEMC.2012.6259203</v>
      </c>
    </row>
    <row r="328" spans="4:6" ht="12.75">
      <c r="D328" s="7" t="s">
        <v>305</v>
      </c>
      <c r="F328" t="str">
        <f ca="1">IFERROR(__xludf.DUMMYFUNCTION("""COMPUTED_VALUE"""),"10.1109/UPEC.2017.8232000")</f>
        <v>10.1109/UPEC.2017.8232000</v>
      </c>
    </row>
    <row r="329" spans="4:6" ht="12.75">
      <c r="D329" s="8"/>
      <c r="F329" t="str">
        <f ca="1">IFERROR(__xludf.DUMMYFUNCTION("""COMPUTED_VALUE"""),"10.1016/j.jclepro.2019.01.150")</f>
        <v>10.1016/j.jclepro.2019.01.150</v>
      </c>
    </row>
    <row r="330" spans="4:6" ht="12.75">
      <c r="D330" s="8"/>
      <c r="F330" t="str">
        <f ca="1">IFERROR(__xludf.DUMMYFUNCTION("""COMPUTED_VALUE"""),"10.1016/j.solener.2010.04.012")</f>
        <v>10.1016/j.solener.2010.04.012</v>
      </c>
    </row>
    <row r="331" spans="4:6" ht="12.75">
      <c r="D331" s="7" t="s">
        <v>306</v>
      </c>
      <c r="F331" t="str">
        <f ca="1">IFERROR(__xludf.DUMMYFUNCTION("""COMPUTED_VALUE"""),"10.1109/IECON.2006.347246")</f>
        <v>10.1109/IECON.2006.347246</v>
      </c>
    </row>
    <row r="332" spans="4:6" ht="12.75">
      <c r="D332" s="7" t="s">
        <v>80</v>
      </c>
      <c r="F332" t="str">
        <f ca="1">IFERROR(__xludf.DUMMYFUNCTION("""COMPUTED_VALUE"""),"10.1016/j.solener.2005.06.010")</f>
        <v>10.1016/j.solener.2005.06.010</v>
      </c>
    </row>
    <row r="333" spans="4:6" ht="12.75">
      <c r="D333" s="7" t="s">
        <v>307</v>
      </c>
      <c r="F333" t="str">
        <f ca="1">IFERROR(__xludf.DUMMYFUNCTION("""COMPUTED_VALUE"""),"10.1109/EPEC.2011.6070222")</f>
        <v>10.1109/EPEC.2011.6070222</v>
      </c>
    </row>
    <row r="334" spans="4:6" ht="12.75">
      <c r="D334" s="7" t="s">
        <v>214</v>
      </c>
    </row>
    <row r="335" spans="4:6" ht="12.75">
      <c r="D335" s="7" t="s">
        <v>308</v>
      </c>
    </row>
    <row r="336" spans="4:6" ht="12.75">
      <c r="D336" s="8"/>
    </row>
    <row r="337" spans="4:4" ht="12.75">
      <c r="D337" s="7" t="s">
        <v>309</v>
      </c>
    </row>
    <row r="338" spans="4:4" ht="12.75">
      <c r="D338" s="7" t="s">
        <v>310</v>
      </c>
    </row>
    <row r="339" spans="4:4" ht="12.75">
      <c r="D339" s="7" t="s">
        <v>311</v>
      </c>
    </row>
    <row r="340" spans="4:4" ht="12.75">
      <c r="D340" s="7" t="s">
        <v>82</v>
      </c>
    </row>
    <row r="341" spans="4:4" ht="12.75">
      <c r="D341" s="7" t="s">
        <v>267</v>
      </c>
    </row>
    <row r="342" spans="4:4" ht="12.75">
      <c r="D342" s="7" t="s">
        <v>312</v>
      </c>
    </row>
    <row r="343" spans="4:4" ht="12.75">
      <c r="D343" s="7" t="s">
        <v>313</v>
      </c>
    </row>
    <row r="344" spans="4:4" ht="12.75">
      <c r="D344" s="7" t="s">
        <v>314</v>
      </c>
    </row>
    <row r="345" spans="4:4" ht="12.75">
      <c r="D345" s="7" t="s">
        <v>315</v>
      </c>
    </row>
    <row r="346" spans="4:4" ht="12.75">
      <c r="D346" s="7" t="s">
        <v>316</v>
      </c>
    </row>
    <row r="347" spans="4:4" ht="12.75">
      <c r="D347" s="7" t="s">
        <v>317</v>
      </c>
    </row>
    <row r="348" spans="4:4" ht="12.75">
      <c r="D348" s="7" t="s">
        <v>142</v>
      </c>
    </row>
    <row r="349" spans="4:4" ht="12.75">
      <c r="D349" s="7" t="s">
        <v>318</v>
      </c>
    </row>
    <row r="350" spans="4:4" ht="12.75">
      <c r="D350" s="8"/>
    </row>
    <row r="351" spans="4:4" ht="12.75">
      <c r="D351" s="7" t="s">
        <v>319</v>
      </c>
    </row>
    <row r="352" spans="4:4" ht="12.75">
      <c r="D352" s="7" t="s">
        <v>167</v>
      </c>
    </row>
    <row r="353" spans="4:4" ht="12.75">
      <c r="D353" s="8"/>
    </row>
    <row r="354" spans="4:4" ht="12.75">
      <c r="D354" s="8"/>
    </row>
    <row r="355" spans="4:4" ht="12.75">
      <c r="D355" s="7" t="s">
        <v>320</v>
      </c>
    </row>
    <row r="356" spans="4:4" ht="12.75">
      <c r="D356" s="8"/>
    </row>
    <row r="357" spans="4:4" ht="12.75">
      <c r="D357" s="7" t="s">
        <v>321</v>
      </c>
    </row>
    <row r="358" spans="4:4" ht="12.75">
      <c r="D358" s="7" t="s">
        <v>322</v>
      </c>
    </row>
    <row r="359" spans="4:4" ht="12.75">
      <c r="D359" s="8"/>
    </row>
    <row r="360" spans="4:4" ht="12.75">
      <c r="D360" s="7" t="s">
        <v>323</v>
      </c>
    </row>
    <row r="361" spans="4:4" ht="12.75">
      <c r="D361" s="7" t="s">
        <v>211</v>
      </c>
    </row>
    <row r="362" spans="4:4" ht="12.75">
      <c r="D362" s="7" t="s">
        <v>324</v>
      </c>
    </row>
    <row r="363" spans="4:4" ht="12.75">
      <c r="D363" s="8"/>
    </row>
    <row r="364" spans="4:4" ht="12.75">
      <c r="D364" s="8"/>
    </row>
    <row r="365" spans="4:4" ht="12.75">
      <c r="D365" s="7" t="s">
        <v>325</v>
      </c>
    </row>
    <row r="366" spans="4:4" ht="12.75">
      <c r="D366" s="7" t="s">
        <v>273</v>
      </c>
    </row>
    <row r="367" spans="4:4" ht="12.75">
      <c r="D367" s="7" t="s">
        <v>326</v>
      </c>
    </row>
    <row r="368" spans="4:4" ht="12.75">
      <c r="D368" s="7" t="s">
        <v>264</v>
      </c>
    </row>
    <row r="369" spans="4:4" ht="12.75">
      <c r="D369" s="7" t="s">
        <v>171</v>
      </c>
    </row>
    <row r="370" spans="4:4" ht="12.75">
      <c r="D370" s="7" t="s">
        <v>213</v>
      </c>
    </row>
    <row r="371" spans="4:4" ht="12.75">
      <c r="D371" s="7" t="s">
        <v>320</v>
      </c>
    </row>
    <row r="372" spans="4:4" ht="12.75">
      <c r="D372" s="7" t="s">
        <v>307</v>
      </c>
    </row>
    <row r="373" spans="4:4" ht="12.75">
      <c r="D373" s="7" t="s">
        <v>327</v>
      </c>
    </row>
    <row r="374" spans="4:4" ht="12.75">
      <c r="D374" s="7" t="s">
        <v>244</v>
      </c>
    </row>
    <row r="375" spans="4:4" ht="12.75">
      <c r="D375" s="8"/>
    </row>
    <row r="376" spans="4:4" ht="12.75">
      <c r="D376" s="8"/>
    </row>
    <row r="377" spans="4:4" ht="12.75">
      <c r="D377" s="7" t="s">
        <v>328</v>
      </c>
    </row>
    <row r="378" spans="4:4" ht="12.75">
      <c r="D378" s="7" t="s">
        <v>44</v>
      </c>
    </row>
    <row r="379" spans="4:4" ht="12.75">
      <c r="D379" s="7" t="s">
        <v>65</v>
      </c>
    </row>
    <row r="380" spans="4:4" ht="12.75">
      <c r="D380" s="7" t="s">
        <v>68</v>
      </c>
    </row>
    <row r="381" spans="4:4" ht="12.75">
      <c r="D381" s="7" t="s">
        <v>329</v>
      </c>
    </row>
    <row r="382" spans="4:4" ht="12.75">
      <c r="D382" s="7" t="s">
        <v>330</v>
      </c>
    </row>
    <row r="383" spans="4:4" ht="12.75">
      <c r="D383" s="7" t="s">
        <v>122</v>
      </c>
    </row>
    <row r="384" spans="4:4" ht="12.75">
      <c r="D384" s="8"/>
    </row>
    <row r="385" spans="4:4" ht="12.75">
      <c r="D385" s="8"/>
    </row>
    <row r="386" spans="4:4" ht="12.75">
      <c r="D386" s="7" t="s">
        <v>108</v>
      </c>
    </row>
    <row r="387" spans="4:4" ht="12.75">
      <c r="D387" s="7" t="s">
        <v>331</v>
      </c>
    </row>
    <row r="388" spans="4:4" ht="12.75">
      <c r="D388" s="8"/>
    </row>
    <row r="389" spans="4:4" ht="12.75">
      <c r="D389" s="7" t="s">
        <v>332</v>
      </c>
    </row>
    <row r="390" spans="4:4" ht="12.75">
      <c r="D390" s="7" t="s">
        <v>333</v>
      </c>
    </row>
    <row r="391" spans="4:4" ht="12.75">
      <c r="D391" s="7" t="s">
        <v>91</v>
      </c>
    </row>
    <row r="392" spans="4:4" ht="12.75">
      <c r="D392" s="7" t="s">
        <v>233</v>
      </c>
    </row>
    <row r="393" spans="4:4" ht="12.75">
      <c r="D393" s="7" t="s">
        <v>86</v>
      </c>
    </row>
    <row r="394" spans="4:4" ht="12.75">
      <c r="D394" s="8"/>
    </row>
    <row r="395" spans="4:4" ht="12.75">
      <c r="D395" s="7" t="s">
        <v>334</v>
      </c>
    </row>
    <row r="396" spans="4:4" ht="12.75">
      <c r="D396" s="7" t="s">
        <v>63</v>
      </c>
    </row>
    <row r="397" spans="4:4" ht="12.75">
      <c r="D397" s="7" t="s">
        <v>216</v>
      </c>
    </row>
    <row r="398" spans="4:4" ht="12.75">
      <c r="D398" s="7" t="s">
        <v>110</v>
      </c>
    </row>
    <row r="399" spans="4:4" ht="12.75">
      <c r="D399" s="7" t="s">
        <v>335</v>
      </c>
    </row>
    <row r="400" spans="4:4" ht="12.75">
      <c r="D400" s="7" t="s">
        <v>194</v>
      </c>
    </row>
    <row r="401" spans="4:4" ht="12.75">
      <c r="D401" s="7" t="s">
        <v>336</v>
      </c>
    </row>
    <row r="402" spans="4:4" ht="12.75">
      <c r="D402" s="7" t="s">
        <v>337</v>
      </c>
    </row>
    <row r="403" spans="4:4" ht="12.75">
      <c r="D403" s="7" t="s">
        <v>338</v>
      </c>
    </row>
    <row r="404" spans="4:4" ht="12.75">
      <c r="D404" s="7" t="s">
        <v>294</v>
      </c>
    </row>
    <row r="405" spans="4:4" ht="12.75">
      <c r="D405" s="7" t="s">
        <v>339</v>
      </c>
    </row>
    <row r="406" spans="4:4" ht="12.75">
      <c r="D406" s="7" t="s">
        <v>244</v>
      </c>
    </row>
    <row r="407" spans="4:4" ht="12.75">
      <c r="D407" s="7" t="s">
        <v>221</v>
      </c>
    </row>
    <row r="408" spans="4:4" ht="12.75">
      <c r="D408" s="7" t="s">
        <v>288</v>
      </c>
    </row>
    <row r="409" spans="4:4" ht="12.75">
      <c r="D409" s="7" t="s">
        <v>340</v>
      </c>
    </row>
    <row r="410" spans="4:4" ht="12.75">
      <c r="D410" s="7" t="s">
        <v>106</v>
      </c>
    </row>
    <row r="411" spans="4:4" ht="12.75">
      <c r="D411" s="7" t="s">
        <v>265</v>
      </c>
    </row>
    <row r="412" spans="4:4" ht="12.75">
      <c r="D412" s="7" t="s">
        <v>341</v>
      </c>
    </row>
    <row r="413" spans="4:4" ht="12.75">
      <c r="D413" s="7" t="s">
        <v>114</v>
      </c>
    </row>
    <row r="414" spans="4:4" ht="12.75">
      <c r="D414" s="7" t="s">
        <v>294</v>
      </c>
    </row>
    <row r="415" spans="4:4" ht="12.75">
      <c r="D415" s="7" t="s">
        <v>82</v>
      </c>
    </row>
    <row r="416" spans="4:4" ht="12.75">
      <c r="D416" s="7" t="s">
        <v>342</v>
      </c>
    </row>
    <row r="417" spans="4:4" ht="12.75">
      <c r="D417" s="7" t="s">
        <v>343</v>
      </c>
    </row>
    <row r="418" spans="4:4" ht="12.75">
      <c r="D418" s="8"/>
    </row>
    <row r="419" spans="4:4" ht="12.75">
      <c r="D419" s="7" t="s">
        <v>281</v>
      </c>
    </row>
    <row r="420" spans="4:4" ht="12.75">
      <c r="D420" s="7" t="s">
        <v>344</v>
      </c>
    </row>
    <row r="421" spans="4:4" ht="12.75">
      <c r="D421" s="8"/>
    </row>
    <row r="422" spans="4:4" ht="12.75">
      <c r="D422" s="7" t="s">
        <v>31</v>
      </c>
    </row>
    <row r="423" spans="4:4" ht="12.75">
      <c r="D423" s="7" t="s">
        <v>345</v>
      </c>
    </row>
    <row r="424" spans="4:4" ht="12.75">
      <c r="D424" s="7" t="s">
        <v>346</v>
      </c>
    </row>
    <row r="425" spans="4:4" ht="12.75">
      <c r="D425" s="8"/>
    </row>
    <row r="426" spans="4:4" ht="12.75">
      <c r="D426" s="7" t="s">
        <v>146</v>
      </c>
    </row>
    <row r="427" spans="4:4" ht="12.75">
      <c r="D427" s="7" t="s">
        <v>347</v>
      </c>
    </row>
    <row r="428" spans="4:4" ht="12.75">
      <c r="D428" s="7" t="s">
        <v>297</v>
      </c>
    </row>
    <row r="429" spans="4:4" ht="12.75">
      <c r="D429" s="7" t="s">
        <v>243</v>
      </c>
    </row>
    <row r="430" spans="4:4" ht="12.75">
      <c r="D430" s="7" t="s">
        <v>348</v>
      </c>
    </row>
    <row r="431" spans="4:4" ht="12.75">
      <c r="D431" s="7" t="s">
        <v>335</v>
      </c>
    </row>
  </sheetData>
  <mergeCells count="2">
    <mergeCell ref="B1:C1"/>
    <mergeCell ref="J1:M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A1000"/>
  <sheetViews>
    <sheetView topLeftCell="A115" workbookViewId="0">
      <selection activeCell="C1" sqref="C1:C1048576"/>
    </sheetView>
  </sheetViews>
  <sheetFormatPr baseColWidth="10" defaultColWidth="14.42578125" defaultRowHeight="15.75" customHeight="1"/>
  <cols>
    <col min="1" max="1" width="9.42578125" customWidth="1"/>
    <col min="3" max="3" width="14.42578125" style="394"/>
    <col min="4" max="4" width="66.42578125" customWidth="1"/>
  </cols>
  <sheetData>
    <row r="1" spans="1:27" ht="15.75" customHeight="1">
      <c r="A1" s="10" t="s">
        <v>349</v>
      </c>
      <c r="B1" s="11" t="s">
        <v>350</v>
      </c>
      <c r="C1" s="392" t="s">
        <v>351</v>
      </c>
      <c r="D1" s="12" t="s">
        <v>352</v>
      </c>
      <c r="E1" s="13"/>
      <c r="F1" s="13"/>
      <c r="G1" s="13"/>
      <c r="H1" s="13"/>
      <c r="I1" s="13"/>
      <c r="J1" s="13"/>
      <c r="K1" s="13"/>
      <c r="L1" s="13"/>
      <c r="M1" s="13"/>
      <c r="N1" s="13"/>
      <c r="O1" s="13"/>
      <c r="P1" s="13"/>
      <c r="Q1" s="13"/>
      <c r="R1" s="13"/>
      <c r="S1" s="13"/>
      <c r="T1" s="13"/>
      <c r="U1" s="13"/>
      <c r="V1" s="13"/>
      <c r="W1" s="13"/>
      <c r="X1" s="13"/>
      <c r="Y1" s="13"/>
      <c r="Z1" s="13"/>
      <c r="AA1" s="13"/>
    </row>
    <row r="2" spans="1:27" ht="15.75" customHeight="1">
      <c r="A2" s="14">
        <v>1</v>
      </c>
      <c r="B2" s="15"/>
      <c r="C2" s="393" t="s">
        <v>353</v>
      </c>
      <c r="D2" s="16" t="s">
        <v>354</v>
      </c>
    </row>
    <row r="3" spans="1:27" ht="15.75" customHeight="1">
      <c r="A3" s="14">
        <v>2</v>
      </c>
      <c r="B3" s="15"/>
      <c r="C3" s="393" t="s">
        <v>353</v>
      </c>
      <c r="D3" s="16" t="s">
        <v>355</v>
      </c>
      <c r="E3" s="17" t="s">
        <v>356</v>
      </c>
      <c r="F3" s="17" t="s">
        <v>357</v>
      </c>
    </row>
    <row r="4" spans="1:27" ht="15.75" customHeight="1">
      <c r="A4" s="14">
        <v>3</v>
      </c>
      <c r="B4" s="15"/>
      <c r="C4" s="393" t="s">
        <v>353</v>
      </c>
      <c r="D4" s="16" t="s">
        <v>358</v>
      </c>
      <c r="E4" s="17" t="s">
        <v>356</v>
      </c>
      <c r="F4" s="17" t="s">
        <v>357</v>
      </c>
    </row>
    <row r="5" spans="1:27" ht="15.75" customHeight="1">
      <c r="A5" s="14">
        <v>4</v>
      </c>
      <c r="B5" s="15"/>
      <c r="C5" s="393" t="s">
        <v>353</v>
      </c>
      <c r="D5" s="16" t="s">
        <v>359</v>
      </c>
    </row>
    <row r="6" spans="1:27" ht="15.75" customHeight="1">
      <c r="A6" s="14">
        <v>5</v>
      </c>
      <c r="B6" s="15"/>
      <c r="C6" s="393" t="s">
        <v>353</v>
      </c>
      <c r="D6" s="16" t="s">
        <v>360</v>
      </c>
    </row>
    <row r="7" spans="1:27" ht="15.75" customHeight="1">
      <c r="A7" s="14">
        <v>6</v>
      </c>
      <c r="B7" s="15"/>
      <c r="C7" s="393" t="s">
        <v>353</v>
      </c>
      <c r="D7" s="16" t="s">
        <v>361</v>
      </c>
    </row>
    <row r="8" spans="1:27" ht="15.75" customHeight="1">
      <c r="A8" s="14">
        <v>7</v>
      </c>
      <c r="B8" s="15"/>
      <c r="C8" s="393" t="s">
        <v>353</v>
      </c>
      <c r="D8" s="16" t="s">
        <v>362</v>
      </c>
      <c r="E8" s="17" t="s">
        <v>356</v>
      </c>
      <c r="F8" s="17" t="s">
        <v>357</v>
      </c>
    </row>
    <row r="9" spans="1:27" ht="15.75" customHeight="1">
      <c r="A9" s="14">
        <v>8</v>
      </c>
      <c r="B9" s="15"/>
      <c r="C9" s="393" t="s">
        <v>353</v>
      </c>
      <c r="D9" s="16" t="s">
        <v>363</v>
      </c>
    </row>
    <row r="10" spans="1:27" ht="15.75" customHeight="1">
      <c r="A10" s="14">
        <v>9</v>
      </c>
      <c r="B10" s="15"/>
      <c r="C10" s="393" t="s">
        <v>353</v>
      </c>
      <c r="D10" s="16" t="s">
        <v>364</v>
      </c>
    </row>
    <row r="11" spans="1:27" ht="15.75" customHeight="1">
      <c r="A11" s="14">
        <v>10</v>
      </c>
      <c r="B11" s="15"/>
      <c r="C11" s="393" t="s">
        <v>353</v>
      </c>
      <c r="D11" s="16" t="s">
        <v>365</v>
      </c>
      <c r="E11" s="17" t="s">
        <v>356</v>
      </c>
      <c r="F11" s="17" t="s">
        <v>357</v>
      </c>
    </row>
    <row r="12" spans="1:27" ht="15.75" customHeight="1">
      <c r="A12" s="14">
        <v>11</v>
      </c>
      <c r="B12" s="15"/>
      <c r="C12" s="393" t="s">
        <v>353</v>
      </c>
      <c r="D12" s="16" t="s">
        <v>366</v>
      </c>
      <c r="E12" s="17" t="s">
        <v>356</v>
      </c>
      <c r="F12" s="17" t="s">
        <v>357</v>
      </c>
    </row>
    <row r="13" spans="1:27" ht="15.75" customHeight="1">
      <c r="A13" s="14">
        <v>12</v>
      </c>
      <c r="B13" s="15"/>
      <c r="C13" s="393" t="s">
        <v>353</v>
      </c>
      <c r="D13" s="16" t="s">
        <v>367</v>
      </c>
    </row>
    <row r="14" spans="1:27" ht="15.75" customHeight="1">
      <c r="A14" s="14">
        <v>13</v>
      </c>
      <c r="B14" s="15"/>
      <c r="C14" s="393" t="s">
        <v>353</v>
      </c>
      <c r="D14" s="16" t="s">
        <v>368</v>
      </c>
      <c r="E14" s="17" t="s">
        <v>356</v>
      </c>
      <c r="F14" s="17" t="s">
        <v>357</v>
      </c>
    </row>
    <row r="15" spans="1:27" ht="15.75" customHeight="1">
      <c r="A15" s="14">
        <v>14</v>
      </c>
      <c r="B15" s="15"/>
      <c r="C15" s="393" t="s">
        <v>353</v>
      </c>
      <c r="D15" s="16" t="s">
        <v>369</v>
      </c>
      <c r="E15" s="17" t="s">
        <v>356</v>
      </c>
      <c r="F15" s="17" t="s">
        <v>357</v>
      </c>
    </row>
    <row r="16" spans="1:27" ht="15.75" customHeight="1">
      <c r="A16" s="14">
        <v>15</v>
      </c>
      <c r="B16" s="15"/>
      <c r="C16" s="393" t="s">
        <v>353</v>
      </c>
      <c r="D16" s="16" t="s">
        <v>370</v>
      </c>
      <c r="E16" s="17" t="s">
        <v>356</v>
      </c>
      <c r="F16" s="17" t="s">
        <v>357</v>
      </c>
    </row>
    <row r="17" spans="1:6" ht="15.75" customHeight="1">
      <c r="A17" s="14">
        <v>16</v>
      </c>
      <c r="B17" s="15"/>
      <c r="C17" s="393" t="s">
        <v>353</v>
      </c>
      <c r="D17" s="16" t="s">
        <v>371</v>
      </c>
      <c r="E17" s="17" t="s">
        <v>356</v>
      </c>
      <c r="F17" s="17" t="s">
        <v>357</v>
      </c>
    </row>
    <row r="18" spans="1:6" ht="15.75" customHeight="1">
      <c r="A18" s="14">
        <v>17</v>
      </c>
      <c r="B18" s="15"/>
      <c r="C18" s="393" t="s">
        <v>353</v>
      </c>
      <c r="D18" s="16" t="s">
        <v>372</v>
      </c>
      <c r="E18" s="17" t="s">
        <v>356</v>
      </c>
      <c r="F18" s="17" t="s">
        <v>357</v>
      </c>
    </row>
    <row r="19" spans="1:6" ht="15.75" customHeight="1">
      <c r="A19" s="14">
        <v>18</v>
      </c>
      <c r="B19" s="15"/>
      <c r="C19" s="393" t="s">
        <v>373</v>
      </c>
      <c r="D19" s="16" t="s">
        <v>374</v>
      </c>
    </row>
    <row r="20" spans="1:6" ht="15.75" customHeight="1">
      <c r="A20" s="14">
        <v>19</v>
      </c>
      <c r="B20" s="15"/>
      <c r="C20" s="393" t="s">
        <v>373</v>
      </c>
      <c r="D20" s="16" t="s">
        <v>375</v>
      </c>
    </row>
    <row r="21" spans="1:6" ht="15.75" customHeight="1">
      <c r="A21" s="14">
        <v>20</v>
      </c>
      <c r="B21" s="15"/>
      <c r="C21" s="393" t="s">
        <v>373</v>
      </c>
      <c r="D21" s="16" t="s">
        <v>376</v>
      </c>
    </row>
    <row r="22" spans="1:6" ht="15.75" customHeight="1">
      <c r="A22" s="14">
        <v>21</v>
      </c>
      <c r="B22" s="15"/>
      <c r="C22" s="393" t="s">
        <v>373</v>
      </c>
      <c r="D22" s="16" t="s">
        <v>377</v>
      </c>
    </row>
    <row r="23" spans="1:6" ht="25.5">
      <c r="A23" s="14">
        <v>22</v>
      </c>
      <c r="B23" s="15"/>
      <c r="C23" s="393" t="s">
        <v>373</v>
      </c>
      <c r="D23" s="16" t="s">
        <v>378</v>
      </c>
    </row>
    <row r="24" spans="1:6" ht="25.5">
      <c r="A24" s="14">
        <v>23</v>
      </c>
      <c r="B24" s="15"/>
      <c r="C24" s="393" t="s">
        <v>373</v>
      </c>
      <c r="D24" s="16" t="s">
        <v>379</v>
      </c>
    </row>
    <row r="25" spans="1:6" ht="25.5">
      <c r="A25" s="14">
        <v>24</v>
      </c>
      <c r="B25" s="15"/>
      <c r="C25" s="393" t="s">
        <v>373</v>
      </c>
      <c r="D25" s="16" t="s">
        <v>380</v>
      </c>
    </row>
    <row r="26" spans="1:6" ht="25.5">
      <c r="A26" s="14">
        <v>25</v>
      </c>
      <c r="B26" s="15"/>
      <c r="C26" s="393" t="s">
        <v>373</v>
      </c>
      <c r="D26" s="16" t="s">
        <v>381</v>
      </c>
    </row>
    <row r="27" spans="1:6" ht="25.5">
      <c r="A27" s="14">
        <v>26</v>
      </c>
      <c r="B27" s="15"/>
      <c r="C27" s="393" t="s">
        <v>373</v>
      </c>
      <c r="D27" s="16" t="s">
        <v>382</v>
      </c>
    </row>
    <row r="28" spans="1:6" ht="12.75">
      <c r="A28" s="14">
        <v>27</v>
      </c>
      <c r="B28" s="15"/>
      <c r="C28" s="393" t="s">
        <v>373</v>
      </c>
      <c r="D28" s="16" t="s">
        <v>383</v>
      </c>
    </row>
    <row r="29" spans="1:6" ht="12.75">
      <c r="A29" s="14">
        <v>28</v>
      </c>
      <c r="B29" s="15"/>
      <c r="C29" s="393" t="s">
        <v>373</v>
      </c>
      <c r="D29" s="16" t="s">
        <v>384</v>
      </c>
    </row>
    <row r="30" spans="1:6" ht="12.75">
      <c r="A30" s="14">
        <v>29</v>
      </c>
      <c r="B30" s="15"/>
      <c r="C30" s="393" t="s">
        <v>373</v>
      </c>
      <c r="D30" s="16" t="s">
        <v>385</v>
      </c>
    </row>
    <row r="31" spans="1:6" ht="25.5">
      <c r="A31" s="14">
        <v>30</v>
      </c>
      <c r="B31" s="15"/>
      <c r="C31" s="393" t="s">
        <v>373</v>
      </c>
      <c r="D31" s="16" t="s">
        <v>386</v>
      </c>
    </row>
    <row r="32" spans="1:6" ht="12.75">
      <c r="A32" s="14">
        <v>31</v>
      </c>
      <c r="B32" s="15"/>
      <c r="C32" s="393" t="s">
        <v>373</v>
      </c>
      <c r="D32" s="16" t="s">
        <v>387</v>
      </c>
    </row>
    <row r="33" spans="1:27" ht="25.5">
      <c r="A33" s="14">
        <v>32</v>
      </c>
      <c r="B33" s="15"/>
      <c r="C33" s="393" t="s">
        <v>373</v>
      </c>
      <c r="D33" s="16" t="s">
        <v>388</v>
      </c>
    </row>
    <row r="34" spans="1:27" ht="25.5">
      <c r="A34" s="14">
        <v>33</v>
      </c>
      <c r="B34" s="15"/>
      <c r="C34" s="393" t="s">
        <v>373</v>
      </c>
      <c r="D34" s="16" t="s">
        <v>389</v>
      </c>
    </row>
    <row r="35" spans="1:27" ht="12.75">
      <c r="A35" s="14">
        <v>34</v>
      </c>
      <c r="B35" s="15"/>
      <c r="C35" s="393" t="s">
        <v>373</v>
      </c>
      <c r="D35" s="16" t="s">
        <v>390</v>
      </c>
    </row>
    <row r="36" spans="1:27" ht="38.25">
      <c r="A36" s="18">
        <v>35</v>
      </c>
      <c r="B36" s="19" t="s">
        <v>149</v>
      </c>
      <c r="C36" s="393" t="s">
        <v>391</v>
      </c>
      <c r="D36" s="20" t="s">
        <v>392</v>
      </c>
      <c r="E36" s="21"/>
      <c r="F36" s="21"/>
      <c r="G36" s="21"/>
      <c r="H36" s="21"/>
      <c r="I36" s="21"/>
      <c r="J36" s="21"/>
      <c r="K36" s="21"/>
      <c r="L36" s="21"/>
      <c r="M36" s="21"/>
      <c r="N36" s="21"/>
      <c r="O36" s="21"/>
      <c r="P36" s="21"/>
      <c r="Q36" s="21"/>
      <c r="R36" s="21"/>
      <c r="S36" s="21"/>
      <c r="T36" s="21"/>
      <c r="U36" s="21"/>
      <c r="V36" s="21"/>
      <c r="W36" s="21"/>
      <c r="X36" s="21"/>
      <c r="Y36" s="21"/>
      <c r="Z36" s="21"/>
      <c r="AA36" s="21"/>
    </row>
    <row r="37" spans="1:27" ht="25.5">
      <c r="A37" s="14">
        <v>36</v>
      </c>
      <c r="B37" s="22" t="s">
        <v>83</v>
      </c>
      <c r="C37" s="393" t="s">
        <v>391</v>
      </c>
      <c r="D37" s="16" t="s">
        <v>393</v>
      </c>
    </row>
    <row r="38" spans="1:27" ht="25.5">
      <c r="A38" s="14">
        <v>37</v>
      </c>
      <c r="B38" s="15"/>
      <c r="C38" s="393" t="s">
        <v>391</v>
      </c>
      <c r="D38" s="16" t="s">
        <v>394</v>
      </c>
    </row>
    <row r="39" spans="1:27" ht="25.5">
      <c r="A39" s="14">
        <v>38</v>
      </c>
      <c r="B39" s="15"/>
      <c r="C39" s="393" t="s">
        <v>391</v>
      </c>
      <c r="D39" s="16" t="s">
        <v>395</v>
      </c>
    </row>
    <row r="40" spans="1:27" ht="12.75">
      <c r="A40" s="14">
        <v>39</v>
      </c>
      <c r="B40" s="15"/>
      <c r="C40" s="393" t="s">
        <v>391</v>
      </c>
      <c r="D40" s="16" t="s">
        <v>396</v>
      </c>
    </row>
    <row r="41" spans="1:27" ht="25.5">
      <c r="A41" s="14">
        <v>40</v>
      </c>
      <c r="B41" s="15"/>
      <c r="C41" s="393" t="s">
        <v>391</v>
      </c>
      <c r="D41" s="16" t="s">
        <v>397</v>
      </c>
    </row>
    <row r="42" spans="1:27" ht="12.75">
      <c r="A42" s="14">
        <v>41</v>
      </c>
      <c r="B42" s="15"/>
      <c r="C42" s="393" t="s">
        <v>391</v>
      </c>
      <c r="D42" s="16" t="s">
        <v>398</v>
      </c>
    </row>
    <row r="43" spans="1:27" ht="38.25">
      <c r="A43" s="14">
        <v>42</v>
      </c>
      <c r="B43" s="15"/>
      <c r="C43" s="393" t="s">
        <v>391</v>
      </c>
      <c r="D43" s="16" t="s">
        <v>399</v>
      </c>
    </row>
    <row r="44" spans="1:27" ht="25.5">
      <c r="A44" s="14">
        <v>43</v>
      </c>
      <c r="B44" s="15"/>
      <c r="C44" s="393" t="s">
        <v>391</v>
      </c>
      <c r="D44" s="16" t="s">
        <v>400</v>
      </c>
    </row>
    <row r="45" spans="1:27" ht="25.5">
      <c r="A45" s="14">
        <v>44</v>
      </c>
      <c r="B45" s="15"/>
      <c r="C45" s="393" t="s">
        <v>391</v>
      </c>
      <c r="D45" s="16" t="s">
        <v>401</v>
      </c>
    </row>
    <row r="46" spans="1:27" ht="25.5">
      <c r="A46" s="14">
        <v>45</v>
      </c>
      <c r="B46" s="15"/>
      <c r="C46" s="393" t="s">
        <v>391</v>
      </c>
      <c r="D46" s="16" t="s">
        <v>402</v>
      </c>
    </row>
    <row r="47" spans="1:27" ht="25.5">
      <c r="A47" s="14">
        <v>46</v>
      </c>
      <c r="B47" s="15"/>
      <c r="C47" s="393" t="s">
        <v>391</v>
      </c>
      <c r="D47" s="16" t="s">
        <v>403</v>
      </c>
    </row>
    <row r="48" spans="1:27" ht="25.5">
      <c r="A48" s="14">
        <v>47</v>
      </c>
      <c r="B48" s="15"/>
      <c r="C48" s="393" t="s">
        <v>391</v>
      </c>
      <c r="D48" s="16" t="s">
        <v>404</v>
      </c>
    </row>
    <row r="49" spans="1:4" ht="25.5">
      <c r="A49" s="14">
        <v>48</v>
      </c>
      <c r="B49" s="15"/>
      <c r="C49" s="393" t="s">
        <v>391</v>
      </c>
      <c r="D49" s="16" t="s">
        <v>405</v>
      </c>
    </row>
    <row r="50" spans="1:4" ht="25.5">
      <c r="A50" s="14">
        <v>49</v>
      </c>
      <c r="B50" s="15"/>
      <c r="C50" s="393" t="s">
        <v>391</v>
      </c>
      <c r="D50" s="16" t="s">
        <v>406</v>
      </c>
    </row>
    <row r="51" spans="1:4" ht="25.5">
      <c r="A51" s="14">
        <v>50</v>
      </c>
      <c r="B51" s="15"/>
      <c r="C51" s="393" t="s">
        <v>391</v>
      </c>
      <c r="D51" s="16" t="s">
        <v>407</v>
      </c>
    </row>
    <row r="52" spans="1:4" ht="38.25">
      <c r="A52" s="14">
        <v>51</v>
      </c>
      <c r="B52" s="15"/>
      <c r="C52" s="393" t="s">
        <v>391</v>
      </c>
      <c r="D52" s="16" t="s">
        <v>408</v>
      </c>
    </row>
    <row r="53" spans="1:4" ht="25.5">
      <c r="A53" s="14">
        <v>52</v>
      </c>
      <c r="B53" s="15"/>
      <c r="C53" s="393" t="s">
        <v>409</v>
      </c>
      <c r="D53" s="16" t="s">
        <v>410</v>
      </c>
    </row>
    <row r="54" spans="1:4" ht="25.5">
      <c r="A54" s="14">
        <v>53</v>
      </c>
      <c r="B54" s="15"/>
      <c r="C54" s="393" t="s">
        <v>409</v>
      </c>
      <c r="D54" s="16" t="s">
        <v>411</v>
      </c>
    </row>
    <row r="55" spans="1:4" ht="25.5">
      <c r="A55" s="14">
        <v>54</v>
      </c>
      <c r="B55" s="15"/>
      <c r="C55" s="393" t="s">
        <v>409</v>
      </c>
      <c r="D55" s="16" t="s">
        <v>412</v>
      </c>
    </row>
    <row r="56" spans="1:4" ht="25.5">
      <c r="A56" s="14">
        <v>55</v>
      </c>
      <c r="B56" s="15"/>
      <c r="C56" s="393" t="s">
        <v>409</v>
      </c>
      <c r="D56" s="16" t="s">
        <v>413</v>
      </c>
    </row>
    <row r="57" spans="1:4" ht="25.5">
      <c r="A57" s="14">
        <v>56</v>
      </c>
      <c r="B57" s="15"/>
      <c r="C57" s="393" t="s">
        <v>409</v>
      </c>
      <c r="D57" s="16" t="s">
        <v>361</v>
      </c>
    </row>
    <row r="58" spans="1:4" ht="25.5">
      <c r="A58" s="14">
        <v>57</v>
      </c>
      <c r="B58" s="15"/>
      <c r="C58" s="393" t="s">
        <v>409</v>
      </c>
      <c r="D58" s="16" t="s">
        <v>414</v>
      </c>
    </row>
    <row r="59" spans="1:4" ht="12.75">
      <c r="A59" s="14">
        <v>58</v>
      </c>
      <c r="B59" s="15"/>
      <c r="C59" s="393" t="s">
        <v>409</v>
      </c>
      <c r="D59" s="16" t="s">
        <v>415</v>
      </c>
    </row>
    <row r="60" spans="1:4" ht="25.5">
      <c r="A60" s="14">
        <v>59</v>
      </c>
      <c r="B60" s="15"/>
      <c r="C60" s="393" t="s">
        <v>409</v>
      </c>
      <c r="D60" s="16" t="s">
        <v>416</v>
      </c>
    </row>
    <row r="61" spans="1:4" ht="12.75">
      <c r="A61" s="14">
        <v>60</v>
      </c>
      <c r="B61" s="15"/>
      <c r="C61" s="393" t="s">
        <v>409</v>
      </c>
      <c r="D61" s="16" t="s">
        <v>417</v>
      </c>
    </row>
    <row r="62" spans="1:4" ht="12.75">
      <c r="A62" s="14">
        <v>61</v>
      </c>
      <c r="B62" s="15"/>
      <c r="C62" s="393" t="s">
        <v>409</v>
      </c>
      <c r="D62" s="16" t="s">
        <v>418</v>
      </c>
    </row>
    <row r="63" spans="1:4" ht="25.5">
      <c r="A63" s="14">
        <v>62</v>
      </c>
      <c r="B63" s="15"/>
      <c r="C63" s="393" t="s">
        <v>409</v>
      </c>
      <c r="D63" s="16" t="s">
        <v>419</v>
      </c>
    </row>
    <row r="64" spans="1:4" ht="25.5">
      <c r="A64" s="14">
        <v>63</v>
      </c>
      <c r="B64" s="15"/>
      <c r="C64" s="393" t="s">
        <v>409</v>
      </c>
      <c r="D64" s="16" t="s">
        <v>420</v>
      </c>
    </row>
    <row r="65" spans="1:4" ht="12.75">
      <c r="A65" s="14">
        <v>64</v>
      </c>
      <c r="B65" s="15"/>
      <c r="C65" s="393" t="s">
        <v>409</v>
      </c>
      <c r="D65" s="16" t="s">
        <v>421</v>
      </c>
    </row>
    <row r="66" spans="1:4" ht="12.75">
      <c r="A66" s="14">
        <v>65</v>
      </c>
      <c r="B66" s="15"/>
      <c r="C66" s="393" t="s">
        <v>409</v>
      </c>
      <c r="D66" s="16" t="s">
        <v>422</v>
      </c>
    </row>
    <row r="67" spans="1:4" ht="25.5">
      <c r="A67" s="14">
        <v>66</v>
      </c>
      <c r="B67" s="15"/>
      <c r="C67" s="393" t="s">
        <v>409</v>
      </c>
      <c r="D67" s="16" t="s">
        <v>423</v>
      </c>
    </row>
    <row r="68" spans="1:4" ht="25.5">
      <c r="A68" s="14">
        <v>67</v>
      </c>
      <c r="B68" s="15"/>
      <c r="C68" s="393" t="s">
        <v>409</v>
      </c>
      <c r="D68" s="16" t="s">
        <v>424</v>
      </c>
    </row>
    <row r="69" spans="1:4" ht="25.5">
      <c r="A69" s="14">
        <v>68</v>
      </c>
      <c r="B69" s="15"/>
      <c r="C69" s="393" t="s">
        <v>409</v>
      </c>
      <c r="D69" s="16" t="s">
        <v>425</v>
      </c>
    </row>
    <row r="70" spans="1:4" ht="25.5">
      <c r="A70" s="14">
        <v>69</v>
      </c>
      <c r="B70" s="23" t="str">
        <f>HYPERLINK("https://doi.org/10.1007/s00202-019-00869-8"," 10.1007/s00202-019-00869-8")</f>
        <v xml:space="preserve"> 10.1007/s00202-019-00869-8</v>
      </c>
      <c r="C70" s="393" t="s">
        <v>426</v>
      </c>
      <c r="D70" s="16" t="s">
        <v>427</v>
      </c>
    </row>
    <row r="71" spans="1:4" ht="12.75">
      <c r="A71" s="14">
        <v>70</v>
      </c>
      <c r="B71" s="15"/>
      <c r="C71" s="393" t="s">
        <v>426</v>
      </c>
      <c r="D71" s="16" t="s">
        <v>428</v>
      </c>
    </row>
    <row r="72" spans="1:4" ht="25.5">
      <c r="A72" s="14">
        <v>71</v>
      </c>
      <c r="B72" s="15"/>
      <c r="C72" s="393" t="s">
        <v>426</v>
      </c>
      <c r="D72" s="16" t="s">
        <v>429</v>
      </c>
    </row>
    <row r="73" spans="1:4" ht="25.5">
      <c r="A73" s="14">
        <v>72</v>
      </c>
      <c r="B73" s="15"/>
      <c r="C73" s="393" t="s">
        <v>426</v>
      </c>
      <c r="D73" s="16" t="s">
        <v>430</v>
      </c>
    </row>
    <row r="74" spans="1:4" ht="25.5">
      <c r="A74" s="14">
        <v>73</v>
      </c>
      <c r="B74" s="15"/>
      <c r="C74" s="393" t="s">
        <v>426</v>
      </c>
      <c r="D74" s="16" t="s">
        <v>431</v>
      </c>
    </row>
    <row r="75" spans="1:4" ht="12.75">
      <c r="A75" s="14">
        <v>74</v>
      </c>
      <c r="B75" s="15"/>
      <c r="C75" s="393" t="s">
        <v>426</v>
      </c>
      <c r="D75" s="16" t="s">
        <v>432</v>
      </c>
    </row>
    <row r="76" spans="1:4" ht="25.5">
      <c r="A76" s="14">
        <v>75</v>
      </c>
      <c r="B76" s="15"/>
      <c r="C76" s="393" t="s">
        <v>426</v>
      </c>
      <c r="D76" s="16" t="s">
        <v>433</v>
      </c>
    </row>
    <row r="77" spans="1:4" ht="12.75">
      <c r="A77" s="14">
        <v>76</v>
      </c>
      <c r="B77" s="15"/>
      <c r="C77" s="393" t="s">
        <v>426</v>
      </c>
      <c r="D77" s="16" t="s">
        <v>434</v>
      </c>
    </row>
    <row r="78" spans="1:4" ht="25.5">
      <c r="A78" s="14">
        <v>77</v>
      </c>
      <c r="B78" s="15"/>
      <c r="C78" s="393" t="s">
        <v>426</v>
      </c>
      <c r="D78" s="16" t="s">
        <v>435</v>
      </c>
    </row>
    <row r="79" spans="1:4" ht="25.5">
      <c r="A79" s="14">
        <v>78</v>
      </c>
      <c r="B79" s="15"/>
      <c r="C79" s="393" t="s">
        <v>426</v>
      </c>
      <c r="D79" s="16" t="s">
        <v>436</v>
      </c>
    </row>
    <row r="80" spans="1:4" ht="25.5">
      <c r="A80" s="14">
        <v>79</v>
      </c>
      <c r="B80" s="15"/>
      <c r="C80" s="393" t="s">
        <v>426</v>
      </c>
      <c r="D80" s="16" t="s">
        <v>437</v>
      </c>
    </row>
    <row r="81" spans="1:4" ht="12.75">
      <c r="A81" s="14">
        <v>80</v>
      </c>
      <c r="B81" s="15"/>
      <c r="C81" s="393" t="s">
        <v>426</v>
      </c>
      <c r="D81" s="16" t="s">
        <v>438</v>
      </c>
    </row>
    <row r="82" spans="1:4" ht="25.5">
      <c r="A82" s="14">
        <v>81</v>
      </c>
      <c r="B82" s="15"/>
      <c r="C82" s="393" t="s">
        <v>426</v>
      </c>
      <c r="D82" s="16" t="s">
        <v>439</v>
      </c>
    </row>
    <row r="83" spans="1:4" ht="25.5">
      <c r="A83" s="14">
        <v>82</v>
      </c>
      <c r="B83" s="15"/>
      <c r="C83" s="393" t="s">
        <v>426</v>
      </c>
      <c r="D83" s="16" t="s">
        <v>440</v>
      </c>
    </row>
    <row r="84" spans="1:4" ht="25.5">
      <c r="A84" s="14">
        <v>83</v>
      </c>
      <c r="B84" s="15"/>
      <c r="C84" s="393" t="s">
        <v>426</v>
      </c>
      <c r="D84" s="16" t="s">
        <v>441</v>
      </c>
    </row>
    <row r="85" spans="1:4" ht="25.5">
      <c r="A85" s="14">
        <v>84</v>
      </c>
      <c r="B85" s="15"/>
      <c r="C85" s="393" t="s">
        <v>426</v>
      </c>
      <c r="D85" s="16" t="s">
        <v>359</v>
      </c>
    </row>
    <row r="86" spans="1:4" ht="38.25">
      <c r="A86" s="14">
        <v>85</v>
      </c>
      <c r="B86" s="15"/>
      <c r="C86" s="393" t="s">
        <v>426</v>
      </c>
      <c r="D86" s="16" t="s">
        <v>442</v>
      </c>
    </row>
    <row r="87" spans="1:4" ht="12.75">
      <c r="A87" s="2"/>
      <c r="B87" s="24"/>
      <c r="C87" s="393"/>
    </row>
    <row r="88" spans="1:4" ht="12.75">
      <c r="A88" s="2"/>
      <c r="B88" s="24"/>
      <c r="C88" s="393"/>
    </row>
    <row r="89" spans="1:4" ht="12.75">
      <c r="A89" s="2"/>
      <c r="B89" s="24"/>
      <c r="C89" s="393"/>
    </row>
    <row r="90" spans="1:4" ht="12.75">
      <c r="A90" s="2"/>
      <c r="B90" s="24"/>
      <c r="C90" s="393"/>
    </row>
    <row r="91" spans="1:4" ht="12.75">
      <c r="A91" s="2"/>
      <c r="B91" s="24"/>
      <c r="C91" s="393"/>
    </row>
    <row r="92" spans="1:4" ht="12.75">
      <c r="A92" s="2"/>
      <c r="B92" s="24"/>
      <c r="C92" s="393"/>
    </row>
    <row r="93" spans="1:4" ht="12.75">
      <c r="A93" s="2"/>
      <c r="B93" s="24"/>
      <c r="C93" s="393"/>
    </row>
    <row r="94" spans="1:4" ht="12.75">
      <c r="A94" s="2"/>
      <c r="B94" s="24"/>
      <c r="C94" s="393"/>
    </row>
    <row r="95" spans="1:4" ht="12.75">
      <c r="A95" s="2"/>
      <c r="B95" s="24"/>
      <c r="C95" s="393"/>
    </row>
    <row r="96" spans="1:4" ht="12.75">
      <c r="A96" s="2"/>
      <c r="B96" s="24"/>
      <c r="C96" s="393"/>
    </row>
    <row r="97" spans="1:3" ht="12.75">
      <c r="A97" s="2"/>
      <c r="B97" s="24"/>
      <c r="C97" s="393"/>
    </row>
    <row r="98" spans="1:3" ht="12.75">
      <c r="A98" s="2"/>
      <c r="B98" s="24"/>
      <c r="C98" s="393"/>
    </row>
    <row r="99" spans="1:3" ht="12.75">
      <c r="A99" s="2"/>
      <c r="B99" s="24"/>
      <c r="C99" s="393"/>
    </row>
    <row r="100" spans="1:3" ht="12.75">
      <c r="A100" s="2"/>
      <c r="B100" s="24"/>
      <c r="C100" s="393"/>
    </row>
    <row r="101" spans="1:3" ht="12.75">
      <c r="A101" s="2"/>
      <c r="B101" s="24"/>
      <c r="C101" s="393"/>
    </row>
    <row r="102" spans="1:3" ht="12.75">
      <c r="A102" s="2"/>
      <c r="B102" s="24"/>
      <c r="C102" s="393"/>
    </row>
    <row r="103" spans="1:3" ht="12.75">
      <c r="A103" s="2"/>
      <c r="B103" s="24"/>
      <c r="C103" s="393"/>
    </row>
    <row r="104" spans="1:3" ht="12.75">
      <c r="A104" s="2"/>
      <c r="B104" s="24"/>
      <c r="C104" s="393"/>
    </row>
    <row r="105" spans="1:3" ht="12.75">
      <c r="A105" s="2"/>
      <c r="B105" s="24"/>
      <c r="C105" s="393"/>
    </row>
    <row r="106" spans="1:3" ht="12.75">
      <c r="A106" s="2"/>
      <c r="B106" s="24"/>
      <c r="C106" s="393"/>
    </row>
    <row r="107" spans="1:3" ht="12.75">
      <c r="A107" s="2"/>
      <c r="B107" s="24"/>
      <c r="C107" s="393"/>
    </row>
    <row r="108" spans="1:3" ht="12.75">
      <c r="A108" s="2"/>
      <c r="B108" s="24"/>
      <c r="C108" s="393"/>
    </row>
    <row r="109" spans="1:3" ht="12.75">
      <c r="A109" s="2"/>
      <c r="B109" s="24"/>
      <c r="C109" s="393"/>
    </row>
    <row r="110" spans="1:3" ht="12.75">
      <c r="A110" s="2"/>
      <c r="B110" s="24"/>
      <c r="C110" s="393"/>
    </row>
    <row r="111" spans="1:3" ht="12.75">
      <c r="A111" s="2"/>
      <c r="B111" s="24"/>
      <c r="C111" s="393"/>
    </row>
    <row r="112" spans="1:3" ht="12.75">
      <c r="A112" s="2"/>
      <c r="B112" s="24"/>
      <c r="C112" s="393"/>
    </row>
    <row r="113" spans="1:3" ht="12.75">
      <c r="A113" s="2"/>
      <c r="B113" s="24"/>
      <c r="C113" s="393"/>
    </row>
    <row r="114" spans="1:3" ht="12.75">
      <c r="A114" s="2"/>
      <c r="B114" s="24"/>
      <c r="C114" s="393"/>
    </row>
    <row r="115" spans="1:3" ht="12.75">
      <c r="A115" s="2"/>
      <c r="B115" s="24"/>
      <c r="C115" s="393"/>
    </row>
    <row r="116" spans="1:3" ht="12.75">
      <c r="A116" s="2"/>
      <c r="B116" s="24"/>
      <c r="C116" s="393"/>
    </row>
    <row r="117" spans="1:3" ht="12.75">
      <c r="A117" s="2"/>
      <c r="B117" s="24"/>
      <c r="C117" s="393"/>
    </row>
    <row r="118" spans="1:3" ht="12.75">
      <c r="A118" s="2"/>
      <c r="B118" s="24"/>
      <c r="C118" s="393"/>
    </row>
    <row r="119" spans="1:3" ht="12.75">
      <c r="A119" s="2"/>
      <c r="B119" s="24"/>
      <c r="C119" s="393"/>
    </row>
    <row r="120" spans="1:3" ht="12.75">
      <c r="A120" s="2"/>
      <c r="B120" s="24"/>
      <c r="C120" s="393"/>
    </row>
    <row r="121" spans="1:3" ht="12.75">
      <c r="A121" s="2"/>
      <c r="B121" s="24"/>
      <c r="C121" s="393"/>
    </row>
    <row r="122" spans="1:3" ht="12.75">
      <c r="A122" s="2"/>
      <c r="B122" s="24"/>
      <c r="C122" s="393"/>
    </row>
    <row r="123" spans="1:3" ht="12.75">
      <c r="A123" s="2"/>
      <c r="B123" s="24"/>
      <c r="C123" s="393"/>
    </row>
    <row r="124" spans="1:3" ht="12.75">
      <c r="A124" s="2"/>
      <c r="B124" s="24"/>
      <c r="C124" s="393"/>
    </row>
    <row r="125" spans="1:3" ht="12.75">
      <c r="A125" s="2"/>
      <c r="B125" s="24"/>
      <c r="C125" s="393"/>
    </row>
    <row r="126" spans="1:3" ht="12.75">
      <c r="A126" s="2"/>
      <c r="B126" s="24"/>
      <c r="C126" s="393"/>
    </row>
    <row r="127" spans="1:3" ht="12.75">
      <c r="A127" s="2"/>
      <c r="B127" s="24"/>
      <c r="C127" s="393"/>
    </row>
    <row r="128" spans="1:3" ht="12.75">
      <c r="A128" s="2"/>
      <c r="B128" s="24"/>
      <c r="C128" s="393"/>
    </row>
    <row r="129" spans="1:3" ht="12.75">
      <c r="A129" s="2"/>
      <c r="B129" s="24"/>
      <c r="C129" s="393"/>
    </row>
    <row r="130" spans="1:3" ht="12.75">
      <c r="A130" s="2"/>
      <c r="B130" s="24"/>
      <c r="C130" s="393"/>
    </row>
    <row r="131" spans="1:3" ht="12.75">
      <c r="A131" s="2"/>
      <c r="B131" s="24"/>
      <c r="C131" s="393"/>
    </row>
    <row r="132" spans="1:3" ht="12.75">
      <c r="A132" s="2"/>
      <c r="B132" s="24"/>
      <c r="C132" s="393"/>
    </row>
    <row r="133" spans="1:3" ht="12.75">
      <c r="A133" s="2"/>
      <c r="B133" s="24"/>
      <c r="C133" s="393"/>
    </row>
    <row r="134" spans="1:3" ht="12.75">
      <c r="A134" s="2"/>
      <c r="B134" s="24"/>
      <c r="C134" s="393"/>
    </row>
    <row r="135" spans="1:3" ht="12.75">
      <c r="A135" s="2"/>
      <c r="B135" s="24"/>
      <c r="C135" s="393"/>
    </row>
    <row r="136" spans="1:3" ht="12.75">
      <c r="A136" s="2"/>
      <c r="B136" s="24"/>
      <c r="C136" s="393"/>
    </row>
    <row r="137" spans="1:3" ht="12.75">
      <c r="A137" s="2"/>
      <c r="B137" s="24"/>
      <c r="C137" s="393"/>
    </row>
    <row r="138" spans="1:3" ht="12.75">
      <c r="A138" s="2"/>
      <c r="B138" s="24"/>
      <c r="C138" s="393"/>
    </row>
    <row r="139" spans="1:3" ht="12.75">
      <c r="A139" s="2"/>
      <c r="B139" s="24"/>
      <c r="C139" s="393"/>
    </row>
    <row r="140" spans="1:3" ht="12.75">
      <c r="A140" s="2"/>
      <c r="B140" s="24"/>
      <c r="C140" s="393"/>
    </row>
    <row r="141" spans="1:3" ht="12.75">
      <c r="A141" s="2"/>
      <c r="B141" s="24"/>
      <c r="C141" s="393"/>
    </row>
    <row r="142" spans="1:3" ht="12.75">
      <c r="A142" s="2"/>
      <c r="B142" s="24"/>
      <c r="C142" s="393"/>
    </row>
    <row r="143" spans="1:3" ht="12.75">
      <c r="A143" s="2"/>
      <c r="B143" s="24"/>
      <c r="C143" s="393"/>
    </row>
    <row r="144" spans="1:3" ht="12.75">
      <c r="A144" s="2"/>
      <c r="B144" s="24"/>
      <c r="C144" s="393"/>
    </row>
    <row r="145" spans="1:3" ht="12.75">
      <c r="A145" s="2"/>
      <c r="B145" s="24"/>
      <c r="C145" s="393"/>
    </row>
    <row r="146" spans="1:3" ht="12.75">
      <c r="A146" s="2"/>
      <c r="B146" s="24"/>
      <c r="C146" s="393"/>
    </row>
    <row r="147" spans="1:3" ht="12.75">
      <c r="A147" s="2"/>
      <c r="B147" s="24"/>
      <c r="C147" s="393"/>
    </row>
    <row r="148" spans="1:3" ht="12.75">
      <c r="A148" s="2"/>
      <c r="B148" s="24"/>
      <c r="C148" s="393"/>
    </row>
    <row r="149" spans="1:3" ht="12.75">
      <c r="A149" s="2"/>
      <c r="B149" s="24"/>
      <c r="C149" s="393"/>
    </row>
    <row r="150" spans="1:3" ht="12.75">
      <c r="A150" s="2"/>
      <c r="B150" s="24"/>
      <c r="C150" s="393"/>
    </row>
    <row r="151" spans="1:3" ht="12.75">
      <c r="A151" s="2"/>
      <c r="B151" s="24"/>
      <c r="C151" s="393"/>
    </row>
    <row r="152" spans="1:3" ht="12.75">
      <c r="A152" s="2"/>
      <c r="B152" s="24"/>
      <c r="C152" s="393"/>
    </row>
    <row r="153" spans="1:3" ht="12.75">
      <c r="A153" s="2"/>
      <c r="B153" s="24"/>
      <c r="C153" s="393"/>
    </row>
    <row r="154" spans="1:3" ht="12.75">
      <c r="A154" s="2"/>
      <c r="B154" s="24"/>
      <c r="C154" s="393"/>
    </row>
    <row r="155" spans="1:3" ht="12.75">
      <c r="A155" s="2"/>
      <c r="B155" s="24"/>
      <c r="C155" s="393"/>
    </row>
    <row r="156" spans="1:3" ht="12.75">
      <c r="A156" s="2"/>
      <c r="B156" s="24"/>
      <c r="C156" s="393"/>
    </row>
    <row r="157" spans="1:3" ht="12.75">
      <c r="A157" s="2"/>
      <c r="B157" s="24"/>
      <c r="C157" s="393"/>
    </row>
    <row r="158" spans="1:3" ht="12.75">
      <c r="A158" s="2"/>
      <c r="B158" s="24"/>
      <c r="C158" s="393"/>
    </row>
    <row r="159" spans="1:3" ht="12.75">
      <c r="A159" s="2"/>
      <c r="B159" s="24"/>
      <c r="C159" s="393"/>
    </row>
    <row r="160" spans="1:3" ht="12.75">
      <c r="A160" s="2"/>
      <c r="B160" s="24"/>
      <c r="C160" s="393"/>
    </row>
    <row r="161" spans="1:3" ht="12.75">
      <c r="A161" s="2"/>
      <c r="B161" s="24"/>
      <c r="C161" s="393"/>
    </row>
    <row r="162" spans="1:3" ht="12.75">
      <c r="A162" s="2"/>
      <c r="B162" s="24"/>
      <c r="C162" s="393"/>
    </row>
    <row r="163" spans="1:3" ht="12.75">
      <c r="A163" s="2"/>
      <c r="B163" s="24"/>
      <c r="C163" s="393"/>
    </row>
    <row r="164" spans="1:3" ht="12.75">
      <c r="A164" s="2"/>
      <c r="B164" s="24"/>
      <c r="C164" s="393"/>
    </row>
    <row r="165" spans="1:3" ht="12.75">
      <c r="A165" s="2"/>
      <c r="B165" s="24"/>
      <c r="C165" s="393"/>
    </row>
    <row r="166" spans="1:3" ht="12.75">
      <c r="A166" s="2"/>
      <c r="B166" s="24"/>
      <c r="C166" s="393"/>
    </row>
    <row r="167" spans="1:3" ht="12.75">
      <c r="A167" s="2"/>
      <c r="B167" s="24"/>
      <c r="C167" s="393"/>
    </row>
    <row r="168" spans="1:3" ht="12.75">
      <c r="A168" s="2"/>
      <c r="B168" s="24"/>
      <c r="C168" s="393"/>
    </row>
    <row r="169" spans="1:3" ht="12.75">
      <c r="A169" s="2"/>
      <c r="B169" s="24"/>
      <c r="C169" s="393"/>
    </row>
    <row r="170" spans="1:3" ht="12.75">
      <c r="A170" s="2"/>
      <c r="B170" s="24"/>
      <c r="C170" s="393"/>
    </row>
    <row r="171" spans="1:3" ht="12.75">
      <c r="A171" s="2"/>
      <c r="B171" s="24"/>
      <c r="C171" s="393"/>
    </row>
    <row r="172" spans="1:3" ht="12.75">
      <c r="A172" s="2"/>
      <c r="B172" s="24"/>
      <c r="C172" s="393"/>
    </row>
    <row r="173" spans="1:3" ht="12.75">
      <c r="A173" s="2"/>
      <c r="B173" s="24"/>
      <c r="C173" s="393"/>
    </row>
    <row r="174" spans="1:3" ht="12.75">
      <c r="A174" s="2"/>
      <c r="B174" s="24"/>
      <c r="C174" s="393"/>
    </row>
    <row r="175" spans="1:3" ht="12.75">
      <c r="A175" s="2"/>
      <c r="B175" s="24"/>
      <c r="C175" s="393"/>
    </row>
    <row r="176" spans="1:3" ht="12.75">
      <c r="A176" s="2"/>
      <c r="B176" s="24"/>
      <c r="C176" s="393"/>
    </row>
    <row r="177" spans="1:3" ht="12.75">
      <c r="A177" s="2"/>
      <c r="B177" s="24"/>
      <c r="C177" s="393"/>
    </row>
    <row r="178" spans="1:3" ht="12.75">
      <c r="A178" s="2"/>
      <c r="B178" s="24"/>
      <c r="C178" s="393"/>
    </row>
    <row r="179" spans="1:3" ht="12.75">
      <c r="A179" s="2"/>
      <c r="B179" s="24"/>
      <c r="C179" s="393"/>
    </row>
    <row r="180" spans="1:3" ht="12.75">
      <c r="A180" s="2"/>
      <c r="B180" s="24"/>
      <c r="C180" s="393"/>
    </row>
    <row r="181" spans="1:3" ht="12.75">
      <c r="A181" s="2"/>
      <c r="B181" s="24"/>
      <c r="C181" s="393"/>
    </row>
    <row r="182" spans="1:3" ht="12.75">
      <c r="A182" s="2"/>
      <c r="B182" s="24"/>
      <c r="C182" s="393"/>
    </row>
    <row r="183" spans="1:3" ht="12.75">
      <c r="A183" s="2"/>
      <c r="B183" s="24"/>
      <c r="C183" s="393"/>
    </row>
    <row r="184" spans="1:3" ht="12.75">
      <c r="A184" s="2"/>
      <c r="B184" s="24"/>
      <c r="C184" s="393"/>
    </row>
    <row r="185" spans="1:3" ht="12.75">
      <c r="A185" s="2"/>
      <c r="B185" s="24"/>
      <c r="C185" s="393"/>
    </row>
    <row r="186" spans="1:3" ht="12.75">
      <c r="A186" s="2"/>
      <c r="B186" s="24"/>
      <c r="C186" s="393"/>
    </row>
    <row r="187" spans="1:3" ht="12.75">
      <c r="A187" s="2"/>
      <c r="B187" s="24"/>
      <c r="C187" s="393"/>
    </row>
    <row r="188" spans="1:3" ht="12.75">
      <c r="A188" s="2"/>
      <c r="B188" s="24"/>
      <c r="C188" s="393"/>
    </row>
    <row r="189" spans="1:3" ht="12.75">
      <c r="A189" s="2"/>
      <c r="B189" s="24"/>
      <c r="C189" s="393"/>
    </row>
    <row r="190" spans="1:3" ht="12.75">
      <c r="A190" s="2"/>
      <c r="B190" s="24"/>
      <c r="C190" s="393"/>
    </row>
    <row r="191" spans="1:3" ht="12.75">
      <c r="A191" s="2"/>
      <c r="B191" s="24"/>
      <c r="C191" s="393"/>
    </row>
    <row r="192" spans="1:3" ht="12.75">
      <c r="A192" s="2"/>
      <c r="B192" s="24"/>
      <c r="C192" s="393"/>
    </row>
    <row r="193" spans="1:3" ht="12.75">
      <c r="A193" s="2"/>
      <c r="B193" s="24"/>
      <c r="C193" s="393"/>
    </row>
    <row r="194" spans="1:3" ht="12.75">
      <c r="A194" s="2"/>
      <c r="B194" s="24"/>
      <c r="C194" s="393"/>
    </row>
    <row r="195" spans="1:3" ht="12.75">
      <c r="A195" s="2"/>
      <c r="B195" s="24"/>
      <c r="C195" s="393"/>
    </row>
    <row r="196" spans="1:3" ht="12.75">
      <c r="A196" s="2"/>
      <c r="B196" s="24"/>
      <c r="C196" s="393"/>
    </row>
    <row r="197" spans="1:3" ht="12.75">
      <c r="A197" s="2"/>
      <c r="B197" s="24"/>
      <c r="C197" s="393"/>
    </row>
    <row r="198" spans="1:3" ht="12.75">
      <c r="A198" s="2"/>
      <c r="B198" s="24"/>
      <c r="C198" s="393"/>
    </row>
    <row r="199" spans="1:3" ht="12.75">
      <c r="A199" s="2"/>
      <c r="B199" s="24"/>
      <c r="C199" s="393"/>
    </row>
    <row r="200" spans="1:3" ht="12.75">
      <c r="A200" s="2"/>
      <c r="B200" s="24"/>
      <c r="C200" s="393"/>
    </row>
    <row r="201" spans="1:3" ht="12.75">
      <c r="A201" s="2"/>
      <c r="B201" s="24"/>
      <c r="C201" s="393"/>
    </row>
    <row r="202" spans="1:3" ht="12.75">
      <c r="A202" s="2"/>
      <c r="B202" s="24"/>
      <c r="C202" s="393"/>
    </row>
    <row r="203" spans="1:3" ht="12.75">
      <c r="A203" s="2"/>
      <c r="B203" s="24"/>
      <c r="C203" s="393"/>
    </row>
    <row r="204" spans="1:3" ht="12.75">
      <c r="A204" s="2"/>
      <c r="B204" s="24"/>
      <c r="C204" s="393"/>
    </row>
    <row r="205" spans="1:3" ht="12.75">
      <c r="A205" s="2"/>
      <c r="B205" s="24"/>
      <c r="C205" s="393"/>
    </row>
    <row r="206" spans="1:3" ht="12.75">
      <c r="A206" s="2"/>
      <c r="B206" s="24"/>
      <c r="C206" s="393"/>
    </row>
    <row r="207" spans="1:3" ht="12.75">
      <c r="A207" s="2"/>
      <c r="B207" s="24"/>
      <c r="C207" s="393"/>
    </row>
    <row r="208" spans="1:3" ht="12.75">
      <c r="A208" s="2"/>
      <c r="B208" s="24"/>
      <c r="C208" s="393"/>
    </row>
    <row r="209" spans="1:3" ht="12.75">
      <c r="A209" s="2"/>
      <c r="B209" s="24"/>
      <c r="C209" s="393"/>
    </row>
    <row r="210" spans="1:3" ht="12.75">
      <c r="A210" s="2"/>
      <c r="B210" s="24"/>
      <c r="C210" s="393"/>
    </row>
    <row r="211" spans="1:3" ht="12.75">
      <c r="A211" s="2"/>
      <c r="B211" s="24"/>
      <c r="C211" s="393"/>
    </row>
    <row r="212" spans="1:3" ht="12.75">
      <c r="A212" s="2"/>
      <c r="B212" s="24"/>
      <c r="C212" s="393"/>
    </row>
    <row r="213" spans="1:3" ht="12.75">
      <c r="A213" s="2"/>
      <c r="B213" s="24"/>
      <c r="C213" s="393"/>
    </row>
    <row r="214" spans="1:3" ht="12.75">
      <c r="A214" s="2"/>
      <c r="B214" s="24"/>
      <c r="C214" s="393"/>
    </row>
    <row r="215" spans="1:3" ht="12.75">
      <c r="A215" s="2"/>
      <c r="B215" s="24"/>
      <c r="C215" s="393"/>
    </row>
    <row r="216" spans="1:3" ht="12.75">
      <c r="A216" s="2"/>
      <c r="B216" s="24"/>
      <c r="C216" s="393"/>
    </row>
    <row r="217" spans="1:3" ht="12.75">
      <c r="A217" s="2"/>
      <c r="B217" s="24"/>
      <c r="C217" s="393"/>
    </row>
    <row r="218" spans="1:3" ht="12.75">
      <c r="A218" s="2"/>
      <c r="B218" s="24"/>
      <c r="C218" s="393"/>
    </row>
    <row r="219" spans="1:3" ht="12.75">
      <c r="A219" s="2"/>
      <c r="B219" s="24"/>
      <c r="C219" s="393"/>
    </row>
    <row r="220" spans="1:3" ht="12.75">
      <c r="A220" s="2"/>
      <c r="B220" s="24"/>
      <c r="C220" s="393"/>
    </row>
    <row r="221" spans="1:3" ht="12.75">
      <c r="A221" s="2"/>
      <c r="B221" s="24"/>
      <c r="C221" s="393"/>
    </row>
    <row r="222" spans="1:3" ht="12.75">
      <c r="A222" s="2"/>
      <c r="B222" s="24"/>
      <c r="C222" s="393"/>
    </row>
    <row r="223" spans="1:3" ht="12.75">
      <c r="A223" s="2"/>
      <c r="B223" s="24"/>
      <c r="C223" s="393"/>
    </row>
    <row r="224" spans="1:3" ht="12.75">
      <c r="A224" s="2"/>
      <c r="B224" s="24"/>
      <c r="C224" s="393"/>
    </row>
    <row r="225" spans="1:3" ht="12.75">
      <c r="A225" s="2"/>
      <c r="B225" s="24"/>
      <c r="C225" s="393"/>
    </row>
    <row r="226" spans="1:3" ht="12.75">
      <c r="A226" s="2"/>
      <c r="B226" s="24"/>
      <c r="C226" s="393"/>
    </row>
    <row r="227" spans="1:3" ht="12.75">
      <c r="A227" s="2"/>
      <c r="B227" s="24"/>
      <c r="C227" s="393"/>
    </row>
    <row r="228" spans="1:3" ht="12.75">
      <c r="A228" s="2"/>
      <c r="B228" s="24"/>
      <c r="C228" s="393"/>
    </row>
    <row r="229" spans="1:3" ht="12.75">
      <c r="A229" s="2"/>
      <c r="B229" s="24"/>
      <c r="C229" s="393"/>
    </row>
    <row r="230" spans="1:3" ht="12.75">
      <c r="A230" s="2"/>
      <c r="B230" s="24"/>
      <c r="C230" s="393"/>
    </row>
    <row r="231" spans="1:3" ht="12.75">
      <c r="A231" s="2"/>
      <c r="B231" s="24"/>
      <c r="C231" s="393"/>
    </row>
    <row r="232" spans="1:3" ht="12.75">
      <c r="A232" s="2"/>
      <c r="B232" s="24"/>
      <c r="C232" s="393"/>
    </row>
    <row r="233" spans="1:3" ht="12.75">
      <c r="A233" s="2"/>
      <c r="B233" s="24"/>
      <c r="C233" s="393"/>
    </row>
    <row r="234" spans="1:3" ht="12.75">
      <c r="A234" s="2"/>
      <c r="B234" s="24"/>
      <c r="C234" s="393"/>
    </row>
    <row r="235" spans="1:3" ht="12.75">
      <c r="A235" s="2"/>
      <c r="B235" s="24"/>
      <c r="C235" s="393"/>
    </row>
    <row r="236" spans="1:3" ht="12.75">
      <c r="A236" s="2"/>
      <c r="B236" s="24"/>
      <c r="C236" s="393"/>
    </row>
    <row r="237" spans="1:3" ht="12.75">
      <c r="A237" s="2"/>
      <c r="B237" s="24"/>
      <c r="C237" s="393"/>
    </row>
    <row r="238" spans="1:3" ht="12.75">
      <c r="A238" s="2"/>
      <c r="B238" s="24"/>
      <c r="C238" s="393"/>
    </row>
    <row r="239" spans="1:3" ht="12.75">
      <c r="A239" s="2"/>
      <c r="B239" s="24"/>
      <c r="C239" s="393"/>
    </row>
    <row r="240" spans="1:3" ht="12.75">
      <c r="A240" s="2"/>
      <c r="B240" s="24"/>
      <c r="C240" s="393"/>
    </row>
    <row r="241" spans="1:3" ht="12.75">
      <c r="A241" s="2"/>
      <c r="B241" s="24"/>
      <c r="C241" s="393"/>
    </row>
    <row r="242" spans="1:3" ht="12.75">
      <c r="A242" s="2"/>
      <c r="B242" s="24"/>
      <c r="C242" s="393"/>
    </row>
    <row r="243" spans="1:3" ht="12.75">
      <c r="A243" s="2"/>
      <c r="B243" s="24"/>
      <c r="C243" s="393"/>
    </row>
    <row r="244" spans="1:3" ht="12.75">
      <c r="A244" s="2"/>
      <c r="B244" s="24"/>
      <c r="C244" s="393"/>
    </row>
    <row r="245" spans="1:3" ht="12.75">
      <c r="A245" s="2"/>
      <c r="B245" s="24"/>
      <c r="C245" s="393"/>
    </row>
    <row r="246" spans="1:3" ht="12.75">
      <c r="A246" s="2"/>
      <c r="B246" s="24"/>
      <c r="C246" s="393"/>
    </row>
    <row r="247" spans="1:3" ht="12.75">
      <c r="A247" s="2"/>
      <c r="B247" s="24"/>
      <c r="C247" s="393"/>
    </row>
    <row r="248" spans="1:3" ht="12.75">
      <c r="A248" s="2"/>
      <c r="B248" s="24"/>
      <c r="C248" s="393"/>
    </row>
    <row r="249" spans="1:3" ht="12.75">
      <c r="A249" s="2"/>
      <c r="B249" s="24"/>
      <c r="C249" s="393"/>
    </row>
    <row r="250" spans="1:3" ht="12.75">
      <c r="A250" s="2"/>
      <c r="B250" s="24"/>
      <c r="C250" s="393"/>
    </row>
    <row r="251" spans="1:3" ht="12.75">
      <c r="A251" s="2"/>
      <c r="B251" s="24"/>
      <c r="C251" s="393"/>
    </row>
    <row r="252" spans="1:3" ht="12.75">
      <c r="A252" s="2"/>
      <c r="B252" s="24"/>
      <c r="C252" s="393"/>
    </row>
    <row r="253" spans="1:3" ht="12.75">
      <c r="A253" s="2"/>
      <c r="B253" s="24"/>
      <c r="C253" s="393"/>
    </row>
    <row r="254" spans="1:3" ht="12.75">
      <c r="A254" s="2"/>
      <c r="B254" s="24"/>
      <c r="C254" s="393"/>
    </row>
    <row r="255" spans="1:3" ht="12.75">
      <c r="A255" s="2"/>
      <c r="B255" s="24"/>
      <c r="C255" s="393"/>
    </row>
    <row r="256" spans="1:3" ht="12.75">
      <c r="A256" s="2"/>
      <c r="B256" s="24"/>
      <c r="C256" s="393"/>
    </row>
    <row r="257" spans="1:3" ht="12.75">
      <c r="A257" s="2"/>
      <c r="B257" s="24"/>
      <c r="C257" s="393"/>
    </row>
    <row r="258" spans="1:3" ht="12.75">
      <c r="A258" s="2"/>
      <c r="B258" s="24"/>
      <c r="C258" s="393"/>
    </row>
    <row r="259" spans="1:3" ht="12.75">
      <c r="A259" s="2"/>
      <c r="B259" s="24"/>
      <c r="C259" s="393"/>
    </row>
    <row r="260" spans="1:3" ht="12.75">
      <c r="A260" s="2"/>
      <c r="B260" s="24"/>
      <c r="C260" s="393"/>
    </row>
    <row r="261" spans="1:3" ht="12.75">
      <c r="A261" s="2"/>
      <c r="B261" s="24"/>
      <c r="C261" s="393"/>
    </row>
    <row r="262" spans="1:3" ht="12.75">
      <c r="A262" s="2"/>
      <c r="B262" s="24"/>
      <c r="C262" s="393"/>
    </row>
    <row r="263" spans="1:3" ht="12.75">
      <c r="A263" s="2"/>
      <c r="B263" s="24"/>
      <c r="C263" s="393"/>
    </row>
    <row r="264" spans="1:3" ht="12.75">
      <c r="A264" s="2"/>
      <c r="B264" s="24"/>
      <c r="C264" s="393"/>
    </row>
    <row r="265" spans="1:3" ht="12.75">
      <c r="A265" s="2"/>
      <c r="B265" s="24"/>
      <c r="C265" s="393"/>
    </row>
    <row r="266" spans="1:3" ht="12.75">
      <c r="A266" s="2"/>
      <c r="B266" s="24"/>
      <c r="C266" s="393"/>
    </row>
    <row r="267" spans="1:3" ht="12.75">
      <c r="A267" s="2"/>
      <c r="B267" s="24"/>
      <c r="C267" s="393"/>
    </row>
    <row r="268" spans="1:3" ht="12.75">
      <c r="A268" s="2"/>
      <c r="B268" s="24"/>
      <c r="C268" s="393"/>
    </row>
    <row r="269" spans="1:3" ht="12.75">
      <c r="A269" s="2"/>
      <c r="B269" s="24"/>
      <c r="C269" s="393"/>
    </row>
    <row r="270" spans="1:3" ht="12.75">
      <c r="A270" s="2"/>
      <c r="B270" s="24"/>
      <c r="C270" s="393"/>
    </row>
    <row r="271" spans="1:3" ht="12.75">
      <c r="A271" s="2"/>
      <c r="B271" s="24"/>
      <c r="C271" s="393"/>
    </row>
    <row r="272" spans="1:3" ht="12.75">
      <c r="A272" s="2"/>
      <c r="B272" s="24"/>
      <c r="C272" s="393"/>
    </row>
    <row r="273" spans="1:3" ht="12.75">
      <c r="A273" s="2"/>
      <c r="B273" s="24"/>
      <c r="C273" s="393"/>
    </row>
    <row r="274" spans="1:3" ht="12.75">
      <c r="A274" s="2"/>
      <c r="B274" s="24"/>
      <c r="C274" s="393"/>
    </row>
    <row r="275" spans="1:3" ht="12.75">
      <c r="A275" s="2"/>
      <c r="B275" s="24"/>
      <c r="C275" s="393"/>
    </row>
    <row r="276" spans="1:3" ht="12.75">
      <c r="A276" s="2"/>
      <c r="B276" s="24"/>
      <c r="C276" s="393"/>
    </row>
    <row r="277" spans="1:3" ht="12.75">
      <c r="A277" s="2"/>
      <c r="B277" s="24"/>
      <c r="C277" s="393"/>
    </row>
    <row r="278" spans="1:3" ht="12.75">
      <c r="A278" s="2"/>
      <c r="B278" s="24"/>
      <c r="C278" s="393"/>
    </row>
    <row r="279" spans="1:3" ht="12.75">
      <c r="A279" s="2"/>
      <c r="B279" s="24"/>
      <c r="C279" s="393"/>
    </row>
    <row r="280" spans="1:3" ht="12.75">
      <c r="A280" s="2"/>
      <c r="B280" s="24"/>
      <c r="C280" s="393"/>
    </row>
    <row r="281" spans="1:3" ht="12.75">
      <c r="A281" s="2"/>
      <c r="B281" s="24"/>
      <c r="C281" s="393"/>
    </row>
    <row r="282" spans="1:3" ht="12.75">
      <c r="A282" s="2"/>
      <c r="B282" s="24"/>
      <c r="C282" s="393"/>
    </row>
    <row r="283" spans="1:3" ht="12.75">
      <c r="A283" s="2"/>
      <c r="B283" s="24"/>
      <c r="C283" s="393"/>
    </row>
    <row r="284" spans="1:3" ht="12.75">
      <c r="A284" s="2"/>
      <c r="B284" s="24"/>
      <c r="C284" s="393"/>
    </row>
    <row r="285" spans="1:3" ht="12.75">
      <c r="A285" s="2"/>
      <c r="B285" s="24"/>
      <c r="C285" s="393"/>
    </row>
    <row r="286" spans="1:3" ht="12.75">
      <c r="A286" s="2"/>
      <c r="B286" s="24"/>
      <c r="C286" s="393"/>
    </row>
    <row r="287" spans="1:3" ht="12.75">
      <c r="A287" s="2"/>
      <c r="B287" s="24"/>
      <c r="C287" s="393"/>
    </row>
    <row r="288" spans="1:3" ht="12.75">
      <c r="A288" s="2"/>
      <c r="B288" s="24"/>
      <c r="C288" s="393"/>
    </row>
    <row r="289" spans="1:3" ht="12.75">
      <c r="A289" s="2"/>
      <c r="B289" s="24"/>
      <c r="C289" s="393"/>
    </row>
    <row r="290" spans="1:3" ht="12.75">
      <c r="A290" s="2"/>
      <c r="B290" s="24"/>
      <c r="C290" s="393"/>
    </row>
    <row r="291" spans="1:3" ht="12.75">
      <c r="A291" s="2"/>
      <c r="B291" s="24"/>
      <c r="C291" s="393"/>
    </row>
    <row r="292" spans="1:3" ht="12.75">
      <c r="A292" s="2"/>
      <c r="B292" s="24"/>
      <c r="C292" s="393"/>
    </row>
    <row r="293" spans="1:3" ht="12.75">
      <c r="A293" s="2"/>
      <c r="B293" s="24"/>
      <c r="C293" s="393"/>
    </row>
    <row r="294" spans="1:3" ht="12.75">
      <c r="A294" s="2"/>
      <c r="B294" s="24"/>
      <c r="C294" s="393"/>
    </row>
    <row r="295" spans="1:3" ht="12.75">
      <c r="A295" s="2"/>
      <c r="B295" s="24"/>
      <c r="C295" s="393"/>
    </row>
    <row r="296" spans="1:3" ht="12.75">
      <c r="A296" s="2"/>
      <c r="B296" s="24"/>
      <c r="C296" s="393"/>
    </row>
    <row r="297" spans="1:3" ht="12.75">
      <c r="A297" s="2"/>
      <c r="B297" s="24"/>
      <c r="C297" s="393"/>
    </row>
    <row r="298" spans="1:3" ht="12.75">
      <c r="A298" s="2"/>
      <c r="B298" s="24"/>
      <c r="C298" s="393"/>
    </row>
    <row r="299" spans="1:3" ht="12.75">
      <c r="A299" s="2"/>
      <c r="B299" s="24"/>
      <c r="C299" s="393"/>
    </row>
    <row r="300" spans="1:3" ht="12.75">
      <c r="A300" s="2"/>
      <c r="B300" s="24"/>
      <c r="C300" s="393"/>
    </row>
    <row r="301" spans="1:3" ht="12.75">
      <c r="A301" s="2"/>
      <c r="B301" s="24"/>
      <c r="C301" s="393"/>
    </row>
    <row r="302" spans="1:3" ht="12.75">
      <c r="A302" s="2"/>
      <c r="B302" s="24"/>
      <c r="C302" s="393"/>
    </row>
    <row r="303" spans="1:3" ht="12.75">
      <c r="A303" s="2"/>
      <c r="B303" s="24"/>
      <c r="C303" s="393"/>
    </row>
    <row r="304" spans="1:3" ht="12.75">
      <c r="A304" s="2"/>
      <c r="B304" s="24"/>
      <c r="C304" s="393"/>
    </row>
    <row r="305" spans="1:3" ht="12.75">
      <c r="A305" s="2"/>
      <c r="B305" s="24"/>
      <c r="C305" s="393"/>
    </row>
    <row r="306" spans="1:3" ht="12.75">
      <c r="A306" s="2"/>
      <c r="B306" s="24"/>
      <c r="C306" s="393"/>
    </row>
    <row r="307" spans="1:3" ht="12.75">
      <c r="A307" s="2"/>
      <c r="B307" s="24"/>
      <c r="C307" s="393"/>
    </row>
    <row r="308" spans="1:3" ht="12.75">
      <c r="A308" s="2"/>
      <c r="B308" s="24"/>
      <c r="C308" s="393"/>
    </row>
    <row r="309" spans="1:3" ht="12.75">
      <c r="A309" s="2"/>
      <c r="B309" s="24"/>
      <c r="C309" s="393"/>
    </row>
    <row r="310" spans="1:3" ht="12.75">
      <c r="A310" s="2"/>
      <c r="B310" s="24"/>
      <c r="C310" s="393"/>
    </row>
    <row r="311" spans="1:3" ht="12.75">
      <c r="A311" s="2"/>
      <c r="B311" s="24"/>
      <c r="C311" s="393"/>
    </row>
    <row r="312" spans="1:3" ht="12.75">
      <c r="A312" s="2"/>
      <c r="B312" s="24"/>
      <c r="C312" s="393"/>
    </row>
    <row r="313" spans="1:3" ht="12.75">
      <c r="A313" s="2"/>
      <c r="B313" s="24"/>
      <c r="C313" s="393"/>
    </row>
    <row r="314" spans="1:3" ht="12.75">
      <c r="A314" s="2"/>
      <c r="B314" s="24"/>
      <c r="C314" s="393"/>
    </row>
    <row r="315" spans="1:3" ht="12.75">
      <c r="A315" s="2"/>
      <c r="B315" s="24"/>
      <c r="C315" s="393"/>
    </row>
    <row r="316" spans="1:3" ht="12.75">
      <c r="A316" s="2"/>
      <c r="B316" s="24"/>
      <c r="C316" s="393"/>
    </row>
    <row r="317" spans="1:3" ht="12.75">
      <c r="A317" s="2"/>
      <c r="B317" s="24"/>
      <c r="C317" s="393"/>
    </row>
    <row r="318" spans="1:3" ht="12.75">
      <c r="A318" s="2"/>
      <c r="B318" s="24"/>
      <c r="C318" s="393"/>
    </row>
    <row r="319" spans="1:3" ht="12.75">
      <c r="A319" s="2"/>
      <c r="B319" s="24"/>
      <c r="C319" s="393"/>
    </row>
    <row r="320" spans="1:3" ht="12.75">
      <c r="A320" s="2"/>
      <c r="B320" s="24"/>
      <c r="C320" s="393"/>
    </row>
    <row r="321" spans="1:3" ht="12.75">
      <c r="A321" s="2"/>
      <c r="B321" s="24"/>
      <c r="C321" s="393"/>
    </row>
    <row r="322" spans="1:3" ht="12.75">
      <c r="A322" s="2"/>
      <c r="B322" s="24"/>
      <c r="C322" s="393"/>
    </row>
    <row r="323" spans="1:3" ht="12.75">
      <c r="A323" s="2"/>
      <c r="B323" s="24"/>
      <c r="C323" s="393"/>
    </row>
    <row r="324" spans="1:3" ht="12.75">
      <c r="A324" s="2"/>
      <c r="B324" s="24"/>
      <c r="C324" s="393"/>
    </row>
    <row r="325" spans="1:3" ht="12.75">
      <c r="A325" s="2"/>
      <c r="B325" s="24"/>
      <c r="C325" s="393"/>
    </row>
    <row r="326" spans="1:3" ht="12.75">
      <c r="A326" s="2"/>
      <c r="B326" s="24"/>
      <c r="C326" s="393"/>
    </row>
    <row r="327" spans="1:3" ht="12.75">
      <c r="A327" s="2"/>
      <c r="B327" s="24"/>
      <c r="C327" s="393"/>
    </row>
    <row r="328" spans="1:3" ht="12.75">
      <c r="A328" s="2"/>
      <c r="B328" s="24"/>
      <c r="C328" s="393"/>
    </row>
    <row r="329" spans="1:3" ht="12.75">
      <c r="A329" s="2"/>
      <c r="B329" s="24"/>
      <c r="C329" s="393"/>
    </row>
    <row r="330" spans="1:3" ht="12.75">
      <c r="A330" s="2"/>
      <c r="B330" s="24"/>
      <c r="C330" s="393"/>
    </row>
    <row r="331" spans="1:3" ht="12.75">
      <c r="A331" s="2"/>
      <c r="B331" s="24"/>
      <c r="C331" s="393"/>
    </row>
    <row r="332" spans="1:3" ht="12.75">
      <c r="A332" s="2"/>
      <c r="B332" s="24"/>
      <c r="C332" s="393"/>
    </row>
    <row r="333" spans="1:3" ht="12.75">
      <c r="A333" s="2"/>
      <c r="B333" s="24"/>
      <c r="C333" s="393"/>
    </row>
    <row r="334" spans="1:3" ht="12.75">
      <c r="A334" s="2"/>
      <c r="B334" s="24"/>
      <c r="C334" s="393"/>
    </row>
    <row r="335" spans="1:3" ht="12.75">
      <c r="A335" s="2"/>
      <c r="B335" s="24"/>
      <c r="C335" s="393"/>
    </row>
    <row r="336" spans="1:3" ht="12.75">
      <c r="A336" s="2"/>
      <c r="B336" s="24"/>
      <c r="C336" s="393"/>
    </row>
    <row r="337" spans="1:3" ht="12.75">
      <c r="A337" s="2"/>
      <c r="B337" s="24"/>
      <c r="C337" s="393"/>
    </row>
    <row r="338" spans="1:3" ht="12.75">
      <c r="A338" s="2"/>
      <c r="B338" s="24"/>
      <c r="C338" s="393"/>
    </row>
    <row r="339" spans="1:3" ht="12.75">
      <c r="A339" s="2"/>
      <c r="B339" s="24"/>
      <c r="C339" s="393"/>
    </row>
    <row r="340" spans="1:3" ht="12.75">
      <c r="A340" s="2"/>
      <c r="B340" s="24"/>
      <c r="C340" s="393"/>
    </row>
    <row r="341" spans="1:3" ht="12.75">
      <c r="A341" s="2"/>
      <c r="B341" s="24"/>
      <c r="C341" s="393"/>
    </row>
    <row r="342" spans="1:3" ht="12.75">
      <c r="A342" s="2"/>
      <c r="B342" s="24"/>
      <c r="C342" s="393"/>
    </row>
    <row r="343" spans="1:3" ht="12.75">
      <c r="A343" s="2"/>
      <c r="B343" s="24"/>
      <c r="C343" s="393"/>
    </row>
    <row r="344" spans="1:3" ht="12.75">
      <c r="A344" s="2"/>
      <c r="B344" s="24"/>
      <c r="C344" s="393"/>
    </row>
    <row r="345" spans="1:3" ht="12.75">
      <c r="A345" s="2"/>
      <c r="B345" s="24"/>
      <c r="C345" s="393"/>
    </row>
    <row r="346" spans="1:3" ht="12.75">
      <c r="A346" s="2"/>
      <c r="B346" s="24"/>
      <c r="C346" s="393"/>
    </row>
    <row r="347" spans="1:3" ht="12.75">
      <c r="A347" s="2"/>
      <c r="B347" s="24"/>
      <c r="C347" s="393"/>
    </row>
    <row r="348" spans="1:3" ht="12.75">
      <c r="A348" s="2"/>
      <c r="B348" s="24"/>
      <c r="C348" s="393"/>
    </row>
    <row r="349" spans="1:3" ht="12.75">
      <c r="A349" s="2"/>
      <c r="B349" s="24"/>
      <c r="C349" s="393"/>
    </row>
    <row r="350" spans="1:3" ht="12.75">
      <c r="A350" s="2"/>
      <c r="B350" s="24"/>
      <c r="C350" s="393"/>
    </row>
    <row r="351" spans="1:3" ht="12.75">
      <c r="A351" s="2"/>
      <c r="B351" s="24"/>
      <c r="C351" s="393"/>
    </row>
    <row r="352" spans="1:3" ht="12.75">
      <c r="A352" s="2"/>
      <c r="B352" s="24"/>
      <c r="C352" s="393"/>
    </row>
    <row r="353" spans="1:3" ht="12.75">
      <c r="A353" s="2"/>
      <c r="B353" s="24"/>
      <c r="C353" s="393"/>
    </row>
    <row r="354" spans="1:3" ht="12.75">
      <c r="A354" s="2"/>
      <c r="B354" s="24"/>
      <c r="C354" s="393"/>
    </row>
    <row r="355" spans="1:3" ht="12.75">
      <c r="A355" s="2"/>
      <c r="B355" s="24"/>
      <c r="C355" s="393"/>
    </row>
    <row r="356" spans="1:3" ht="12.75">
      <c r="A356" s="2"/>
      <c r="B356" s="24"/>
      <c r="C356" s="393"/>
    </row>
    <row r="357" spans="1:3" ht="12.75">
      <c r="A357" s="2"/>
      <c r="B357" s="24"/>
      <c r="C357" s="393"/>
    </row>
    <row r="358" spans="1:3" ht="12.75">
      <c r="A358" s="2"/>
      <c r="B358" s="24"/>
      <c r="C358" s="393"/>
    </row>
    <row r="359" spans="1:3" ht="12.75">
      <c r="A359" s="2"/>
      <c r="B359" s="24"/>
      <c r="C359" s="393"/>
    </row>
    <row r="360" spans="1:3" ht="12.75">
      <c r="A360" s="2"/>
      <c r="B360" s="24"/>
      <c r="C360" s="393"/>
    </row>
    <row r="361" spans="1:3" ht="12.75">
      <c r="A361" s="2"/>
      <c r="B361" s="24"/>
      <c r="C361" s="393"/>
    </row>
    <row r="362" spans="1:3" ht="12.75">
      <c r="A362" s="2"/>
      <c r="B362" s="24"/>
      <c r="C362" s="393"/>
    </row>
    <row r="363" spans="1:3" ht="12.75">
      <c r="A363" s="2"/>
      <c r="B363" s="24"/>
      <c r="C363" s="393"/>
    </row>
    <row r="364" spans="1:3" ht="12.75">
      <c r="A364" s="2"/>
      <c r="B364" s="24"/>
      <c r="C364" s="393"/>
    </row>
    <row r="365" spans="1:3" ht="12.75">
      <c r="A365" s="2"/>
      <c r="B365" s="24"/>
      <c r="C365" s="393"/>
    </row>
    <row r="366" spans="1:3" ht="12.75">
      <c r="A366" s="2"/>
      <c r="B366" s="24"/>
      <c r="C366" s="393"/>
    </row>
    <row r="367" spans="1:3" ht="12.75">
      <c r="A367" s="2"/>
      <c r="B367" s="24"/>
      <c r="C367" s="393"/>
    </row>
    <row r="368" spans="1:3" ht="12.75">
      <c r="A368" s="2"/>
      <c r="B368" s="24"/>
      <c r="C368" s="393"/>
    </row>
    <row r="369" spans="1:3" ht="12.75">
      <c r="A369" s="2"/>
      <c r="B369" s="24"/>
      <c r="C369" s="393"/>
    </row>
    <row r="370" spans="1:3" ht="12.75">
      <c r="A370" s="2"/>
      <c r="B370" s="24"/>
      <c r="C370" s="393"/>
    </row>
    <row r="371" spans="1:3" ht="12.75">
      <c r="A371" s="2"/>
      <c r="B371" s="24"/>
      <c r="C371" s="393"/>
    </row>
    <row r="372" spans="1:3" ht="12.75">
      <c r="A372" s="2"/>
      <c r="B372" s="24"/>
      <c r="C372" s="393"/>
    </row>
    <row r="373" spans="1:3" ht="12.75">
      <c r="A373" s="2"/>
      <c r="B373" s="24"/>
      <c r="C373" s="393"/>
    </row>
    <row r="374" spans="1:3" ht="12.75">
      <c r="A374" s="2"/>
      <c r="B374" s="24"/>
      <c r="C374" s="393"/>
    </row>
    <row r="375" spans="1:3" ht="12.75">
      <c r="A375" s="2"/>
      <c r="B375" s="24"/>
      <c r="C375" s="393"/>
    </row>
    <row r="376" spans="1:3" ht="12.75">
      <c r="A376" s="2"/>
      <c r="B376" s="24"/>
      <c r="C376" s="393"/>
    </row>
    <row r="377" spans="1:3" ht="12.75">
      <c r="A377" s="2"/>
      <c r="B377" s="24"/>
      <c r="C377" s="393"/>
    </row>
    <row r="378" spans="1:3" ht="12.75">
      <c r="A378" s="2"/>
      <c r="B378" s="24"/>
      <c r="C378" s="393"/>
    </row>
    <row r="379" spans="1:3" ht="12.75">
      <c r="A379" s="2"/>
      <c r="B379" s="24"/>
      <c r="C379" s="393"/>
    </row>
    <row r="380" spans="1:3" ht="12.75">
      <c r="A380" s="2"/>
      <c r="B380" s="24"/>
      <c r="C380" s="393"/>
    </row>
    <row r="381" spans="1:3" ht="12.75">
      <c r="A381" s="2"/>
      <c r="B381" s="24"/>
      <c r="C381" s="393"/>
    </row>
    <row r="382" spans="1:3" ht="12.75">
      <c r="A382" s="2"/>
      <c r="B382" s="24"/>
      <c r="C382" s="393"/>
    </row>
    <row r="383" spans="1:3" ht="12.75">
      <c r="A383" s="2"/>
      <c r="B383" s="24"/>
      <c r="C383" s="393"/>
    </row>
    <row r="384" spans="1:3" ht="12.75">
      <c r="A384" s="2"/>
      <c r="B384" s="24"/>
      <c r="C384" s="393"/>
    </row>
    <row r="385" spans="1:3" ht="12.75">
      <c r="A385" s="2"/>
      <c r="B385" s="24"/>
      <c r="C385" s="393"/>
    </row>
    <row r="386" spans="1:3" ht="12.75">
      <c r="A386" s="2"/>
      <c r="B386" s="24"/>
      <c r="C386" s="393"/>
    </row>
    <row r="387" spans="1:3" ht="12.75">
      <c r="A387" s="2"/>
      <c r="B387" s="24"/>
      <c r="C387" s="393"/>
    </row>
    <row r="388" spans="1:3" ht="12.75">
      <c r="A388" s="2"/>
      <c r="B388" s="24"/>
      <c r="C388" s="393"/>
    </row>
    <row r="389" spans="1:3" ht="12.75">
      <c r="A389" s="2"/>
      <c r="B389" s="24"/>
      <c r="C389" s="393"/>
    </row>
    <row r="390" spans="1:3" ht="12.75">
      <c r="A390" s="2"/>
      <c r="B390" s="24"/>
      <c r="C390" s="393"/>
    </row>
    <row r="391" spans="1:3" ht="12.75">
      <c r="A391" s="2"/>
      <c r="B391" s="24"/>
      <c r="C391" s="393"/>
    </row>
    <row r="392" spans="1:3" ht="12.75">
      <c r="A392" s="2"/>
      <c r="B392" s="24"/>
      <c r="C392" s="393"/>
    </row>
    <row r="393" spans="1:3" ht="12.75">
      <c r="A393" s="2"/>
      <c r="B393" s="24"/>
      <c r="C393" s="393"/>
    </row>
    <row r="394" spans="1:3" ht="12.75">
      <c r="A394" s="2"/>
      <c r="B394" s="24"/>
      <c r="C394" s="393"/>
    </row>
    <row r="395" spans="1:3" ht="12.75">
      <c r="A395" s="2"/>
      <c r="B395" s="24"/>
      <c r="C395" s="393"/>
    </row>
    <row r="396" spans="1:3" ht="12.75">
      <c r="A396" s="2"/>
      <c r="B396" s="24"/>
      <c r="C396" s="393"/>
    </row>
    <row r="397" spans="1:3" ht="12.75">
      <c r="A397" s="2"/>
      <c r="B397" s="24"/>
      <c r="C397" s="393"/>
    </row>
    <row r="398" spans="1:3" ht="12.75">
      <c r="A398" s="2"/>
      <c r="B398" s="24"/>
      <c r="C398" s="393"/>
    </row>
    <row r="399" spans="1:3" ht="12.75">
      <c r="A399" s="2"/>
      <c r="B399" s="24"/>
      <c r="C399" s="393"/>
    </row>
    <row r="400" spans="1:3" ht="12.75">
      <c r="A400" s="2"/>
      <c r="B400" s="24"/>
      <c r="C400" s="393"/>
    </row>
    <row r="401" spans="1:3" ht="12.75">
      <c r="A401" s="2"/>
      <c r="B401" s="24"/>
      <c r="C401" s="393"/>
    </row>
    <row r="402" spans="1:3" ht="12.75">
      <c r="A402" s="2"/>
      <c r="B402" s="24"/>
      <c r="C402" s="393"/>
    </row>
    <row r="403" spans="1:3" ht="12.75">
      <c r="A403" s="2"/>
      <c r="B403" s="24"/>
      <c r="C403" s="393"/>
    </row>
    <row r="404" spans="1:3" ht="12.75">
      <c r="A404" s="2"/>
      <c r="B404" s="24"/>
      <c r="C404" s="393"/>
    </row>
    <row r="405" spans="1:3" ht="12.75">
      <c r="A405" s="2"/>
      <c r="B405" s="24"/>
      <c r="C405" s="393"/>
    </row>
    <row r="406" spans="1:3" ht="12.75">
      <c r="A406" s="2"/>
      <c r="B406" s="24"/>
      <c r="C406" s="393"/>
    </row>
    <row r="407" spans="1:3" ht="12.75">
      <c r="A407" s="2"/>
      <c r="B407" s="24"/>
      <c r="C407" s="393"/>
    </row>
    <row r="408" spans="1:3" ht="12.75">
      <c r="A408" s="2"/>
      <c r="B408" s="24"/>
      <c r="C408" s="393"/>
    </row>
    <row r="409" spans="1:3" ht="12.75">
      <c r="A409" s="2"/>
      <c r="B409" s="24"/>
      <c r="C409" s="393"/>
    </row>
    <row r="410" spans="1:3" ht="12.75">
      <c r="A410" s="2"/>
      <c r="B410" s="24"/>
      <c r="C410" s="393"/>
    </row>
    <row r="411" spans="1:3" ht="12.75">
      <c r="A411" s="2"/>
      <c r="B411" s="24"/>
      <c r="C411" s="393"/>
    </row>
    <row r="412" spans="1:3" ht="12.75">
      <c r="A412" s="2"/>
      <c r="B412" s="24"/>
      <c r="C412" s="393"/>
    </row>
    <row r="413" spans="1:3" ht="12.75">
      <c r="A413" s="2"/>
      <c r="B413" s="24"/>
      <c r="C413" s="393"/>
    </row>
    <row r="414" spans="1:3" ht="12.75">
      <c r="A414" s="2"/>
      <c r="B414" s="24"/>
      <c r="C414" s="393"/>
    </row>
    <row r="415" spans="1:3" ht="12.75">
      <c r="A415" s="2"/>
      <c r="B415" s="24"/>
      <c r="C415" s="393"/>
    </row>
    <row r="416" spans="1:3" ht="12.75">
      <c r="A416" s="2"/>
      <c r="B416" s="24"/>
      <c r="C416" s="393"/>
    </row>
    <row r="417" spans="1:3" ht="12.75">
      <c r="A417" s="2"/>
      <c r="B417" s="24"/>
      <c r="C417" s="393"/>
    </row>
    <row r="418" spans="1:3" ht="12.75">
      <c r="A418" s="2"/>
      <c r="B418" s="24"/>
      <c r="C418" s="393"/>
    </row>
    <row r="419" spans="1:3" ht="12.75">
      <c r="A419" s="2"/>
      <c r="B419" s="24"/>
      <c r="C419" s="393"/>
    </row>
    <row r="420" spans="1:3" ht="12.75">
      <c r="A420" s="2"/>
      <c r="B420" s="24"/>
      <c r="C420" s="393"/>
    </row>
    <row r="421" spans="1:3" ht="12.75">
      <c r="A421" s="2"/>
      <c r="B421" s="24"/>
      <c r="C421" s="393"/>
    </row>
    <row r="422" spans="1:3" ht="12.75">
      <c r="A422" s="2"/>
      <c r="B422" s="24"/>
      <c r="C422" s="393"/>
    </row>
    <row r="423" spans="1:3" ht="12.75">
      <c r="A423" s="2"/>
      <c r="B423" s="24"/>
      <c r="C423" s="393"/>
    </row>
    <row r="424" spans="1:3" ht="12.75">
      <c r="A424" s="2"/>
      <c r="B424" s="24"/>
      <c r="C424" s="393"/>
    </row>
    <row r="425" spans="1:3" ht="12.75">
      <c r="A425" s="2"/>
      <c r="B425" s="24"/>
      <c r="C425" s="393"/>
    </row>
    <row r="426" spans="1:3" ht="12.75">
      <c r="A426" s="2"/>
      <c r="B426" s="24"/>
      <c r="C426" s="393"/>
    </row>
    <row r="427" spans="1:3" ht="12.75">
      <c r="A427" s="2"/>
      <c r="B427" s="24"/>
      <c r="C427" s="393"/>
    </row>
    <row r="428" spans="1:3" ht="12.75">
      <c r="A428" s="2"/>
      <c r="B428" s="24"/>
      <c r="C428" s="393"/>
    </row>
    <row r="429" spans="1:3" ht="12.75">
      <c r="A429" s="2"/>
      <c r="B429" s="24"/>
      <c r="C429" s="393"/>
    </row>
    <row r="430" spans="1:3" ht="12.75">
      <c r="A430" s="2"/>
      <c r="B430" s="24"/>
      <c r="C430" s="393"/>
    </row>
    <row r="431" spans="1:3" ht="12.75">
      <c r="A431" s="2"/>
      <c r="B431" s="24"/>
      <c r="C431" s="393"/>
    </row>
    <row r="432" spans="1:3" ht="12.75">
      <c r="A432" s="2"/>
      <c r="B432" s="24"/>
      <c r="C432" s="393"/>
    </row>
    <row r="433" spans="1:3" ht="12.75">
      <c r="A433" s="2"/>
      <c r="B433" s="24"/>
      <c r="C433" s="393"/>
    </row>
    <row r="434" spans="1:3" ht="12.75">
      <c r="A434" s="2"/>
      <c r="B434" s="24"/>
      <c r="C434" s="393"/>
    </row>
    <row r="435" spans="1:3" ht="12.75">
      <c r="A435" s="2"/>
      <c r="B435" s="24"/>
      <c r="C435" s="393"/>
    </row>
    <row r="436" spans="1:3" ht="12.75">
      <c r="A436" s="2"/>
      <c r="B436" s="24"/>
      <c r="C436" s="393"/>
    </row>
    <row r="437" spans="1:3" ht="12.75">
      <c r="A437" s="2"/>
      <c r="B437" s="24"/>
      <c r="C437" s="393"/>
    </row>
    <row r="438" spans="1:3" ht="12.75">
      <c r="A438" s="2"/>
      <c r="B438" s="24"/>
      <c r="C438" s="393"/>
    </row>
    <row r="439" spans="1:3" ht="12.75">
      <c r="A439" s="2"/>
      <c r="B439" s="24"/>
      <c r="C439" s="393"/>
    </row>
    <row r="440" spans="1:3" ht="12.75">
      <c r="A440" s="2"/>
      <c r="B440" s="24"/>
      <c r="C440" s="393"/>
    </row>
    <row r="441" spans="1:3" ht="12.75">
      <c r="A441" s="2"/>
      <c r="B441" s="24"/>
      <c r="C441" s="393"/>
    </row>
    <row r="442" spans="1:3" ht="12.75">
      <c r="A442" s="2"/>
      <c r="B442" s="24"/>
      <c r="C442" s="393"/>
    </row>
    <row r="443" spans="1:3" ht="12.75">
      <c r="A443" s="2"/>
      <c r="B443" s="24"/>
      <c r="C443" s="393"/>
    </row>
    <row r="444" spans="1:3" ht="12.75">
      <c r="A444" s="2"/>
      <c r="B444" s="24"/>
      <c r="C444" s="393"/>
    </row>
    <row r="445" spans="1:3" ht="12.75">
      <c r="A445" s="2"/>
      <c r="B445" s="24"/>
      <c r="C445" s="393"/>
    </row>
    <row r="446" spans="1:3" ht="12.75">
      <c r="A446" s="2"/>
      <c r="B446" s="24"/>
      <c r="C446" s="393"/>
    </row>
    <row r="447" spans="1:3" ht="12.75">
      <c r="A447" s="2"/>
      <c r="B447" s="24"/>
      <c r="C447" s="393"/>
    </row>
    <row r="448" spans="1:3" ht="12.75">
      <c r="A448" s="2"/>
      <c r="B448" s="24"/>
      <c r="C448" s="393"/>
    </row>
    <row r="449" spans="1:3" ht="12.75">
      <c r="A449" s="2"/>
      <c r="B449" s="24"/>
      <c r="C449" s="393"/>
    </row>
    <row r="450" spans="1:3" ht="12.75">
      <c r="A450" s="2"/>
      <c r="B450" s="24"/>
      <c r="C450" s="393"/>
    </row>
    <row r="451" spans="1:3" ht="12.75">
      <c r="A451" s="2"/>
      <c r="B451" s="24"/>
      <c r="C451" s="393"/>
    </row>
    <row r="452" spans="1:3" ht="12.75">
      <c r="A452" s="2"/>
      <c r="B452" s="24"/>
      <c r="C452" s="393"/>
    </row>
    <row r="453" spans="1:3" ht="12.75">
      <c r="A453" s="2"/>
      <c r="B453" s="24"/>
      <c r="C453" s="393"/>
    </row>
    <row r="454" spans="1:3" ht="12.75">
      <c r="A454" s="2"/>
      <c r="B454" s="24"/>
      <c r="C454" s="393"/>
    </row>
    <row r="455" spans="1:3" ht="12.75">
      <c r="A455" s="2"/>
      <c r="B455" s="24"/>
      <c r="C455" s="393"/>
    </row>
    <row r="456" spans="1:3" ht="12.75">
      <c r="A456" s="2"/>
      <c r="B456" s="24"/>
      <c r="C456" s="393"/>
    </row>
    <row r="457" spans="1:3" ht="12.75">
      <c r="A457" s="2"/>
      <c r="B457" s="24"/>
      <c r="C457" s="393"/>
    </row>
    <row r="458" spans="1:3" ht="12.75">
      <c r="A458" s="2"/>
      <c r="B458" s="24"/>
      <c r="C458" s="393"/>
    </row>
    <row r="459" spans="1:3" ht="12.75">
      <c r="A459" s="2"/>
      <c r="B459" s="24"/>
      <c r="C459" s="393"/>
    </row>
    <row r="460" spans="1:3" ht="12.75">
      <c r="A460" s="2"/>
      <c r="B460" s="24"/>
      <c r="C460" s="393"/>
    </row>
    <row r="461" spans="1:3" ht="12.75">
      <c r="A461" s="2"/>
      <c r="B461" s="24"/>
      <c r="C461" s="393"/>
    </row>
    <row r="462" spans="1:3" ht="12.75">
      <c r="A462" s="2"/>
      <c r="B462" s="24"/>
      <c r="C462" s="393"/>
    </row>
    <row r="463" spans="1:3" ht="12.75">
      <c r="A463" s="2"/>
      <c r="B463" s="24"/>
      <c r="C463" s="393"/>
    </row>
    <row r="464" spans="1:3" ht="12.75">
      <c r="A464" s="2"/>
      <c r="B464" s="24"/>
      <c r="C464" s="393"/>
    </row>
    <row r="465" spans="1:3" ht="12.75">
      <c r="A465" s="2"/>
      <c r="B465" s="24"/>
      <c r="C465" s="393"/>
    </row>
    <row r="466" spans="1:3" ht="12.75">
      <c r="A466" s="2"/>
      <c r="B466" s="24"/>
      <c r="C466" s="393"/>
    </row>
    <row r="467" spans="1:3" ht="12.75">
      <c r="A467" s="2"/>
      <c r="B467" s="24"/>
      <c r="C467" s="393"/>
    </row>
    <row r="468" spans="1:3" ht="12.75">
      <c r="A468" s="2"/>
      <c r="B468" s="24"/>
      <c r="C468" s="393"/>
    </row>
    <row r="469" spans="1:3" ht="12.75">
      <c r="A469" s="2"/>
      <c r="B469" s="24"/>
      <c r="C469" s="393"/>
    </row>
    <row r="470" spans="1:3" ht="12.75">
      <c r="A470" s="2"/>
      <c r="B470" s="24"/>
      <c r="C470" s="393"/>
    </row>
    <row r="471" spans="1:3" ht="12.75">
      <c r="A471" s="2"/>
      <c r="B471" s="24"/>
      <c r="C471" s="393"/>
    </row>
    <row r="472" spans="1:3" ht="12.75">
      <c r="A472" s="2"/>
      <c r="B472" s="24"/>
      <c r="C472" s="393"/>
    </row>
    <row r="473" spans="1:3" ht="12.75">
      <c r="A473" s="2"/>
      <c r="B473" s="24"/>
      <c r="C473" s="393"/>
    </row>
    <row r="474" spans="1:3" ht="12.75">
      <c r="A474" s="2"/>
      <c r="B474" s="24"/>
      <c r="C474" s="393"/>
    </row>
    <row r="475" spans="1:3" ht="12.75">
      <c r="A475" s="2"/>
      <c r="B475" s="24"/>
      <c r="C475" s="393"/>
    </row>
    <row r="476" spans="1:3" ht="12.75">
      <c r="A476" s="2"/>
      <c r="B476" s="24"/>
      <c r="C476" s="393"/>
    </row>
    <row r="477" spans="1:3" ht="12.75">
      <c r="A477" s="2"/>
      <c r="B477" s="24"/>
      <c r="C477" s="393"/>
    </row>
    <row r="478" spans="1:3" ht="12.75">
      <c r="A478" s="2"/>
      <c r="B478" s="24"/>
      <c r="C478" s="393"/>
    </row>
    <row r="479" spans="1:3" ht="12.75">
      <c r="A479" s="2"/>
      <c r="B479" s="24"/>
      <c r="C479" s="393"/>
    </row>
    <row r="480" spans="1:3" ht="12.75">
      <c r="A480" s="2"/>
      <c r="B480" s="24"/>
      <c r="C480" s="393"/>
    </row>
    <row r="481" spans="1:3" ht="12.75">
      <c r="A481" s="2"/>
      <c r="B481" s="24"/>
      <c r="C481" s="393"/>
    </row>
    <row r="482" spans="1:3" ht="12.75">
      <c r="A482" s="2"/>
      <c r="B482" s="24"/>
      <c r="C482" s="393"/>
    </row>
    <row r="483" spans="1:3" ht="12.75">
      <c r="A483" s="2"/>
      <c r="B483" s="24"/>
      <c r="C483" s="393"/>
    </row>
    <row r="484" spans="1:3" ht="12.75">
      <c r="A484" s="2"/>
      <c r="B484" s="24"/>
      <c r="C484" s="393"/>
    </row>
    <row r="485" spans="1:3" ht="12.75">
      <c r="A485" s="2"/>
      <c r="B485" s="24"/>
      <c r="C485" s="393"/>
    </row>
    <row r="486" spans="1:3" ht="12.75">
      <c r="A486" s="2"/>
      <c r="B486" s="24"/>
      <c r="C486" s="393"/>
    </row>
    <row r="487" spans="1:3" ht="12.75">
      <c r="A487" s="2"/>
      <c r="B487" s="24"/>
      <c r="C487" s="393"/>
    </row>
    <row r="488" spans="1:3" ht="12.75">
      <c r="A488" s="2"/>
      <c r="B488" s="24"/>
      <c r="C488" s="393"/>
    </row>
    <row r="489" spans="1:3" ht="12.75">
      <c r="A489" s="2"/>
      <c r="B489" s="24"/>
      <c r="C489" s="393"/>
    </row>
    <row r="490" spans="1:3" ht="12.75">
      <c r="A490" s="2"/>
      <c r="B490" s="24"/>
      <c r="C490" s="393"/>
    </row>
    <row r="491" spans="1:3" ht="12.75">
      <c r="A491" s="2"/>
      <c r="B491" s="24"/>
      <c r="C491" s="393"/>
    </row>
    <row r="492" spans="1:3" ht="12.75">
      <c r="A492" s="2"/>
      <c r="B492" s="24"/>
      <c r="C492" s="393"/>
    </row>
    <row r="493" spans="1:3" ht="12.75">
      <c r="A493" s="2"/>
      <c r="B493" s="24"/>
      <c r="C493" s="393"/>
    </row>
    <row r="494" spans="1:3" ht="12.75">
      <c r="A494" s="2"/>
      <c r="B494" s="24"/>
      <c r="C494" s="393"/>
    </row>
    <row r="495" spans="1:3" ht="12.75">
      <c r="A495" s="2"/>
      <c r="B495" s="24"/>
      <c r="C495" s="393"/>
    </row>
    <row r="496" spans="1:3" ht="12.75">
      <c r="A496" s="2"/>
      <c r="B496" s="24"/>
      <c r="C496" s="393"/>
    </row>
    <row r="497" spans="1:3" ht="12.75">
      <c r="A497" s="2"/>
      <c r="B497" s="24"/>
      <c r="C497" s="393"/>
    </row>
    <row r="498" spans="1:3" ht="12.75">
      <c r="A498" s="2"/>
      <c r="B498" s="24"/>
      <c r="C498" s="393"/>
    </row>
    <row r="499" spans="1:3" ht="12.75">
      <c r="A499" s="2"/>
      <c r="B499" s="24"/>
      <c r="C499" s="393"/>
    </row>
    <row r="500" spans="1:3" ht="12.75">
      <c r="A500" s="2"/>
      <c r="B500" s="24"/>
      <c r="C500" s="393"/>
    </row>
    <row r="501" spans="1:3" ht="12.75">
      <c r="A501" s="2"/>
      <c r="B501" s="24"/>
      <c r="C501" s="393"/>
    </row>
    <row r="502" spans="1:3" ht="12.75">
      <c r="A502" s="2"/>
      <c r="B502" s="24"/>
      <c r="C502" s="393"/>
    </row>
    <row r="503" spans="1:3" ht="12.75">
      <c r="A503" s="2"/>
      <c r="B503" s="24"/>
      <c r="C503" s="393"/>
    </row>
    <row r="504" spans="1:3" ht="12.75">
      <c r="A504" s="2"/>
      <c r="B504" s="24"/>
      <c r="C504" s="393"/>
    </row>
    <row r="505" spans="1:3" ht="12.75">
      <c r="A505" s="2"/>
      <c r="B505" s="24"/>
      <c r="C505" s="393"/>
    </row>
    <row r="506" spans="1:3" ht="12.75">
      <c r="A506" s="2"/>
      <c r="B506" s="24"/>
      <c r="C506" s="393"/>
    </row>
    <row r="507" spans="1:3" ht="12.75">
      <c r="A507" s="2"/>
      <c r="B507" s="24"/>
      <c r="C507" s="393"/>
    </row>
    <row r="508" spans="1:3" ht="12.75">
      <c r="A508" s="2"/>
      <c r="B508" s="24"/>
      <c r="C508" s="393"/>
    </row>
    <row r="509" spans="1:3" ht="12.75">
      <c r="A509" s="2"/>
      <c r="B509" s="24"/>
      <c r="C509" s="393"/>
    </row>
    <row r="510" spans="1:3" ht="12.75">
      <c r="A510" s="2"/>
      <c r="B510" s="24"/>
      <c r="C510" s="393"/>
    </row>
    <row r="511" spans="1:3" ht="12.75">
      <c r="A511" s="2"/>
      <c r="B511" s="24"/>
      <c r="C511" s="393"/>
    </row>
    <row r="512" spans="1:3" ht="12.75">
      <c r="A512" s="2"/>
      <c r="B512" s="24"/>
      <c r="C512" s="393"/>
    </row>
    <row r="513" spans="1:3" ht="12.75">
      <c r="A513" s="2"/>
      <c r="B513" s="24"/>
      <c r="C513" s="393"/>
    </row>
    <row r="514" spans="1:3" ht="12.75">
      <c r="A514" s="2"/>
      <c r="B514" s="24"/>
      <c r="C514" s="393"/>
    </row>
    <row r="515" spans="1:3" ht="12.75">
      <c r="A515" s="2"/>
      <c r="B515" s="24"/>
      <c r="C515" s="393"/>
    </row>
    <row r="516" spans="1:3" ht="12.75">
      <c r="A516" s="2"/>
      <c r="B516" s="24"/>
      <c r="C516" s="393"/>
    </row>
    <row r="517" spans="1:3" ht="12.75">
      <c r="A517" s="2"/>
      <c r="B517" s="24"/>
      <c r="C517" s="393"/>
    </row>
    <row r="518" spans="1:3" ht="12.75">
      <c r="A518" s="2"/>
      <c r="B518" s="24"/>
      <c r="C518" s="393"/>
    </row>
    <row r="519" spans="1:3" ht="12.75">
      <c r="A519" s="2"/>
      <c r="B519" s="24"/>
      <c r="C519" s="393"/>
    </row>
    <row r="520" spans="1:3" ht="12.75">
      <c r="A520" s="2"/>
      <c r="B520" s="24"/>
      <c r="C520" s="393"/>
    </row>
    <row r="521" spans="1:3" ht="12.75">
      <c r="A521" s="2"/>
      <c r="B521" s="24"/>
      <c r="C521" s="393"/>
    </row>
    <row r="522" spans="1:3" ht="12.75">
      <c r="A522" s="2"/>
      <c r="B522" s="24"/>
      <c r="C522" s="393"/>
    </row>
    <row r="523" spans="1:3" ht="12.75">
      <c r="A523" s="2"/>
      <c r="B523" s="24"/>
      <c r="C523" s="393"/>
    </row>
    <row r="524" spans="1:3" ht="12.75">
      <c r="A524" s="2"/>
      <c r="B524" s="24"/>
      <c r="C524" s="393"/>
    </row>
    <row r="525" spans="1:3" ht="12.75">
      <c r="A525" s="2"/>
      <c r="B525" s="24"/>
      <c r="C525" s="393"/>
    </row>
    <row r="526" spans="1:3" ht="12.75">
      <c r="A526" s="2"/>
      <c r="B526" s="24"/>
      <c r="C526" s="393"/>
    </row>
    <row r="527" spans="1:3" ht="12.75">
      <c r="A527" s="2"/>
      <c r="B527" s="24"/>
      <c r="C527" s="393"/>
    </row>
    <row r="528" spans="1:3" ht="12.75">
      <c r="A528" s="2"/>
      <c r="B528" s="24"/>
      <c r="C528" s="393"/>
    </row>
    <row r="529" spans="1:3" ht="12.75">
      <c r="A529" s="2"/>
      <c r="B529" s="24"/>
      <c r="C529" s="393"/>
    </row>
    <row r="530" spans="1:3" ht="12.75">
      <c r="A530" s="2"/>
      <c r="B530" s="24"/>
      <c r="C530" s="393"/>
    </row>
    <row r="531" spans="1:3" ht="12.75">
      <c r="A531" s="2"/>
      <c r="B531" s="24"/>
      <c r="C531" s="393"/>
    </row>
    <row r="532" spans="1:3" ht="12.75">
      <c r="A532" s="2"/>
      <c r="B532" s="24"/>
      <c r="C532" s="393"/>
    </row>
    <row r="533" spans="1:3" ht="12.75">
      <c r="A533" s="2"/>
      <c r="B533" s="24"/>
      <c r="C533" s="393"/>
    </row>
    <row r="534" spans="1:3" ht="12.75">
      <c r="A534" s="2"/>
      <c r="B534" s="24"/>
      <c r="C534" s="393"/>
    </row>
    <row r="535" spans="1:3" ht="12.75">
      <c r="A535" s="2"/>
      <c r="B535" s="24"/>
      <c r="C535" s="393"/>
    </row>
    <row r="536" spans="1:3" ht="12.75">
      <c r="A536" s="2"/>
      <c r="B536" s="24"/>
      <c r="C536" s="393"/>
    </row>
    <row r="537" spans="1:3" ht="12.75">
      <c r="A537" s="2"/>
      <c r="B537" s="24"/>
      <c r="C537" s="393"/>
    </row>
    <row r="538" spans="1:3" ht="12.75">
      <c r="A538" s="2"/>
      <c r="B538" s="24"/>
      <c r="C538" s="393"/>
    </row>
    <row r="539" spans="1:3" ht="12.75">
      <c r="A539" s="2"/>
      <c r="B539" s="24"/>
      <c r="C539" s="393"/>
    </row>
    <row r="540" spans="1:3" ht="12.75">
      <c r="A540" s="2"/>
      <c r="B540" s="24"/>
      <c r="C540" s="393"/>
    </row>
    <row r="541" spans="1:3" ht="12.75">
      <c r="A541" s="2"/>
      <c r="B541" s="24"/>
      <c r="C541" s="393"/>
    </row>
    <row r="542" spans="1:3" ht="12.75">
      <c r="A542" s="2"/>
      <c r="B542" s="24"/>
      <c r="C542" s="393"/>
    </row>
    <row r="543" spans="1:3" ht="12.75">
      <c r="A543" s="2"/>
      <c r="B543" s="24"/>
      <c r="C543" s="393"/>
    </row>
    <row r="544" spans="1:3" ht="12.75">
      <c r="A544" s="2"/>
      <c r="B544" s="24"/>
      <c r="C544" s="393"/>
    </row>
    <row r="545" spans="1:3" ht="12.75">
      <c r="A545" s="2"/>
      <c r="B545" s="24"/>
      <c r="C545" s="393"/>
    </row>
    <row r="546" spans="1:3" ht="12.75">
      <c r="A546" s="2"/>
      <c r="B546" s="24"/>
      <c r="C546" s="393"/>
    </row>
    <row r="547" spans="1:3" ht="12.75">
      <c r="A547" s="2"/>
      <c r="B547" s="24"/>
      <c r="C547" s="393"/>
    </row>
    <row r="548" spans="1:3" ht="12.75">
      <c r="A548" s="2"/>
      <c r="B548" s="24"/>
      <c r="C548" s="393"/>
    </row>
    <row r="549" spans="1:3" ht="12.75">
      <c r="A549" s="2"/>
      <c r="B549" s="24"/>
      <c r="C549" s="393"/>
    </row>
    <row r="550" spans="1:3" ht="12.75">
      <c r="A550" s="2"/>
      <c r="B550" s="24"/>
      <c r="C550" s="393"/>
    </row>
    <row r="551" spans="1:3" ht="12.75">
      <c r="A551" s="2"/>
      <c r="B551" s="24"/>
      <c r="C551" s="393"/>
    </row>
    <row r="552" spans="1:3" ht="12.75">
      <c r="A552" s="2"/>
      <c r="B552" s="24"/>
      <c r="C552" s="393"/>
    </row>
    <row r="553" spans="1:3" ht="12.75">
      <c r="A553" s="2"/>
      <c r="B553" s="24"/>
      <c r="C553" s="393"/>
    </row>
    <row r="554" spans="1:3" ht="12.75">
      <c r="A554" s="2"/>
      <c r="B554" s="24"/>
      <c r="C554" s="393"/>
    </row>
    <row r="555" spans="1:3" ht="12.75">
      <c r="A555" s="2"/>
      <c r="B555" s="24"/>
      <c r="C555" s="393"/>
    </row>
    <row r="556" spans="1:3" ht="12.75">
      <c r="A556" s="2"/>
      <c r="B556" s="24"/>
      <c r="C556" s="393"/>
    </row>
    <row r="557" spans="1:3" ht="12.75">
      <c r="A557" s="2"/>
      <c r="B557" s="24"/>
      <c r="C557" s="393"/>
    </row>
    <row r="558" spans="1:3" ht="12.75">
      <c r="A558" s="2"/>
      <c r="B558" s="24"/>
      <c r="C558" s="393"/>
    </row>
    <row r="559" spans="1:3" ht="12.75">
      <c r="A559" s="2"/>
      <c r="B559" s="24"/>
      <c r="C559" s="393"/>
    </row>
    <row r="560" spans="1:3" ht="12.75">
      <c r="A560" s="2"/>
      <c r="B560" s="24"/>
      <c r="C560" s="393"/>
    </row>
    <row r="561" spans="1:3" ht="12.75">
      <c r="A561" s="2"/>
      <c r="B561" s="24"/>
      <c r="C561" s="393"/>
    </row>
    <row r="562" spans="1:3" ht="12.75">
      <c r="A562" s="2"/>
      <c r="B562" s="24"/>
      <c r="C562" s="393"/>
    </row>
    <row r="563" spans="1:3" ht="12.75">
      <c r="A563" s="2"/>
      <c r="B563" s="24"/>
      <c r="C563" s="393"/>
    </row>
    <row r="564" spans="1:3" ht="12.75">
      <c r="A564" s="2"/>
      <c r="B564" s="24"/>
      <c r="C564" s="393"/>
    </row>
    <row r="565" spans="1:3" ht="12.75">
      <c r="A565" s="2"/>
      <c r="B565" s="24"/>
      <c r="C565" s="393"/>
    </row>
    <row r="566" spans="1:3" ht="12.75">
      <c r="A566" s="2"/>
      <c r="B566" s="24"/>
      <c r="C566" s="393"/>
    </row>
    <row r="567" spans="1:3" ht="12.75">
      <c r="A567" s="2"/>
      <c r="B567" s="24"/>
      <c r="C567" s="393"/>
    </row>
    <row r="568" spans="1:3" ht="12.75">
      <c r="A568" s="2"/>
      <c r="B568" s="24"/>
      <c r="C568" s="393"/>
    </row>
    <row r="569" spans="1:3" ht="12.75">
      <c r="A569" s="2"/>
      <c r="B569" s="24"/>
      <c r="C569" s="393"/>
    </row>
    <row r="570" spans="1:3" ht="12.75">
      <c r="A570" s="2"/>
      <c r="B570" s="24"/>
      <c r="C570" s="393"/>
    </row>
    <row r="571" spans="1:3" ht="12.75">
      <c r="A571" s="2"/>
      <c r="B571" s="24"/>
      <c r="C571" s="393"/>
    </row>
    <row r="572" spans="1:3" ht="12.75">
      <c r="A572" s="2"/>
      <c r="B572" s="24"/>
      <c r="C572" s="393"/>
    </row>
    <row r="573" spans="1:3" ht="12.75">
      <c r="A573" s="2"/>
      <c r="B573" s="24"/>
      <c r="C573" s="393"/>
    </row>
    <row r="574" spans="1:3" ht="12.75">
      <c r="A574" s="2"/>
      <c r="B574" s="24"/>
      <c r="C574" s="393"/>
    </row>
    <row r="575" spans="1:3" ht="12.75">
      <c r="A575" s="2"/>
      <c r="B575" s="24"/>
      <c r="C575" s="393"/>
    </row>
    <row r="576" spans="1:3" ht="12.75">
      <c r="A576" s="2"/>
      <c r="B576" s="24"/>
      <c r="C576" s="393"/>
    </row>
    <row r="577" spans="1:3" ht="12.75">
      <c r="A577" s="2"/>
      <c r="B577" s="24"/>
      <c r="C577" s="393"/>
    </row>
    <row r="578" spans="1:3" ht="12.75">
      <c r="A578" s="2"/>
      <c r="B578" s="24"/>
      <c r="C578" s="393"/>
    </row>
    <row r="579" spans="1:3" ht="12.75">
      <c r="A579" s="2"/>
      <c r="B579" s="24"/>
      <c r="C579" s="393"/>
    </row>
    <row r="580" spans="1:3" ht="12.75">
      <c r="A580" s="2"/>
      <c r="B580" s="24"/>
      <c r="C580" s="393"/>
    </row>
    <row r="581" spans="1:3" ht="12.75">
      <c r="A581" s="2"/>
      <c r="B581" s="24"/>
      <c r="C581" s="393"/>
    </row>
    <row r="582" spans="1:3" ht="12.75">
      <c r="A582" s="2"/>
      <c r="B582" s="24"/>
      <c r="C582" s="393"/>
    </row>
    <row r="583" spans="1:3" ht="12.75">
      <c r="A583" s="2"/>
      <c r="B583" s="24"/>
      <c r="C583" s="393"/>
    </row>
    <row r="584" spans="1:3" ht="12.75">
      <c r="A584" s="2"/>
      <c r="B584" s="24"/>
      <c r="C584" s="393"/>
    </row>
    <row r="585" spans="1:3" ht="12.75">
      <c r="A585" s="2"/>
      <c r="B585" s="24"/>
      <c r="C585" s="393"/>
    </row>
    <row r="586" spans="1:3" ht="12.75">
      <c r="A586" s="2"/>
      <c r="B586" s="24"/>
      <c r="C586" s="393"/>
    </row>
    <row r="587" spans="1:3" ht="12.75">
      <c r="A587" s="2"/>
      <c r="B587" s="24"/>
      <c r="C587" s="393"/>
    </row>
    <row r="588" spans="1:3" ht="12.75">
      <c r="A588" s="2"/>
      <c r="B588" s="24"/>
      <c r="C588" s="393"/>
    </row>
    <row r="589" spans="1:3" ht="12.75">
      <c r="A589" s="2"/>
      <c r="B589" s="24"/>
      <c r="C589" s="393"/>
    </row>
    <row r="590" spans="1:3" ht="12.75">
      <c r="A590" s="2"/>
      <c r="B590" s="24"/>
      <c r="C590" s="393"/>
    </row>
    <row r="591" spans="1:3" ht="12.75">
      <c r="A591" s="2"/>
      <c r="B591" s="24"/>
      <c r="C591" s="393"/>
    </row>
    <row r="592" spans="1:3" ht="12.75">
      <c r="A592" s="2"/>
      <c r="B592" s="24"/>
      <c r="C592" s="393"/>
    </row>
    <row r="593" spans="1:3" ht="12.75">
      <c r="A593" s="2"/>
      <c r="B593" s="24"/>
      <c r="C593" s="393"/>
    </row>
    <row r="594" spans="1:3" ht="12.75">
      <c r="A594" s="2"/>
      <c r="B594" s="24"/>
      <c r="C594" s="393"/>
    </row>
    <row r="595" spans="1:3" ht="12.75">
      <c r="A595" s="2"/>
      <c r="B595" s="24"/>
      <c r="C595" s="393"/>
    </row>
    <row r="596" spans="1:3" ht="12.75">
      <c r="A596" s="2"/>
      <c r="B596" s="24"/>
      <c r="C596" s="393"/>
    </row>
    <row r="597" spans="1:3" ht="12.75">
      <c r="A597" s="2"/>
      <c r="B597" s="24"/>
      <c r="C597" s="393"/>
    </row>
    <row r="598" spans="1:3" ht="12.75">
      <c r="A598" s="2"/>
      <c r="B598" s="24"/>
      <c r="C598" s="393"/>
    </row>
    <row r="599" spans="1:3" ht="12.75">
      <c r="A599" s="2"/>
      <c r="B599" s="24"/>
      <c r="C599" s="393"/>
    </row>
    <row r="600" spans="1:3" ht="12.75">
      <c r="A600" s="2"/>
      <c r="B600" s="24"/>
      <c r="C600" s="393"/>
    </row>
    <row r="601" spans="1:3" ht="12.75">
      <c r="A601" s="2"/>
      <c r="B601" s="24"/>
      <c r="C601" s="393"/>
    </row>
    <row r="602" spans="1:3" ht="12.75">
      <c r="A602" s="2"/>
      <c r="B602" s="24"/>
      <c r="C602" s="393"/>
    </row>
    <row r="603" spans="1:3" ht="12.75">
      <c r="A603" s="2"/>
      <c r="B603" s="24"/>
      <c r="C603" s="393"/>
    </row>
    <row r="604" spans="1:3" ht="12.75">
      <c r="A604" s="2"/>
      <c r="B604" s="24"/>
      <c r="C604" s="393"/>
    </row>
    <row r="605" spans="1:3" ht="12.75">
      <c r="A605" s="2"/>
      <c r="B605" s="24"/>
      <c r="C605" s="393"/>
    </row>
    <row r="606" spans="1:3" ht="12.75">
      <c r="A606" s="2"/>
      <c r="B606" s="24"/>
      <c r="C606" s="393"/>
    </row>
    <row r="607" spans="1:3" ht="12.75">
      <c r="A607" s="2"/>
      <c r="B607" s="24"/>
      <c r="C607" s="393"/>
    </row>
    <row r="608" spans="1:3" ht="12.75">
      <c r="A608" s="2"/>
      <c r="B608" s="24"/>
      <c r="C608" s="393"/>
    </row>
    <row r="609" spans="1:3" ht="12.75">
      <c r="A609" s="2"/>
      <c r="B609" s="24"/>
      <c r="C609" s="393"/>
    </row>
    <row r="610" spans="1:3" ht="12.75">
      <c r="A610" s="2"/>
      <c r="B610" s="24"/>
      <c r="C610" s="393"/>
    </row>
    <row r="611" spans="1:3" ht="12.75">
      <c r="A611" s="2"/>
      <c r="B611" s="24"/>
      <c r="C611" s="393"/>
    </row>
    <row r="612" spans="1:3" ht="12.75">
      <c r="A612" s="2"/>
      <c r="B612" s="24"/>
      <c r="C612" s="393"/>
    </row>
    <row r="613" spans="1:3" ht="12.75">
      <c r="A613" s="2"/>
      <c r="B613" s="24"/>
      <c r="C613" s="393"/>
    </row>
    <row r="614" spans="1:3" ht="12.75">
      <c r="A614" s="2"/>
      <c r="B614" s="24"/>
      <c r="C614" s="393"/>
    </row>
    <row r="615" spans="1:3" ht="12.75">
      <c r="A615" s="2"/>
      <c r="B615" s="24"/>
      <c r="C615" s="393"/>
    </row>
    <row r="616" spans="1:3" ht="12.75">
      <c r="A616" s="2"/>
      <c r="B616" s="24"/>
      <c r="C616" s="393"/>
    </row>
    <row r="617" spans="1:3" ht="12.75">
      <c r="A617" s="2"/>
      <c r="B617" s="24"/>
      <c r="C617" s="393"/>
    </row>
    <row r="618" spans="1:3" ht="12.75">
      <c r="A618" s="2"/>
      <c r="B618" s="24"/>
      <c r="C618" s="393"/>
    </row>
    <row r="619" spans="1:3" ht="12.75">
      <c r="A619" s="2"/>
      <c r="B619" s="24"/>
      <c r="C619" s="393"/>
    </row>
    <row r="620" spans="1:3" ht="12.75">
      <c r="A620" s="2"/>
      <c r="B620" s="24"/>
      <c r="C620" s="393"/>
    </row>
    <row r="621" spans="1:3" ht="12.75">
      <c r="A621" s="2"/>
      <c r="B621" s="24"/>
      <c r="C621" s="393"/>
    </row>
    <row r="622" spans="1:3" ht="12.75">
      <c r="A622" s="2"/>
      <c r="B622" s="24"/>
      <c r="C622" s="393"/>
    </row>
    <row r="623" spans="1:3" ht="12.75">
      <c r="A623" s="2"/>
      <c r="B623" s="24"/>
      <c r="C623" s="393"/>
    </row>
    <row r="624" spans="1:3" ht="12.75">
      <c r="A624" s="2"/>
      <c r="B624" s="24"/>
      <c r="C624" s="393"/>
    </row>
    <row r="625" spans="1:3" ht="12.75">
      <c r="A625" s="2"/>
      <c r="B625" s="24"/>
      <c r="C625" s="393"/>
    </row>
    <row r="626" spans="1:3" ht="12.75">
      <c r="A626" s="2"/>
      <c r="B626" s="24"/>
      <c r="C626" s="393"/>
    </row>
    <row r="627" spans="1:3" ht="12.75">
      <c r="A627" s="2"/>
      <c r="B627" s="24"/>
      <c r="C627" s="393"/>
    </row>
    <row r="628" spans="1:3" ht="12.75">
      <c r="A628" s="2"/>
      <c r="B628" s="24"/>
      <c r="C628" s="393"/>
    </row>
    <row r="629" spans="1:3" ht="12.75">
      <c r="A629" s="2"/>
      <c r="B629" s="24"/>
      <c r="C629" s="393"/>
    </row>
    <row r="630" spans="1:3" ht="12.75">
      <c r="A630" s="2"/>
      <c r="B630" s="24"/>
      <c r="C630" s="393"/>
    </row>
    <row r="631" spans="1:3" ht="12.75">
      <c r="A631" s="2"/>
      <c r="B631" s="24"/>
      <c r="C631" s="393"/>
    </row>
    <row r="632" spans="1:3" ht="12.75">
      <c r="A632" s="2"/>
      <c r="B632" s="24"/>
      <c r="C632" s="393"/>
    </row>
    <row r="633" spans="1:3" ht="12.75">
      <c r="A633" s="2"/>
      <c r="B633" s="24"/>
      <c r="C633" s="393"/>
    </row>
    <row r="634" spans="1:3" ht="12.75">
      <c r="A634" s="2"/>
      <c r="B634" s="24"/>
      <c r="C634" s="393"/>
    </row>
    <row r="635" spans="1:3" ht="12.75">
      <c r="A635" s="2"/>
      <c r="B635" s="24"/>
      <c r="C635" s="393"/>
    </row>
    <row r="636" spans="1:3" ht="12.75">
      <c r="A636" s="2"/>
      <c r="B636" s="24"/>
      <c r="C636" s="393"/>
    </row>
    <row r="637" spans="1:3" ht="12.75">
      <c r="A637" s="2"/>
      <c r="B637" s="24"/>
      <c r="C637" s="393"/>
    </row>
    <row r="638" spans="1:3" ht="12.75">
      <c r="A638" s="2"/>
      <c r="B638" s="24"/>
      <c r="C638" s="393"/>
    </row>
    <row r="639" spans="1:3" ht="12.75">
      <c r="A639" s="2"/>
      <c r="B639" s="24"/>
      <c r="C639" s="393"/>
    </row>
    <row r="640" spans="1:3" ht="12.75">
      <c r="A640" s="2"/>
      <c r="B640" s="24"/>
      <c r="C640" s="393"/>
    </row>
    <row r="641" spans="1:3" ht="12.75">
      <c r="A641" s="2"/>
      <c r="B641" s="24"/>
      <c r="C641" s="393"/>
    </row>
    <row r="642" spans="1:3" ht="12.75">
      <c r="A642" s="2"/>
      <c r="B642" s="24"/>
      <c r="C642" s="393"/>
    </row>
    <row r="643" spans="1:3" ht="12.75">
      <c r="A643" s="2"/>
      <c r="B643" s="24"/>
      <c r="C643" s="393"/>
    </row>
    <row r="644" spans="1:3" ht="12.75">
      <c r="A644" s="2"/>
      <c r="B644" s="24"/>
      <c r="C644" s="393"/>
    </row>
    <row r="645" spans="1:3" ht="12.75">
      <c r="A645" s="2"/>
      <c r="B645" s="24"/>
      <c r="C645" s="393"/>
    </row>
    <row r="646" spans="1:3" ht="12.75">
      <c r="A646" s="2"/>
      <c r="B646" s="24"/>
      <c r="C646" s="393"/>
    </row>
    <row r="647" spans="1:3" ht="12.75">
      <c r="A647" s="2"/>
      <c r="B647" s="24"/>
      <c r="C647" s="393"/>
    </row>
    <row r="648" spans="1:3" ht="12.75">
      <c r="A648" s="2"/>
      <c r="B648" s="24"/>
      <c r="C648" s="393"/>
    </row>
    <row r="649" spans="1:3" ht="12.75">
      <c r="A649" s="2"/>
      <c r="B649" s="24"/>
      <c r="C649" s="393"/>
    </row>
    <row r="650" spans="1:3" ht="12.75">
      <c r="A650" s="2"/>
      <c r="B650" s="24"/>
      <c r="C650" s="393"/>
    </row>
    <row r="651" spans="1:3" ht="12.75">
      <c r="A651" s="2"/>
      <c r="B651" s="24"/>
      <c r="C651" s="393"/>
    </row>
    <row r="652" spans="1:3" ht="12.75">
      <c r="A652" s="2"/>
      <c r="B652" s="24"/>
      <c r="C652" s="393"/>
    </row>
    <row r="653" spans="1:3" ht="12.75">
      <c r="A653" s="2"/>
      <c r="B653" s="24"/>
      <c r="C653" s="393"/>
    </row>
    <row r="654" spans="1:3" ht="12.75">
      <c r="A654" s="2"/>
      <c r="B654" s="24"/>
      <c r="C654" s="393"/>
    </row>
    <row r="655" spans="1:3" ht="12.75">
      <c r="A655" s="2"/>
      <c r="B655" s="24"/>
      <c r="C655" s="393"/>
    </row>
    <row r="656" spans="1:3" ht="12.75">
      <c r="A656" s="2"/>
      <c r="B656" s="24"/>
      <c r="C656" s="393"/>
    </row>
    <row r="657" spans="1:3" ht="12.75">
      <c r="A657" s="2"/>
      <c r="B657" s="24"/>
      <c r="C657" s="393"/>
    </row>
    <row r="658" spans="1:3" ht="12.75">
      <c r="A658" s="2"/>
      <c r="B658" s="24"/>
      <c r="C658" s="393"/>
    </row>
    <row r="659" spans="1:3" ht="12.75">
      <c r="A659" s="2"/>
      <c r="B659" s="24"/>
      <c r="C659" s="393"/>
    </row>
    <row r="660" spans="1:3" ht="12.75">
      <c r="A660" s="2"/>
      <c r="B660" s="24"/>
      <c r="C660" s="393"/>
    </row>
    <row r="661" spans="1:3" ht="12.75">
      <c r="A661" s="2"/>
      <c r="B661" s="24"/>
      <c r="C661" s="393"/>
    </row>
    <row r="662" spans="1:3" ht="12.75">
      <c r="A662" s="2"/>
      <c r="B662" s="24"/>
      <c r="C662" s="393"/>
    </row>
    <row r="663" spans="1:3" ht="12.75">
      <c r="A663" s="2"/>
      <c r="B663" s="24"/>
      <c r="C663" s="393"/>
    </row>
    <row r="664" spans="1:3" ht="12.75">
      <c r="A664" s="2"/>
      <c r="B664" s="24"/>
      <c r="C664" s="393"/>
    </row>
    <row r="665" spans="1:3" ht="12.75">
      <c r="A665" s="2"/>
      <c r="B665" s="24"/>
      <c r="C665" s="393"/>
    </row>
    <row r="666" spans="1:3" ht="12.75">
      <c r="A666" s="2"/>
      <c r="B666" s="24"/>
      <c r="C666" s="393"/>
    </row>
    <row r="667" spans="1:3" ht="12.75">
      <c r="A667" s="2"/>
      <c r="B667" s="24"/>
      <c r="C667" s="393"/>
    </row>
    <row r="668" spans="1:3" ht="12.75">
      <c r="A668" s="2"/>
      <c r="B668" s="24"/>
      <c r="C668" s="393"/>
    </row>
    <row r="669" spans="1:3" ht="12.75">
      <c r="A669" s="2"/>
      <c r="B669" s="24"/>
      <c r="C669" s="393"/>
    </row>
    <row r="670" spans="1:3" ht="12.75">
      <c r="A670" s="2"/>
      <c r="B670" s="24"/>
      <c r="C670" s="393"/>
    </row>
    <row r="671" spans="1:3" ht="12.75">
      <c r="A671" s="2"/>
      <c r="B671" s="24"/>
      <c r="C671" s="393"/>
    </row>
    <row r="672" spans="1:3" ht="12.75">
      <c r="A672" s="2"/>
      <c r="B672" s="24"/>
      <c r="C672" s="393"/>
    </row>
    <row r="673" spans="1:3" ht="12.75">
      <c r="A673" s="2"/>
      <c r="B673" s="24"/>
      <c r="C673" s="393"/>
    </row>
    <row r="674" spans="1:3" ht="12.75">
      <c r="A674" s="2"/>
      <c r="B674" s="24"/>
      <c r="C674" s="393"/>
    </row>
    <row r="675" spans="1:3" ht="12.75">
      <c r="A675" s="2"/>
      <c r="B675" s="24"/>
      <c r="C675" s="393"/>
    </row>
    <row r="676" spans="1:3" ht="12.75">
      <c r="A676" s="2"/>
      <c r="B676" s="24"/>
      <c r="C676" s="393"/>
    </row>
    <row r="677" spans="1:3" ht="12.75">
      <c r="A677" s="2"/>
      <c r="B677" s="24"/>
      <c r="C677" s="393"/>
    </row>
    <row r="678" spans="1:3" ht="12.75">
      <c r="A678" s="2"/>
      <c r="B678" s="24"/>
      <c r="C678" s="393"/>
    </row>
    <row r="679" spans="1:3" ht="12.75">
      <c r="A679" s="2"/>
      <c r="B679" s="24"/>
      <c r="C679" s="393"/>
    </row>
    <row r="680" spans="1:3" ht="12.75">
      <c r="A680" s="2"/>
      <c r="B680" s="24"/>
      <c r="C680" s="393"/>
    </row>
    <row r="681" spans="1:3" ht="12.75">
      <c r="A681" s="2"/>
      <c r="B681" s="24"/>
      <c r="C681" s="393"/>
    </row>
    <row r="682" spans="1:3" ht="12.75">
      <c r="A682" s="2"/>
      <c r="B682" s="24"/>
      <c r="C682" s="393"/>
    </row>
    <row r="683" spans="1:3" ht="12.75">
      <c r="A683" s="2"/>
      <c r="B683" s="24"/>
      <c r="C683" s="393"/>
    </row>
    <row r="684" spans="1:3" ht="12.75">
      <c r="A684" s="2"/>
      <c r="B684" s="24"/>
      <c r="C684" s="393"/>
    </row>
    <row r="685" spans="1:3" ht="12.75">
      <c r="A685" s="2"/>
      <c r="B685" s="24"/>
      <c r="C685" s="393"/>
    </row>
    <row r="686" spans="1:3" ht="12.75">
      <c r="A686" s="2"/>
      <c r="B686" s="24"/>
      <c r="C686" s="393"/>
    </row>
    <row r="687" spans="1:3" ht="12.75">
      <c r="A687" s="2"/>
      <c r="B687" s="24"/>
      <c r="C687" s="393"/>
    </row>
    <row r="688" spans="1:3" ht="12.75">
      <c r="A688" s="2"/>
      <c r="B688" s="24"/>
      <c r="C688" s="393"/>
    </row>
    <row r="689" spans="1:3" ht="12.75">
      <c r="A689" s="2"/>
      <c r="B689" s="24"/>
      <c r="C689" s="393"/>
    </row>
    <row r="690" spans="1:3" ht="12.75">
      <c r="A690" s="2"/>
      <c r="B690" s="24"/>
      <c r="C690" s="393"/>
    </row>
    <row r="691" spans="1:3" ht="12.75">
      <c r="A691" s="2"/>
      <c r="B691" s="24"/>
      <c r="C691" s="393"/>
    </row>
    <row r="692" spans="1:3" ht="12.75">
      <c r="A692" s="2"/>
      <c r="B692" s="24"/>
      <c r="C692" s="393"/>
    </row>
    <row r="693" spans="1:3" ht="12.75">
      <c r="A693" s="2"/>
      <c r="B693" s="24"/>
      <c r="C693" s="393"/>
    </row>
    <row r="694" spans="1:3" ht="12.75">
      <c r="A694" s="2"/>
      <c r="B694" s="24"/>
      <c r="C694" s="393"/>
    </row>
    <row r="695" spans="1:3" ht="12.75">
      <c r="A695" s="2"/>
      <c r="B695" s="24"/>
      <c r="C695" s="393"/>
    </row>
    <row r="696" spans="1:3" ht="12.75">
      <c r="A696" s="2"/>
      <c r="B696" s="24"/>
      <c r="C696" s="393"/>
    </row>
    <row r="697" spans="1:3" ht="12.75">
      <c r="A697" s="2"/>
      <c r="B697" s="24"/>
      <c r="C697" s="393"/>
    </row>
    <row r="698" spans="1:3" ht="12.75">
      <c r="A698" s="2"/>
      <c r="B698" s="24"/>
      <c r="C698" s="393"/>
    </row>
    <row r="699" spans="1:3" ht="12.75">
      <c r="A699" s="2"/>
      <c r="B699" s="24"/>
      <c r="C699" s="393"/>
    </row>
    <row r="700" spans="1:3" ht="12.75">
      <c r="A700" s="2"/>
      <c r="B700" s="24"/>
      <c r="C700" s="393"/>
    </row>
    <row r="701" spans="1:3" ht="12.75">
      <c r="A701" s="2"/>
      <c r="B701" s="24"/>
      <c r="C701" s="393"/>
    </row>
    <row r="702" spans="1:3" ht="12.75">
      <c r="A702" s="2"/>
      <c r="B702" s="24"/>
      <c r="C702" s="393"/>
    </row>
    <row r="703" spans="1:3" ht="12.75">
      <c r="A703" s="2"/>
      <c r="B703" s="24"/>
      <c r="C703" s="393"/>
    </row>
    <row r="704" spans="1:3" ht="12.75">
      <c r="A704" s="2"/>
      <c r="B704" s="24"/>
      <c r="C704" s="393"/>
    </row>
    <row r="705" spans="1:3" ht="12.75">
      <c r="A705" s="2"/>
      <c r="B705" s="24"/>
      <c r="C705" s="393"/>
    </row>
    <row r="706" spans="1:3" ht="12.75">
      <c r="A706" s="2"/>
      <c r="B706" s="24"/>
      <c r="C706" s="393"/>
    </row>
    <row r="707" spans="1:3" ht="12.75">
      <c r="A707" s="2"/>
      <c r="B707" s="24"/>
      <c r="C707" s="393"/>
    </row>
    <row r="708" spans="1:3" ht="12.75">
      <c r="A708" s="2"/>
      <c r="B708" s="24"/>
      <c r="C708" s="393"/>
    </row>
    <row r="709" spans="1:3" ht="12.75">
      <c r="A709" s="2"/>
      <c r="B709" s="24"/>
      <c r="C709" s="393"/>
    </row>
    <row r="710" spans="1:3" ht="12.75">
      <c r="A710" s="2"/>
      <c r="B710" s="24"/>
      <c r="C710" s="393"/>
    </row>
    <row r="711" spans="1:3" ht="12.75">
      <c r="A711" s="2"/>
      <c r="B711" s="24"/>
      <c r="C711" s="393"/>
    </row>
    <row r="712" spans="1:3" ht="12.75">
      <c r="A712" s="2"/>
      <c r="B712" s="24"/>
      <c r="C712" s="393"/>
    </row>
    <row r="713" spans="1:3" ht="12.75">
      <c r="A713" s="2"/>
      <c r="B713" s="24"/>
      <c r="C713" s="393"/>
    </row>
    <row r="714" spans="1:3" ht="12.75">
      <c r="A714" s="2"/>
      <c r="B714" s="24"/>
      <c r="C714" s="393"/>
    </row>
    <row r="715" spans="1:3" ht="12.75">
      <c r="A715" s="2"/>
      <c r="B715" s="24"/>
      <c r="C715" s="393"/>
    </row>
    <row r="716" spans="1:3" ht="12.75">
      <c r="A716" s="2"/>
      <c r="B716" s="24"/>
      <c r="C716" s="393"/>
    </row>
    <row r="717" spans="1:3" ht="12.75">
      <c r="A717" s="2"/>
      <c r="B717" s="24"/>
      <c r="C717" s="393"/>
    </row>
    <row r="718" spans="1:3" ht="12.75">
      <c r="A718" s="2"/>
      <c r="B718" s="24"/>
      <c r="C718" s="393"/>
    </row>
    <row r="719" spans="1:3" ht="12.75">
      <c r="A719" s="2"/>
      <c r="B719" s="24"/>
      <c r="C719" s="393"/>
    </row>
    <row r="720" spans="1:3" ht="12.75">
      <c r="A720" s="2"/>
      <c r="B720" s="24"/>
      <c r="C720" s="393"/>
    </row>
    <row r="721" spans="1:3" ht="12.75">
      <c r="A721" s="2"/>
      <c r="B721" s="24"/>
      <c r="C721" s="393"/>
    </row>
    <row r="722" spans="1:3" ht="12.75">
      <c r="A722" s="2"/>
      <c r="B722" s="24"/>
      <c r="C722" s="393"/>
    </row>
    <row r="723" spans="1:3" ht="12.75">
      <c r="A723" s="2"/>
      <c r="B723" s="24"/>
      <c r="C723" s="393"/>
    </row>
    <row r="724" spans="1:3" ht="12.75">
      <c r="A724" s="2"/>
      <c r="B724" s="24"/>
      <c r="C724" s="393"/>
    </row>
    <row r="725" spans="1:3" ht="12.75">
      <c r="A725" s="2"/>
      <c r="B725" s="24"/>
      <c r="C725" s="393"/>
    </row>
    <row r="726" spans="1:3" ht="12.75">
      <c r="A726" s="2"/>
      <c r="B726" s="24"/>
      <c r="C726" s="393"/>
    </row>
    <row r="727" spans="1:3" ht="12.75">
      <c r="A727" s="2"/>
      <c r="B727" s="24"/>
      <c r="C727" s="393"/>
    </row>
    <row r="728" spans="1:3" ht="12.75">
      <c r="A728" s="2"/>
      <c r="B728" s="24"/>
      <c r="C728" s="393"/>
    </row>
    <row r="729" spans="1:3" ht="12.75">
      <c r="A729" s="2"/>
      <c r="B729" s="24"/>
      <c r="C729" s="393"/>
    </row>
    <row r="730" spans="1:3" ht="12.75">
      <c r="A730" s="2"/>
      <c r="B730" s="24"/>
      <c r="C730" s="393"/>
    </row>
    <row r="731" spans="1:3" ht="12.75">
      <c r="A731" s="2"/>
      <c r="B731" s="24"/>
      <c r="C731" s="393"/>
    </row>
    <row r="732" spans="1:3" ht="12.75">
      <c r="A732" s="2"/>
      <c r="B732" s="24"/>
      <c r="C732" s="393"/>
    </row>
    <row r="733" spans="1:3" ht="12.75">
      <c r="A733" s="2"/>
      <c r="B733" s="24"/>
      <c r="C733" s="393"/>
    </row>
    <row r="734" spans="1:3" ht="12.75">
      <c r="A734" s="2"/>
      <c r="B734" s="24"/>
      <c r="C734" s="393"/>
    </row>
    <row r="735" spans="1:3" ht="12.75">
      <c r="A735" s="2"/>
      <c r="B735" s="24"/>
      <c r="C735" s="393"/>
    </row>
    <row r="736" spans="1:3" ht="12.75">
      <c r="A736" s="2"/>
      <c r="B736" s="24"/>
      <c r="C736" s="393"/>
    </row>
    <row r="737" spans="1:3" ht="12.75">
      <c r="A737" s="2"/>
      <c r="B737" s="24"/>
      <c r="C737" s="393"/>
    </row>
    <row r="738" spans="1:3" ht="12.75">
      <c r="A738" s="2"/>
      <c r="B738" s="24"/>
      <c r="C738" s="393"/>
    </row>
    <row r="739" spans="1:3" ht="12.75">
      <c r="A739" s="2"/>
      <c r="B739" s="24"/>
      <c r="C739" s="393"/>
    </row>
    <row r="740" spans="1:3" ht="12.75">
      <c r="A740" s="2"/>
      <c r="B740" s="24"/>
      <c r="C740" s="393"/>
    </row>
    <row r="741" spans="1:3" ht="12.75">
      <c r="A741" s="2"/>
      <c r="B741" s="24"/>
      <c r="C741" s="393"/>
    </row>
    <row r="742" spans="1:3" ht="12.75">
      <c r="A742" s="2"/>
      <c r="B742" s="24"/>
      <c r="C742" s="393"/>
    </row>
    <row r="743" spans="1:3" ht="12.75">
      <c r="A743" s="2"/>
      <c r="B743" s="24"/>
      <c r="C743" s="393"/>
    </row>
    <row r="744" spans="1:3" ht="12.75">
      <c r="A744" s="2"/>
      <c r="B744" s="24"/>
      <c r="C744" s="393"/>
    </row>
    <row r="745" spans="1:3" ht="12.75">
      <c r="A745" s="2"/>
      <c r="B745" s="24"/>
      <c r="C745" s="393"/>
    </row>
    <row r="746" spans="1:3" ht="12.75">
      <c r="A746" s="2"/>
      <c r="B746" s="24"/>
      <c r="C746" s="393"/>
    </row>
    <row r="747" spans="1:3" ht="12.75">
      <c r="A747" s="2"/>
      <c r="B747" s="24"/>
      <c r="C747" s="393"/>
    </row>
    <row r="748" spans="1:3" ht="12.75">
      <c r="A748" s="2"/>
      <c r="B748" s="24"/>
      <c r="C748" s="393"/>
    </row>
    <row r="749" spans="1:3" ht="12.75">
      <c r="A749" s="2"/>
      <c r="B749" s="24"/>
      <c r="C749" s="393"/>
    </row>
    <row r="750" spans="1:3" ht="12.75">
      <c r="A750" s="2"/>
      <c r="B750" s="24"/>
      <c r="C750" s="393"/>
    </row>
    <row r="751" spans="1:3" ht="12.75">
      <c r="A751" s="2"/>
      <c r="B751" s="24"/>
      <c r="C751" s="393"/>
    </row>
    <row r="752" spans="1:3" ht="12.75">
      <c r="A752" s="2"/>
      <c r="B752" s="24"/>
      <c r="C752" s="393"/>
    </row>
    <row r="753" spans="1:3" ht="12.75">
      <c r="A753" s="2"/>
      <c r="B753" s="24"/>
      <c r="C753" s="393"/>
    </row>
    <row r="754" spans="1:3" ht="12.75">
      <c r="A754" s="2"/>
      <c r="B754" s="24"/>
      <c r="C754" s="393"/>
    </row>
    <row r="755" spans="1:3" ht="12.75">
      <c r="A755" s="2"/>
      <c r="B755" s="24"/>
      <c r="C755" s="393"/>
    </row>
    <row r="756" spans="1:3" ht="12.75">
      <c r="A756" s="2"/>
      <c r="B756" s="24"/>
      <c r="C756" s="393"/>
    </row>
    <row r="757" spans="1:3" ht="12.75">
      <c r="A757" s="2"/>
      <c r="B757" s="24"/>
      <c r="C757" s="393"/>
    </row>
    <row r="758" spans="1:3" ht="12.75">
      <c r="A758" s="2"/>
      <c r="B758" s="24"/>
      <c r="C758" s="393"/>
    </row>
    <row r="759" spans="1:3" ht="12.75">
      <c r="A759" s="2"/>
      <c r="B759" s="24"/>
      <c r="C759" s="393"/>
    </row>
    <row r="760" spans="1:3" ht="12.75">
      <c r="A760" s="2"/>
      <c r="B760" s="24"/>
      <c r="C760" s="393"/>
    </row>
    <row r="761" spans="1:3" ht="12.75">
      <c r="A761" s="2"/>
      <c r="B761" s="24"/>
      <c r="C761" s="393"/>
    </row>
    <row r="762" spans="1:3" ht="12.75">
      <c r="A762" s="2"/>
      <c r="B762" s="24"/>
      <c r="C762" s="393"/>
    </row>
    <row r="763" spans="1:3" ht="12.75">
      <c r="A763" s="2"/>
      <c r="B763" s="24"/>
      <c r="C763" s="393"/>
    </row>
    <row r="764" spans="1:3" ht="12.75">
      <c r="A764" s="2"/>
      <c r="B764" s="24"/>
      <c r="C764" s="393"/>
    </row>
    <row r="765" spans="1:3" ht="12.75">
      <c r="A765" s="2"/>
      <c r="B765" s="24"/>
      <c r="C765" s="393"/>
    </row>
    <row r="766" spans="1:3" ht="12.75">
      <c r="A766" s="2"/>
      <c r="B766" s="24"/>
      <c r="C766" s="393"/>
    </row>
    <row r="767" spans="1:3" ht="12.75">
      <c r="A767" s="2"/>
      <c r="B767" s="24"/>
      <c r="C767" s="393"/>
    </row>
    <row r="768" spans="1:3" ht="12.75">
      <c r="A768" s="2"/>
      <c r="B768" s="24"/>
      <c r="C768" s="393"/>
    </row>
    <row r="769" spans="1:3" ht="12.75">
      <c r="A769" s="2"/>
      <c r="B769" s="24"/>
      <c r="C769" s="393"/>
    </row>
    <row r="770" spans="1:3" ht="12.75">
      <c r="A770" s="2"/>
      <c r="B770" s="24"/>
      <c r="C770" s="393"/>
    </row>
    <row r="771" spans="1:3" ht="12.75">
      <c r="A771" s="2"/>
      <c r="B771" s="24"/>
      <c r="C771" s="393"/>
    </row>
    <row r="772" spans="1:3" ht="12.75">
      <c r="A772" s="2"/>
      <c r="B772" s="24"/>
      <c r="C772" s="393"/>
    </row>
    <row r="773" spans="1:3" ht="12.75">
      <c r="A773" s="2"/>
      <c r="B773" s="24"/>
      <c r="C773" s="393"/>
    </row>
    <row r="774" spans="1:3" ht="12.75">
      <c r="A774" s="2"/>
      <c r="B774" s="24"/>
      <c r="C774" s="393"/>
    </row>
    <row r="775" spans="1:3" ht="12.75">
      <c r="A775" s="2"/>
      <c r="B775" s="24"/>
      <c r="C775" s="393"/>
    </row>
    <row r="776" spans="1:3" ht="12.75">
      <c r="A776" s="2"/>
      <c r="B776" s="24"/>
      <c r="C776" s="393"/>
    </row>
    <row r="777" spans="1:3" ht="12.75">
      <c r="A777" s="2"/>
      <c r="B777" s="24"/>
      <c r="C777" s="393"/>
    </row>
    <row r="778" spans="1:3" ht="12.75">
      <c r="A778" s="2"/>
      <c r="B778" s="24"/>
      <c r="C778" s="393"/>
    </row>
    <row r="779" spans="1:3" ht="12.75">
      <c r="A779" s="2"/>
      <c r="B779" s="24"/>
      <c r="C779" s="393"/>
    </row>
    <row r="780" spans="1:3" ht="12.75">
      <c r="A780" s="2"/>
      <c r="B780" s="24"/>
      <c r="C780" s="393"/>
    </row>
    <row r="781" spans="1:3" ht="12.75">
      <c r="A781" s="2"/>
      <c r="B781" s="24"/>
      <c r="C781" s="393"/>
    </row>
    <row r="782" spans="1:3" ht="12.75">
      <c r="A782" s="2"/>
      <c r="B782" s="24"/>
      <c r="C782" s="393"/>
    </row>
    <row r="783" spans="1:3" ht="12.75">
      <c r="A783" s="2"/>
      <c r="B783" s="24"/>
      <c r="C783" s="393"/>
    </row>
    <row r="784" spans="1:3" ht="12.75">
      <c r="A784" s="2"/>
      <c r="B784" s="24"/>
      <c r="C784" s="393"/>
    </row>
    <row r="785" spans="1:3" ht="12.75">
      <c r="A785" s="2"/>
      <c r="B785" s="24"/>
      <c r="C785" s="393"/>
    </row>
    <row r="786" spans="1:3" ht="12.75">
      <c r="A786" s="2"/>
      <c r="B786" s="24"/>
      <c r="C786" s="393"/>
    </row>
    <row r="787" spans="1:3" ht="12.75">
      <c r="A787" s="2"/>
      <c r="B787" s="24"/>
      <c r="C787" s="393"/>
    </row>
    <row r="788" spans="1:3" ht="12.75">
      <c r="A788" s="2"/>
      <c r="B788" s="24"/>
      <c r="C788" s="393"/>
    </row>
    <row r="789" spans="1:3" ht="12.75">
      <c r="A789" s="2"/>
      <c r="B789" s="24"/>
      <c r="C789" s="393"/>
    </row>
    <row r="790" spans="1:3" ht="12.75">
      <c r="A790" s="2"/>
      <c r="B790" s="24"/>
      <c r="C790" s="393"/>
    </row>
    <row r="791" spans="1:3" ht="12.75">
      <c r="A791" s="2"/>
      <c r="B791" s="24"/>
      <c r="C791" s="393"/>
    </row>
    <row r="792" spans="1:3" ht="12.75">
      <c r="A792" s="2"/>
      <c r="B792" s="24"/>
      <c r="C792" s="393"/>
    </row>
    <row r="793" spans="1:3" ht="12.75">
      <c r="A793" s="2"/>
      <c r="B793" s="24"/>
      <c r="C793" s="393"/>
    </row>
    <row r="794" spans="1:3" ht="12.75">
      <c r="A794" s="2"/>
      <c r="B794" s="24"/>
      <c r="C794" s="393"/>
    </row>
    <row r="795" spans="1:3" ht="12.75">
      <c r="A795" s="2"/>
      <c r="B795" s="24"/>
      <c r="C795" s="393"/>
    </row>
    <row r="796" spans="1:3" ht="12.75">
      <c r="A796" s="2"/>
      <c r="B796" s="24"/>
      <c r="C796" s="393"/>
    </row>
    <row r="797" spans="1:3" ht="12.75">
      <c r="A797" s="2"/>
      <c r="B797" s="24"/>
      <c r="C797" s="393"/>
    </row>
    <row r="798" spans="1:3" ht="12.75">
      <c r="A798" s="2"/>
      <c r="B798" s="24"/>
      <c r="C798" s="393"/>
    </row>
    <row r="799" spans="1:3" ht="12.75">
      <c r="A799" s="2"/>
      <c r="B799" s="24"/>
      <c r="C799" s="393"/>
    </row>
    <row r="800" spans="1:3" ht="12.75">
      <c r="A800" s="2"/>
      <c r="B800" s="24"/>
      <c r="C800" s="393"/>
    </row>
    <row r="801" spans="1:3" ht="12.75">
      <c r="A801" s="2"/>
      <c r="B801" s="24"/>
      <c r="C801" s="393"/>
    </row>
    <row r="802" spans="1:3" ht="12.75">
      <c r="A802" s="2"/>
      <c r="B802" s="24"/>
      <c r="C802" s="393"/>
    </row>
    <row r="803" spans="1:3" ht="12.75">
      <c r="A803" s="2"/>
      <c r="B803" s="24"/>
      <c r="C803" s="393"/>
    </row>
    <row r="804" spans="1:3" ht="12.75">
      <c r="A804" s="2"/>
      <c r="B804" s="24"/>
      <c r="C804" s="393"/>
    </row>
    <row r="805" spans="1:3" ht="12.75">
      <c r="A805" s="2"/>
      <c r="B805" s="24"/>
      <c r="C805" s="393"/>
    </row>
    <row r="806" spans="1:3" ht="12.75">
      <c r="A806" s="2"/>
      <c r="B806" s="24"/>
      <c r="C806" s="393"/>
    </row>
    <row r="807" spans="1:3" ht="12.75">
      <c r="A807" s="2"/>
      <c r="B807" s="24"/>
      <c r="C807" s="393"/>
    </row>
    <row r="808" spans="1:3" ht="12.75">
      <c r="A808" s="2"/>
      <c r="B808" s="24"/>
      <c r="C808" s="393"/>
    </row>
    <row r="809" spans="1:3" ht="12.75">
      <c r="A809" s="2"/>
      <c r="B809" s="24"/>
      <c r="C809" s="393"/>
    </row>
    <row r="810" spans="1:3" ht="12.75">
      <c r="A810" s="2"/>
      <c r="B810" s="24"/>
      <c r="C810" s="393"/>
    </row>
    <row r="811" spans="1:3" ht="12.75">
      <c r="A811" s="2"/>
      <c r="B811" s="24"/>
      <c r="C811" s="393"/>
    </row>
    <row r="812" spans="1:3" ht="12.75">
      <c r="A812" s="2"/>
      <c r="B812" s="24"/>
      <c r="C812" s="393"/>
    </row>
    <row r="813" spans="1:3" ht="12.75">
      <c r="A813" s="2"/>
      <c r="B813" s="24"/>
      <c r="C813" s="393"/>
    </row>
    <row r="814" spans="1:3" ht="12.75">
      <c r="A814" s="2"/>
      <c r="B814" s="24"/>
      <c r="C814" s="393"/>
    </row>
    <row r="815" spans="1:3" ht="12.75">
      <c r="A815" s="2"/>
      <c r="B815" s="24"/>
      <c r="C815" s="393"/>
    </row>
    <row r="816" spans="1:3" ht="12.75">
      <c r="A816" s="2"/>
      <c r="B816" s="24"/>
      <c r="C816" s="393"/>
    </row>
    <row r="817" spans="1:3" ht="12.75">
      <c r="A817" s="2"/>
      <c r="B817" s="24"/>
      <c r="C817" s="393"/>
    </row>
    <row r="818" spans="1:3" ht="12.75">
      <c r="A818" s="2"/>
      <c r="B818" s="24"/>
      <c r="C818" s="393"/>
    </row>
    <row r="819" spans="1:3" ht="12.75">
      <c r="A819" s="2"/>
      <c r="B819" s="24"/>
      <c r="C819" s="393"/>
    </row>
    <row r="820" spans="1:3" ht="12.75">
      <c r="A820" s="2"/>
      <c r="B820" s="24"/>
      <c r="C820" s="393"/>
    </row>
    <row r="821" spans="1:3" ht="12.75">
      <c r="A821" s="2"/>
      <c r="B821" s="24"/>
      <c r="C821" s="393"/>
    </row>
    <row r="822" spans="1:3" ht="12.75">
      <c r="A822" s="2"/>
      <c r="B822" s="24"/>
      <c r="C822" s="393"/>
    </row>
    <row r="823" spans="1:3" ht="12.75">
      <c r="A823" s="2"/>
      <c r="B823" s="24"/>
      <c r="C823" s="393"/>
    </row>
    <row r="824" spans="1:3" ht="12.75">
      <c r="A824" s="2"/>
      <c r="B824" s="24"/>
      <c r="C824" s="393"/>
    </row>
    <row r="825" spans="1:3" ht="12.75">
      <c r="A825" s="2"/>
      <c r="B825" s="24"/>
      <c r="C825" s="393"/>
    </row>
    <row r="826" spans="1:3" ht="12.75">
      <c r="A826" s="2"/>
      <c r="B826" s="24"/>
      <c r="C826" s="393"/>
    </row>
    <row r="827" spans="1:3" ht="12.75">
      <c r="A827" s="2"/>
      <c r="B827" s="24"/>
      <c r="C827" s="393"/>
    </row>
    <row r="828" spans="1:3" ht="12.75">
      <c r="A828" s="2"/>
      <c r="B828" s="24"/>
      <c r="C828" s="393"/>
    </row>
    <row r="829" spans="1:3" ht="12.75">
      <c r="A829" s="2"/>
      <c r="B829" s="24"/>
      <c r="C829" s="393"/>
    </row>
    <row r="830" spans="1:3" ht="12.75">
      <c r="A830" s="2"/>
      <c r="B830" s="24"/>
      <c r="C830" s="393"/>
    </row>
    <row r="831" spans="1:3" ht="12.75">
      <c r="A831" s="2"/>
      <c r="B831" s="24"/>
      <c r="C831" s="393"/>
    </row>
    <row r="832" spans="1:3" ht="12.75">
      <c r="A832" s="2"/>
      <c r="B832" s="24"/>
      <c r="C832" s="393"/>
    </row>
    <row r="833" spans="1:3" ht="12.75">
      <c r="A833" s="2"/>
      <c r="B833" s="24"/>
      <c r="C833" s="393"/>
    </row>
    <row r="834" spans="1:3" ht="12.75">
      <c r="A834" s="2"/>
      <c r="B834" s="24"/>
      <c r="C834" s="393"/>
    </row>
    <row r="835" spans="1:3" ht="12.75">
      <c r="A835" s="2"/>
      <c r="B835" s="24"/>
      <c r="C835" s="393"/>
    </row>
    <row r="836" spans="1:3" ht="12.75">
      <c r="A836" s="2"/>
      <c r="B836" s="24"/>
      <c r="C836" s="393"/>
    </row>
    <row r="837" spans="1:3" ht="12.75">
      <c r="A837" s="2"/>
      <c r="B837" s="24"/>
      <c r="C837" s="393"/>
    </row>
    <row r="838" spans="1:3" ht="12.75">
      <c r="A838" s="2"/>
      <c r="B838" s="24"/>
      <c r="C838" s="393"/>
    </row>
    <row r="839" spans="1:3" ht="12.75">
      <c r="A839" s="2"/>
      <c r="B839" s="24"/>
      <c r="C839" s="393"/>
    </row>
    <row r="840" spans="1:3" ht="12.75">
      <c r="A840" s="2"/>
      <c r="B840" s="24"/>
      <c r="C840" s="393"/>
    </row>
    <row r="841" spans="1:3" ht="12.75">
      <c r="A841" s="2"/>
      <c r="B841" s="24"/>
      <c r="C841" s="393"/>
    </row>
    <row r="842" spans="1:3" ht="12.75">
      <c r="A842" s="2"/>
      <c r="B842" s="24"/>
      <c r="C842" s="393"/>
    </row>
    <row r="843" spans="1:3" ht="12.75">
      <c r="A843" s="2"/>
      <c r="B843" s="24"/>
      <c r="C843" s="393"/>
    </row>
    <row r="844" spans="1:3" ht="12.75">
      <c r="A844" s="2"/>
      <c r="B844" s="24"/>
      <c r="C844" s="393"/>
    </row>
    <row r="845" spans="1:3" ht="12.75">
      <c r="A845" s="2"/>
      <c r="B845" s="24"/>
      <c r="C845" s="393"/>
    </row>
    <row r="846" spans="1:3" ht="12.75">
      <c r="A846" s="2"/>
      <c r="B846" s="24"/>
      <c r="C846" s="393"/>
    </row>
    <row r="847" spans="1:3" ht="12.75">
      <c r="A847" s="2"/>
      <c r="B847" s="24"/>
      <c r="C847" s="393"/>
    </row>
    <row r="848" spans="1:3" ht="12.75">
      <c r="A848" s="2"/>
      <c r="B848" s="24"/>
      <c r="C848" s="393"/>
    </row>
    <row r="849" spans="1:3" ht="12.75">
      <c r="A849" s="2"/>
      <c r="B849" s="24"/>
      <c r="C849" s="393"/>
    </row>
    <row r="850" spans="1:3" ht="12.75">
      <c r="A850" s="2"/>
      <c r="B850" s="24"/>
      <c r="C850" s="393"/>
    </row>
    <row r="851" spans="1:3" ht="12.75">
      <c r="A851" s="2"/>
      <c r="B851" s="24"/>
      <c r="C851" s="393"/>
    </row>
    <row r="852" spans="1:3" ht="12.75">
      <c r="A852" s="2"/>
      <c r="B852" s="24"/>
      <c r="C852" s="393"/>
    </row>
    <row r="853" spans="1:3" ht="12.75">
      <c r="A853" s="2"/>
      <c r="B853" s="24"/>
      <c r="C853" s="393"/>
    </row>
    <row r="854" spans="1:3" ht="12.75">
      <c r="A854" s="2"/>
      <c r="B854" s="24"/>
      <c r="C854" s="393"/>
    </row>
    <row r="855" spans="1:3" ht="12.75">
      <c r="A855" s="2"/>
      <c r="B855" s="24"/>
      <c r="C855" s="393"/>
    </row>
    <row r="856" spans="1:3" ht="12.75">
      <c r="A856" s="2"/>
      <c r="B856" s="24"/>
      <c r="C856" s="393"/>
    </row>
    <row r="857" spans="1:3" ht="12.75">
      <c r="A857" s="2"/>
      <c r="B857" s="24"/>
      <c r="C857" s="393"/>
    </row>
    <row r="858" spans="1:3" ht="12.75">
      <c r="A858" s="2"/>
      <c r="B858" s="24"/>
      <c r="C858" s="393"/>
    </row>
    <row r="859" spans="1:3" ht="12.75">
      <c r="A859" s="2"/>
      <c r="B859" s="24"/>
      <c r="C859" s="393"/>
    </row>
    <row r="860" spans="1:3" ht="12.75">
      <c r="A860" s="2"/>
      <c r="B860" s="24"/>
      <c r="C860" s="393"/>
    </row>
    <row r="861" spans="1:3" ht="12.75">
      <c r="A861" s="2"/>
      <c r="B861" s="24"/>
      <c r="C861" s="393"/>
    </row>
    <row r="862" spans="1:3" ht="12.75">
      <c r="A862" s="2"/>
      <c r="B862" s="24"/>
      <c r="C862" s="393"/>
    </row>
    <row r="863" spans="1:3" ht="12.75">
      <c r="A863" s="2"/>
      <c r="B863" s="24"/>
      <c r="C863" s="393"/>
    </row>
    <row r="864" spans="1:3" ht="12.75">
      <c r="A864" s="2"/>
      <c r="B864" s="24"/>
      <c r="C864" s="393"/>
    </row>
    <row r="865" spans="1:3" ht="12.75">
      <c r="A865" s="2"/>
      <c r="B865" s="24"/>
      <c r="C865" s="393"/>
    </row>
    <row r="866" spans="1:3" ht="12.75">
      <c r="A866" s="2"/>
      <c r="B866" s="24"/>
      <c r="C866" s="393"/>
    </row>
    <row r="867" spans="1:3" ht="12.75">
      <c r="A867" s="2"/>
      <c r="B867" s="24"/>
      <c r="C867" s="393"/>
    </row>
    <row r="868" spans="1:3" ht="12.75">
      <c r="A868" s="2"/>
      <c r="B868" s="24"/>
      <c r="C868" s="393"/>
    </row>
    <row r="869" spans="1:3" ht="12.75">
      <c r="A869" s="2"/>
      <c r="B869" s="24"/>
      <c r="C869" s="393"/>
    </row>
    <row r="870" spans="1:3" ht="12.75">
      <c r="A870" s="2"/>
      <c r="B870" s="24"/>
      <c r="C870" s="393"/>
    </row>
    <row r="871" spans="1:3" ht="12.75">
      <c r="A871" s="2"/>
      <c r="B871" s="24"/>
      <c r="C871" s="393"/>
    </row>
    <row r="872" spans="1:3" ht="12.75">
      <c r="A872" s="2"/>
      <c r="B872" s="24"/>
      <c r="C872" s="393"/>
    </row>
    <row r="873" spans="1:3" ht="12.75">
      <c r="A873" s="2"/>
      <c r="B873" s="24"/>
      <c r="C873" s="393"/>
    </row>
    <row r="874" spans="1:3" ht="12.75">
      <c r="A874" s="2"/>
      <c r="B874" s="24"/>
      <c r="C874" s="393"/>
    </row>
    <row r="875" spans="1:3" ht="12.75">
      <c r="A875" s="2"/>
      <c r="B875" s="24"/>
      <c r="C875" s="393"/>
    </row>
    <row r="876" spans="1:3" ht="12.75">
      <c r="A876" s="2"/>
      <c r="B876" s="24"/>
      <c r="C876" s="393"/>
    </row>
    <row r="877" spans="1:3" ht="12.75">
      <c r="A877" s="2"/>
      <c r="B877" s="24"/>
      <c r="C877" s="393"/>
    </row>
    <row r="878" spans="1:3" ht="12.75">
      <c r="A878" s="2"/>
      <c r="B878" s="24"/>
      <c r="C878" s="393"/>
    </row>
    <row r="879" spans="1:3" ht="12.75">
      <c r="A879" s="2"/>
      <c r="B879" s="24"/>
      <c r="C879" s="393"/>
    </row>
    <row r="880" spans="1:3" ht="12.75">
      <c r="A880" s="2"/>
      <c r="B880" s="24"/>
      <c r="C880" s="393"/>
    </row>
    <row r="881" spans="1:3" ht="12.75">
      <c r="A881" s="2"/>
      <c r="B881" s="24"/>
      <c r="C881" s="393"/>
    </row>
    <row r="882" spans="1:3" ht="12.75">
      <c r="A882" s="2"/>
      <c r="B882" s="24"/>
      <c r="C882" s="393"/>
    </row>
    <row r="883" spans="1:3" ht="12.75">
      <c r="A883" s="2"/>
      <c r="B883" s="24"/>
      <c r="C883" s="393"/>
    </row>
    <row r="884" spans="1:3" ht="12.75">
      <c r="A884" s="2"/>
      <c r="B884" s="24"/>
      <c r="C884" s="393"/>
    </row>
    <row r="885" spans="1:3" ht="12.75">
      <c r="A885" s="2"/>
      <c r="B885" s="24"/>
      <c r="C885" s="393"/>
    </row>
    <row r="886" spans="1:3" ht="12.75">
      <c r="A886" s="2"/>
      <c r="B886" s="24"/>
      <c r="C886" s="393"/>
    </row>
    <row r="887" spans="1:3" ht="12.75">
      <c r="A887" s="2"/>
      <c r="B887" s="24"/>
      <c r="C887" s="393"/>
    </row>
    <row r="888" spans="1:3" ht="12.75">
      <c r="A888" s="2"/>
      <c r="B888" s="24"/>
      <c r="C888" s="393"/>
    </row>
    <row r="889" spans="1:3" ht="12.75">
      <c r="A889" s="2"/>
      <c r="B889" s="24"/>
      <c r="C889" s="393"/>
    </row>
    <row r="890" spans="1:3" ht="12.75">
      <c r="A890" s="2"/>
      <c r="B890" s="24"/>
      <c r="C890" s="393"/>
    </row>
    <row r="891" spans="1:3" ht="12.75">
      <c r="A891" s="2"/>
      <c r="B891" s="24"/>
      <c r="C891" s="393"/>
    </row>
    <row r="892" spans="1:3" ht="12.75">
      <c r="A892" s="2"/>
      <c r="B892" s="24"/>
      <c r="C892" s="393"/>
    </row>
    <row r="893" spans="1:3" ht="12.75">
      <c r="A893" s="2"/>
      <c r="B893" s="24"/>
      <c r="C893" s="393"/>
    </row>
    <row r="894" spans="1:3" ht="12.75">
      <c r="A894" s="2"/>
      <c r="B894" s="24"/>
      <c r="C894" s="393"/>
    </row>
    <row r="895" spans="1:3" ht="12.75">
      <c r="A895" s="2"/>
      <c r="B895" s="24"/>
      <c r="C895" s="393"/>
    </row>
    <row r="896" spans="1:3" ht="12.75">
      <c r="A896" s="2"/>
      <c r="B896" s="24"/>
      <c r="C896" s="393"/>
    </row>
    <row r="897" spans="1:3" ht="12.75">
      <c r="A897" s="2"/>
      <c r="B897" s="24"/>
      <c r="C897" s="393"/>
    </row>
    <row r="898" spans="1:3" ht="12.75">
      <c r="A898" s="2"/>
      <c r="B898" s="24"/>
      <c r="C898" s="393"/>
    </row>
    <row r="899" spans="1:3" ht="12.75">
      <c r="A899" s="2"/>
      <c r="B899" s="24"/>
      <c r="C899" s="393"/>
    </row>
    <row r="900" spans="1:3" ht="12.75">
      <c r="A900" s="2"/>
      <c r="B900" s="24"/>
      <c r="C900" s="393"/>
    </row>
    <row r="901" spans="1:3" ht="12.75">
      <c r="A901" s="2"/>
      <c r="B901" s="24"/>
      <c r="C901" s="393"/>
    </row>
    <row r="902" spans="1:3" ht="12.75">
      <c r="A902" s="2"/>
      <c r="B902" s="24"/>
      <c r="C902" s="393"/>
    </row>
    <row r="903" spans="1:3" ht="12.75">
      <c r="A903" s="2"/>
      <c r="B903" s="24"/>
      <c r="C903" s="393"/>
    </row>
    <row r="904" spans="1:3" ht="12.75">
      <c r="A904" s="2"/>
      <c r="B904" s="24"/>
      <c r="C904" s="393"/>
    </row>
    <row r="905" spans="1:3" ht="12.75">
      <c r="A905" s="2"/>
      <c r="B905" s="24"/>
      <c r="C905" s="393"/>
    </row>
    <row r="906" spans="1:3" ht="12.75">
      <c r="A906" s="2"/>
      <c r="B906" s="24"/>
      <c r="C906" s="393"/>
    </row>
    <row r="907" spans="1:3" ht="12.75">
      <c r="A907" s="2"/>
      <c r="B907" s="24"/>
      <c r="C907" s="393"/>
    </row>
    <row r="908" spans="1:3" ht="12.75">
      <c r="A908" s="2"/>
      <c r="B908" s="24"/>
      <c r="C908" s="393"/>
    </row>
    <row r="909" spans="1:3" ht="12.75">
      <c r="A909" s="2"/>
      <c r="B909" s="24"/>
      <c r="C909" s="393"/>
    </row>
    <row r="910" spans="1:3" ht="12.75">
      <c r="A910" s="2"/>
      <c r="B910" s="24"/>
      <c r="C910" s="393"/>
    </row>
    <row r="911" spans="1:3" ht="12.75">
      <c r="A911" s="2"/>
      <c r="B911" s="24"/>
      <c r="C911" s="393"/>
    </row>
    <row r="912" spans="1:3" ht="12.75">
      <c r="A912" s="2"/>
      <c r="B912" s="24"/>
      <c r="C912" s="393"/>
    </row>
    <row r="913" spans="1:3" ht="12.75">
      <c r="A913" s="2"/>
      <c r="B913" s="24"/>
      <c r="C913" s="393"/>
    </row>
    <row r="914" spans="1:3" ht="12.75">
      <c r="A914" s="2"/>
      <c r="B914" s="24"/>
      <c r="C914" s="393"/>
    </row>
    <row r="915" spans="1:3" ht="12.75">
      <c r="A915" s="2"/>
      <c r="B915" s="24"/>
      <c r="C915" s="393"/>
    </row>
    <row r="916" spans="1:3" ht="12.75">
      <c r="A916" s="2"/>
      <c r="B916" s="24"/>
      <c r="C916" s="393"/>
    </row>
    <row r="917" spans="1:3" ht="12.75">
      <c r="A917" s="2"/>
      <c r="B917" s="24"/>
      <c r="C917" s="393"/>
    </row>
    <row r="918" spans="1:3" ht="12.75">
      <c r="A918" s="2"/>
      <c r="B918" s="24"/>
      <c r="C918" s="393"/>
    </row>
    <row r="919" spans="1:3" ht="12.75">
      <c r="A919" s="2"/>
      <c r="B919" s="24"/>
      <c r="C919" s="393"/>
    </row>
    <row r="920" spans="1:3" ht="12.75">
      <c r="A920" s="2"/>
      <c r="B920" s="24"/>
      <c r="C920" s="393"/>
    </row>
    <row r="921" spans="1:3" ht="12.75">
      <c r="A921" s="2"/>
      <c r="B921" s="24"/>
      <c r="C921" s="393"/>
    </row>
    <row r="922" spans="1:3" ht="12.75">
      <c r="A922" s="2"/>
      <c r="B922" s="24"/>
      <c r="C922" s="393"/>
    </row>
    <row r="923" spans="1:3" ht="12.75">
      <c r="A923" s="2"/>
      <c r="B923" s="24"/>
      <c r="C923" s="393"/>
    </row>
    <row r="924" spans="1:3" ht="12.75">
      <c r="A924" s="2"/>
      <c r="B924" s="24"/>
      <c r="C924" s="393"/>
    </row>
    <row r="925" spans="1:3" ht="12.75">
      <c r="A925" s="2"/>
      <c r="B925" s="24"/>
      <c r="C925" s="393"/>
    </row>
    <row r="926" spans="1:3" ht="12.75">
      <c r="A926" s="2"/>
      <c r="B926" s="24"/>
      <c r="C926" s="393"/>
    </row>
    <row r="927" spans="1:3" ht="12.75">
      <c r="A927" s="2"/>
      <c r="B927" s="24"/>
      <c r="C927" s="393"/>
    </row>
    <row r="928" spans="1:3" ht="12.75">
      <c r="A928" s="2"/>
      <c r="B928" s="24"/>
      <c r="C928" s="393"/>
    </row>
    <row r="929" spans="1:3" ht="12.75">
      <c r="A929" s="2"/>
      <c r="B929" s="24"/>
      <c r="C929" s="393"/>
    </row>
    <row r="930" spans="1:3" ht="12.75">
      <c r="A930" s="2"/>
      <c r="B930" s="24"/>
      <c r="C930" s="393"/>
    </row>
    <row r="931" spans="1:3" ht="12.75">
      <c r="A931" s="2"/>
      <c r="B931" s="24"/>
      <c r="C931" s="393"/>
    </row>
    <row r="932" spans="1:3" ht="12.75">
      <c r="A932" s="2"/>
      <c r="B932" s="24"/>
      <c r="C932" s="393"/>
    </row>
    <row r="933" spans="1:3" ht="12.75">
      <c r="A933" s="2"/>
      <c r="B933" s="24"/>
      <c r="C933" s="393"/>
    </row>
    <row r="934" spans="1:3" ht="12.75">
      <c r="A934" s="2"/>
      <c r="B934" s="24"/>
      <c r="C934" s="393"/>
    </row>
    <row r="935" spans="1:3" ht="12.75">
      <c r="A935" s="2"/>
      <c r="B935" s="24"/>
      <c r="C935" s="393"/>
    </row>
    <row r="936" spans="1:3" ht="12.75">
      <c r="A936" s="2"/>
      <c r="B936" s="24"/>
      <c r="C936" s="393"/>
    </row>
    <row r="937" spans="1:3" ht="12.75">
      <c r="A937" s="2"/>
      <c r="B937" s="24"/>
      <c r="C937" s="393"/>
    </row>
    <row r="938" spans="1:3" ht="12.75">
      <c r="A938" s="2"/>
      <c r="B938" s="24"/>
      <c r="C938" s="393"/>
    </row>
    <row r="939" spans="1:3" ht="12.75">
      <c r="A939" s="2"/>
      <c r="B939" s="24"/>
      <c r="C939" s="393"/>
    </row>
    <row r="940" spans="1:3" ht="12.75">
      <c r="A940" s="2"/>
      <c r="B940" s="24"/>
      <c r="C940" s="393"/>
    </row>
    <row r="941" spans="1:3" ht="12.75">
      <c r="A941" s="2"/>
      <c r="B941" s="24"/>
      <c r="C941" s="393"/>
    </row>
    <row r="942" spans="1:3" ht="12.75">
      <c r="A942" s="2"/>
      <c r="B942" s="24"/>
      <c r="C942" s="393"/>
    </row>
    <row r="943" spans="1:3" ht="12.75">
      <c r="A943" s="2"/>
      <c r="B943" s="24"/>
      <c r="C943" s="393"/>
    </row>
    <row r="944" spans="1:3" ht="12.75">
      <c r="A944" s="2"/>
      <c r="B944" s="24"/>
      <c r="C944" s="393"/>
    </row>
    <row r="945" spans="1:3" ht="12.75">
      <c r="A945" s="2"/>
      <c r="B945" s="24"/>
      <c r="C945" s="393"/>
    </row>
    <row r="946" spans="1:3" ht="12.75">
      <c r="A946" s="2"/>
      <c r="B946" s="24"/>
      <c r="C946" s="393"/>
    </row>
    <row r="947" spans="1:3" ht="12.75">
      <c r="A947" s="2"/>
      <c r="B947" s="24"/>
      <c r="C947" s="393"/>
    </row>
    <row r="948" spans="1:3" ht="12.75">
      <c r="A948" s="2"/>
      <c r="B948" s="24"/>
      <c r="C948" s="393"/>
    </row>
    <row r="949" spans="1:3" ht="12.75">
      <c r="A949" s="2"/>
      <c r="B949" s="24"/>
      <c r="C949" s="393"/>
    </row>
    <row r="950" spans="1:3" ht="12.75">
      <c r="A950" s="2"/>
      <c r="B950" s="24"/>
      <c r="C950" s="393"/>
    </row>
    <row r="951" spans="1:3" ht="12.75">
      <c r="A951" s="2"/>
      <c r="B951" s="24"/>
      <c r="C951" s="393"/>
    </row>
    <row r="952" spans="1:3" ht="12.75">
      <c r="A952" s="2"/>
      <c r="B952" s="24"/>
      <c r="C952" s="393"/>
    </row>
    <row r="953" spans="1:3" ht="12.75">
      <c r="A953" s="2"/>
      <c r="B953" s="24"/>
      <c r="C953" s="393"/>
    </row>
    <row r="954" spans="1:3" ht="12.75">
      <c r="A954" s="2"/>
      <c r="B954" s="24"/>
      <c r="C954" s="393"/>
    </row>
    <row r="955" spans="1:3" ht="12.75">
      <c r="A955" s="2"/>
      <c r="B955" s="24"/>
      <c r="C955" s="393"/>
    </row>
    <row r="956" spans="1:3" ht="12.75">
      <c r="A956" s="2"/>
      <c r="B956" s="24"/>
      <c r="C956" s="393"/>
    </row>
    <row r="957" spans="1:3" ht="12.75">
      <c r="A957" s="2"/>
      <c r="B957" s="24"/>
      <c r="C957" s="393"/>
    </row>
    <row r="958" spans="1:3" ht="12.75">
      <c r="A958" s="2"/>
      <c r="B958" s="24"/>
      <c r="C958" s="393"/>
    </row>
    <row r="959" spans="1:3" ht="12.75">
      <c r="A959" s="2"/>
      <c r="B959" s="24"/>
      <c r="C959" s="393"/>
    </row>
    <row r="960" spans="1:3" ht="12.75">
      <c r="A960" s="2"/>
      <c r="B960" s="24"/>
      <c r="C960" s="393"/>
    </row>
    <row r="961" spans="1:3" ht="12.75">
      <c r="A961" s="2"/>
      <c r="B961" s="24"/>
      <c r="C961" s="393"/>
    </row>
    <row r="962" spans="1:3" ht="12.75">
      <c r="A962" s="2"/>
      <c r="B962" s="24"/>
      <c r="C962" s="393"/>
    </row>
    <row r="963" spans="1:3" ht="12.75">
      <c r="A963" s="2"/>
      <c r="B963" s="24"/>
      <c r="C963" s="393"/>
    </row>
    <row r="964" spans="1:3" ht="12.75">
      <c r="A964" s="2"/>
      <c r="B964" s="24"/>
      <c r="C964" s="393"/>
    </row>
    <row r="965" spans="1:3" ht="12.75">
      <c r="A965" s="2"/>
      <c r="B965" s="24"/>
      <c r="C965" s="393"/>
    </row>
    <row r="966" spans="1:3" ht="12.75">
      <c r="A966" s="2"/>
      <c r="B966" s="24"/>
      <c r="C966" s="393"/>
    </row>
    <row r="967" spans="1:3" ht="12.75">
      <c r="A967" s="2"/>
      <c r="B967" s="24"/>
      <c r="C967" s="393"/>
    </row>
    <row r="968" spans="1:3" ht="12.75">
      <c r="A968" s="2"/>
      <c r="B968" s="24"/>
      <c r="C968" s="393"/>
    </row>
    <row r="969" spans="1:3" ht="12.75">
      <c r="A969" s="2"/>
      <c r="B969" s="24"/>
      <c r="C969" s="393"/>
    </row>
    <row r="970" spans="1:3" ht="12.75">
      <c r="A970" s="2"/>
      <c r="B970" s="24"/>
      <c r="C970" s="393"/>
    </row>
    <row r="971" spans="1:3" ht="12.75">
      <c r="A971" s="2"/>
      <c r="B971" s="24"/>
      <c r="C971" s="393"/>
    </row>
    <row r="972" spans="1:3" ht="12.75">
      <c r="A972" s="2"/>
      <c r="B972" s="24"/>
      <c r="C972" s="393"/>
    </row>
    <row r="973" spans="1:3" ht="12.75">
      <c r="A973" s="2"/>
      <c r="B973" s="24"/>
      <c r="C973" s="393"/>
    </row>
    <row r="974" spans="1:3" ht="12.75">
      <c r="A974" s="2"/>
      <c r="B974" s="24"/>
      <c r="C974" s="393"/>
    </row>
    <row r="975" spans="1:3" ht="12.75">
      <c r="A975" s="2"/>
      <c r="B975" s="24"/>
      <c r="C975" s="393"/>
    </row>
    <row r="976" spans="1:3" ht="12.75">
      <c r="A976" s="2"/>
      <c r="B976" s="24"/>
      <c r="C976" s="393"/>
    </row>
    <row r="977" spans="1:3" ht="12.75">
      <c r="A977" s="2"/>
      <c r="B977" s="24"/>
      <c r="C977" s="393"/>
    </row>
    <row r="978" spans="1:3" ht="12.75">
      <c r="A978" s="2"/>
      <c r="B978" s="24"/>
      <c r="C978" s="393"/>
    </row>
    <row r="979" spans="1:3" ht="12.75">
      <c r="A979" s="2"/>
      <c r="B979" s="24"/>
      <c r="C979" s="393"/>
    </row>
    <row r="980" spans="1:3" ht="12.75">
      <c r="A980" s="2"/>
      <c r="B980" s="24"/>
      <c r="C980" s="393"/>
    </row>
    <row r="981" spans="1:3" ht="12.75">
      <c r="A981" s="2"/>
      <c r="B981" s="24"/>
      <c r="C981" s="393"/>
    </row>
    <row r="982" spans="1:3" ht="12.75">
      <c r="A982" s="2"/>
      <c r="B982" s="24"/>
      <c r="C982" s="393"/>
    </row>
    <row r="983" spans="1:3" ht="12.75">
      <c r="A983" s="2"/>
      <c r="B983" s="24"/>
      <c r="C983" s="393"/>
    </row>
    <row r="984" spans="1:3" ht="12.75">
      <c r="A984" s="2"/>
      <c r="B984" s="24"/>
      <c r="C984" s="393"/>
    </row>
    <row r="985" spans="1:3" ht="12.75">
      <c r="A985" s="2"/>
      <c r="B985" s="24"/>
      <c r="C985" s="393"/>
    </row>
    <row r="986" spans="1:3" ht="12.75">
      <c r="A986" s="2"/>
      <c r="B986" s="24"/>
      <c r="C986" s="393"/>
    </row>
    <row r="987" spans="1:3" ht="12.75">
      <c r="A987" s="2"/>
      <c r="B987" s="24"/>
      <c r="C987" s="393"/>
    </row>
    <row r="988" spans="1:3" ht="12.75">
      <c r="A988" s="2"/>
      <c r="B988" s="24"/>
      <c r="C988" s="393"/>
    </row>
    <row r="989" spans="1:3" ht="12.75">
      <c r="A989" s="2"/>
      <c r="B989" s="24"/>
      <c r="C989" s="393"/>
    </row>
    <row r="990" spans="1:3" ht="12.75">
      <c r="A990" s="2"/>
      <c r="B990" s="24"/>
      <c r="C990" s="393"/>
    </row>
    <row r="991" spans="1:3" ht="12.75">
      <c r="A991" s="2"/>
      <c r="B991" s="24"/>
      <c r="C991" s="393"/>
    </row>
    <row r="992" spans="1:3" ht="12.75">
      <c r="A992" s="2"/>
      <c r="B992" s="24"/>
      <c r="C992" s="393"/>
    </row>
    <row r="993" spans="1:3" ht="12.75">
      <c r="A993" s="2"/>
      <c r="B993" s="24"/>
      <c r="C993" s="393"/>
    </row>
    <row r="994" spans="1:3" ht="12.75">
      <c r="A994" s="2"/>
      <c r="B994" s="24"/>
      <c r="C994" s="393"/>
    </row>
    <row r="995" spans="1:3" ht="12.75">
      <c r="A995" s="2"/>
      <c r="B995" s="24"/>
      <c r="C995" s="393"/>
    </row>
    <row r="996" spans="1:3" ht="12.75">
      <c r="A996" s="2"/>
      <c r="B996" s="24"/>
      <c r="C996" s="393"/>
    </row>
    <row r="997" spans="1:3" ht="12.75">
      <c r="A997" s="2"/>
      <c r="B997" s="24"/>
      <c r="C997" s="393"/>
    </row>
    <row r="998" spans="1:3" ht="12.75">
      <c r="A998" s="2"/>
      <c r="B998" s="24"/>
      <c r="C998" s="393"/>
    </row>
    <row r="999" spans="1:3" ht="12.75">
      <c r="A999" s="2"/>
      <c r="B999" s="24"/>
      <c r="C999" s="393"/>
    </row>
    <row r="1000" spans="1:3" ht="12.75">
      <c r="A1000" s="2"/>
      <c r="B1000" s="24"/>
      <c r="C1000" s="39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D1149"/>
  <sheetViews>
    <sheetView workbookViewId="0">
      <pane xSplit="3" ySplit="1" topLeftCell="D68" activePane="bottomRight" state="frozen"/>
      <selection pane="topRight" activeCell="D1" sqref="D1"/>
      <selection pane="bottomLeft" activeCell="A2" sqref="A2"/>
      <selection pane="bottomRight" activeCell="A2" sqref="A2:XFD67"/>
    </sheetView>
  </sheetViews>
  <sheetFormatPr baseColWidth="10" defaultColWidth="14.42578125" defaultRowHeight="15.75" customHeight="1"/>
  <cols>
    <col min="1" max="1" width="8.5703125" customWidth="1"/>
    <col min="2" max="2" width="10" customWidth="1"/>
    <col min="3" max="3" width="25.28515625" customWidth="1"/>
    <col min="4" max="4" width="8.28515625" customWidth="1"/>
    <col min="6" max="6" width="32.5703125" customWidth="1"/>
    <col min="7" max="7" width="101.85546875" customWidth="1"/>
    <col min="8" max="8" width="19.28515625" customWidth="1"/>
    <col min="9" max="9" width="35.140625" customWidth="1"/>
    <col min="10" max="10" width="19.7109375" customWidth="1"/>
    <col min="12" max="12" width="19.42578125" customWidth="1"/>
    <col min="13" max="13" width="31.140625" customWidth="1"/>
    <col min="14" max="14" width="29" customWidth="1"/>
    <col min="15" max="15" width="25.140625" customWidth="1"/>
    <col min="16" max="16" width="28.5703125" customWidth="1"/>
    <col min="17" max="17" width="25.5703125" customWidth="1"/>
    <col min="20" max="20" width="24.7109375" customWidth="1"/>
    <col min="21" max="21" width="25.42578125" customWidth="1"/>
    <col min="22" max="22" width="25" customWidth="1"/>
    <col min="23" max="23" width="19.28515625" customWidth="1"/>
    <col min="24" max="24" width="42.140625" customWidth="1"/>
  </cols>
  <sheetData>
    <row r="1" spans="1:30" ht="57">
      <c r="A1" s="25" t="s">
        <v>443</v>
      </c>
      <c r="B1" s="26" t="s">
        <v>444</v>
      </c>
      <c r="C1" s="27" t="s">
        <v>445</v>
      </c>
      <c r="D1" s="25" t="s">
        <v>446</v>
      </c>
      <c r="E1" s="25" t="s">
        <v>350</v>
      </c>
      <c r="F1" s="27" t="s">
        <v>447</v>
      </c>
      <c r="G1" s="28" t="s">
        <v>448</v>
      </c>
      <c r="H1" s="27" t="s">
        <v>449</v>
      </c>
      <c r="I1" s="27" t="s">
        <v>450</v>
      </c>
      <c r="J1" s="29" t="s">
        <v>451</v>
      </c>
      <c r="K1" s="390" t="s">
        <v>452</v>
      </c>
      <c r="L1" s="391"/>
      <c r="M1" s="390" t="s">
        <v>453</v>
      </c>
      <c r="N1" s="391"/>
      <c r="O1" s="390" t="s">
        <v>454</v>
      </c>
      <c r="P1" s="391"/>
      <c r="Q1" s="390" t="s">
        <v>455</v>
      </c>
      <c r="R1" s="391"/>
      <c r="S1" s="390" t="s">
        <v>456</v>
      </c>
      <c r="T1" s="391"/>
      <c r="U1" s="28" t="s">
        <v>457</v>
      </c>
      <c r="V1" s="27" t="s">
        <v>458</v>
      </c>
      <c r="W1" s="27" t="s">
        <v>459</v>
      </c>
      <c r="X1" s="27" t="s">
        <v>460</v>
      </c>
      <c r="Y1" s="2"/>
      <c r="Z1" s="2"/>
      <c r="AA1" s="2"/>
      <c r="AB1" s="2"/>
      <c r="AC1" s="2"/>
      <c r="AD1" s="2"/>
    </row>
    <row r="2" spans="1:30" ht="226.5" customHeight="1">
      <c r="A2" s="30">
        <v>1</v>
      </c>
      <c r="B2" s="31" t="s">
        <v>5</v>
      </c>
      <c r="C2" s="32" t="s">
        <v>461</v>
      </c>
      <c r="D2" s="32">
        <v>2015</v>
      </c>
      <c r="E2" s="32" t="s">
        <v>310</v>
      </c>
      <c r="F2" s="32" t="s">
        <v>462</v>
      </c>
      <c r="G2" s="33" t="s">
        <v>463</v>
      </c>
      <c r="H2" s="32" t="s">
        <v>464</v>
      </c>
      <c r="I2" s="32" t="s">
        <v>465</v>
      </c>
      <c r="J2" s="32" t="s">
        <v>466</v>
      </c>
      <c r="K2" s="34"/>
      <c r="L2" s="35"/>
      <c r="M2" s="35"/>
      <c r="N2" s="35"/>
      <c r="O2" s="32" t="s">
        <v>467</v>
      </c>
      <c r="P2" s="32" t="s">
        <v>468</v>
      </c>
      <c r="Q2" s="32" t="s">
        <v>469</v>
      </c>
      <c r="R2" s="36"/>
      <c r="S2" s="37"/>
      <c r="T2" s="38"/>
      <c r="U2" s="39" t="s">
        <v>470</v>
      </c>
      <c r="V2" s="40" t="s">
        <v>471</v>
      </c>
      <c r="W2" s="40"/>
      <c r="X2" s="41" t="s">
        <v>472</v>
      </c>
      <c r="Y2" s="42"/>
      <c r="Z2" s="42"/>
      <c r="AA2" s="42"/>
      <c r="AB2" s="42"/>
      <c r="AC2" s="42"/>
      <c r="AD2" s="42"/>
    </row>
    <row r="3" spans="1:30" ht="372" customHeight="1">
      <c r="A3" s="43">
        <f t="shared" ref="A3:A191" si="0">A2+1</f>
        <v>2</v>
      </c>
      <c r="B3" s="44" t="s">
        <v>5</v>
      </c>
      <c r="C3" s="45" t="s">
        <v>473</v>
      </c>
      <c r="D3" s="45">
        <v>2016</v>
      </c>
      <c r="E3" s="45" t="s">
        <v>474</v>
      </c>
      <c r="F3" s="45" t="s">
        <v>475</v>
      </c>
      <c r="G3" s="45" t="s">
        <v>476</v>
      </c>
      <c r="H3" s="45"/>
      <c r="I3" s="45"/>
      <c r="J3" s="45"/>
      <c r="K3" s="45" t="s">
        <v>477</v>
      </c>
      <c r="L3" s="46"/>
      <c r="M3" s="45" t="s">
        <v>478</v>
      </c>
      <c r="N3" s="46"/>
      <c r="O3" s="45"/>
      <c r="P3" s="45" t="s">
        <v>479</v>
      </c>
      <c r="Q3" s="47" t="s">
        <v>480</v>
      </c>
      <c r="R3" s="48"/>
      <c r="S3" s="49" t="s">
        <v>481</v>
      </c>
      <c r="T3" s="50"/>
      <c r="U3" s="51" t="s">
        <v>482</v>
      </c>
      <c r="V3" s="52" t="s">
        <v>483</v>
      </c>
      <c r="W3" s="52" t="s">
        <v>484</v>
      </c>
      <c r="X3" s="53" t="s">
        <v>485</v>
      </c>
      <c r="Y3" s="53" t="s">
        <v>486</v>
      </c>
      <c r="Z3" s="54"/>
      <c r="AA3" s="54"/>
      <c r="AB3" s="54"/>
      <c r="AC3" s="54"/>
      <c r="AD3" s="54"/>
    </row>
    <row r="4" spans="1:30" ht="133.5" customHeight="1">
      <c r="A4" s="55">
        <f t="shared" si="0"/>
        <v>3</v>
      </c>
      <c r="B4" s="56" t="s">
        <v>5</v>
      </c>
      <c r="C4" s="57" t="s">
        <v>487</v>
      </c>
      <c r="D4" s="57">
        <v>2017</v>
      </c>
      <c r="E4" s="57" t="s">
        <v>163</v>
      </c>
      <c r="F4" s="57" t="s">
        <v>488</v>
      </c>
      <c r="G4" s="57" t="s">
        <v>489</v>
      </c>
      <c r="H4" s="57" t="s">
        <v>490</v>
      </c>
      <c r="I4" s="57"/>
      <c r="J4" s="57" t="s">
        <v>491</v>
      </c>
      <c r="K4" s="57" t="s">
        <v>492</v>
      </c>
      <c r="L4" s="58"/>
      <c r="M4" s="57" t="s">
        <v>493</v>
      </c>
      <c r="N4" s="58"/>
      <c r="O4" s="57" t="s">
        <v>494</v>
      </c>
      <c r="P4" s="57" t="s">
        <v>495</v>
      </c>
      <c r="Q4" s="59"/>
      <c r="R4" s="60"/>
      <c r="S4" s="61"/>
      <c r="T4" s="62"/>
      <c r="U4" s="63" t="s">
        <v>496</v>
      </c>
      <c r="V4" s="64" t="s">
        <v>483</v>
      </c>
      <c r="W4" s="64" t="s">
        <v>497</v>
      </c>
      <c r="X4" s="65" t="s">
        <v>498</v>
      </c>
      <c r="Y4" s="60"/>
      <c r="Z4" s="60"/>
      <c r="AA4" s="60"/>
      <c r="AB4" s="60"/>
      <c r="AC4" s="60"/>
      <c r="AD4" s="60"/>
    </row>
    <row r="5" spans="1:30" ht="301.5" customHeight="1">
      <c r="A5" s="55">
        <f t="shared" si="0"/>
        <v>4</v>
      </c>
      <c r="B5" s="56" t="s">
        <v>5</v>
      </c>
      <c r="C5" s="57" t="s">
        <v>499</v>
      </c>
      <c r="D5" s="57">
        <v>2018</v>
      </c>
      <c r="E5" s="57" t="s">
        <v>500</v>
      </c>
      <c r="F5" s="57" t="s">
        <v>501</v>
      </c>
      <c r="G5" s="66" t="s">
        <v>502</v>
      </c>
      <c r="H5" s="57" t="s">
        <v>503</v>
      </c>
      <c r="I5" s="57"/>
      <c r="J5" s="57" t="s">
        <v>491</v>
      </c>
      <c r="K5" s="57" t="s">
        <v>492</v>
      </c>
      <c r="L5" s="58"/>
      <c r="M5" s="57"/>
      <c r="N5" s="57" t="s">
        <v>493</v>
      </c>
      <c r="O5" s="57" t="s">
        <v>504</v>
      </c>
      <c r="P5" s="57"/>
      <c r="Q5" s="59"/>
      <c r="R5" s="67"/>
      <c r="S5" s="61"/>
      <c r="T5" s="62"/>
      <c r="U5" s="63" t="s">
        <v>496</v>
      </c>
      <c r="V5" s="64" t="s">
        <v>483</v>
      </c>
      <c r="W5" s="64" t="s">
        <v>497</v>
      </c>
      <c r="X5" s="65"/>
      <c r="Y5" s="60"/>
      <c r="Z5" s="60"/>
      <c r="AA5" s="60"/>
      <c r="AB5" s="60"/>
      <c r="AC5" s="60"/>
      <c r="AD5" s="60"/>
    </row>
    <row r="6" spans="1:30" ht="229.5" customHeight="1">
      <c r="A6" s="68">
        <f t="shared" si="0"/>
        <v>5</v>
      </c>
      <c r="B6" s="69" t="s">
        <v>5</v>
      </c>
      <c r="C6" s="70" t="s">
        <v>505</v>
      </c>
      <c r="D6" s="70">
        <v>2015</v>
      </c>
      <c r="E6" s="70" t="s">
        <v>500</v>
      </c>
      <c r="F6" s="70" t="s">
        <v>506</v>
      </c>
      <c r="G6" s="71" t="s">
        <v>507</v>
      </c>
      <c r="H6" s="70"/>
      <c r="I6" s="70"/>
      <c r="J6" s="70" t="s">
        <v>508</v>
      </c>
      <c r="K6" s="70" t="s">
        <v>509</v>
      </c>
      <c r="L6" s="72"/>
      <c r="M6" s="70" t="s">
        <v>510</v>
      </c>
      <c r="N6" s="70"/>
      <c r="O6" s="70" t="s">
        <v>511</v>
      </c>
      <c r="P6" s="70" t="s">
        <v>512</v>
      </c>
      <c r="Q6" s="73"/>
      <c r="R6" s="74"/>
      <c r="S6" s="75" t="s">
        <v>513</v>
      </c>
      <c r="T6" s="76"/>
      <c r="U6" s="77" t="s">
        <v>514</v>
      </c>
      <c r="V6" s="78" t="s">
        <v>483</v>
      </c>
      <c r="W6" s="78" t="s">
        <v>515</v>
      </c>
      <c r="X6" s="79"/>
      <c r="Y6" s="80"/>
      <c r="Z6" s="80"/>
      <c r="AA6" s="80"/>
      <c r="AB6" s="80"/>
      <c r="AC6" s="80"/>
      <c r="AD6" s="80"/>
    </row>
    <row r="7" spans="1:30" ht="234.75" customHeight="1">
      <c r="A7" s="81">
        <f t="shared" si="0"/>
        <v>6</v>
      </c>
      <c r="B7" s="82" t="s">
        <v>5</v>
      </c>
      <c r="C7" s="83" t="s">
        <v>516</v>
      </c>
      <c r="D7" s="83">
        <v>2016</v>
      </c>
      <c r="E7" s="83" t="s">
        <v>517</v>
      </c>
      <c r="F7" s="83"/>
      <c r="G7" s="84" t="s">
        <v>518</v>
      </c>
      <c r="H7" s="83" t="s">
        <v>519</v>
      </c>
      <c r="I7" s="83"/>
      <c r="J7" s="83" t="s">
        <v>520</v>
      </c>
      <c r="K7" s="83" t="s">
        <v>477</v>
      </c>
      <c r="L7" s="85"/>
      <c r="M7" s="86" t="s">
        <v>521</v>
      </c>
      <c r="N7" s="83" t="s">
        <v>522</v>
      </c>
      <c r="O7" s="83" t="s">
        <v>523</v>
      </c>
      <c r="P7" s="83"/>
      <c r="Q7" s="87"/>
      <c r="R7" s="88"/>
      <c r="S7" s="89" t="s">
        <v>524</v>
      </c>
      <c r="T7" s="90"/>
      <c r="U7" s="91" t="s">
        <v>525</v>
      </c>
      <c r="V7" s="92" t="s">
        <v>526</v>
      </c>
      <c r="W7" s="92" t="s">
        <v>527</v>
      </c>
      <c r="X7" s="93" t="s">
        <v>528</v>
      </c>
      <c r="Y7" s="94"/>
      <c r="Z7" s="94"/>
      <c r="AA7" s="94"/>
      <c r="AB7" s="94"/>
      <c r="AC7" s="94"/>
      <c r="AD7" s="94"/>
    </row>
    <row r="8" spans="1:30" ht="96" customHeight="1">
      <c r="A8" s="81">
        <f t="shared" si="0"/>
        <v>7</v>
      </c>
      <c r="B8" s="82" t="s">
        <v>5</v>
      </c>
      <c r="C8" s="83" t="s">
        <v>529</v>
      </c>
      <c r="D8" s="83">
        <v>2017</v>
      </c>
      <c r="E8" s="83"/>
      <c r="F8" s="83" t="s">
        <v>530</v>
      </c>
      <c r="G8" s="82" t="s">
        <v>531</v>
      </c>
      <c r="H8" s="83" t="s">
        <v>532</v>
      </c>
      <c r="I8" s="83" t="s">
        <v>533</v>
      </c>
      <c r="J8" s="83" t="s">
        <v>534</v>
      </c>
      <c r="K8" s="83" t="s">
        <v>477</v>
      </c>
      <c r="L8" s="85"/>
      <c r="M8" s="86" t="s">
        <v>535</v>
      </c>
      <c r="N8" s="83"/>
      <c r="O8" s="83" t="s">
        <v>504</v>
      </c>
      <c r="P8" s="83" t="s">
        <v>536</v>
      </c>
      <c r="Q8" s="87"/>
      <c r="R8" s="88"/>
      <c r="S8" s="89" t="s">
        <v>537</v>
      </c>
      <c r="T8" s="90"/>
      <c r="U8" s="91" t="s">
        <v>538</v>
      </c>
      <c r="V8" s="92" t="s">
        <v>483</v>
      </c>
      <c r="W8" s="92" t="s">
        <v>515</v>
      </c>
      <c r="X8" s="93" t="s">
        <v>539</v>
      </c>
      <c r="Y8" s="94"/>
      <c r="Z8" s="94"/>
      <c r="AA8" s="94"/>
      <c r="AB8" s="94"/>
      <c r="AC8" s="94"/>
      <c r="AD8" s="94"/>
    </row>
    <row r="9" spans="1:30" ht="168" customHeight="1">
      <c r="A9" s="95">
        <f t="shared" si="0"/>
        <v>8</v>
      </c>
      <c r="B9" s="3" t="s">
        <v>5</v>
      </c>
      <c r="C9" s="96" t="s">
        <v>540</v>
      </c>
      <c r="D9" s="96">
        <v>2017</v>
      </c>
      <c r="E9" s="96" t="s">
        <v>275</v>
      </c>
      <c r="F9" s="96"/>
      <c r="G9" s="96" t="s">
        <v>541</v>
      </c>
      <c r="H9" s="96" t="s">
        <v>532</v>
      </c>
      <c r="I9" s="96" t="s">
        <v>542</v>
      </c>
      <c r="J9" s="96"/>
      <c r="K9" s="96"/>
      <c r="L9" s="97"/>
      <c r="M9" s="96"/>
      <c r="N9" s="97"/>
      <c r="O9" s="96" t="s">
        <v>543</v>
      </c>
      <c r="P9" s="96"/>
      <c r="Q9" s="98"/>
      <c r="R9" s="24"/>
      <c r="S9" s="49"/>
      <c r="T9" s="99"/>
      <c r="U9" s="100"/>
      <c r="V9" s="101"/>
      <c r="W9" s="101"/>
      <c r="X9" s="102" t="s">
        <v>544</v>
      </c>
      <c r="Y9" s="24"/>
      <c r="Z9" s="24"/>
      <c r="AA9" s="24"/>
      <c r="AB9" s="24"/>
      <c r="AC9" s="24"/>
      <c r="AD9" s="24"/>
    </row>
    <row r="10" spans="1:30" ht="306" customHeight="1">
      <c r="A10" s="95">
        <f t="shared" si="0"/>
        <v>9</v>
      </c>
      <c r="B10" s="3" t="s">
        <v>5</v>
      </c>
      <c r="C10" s="3" t="s">
        <v>545</v>
      </c>
      <c r="D10" s="96">
        <v>2018</v>
      </c>
      <c r="E10" s="96" t="s">
        <v>154</v>
      </c>
      <c r="F10" s="96" t="s">
        <v>546</v>
      </c>
      <c r="G10" s="96" t="s">
        <v>547</v>
      </c>
      <c r="H10" s="96" t="s">
        <v>548</v>
      </c>
      <c r="I10" s="96" t="s">
        <v>549</v>
      </c>
      <c r="J10" s="96"/>
      <c r="K10" s="96"/>
      <c r="L10" s="97"/>
      <c r="M10" s="96"/>
      <c r="N10" s="97"/>
      <c r="O10" s="96"/>
      <c r="P10" s="96"/>
      <c r="Q10" s="98"/>
      <c r="R10" s="24"/>
      <c r="S10" s="49"/>
      <c r="T10" s="99"/>
      <c r="U10" s="100"/>
      <c r="V10" s="101"/>
      <c r="W10" s="101"/>
      <c r="X10" s="102" t="s">
        <v>544</v>
      </c>
      <c r="Y10" s="24"/>
      <c r="Z10" s="24"/>
      <c r="AA10" s="24"/>
      <c r="AB10" s="24"/>
      <c r="AC10" s="24"/>
      <c r="AD10" s="24"/>
    </row>
    <row r="11" spans="1:30" ht="405.75" customHeight="1">
      <c r="A11" s="95">
        <f t="shared" si="0"/>
        <v>10</v>
      </c>
      <c r="B11" s="3" t="s">
        <v>5</v>
      </c>
      <c r="C11" s="103" t="s">
        <v>550</v>
      </c>
      <c r="D11" s="96">
        <v>2015</v>
      </c>
      <c r="E11" s="96" t="s">
        <v>317</v>
      </c>
      <c r="F11" s="96" t="s">
        <v>551</v>
      </c>
      <c r="G11" s="96" t="s">
        <v>552</v>
      </c>
      <c r="H11" s="96"/>
      <c r="I11" s="96"/>
      <c r="J11" s="96"/>
      <c r="K11" s="96"/>
      <c r="L11" s="97"/>
      <c r="M11" s="96"/>
      <c r="N11" s="97"/>
      <c r="O11" s="96"/>
      <c r="P11" s="96"/>
      <c r="Q11" s="98"/>
      <c r="R11" s="24"/>
      <c r="S11" s="49"/>
      <c r="T11" s="99"/>
      <c r="U11" s="100"/>
      <c r="V11" s="101"/>
      <c r="W11" s="101"/>
      <c r="X11" s="104" t="s">
        <v>553</v>
      </c>
      <c r="Y11" s="24"/>
      <c r="Z11" s="24"/>
      <c r="AA11" s="24"/>
      <c r="AB11" s="24"/>
      <c r="AC11" s="24"/>
      <c r="AD11" s="24"/>
    </row>
    <row r="12" spans="1:30" ht="208.5" customHeight="1">
      <c r="A12" s="30">
        <f t="shared" si="0"/>
        <v>11</v>
      </c>
      <c r="B12" s="31" t="s">
        <v>5</v>
      </c>
      <c r="C12" s="32" t="s">
        <v>554</v>
      </c>
      <c r="D12" s="32">
        <v>2015</v>
      </c>
      <c r="E12" s="32" t="s">
        <v>195</v>
      </c>
      <c r="F12" s="32" t="s">
        <v>555</v>
      </c>
      <c r="G12" s="32" t="s">
        <v>556</v>
      </c>
      <c r="H12" s="32"/>
      <c r="I12" s="32"/>
      <c r="J12" s="32"/>
      <c r="K12" s="32"/>
      <c r="L12" s="35"/>
      <c r="M12" s="32"/>
      <c r="N12" s="35"/>
      <c r="O12" s="32"/>
      <c r="P12" s="32"/>
      <c r="Q12" s="105"/>
      <c r="R12" s="42"/>
      <c r="S12" s="37"/>
      <c r="T12" s="38"/>
      <c r="U12" s="39"/>
      <c r="V12" s="40"/>
      <c r="W12" s="40"/>
      <c r="X12" s="41" t="s">
        <v>557</v>
      </c>
      <c r="Y12" s="106" t="s">
        <v>558</v>
      </c>
      <c r="Z12" s="42"/>
      <c r="AA12" s="42"/>
      <c r="AB12" s="42"/>
      <c r="AC12" s="42"/>
      <c r="AD12" s="42"/>
    </row>
    <row r="13" spans="1:30" ht="254.25" customHeight="1">
      <c r="A13" s="107">
        <f t="shared" si="0"/>
        <v>12</v>
      </c>
      <c r="B13" s="108" t="s">
        <v>5</v>
      </c>
      <c r="C13" s="109" t="s">
        <v>559</v>
      </c>
      <c r="D13" s="109">
        <v>2018</v>
      </c>
      <c r="E13" s="109" t="s">
        <v>332</v>
      </c>
      <c r="F13" s="109" t="s">
        <v>551</v>
      </c>
      <c r="G13" s="109" t="s">
        <v>560</v>
      </c>
      <c r="H13" s="109"/>
      <c r="I13" s="109"/>
      <c r="J13" s="109" t="s">
        <v>561</v>
      </c>
      <c r="K13" s="109"/>
      <c r="L13" s="110"/>
      <c r="M13" s="109"/>
      <c r="N13" s="110"/>
      <c r="O13" s="109"/>
      <c r="P13" s="109"/>
      <c r="Q13" s="111"/>
      <c r="R13" s="112"/>
      <c r="S13" s="113"/>
      <c r="T13" s="114"/>
      <c r="U13" s="115"/>
      <c r="V13" s="116"/>
      <c r="W13" s="116"/>
      <c r="X13" s="109" t="s">
        <v>562</v>
      </c>
      <c r="Y13" s="112"/>
      <c r="Z13" s="112"/>
      <c r="AA13" s="112"/>
      <c r="AB13" s="112"/>
      <c r="AC13" s="112"/>
      <c r="AD13" s="112"/>
    </row>
    <row r="14" spans="1:30" ht="144" customHeight="1">
      <c r="A14" s="117">
        <f t="shared" si="0"/>
        <v>13</v>
      </c>
      <c r="B14" s="118" t="s">
        <v>5</v>
      </c>
      <c r="C14" s="119" t="s">
        <v>563</v>
      </c>
      <c r="D14" s="119">
        <v>2019</v>
      </c>
      <c r="E14" s="119" t="s">
        <v>276</v>
      </c>
      <c r="F14" s="119" t="s">
        <v>564</v>
      </c>
      <c r="G14" s="119" t="s">
        <v>565</v>
      </c>
      <c r="H14" s="119" t="s">
        <v>566</v>
      </c>
      <c r="I14" s="120"/>
      <c r="J14" s="119" t="s">
        <v>520</v>
      </c>
      <c r="K14" s="119" t="s">
        <v>567</v>
      </c>
      <c r="L14" s="121"/>
      <c r="M14" s="119" t="s">
        <v>478</v>
      </c>
      <c r="N14" s="121"/>
      <c r="O14" s="119" t="s">
        <v>568</v>
      </c>
      <c r="P14" s="119"/>
      <c r="Q14" s="122"/>
      <c r="R14" s="123"/>
      <c r="S14" s="124" t="s">
        <v>569</v>
      </c>
      <c r="T14" s="125"/>
      <c r="U14" s="126" t="s">
        <v>570</v>
      </c>
      <c r="V14" s="127" t="s">
        <v>483</v>
      </c>
      <c r="W14" s="127" t="s">
        <v>571</v>
      </c>
      <c r="X14" s="128"/>
      <c r="Y14" s="123"/>
      <c r="Z14" s="123"/>
      <c r="AA14" s="123"/>
      <c r="AB14" s="123"/>
      <c r="AC14" s="123"/>
      <c r="AD14" s="123"/>
    </row>
    <row r="15" spans="1:30" ht="244.5" customHeight="1">
      <c r="A15" s="43">
        <f t="shared" si="0"/>
        <v>14</v>
      </c>
      <c r="B15" s="44" t="s">
        <v>5</v>
      </c>
      <c r="C15" s="45" t="s">
        <v>572</v>
      </c>
      <c r="D15" s="45">
        <v>2018</v>
      </c>
      <c r="E15" s="45" t="s">
        <v>338</v>
      </c>
      <c r="F15" s="45" t="s">
        <v>573</v>
      </c>
      <c r="G15" s="45" t="s">
        <v>574</v>
      </c>
      <c r="H15" s="45" t="s">
        <v>575</v>
      </c>
      <c r="I15" s="129" t="s">
        <v>576</v>
      </c>
      <c r="J15" s="45" t="s">
        <v>577</v>
      </c>
      <c r="K15" s="45" t="s">
        <v>477</v>
      </c>
      <c r="L15" s="46"/>
      <c r="M15" s="45" t="s">
        <v>578</v>
      </c>
      <c r="N15" s="46"/>
      <c r="O15" s="45" t="s">
        <v>504</v>
      </c>
      <c r="P15" s="45" t="s">
        <v>579</v>
      </c>
      <c r="Q15" s="47"/>
      <c r="R15" s="54"/>
      <c r="S15" s="49"/>
      <c r="T15" s="50"/>
      <c r="U15" s="51" t="s">
        <v>580</v>
      </c>
      <c r="V15" s="52" t="s">
        <v>581</v>
      </c>
      <c r="W15" s="52" t="s">
        <v>497</v>
      </c>
      <c r="X15" s="130" t="s">
        <v>582</v>
      </c>
      <c r="Y15" s="54"/>
      <c r="Z15" s="54"/>
      <c r="AA15" s="54"/>
      <c r="AB15" s="54"/>
      <c r="AC15" s="54"/>
      <c r="AD15" s="54"/>
    </row>
    <row r="16" spans="1:30" ht="144" customHeight="1">
      <c r="A16" s="95">
        <f t="shared" si="0"/>
        <v>15</v>
      </c>
      <c r="B16" s="3" t="s">
        <v>5</v>
      </c>
      <c r="C16" s="103" t="s">
        <v>583</v>
      </c>
      <c r="D16" s="96">
        <v>2018</v>
      </c>
      <c r="E16" s="96" t="s">
        <v>202</v>
      </c>
      <c r="F16" s="96" t="s">
        <v>584</v>
      </c>
      <c r="G16" s="96" t="s">
        <v>585</v>
      </c>
      <c r="H16" s="96" t="s">
        <v>575</v>
      </c>
      <c r="I16" s="96" t="s">
        <v>586</v>
      </c>
      <c r="J16" s="96"/>
      <c r="L16" s="97"/>
      <c r="M16" s="96"/>
      <c r="N16" s="97"/>
      <c r="O16" s="96"/>
      <c r="P16" s="96"/>
      <c r="Q16" s="98"/>
      <c r="R16" s="24"/>
      <c r="S16" s="49"/>
      <c r="T16" s="99"/>
      <c r="U16" s="100" t="s">
        <v>587</v>
      </c>
      <c r="V16" s="101"/>
      <c r="W16" s="101"/>
      <c r="X16" s="104"/>
      <c r="Y16" s="24"/>
      <c r="Z16" s="24"/>
      <c r="AA16" s="24"/>
      <c r="AB16" s="24"/>
      <c r="AC16" s="24"/>
      <c r="AD16" s="24"/>
    </row>
    <row r="17" spans="1:30" ht="231" customHeight="1">
      <c r="A17" s="95">
        <f t="shared" si="0"/>
        <v>16</v>
      </c>
      <c r="B17" s="3" t="s">
        <v>5</v>
      </c>
      <c r="C17" s="96" t="s">
        <v>588</v>
      </c>
      <c r="D17" s="96">
        <v>2015</v>
      </c>
      <c r="E17" s="96" t="s">
        <v>113</v>
      </c>
      <c r="F17" s="96" t="s">
        <v>589</v>
      </c>
      <c r="G17" s="96" t="s">
        <v>590</v>
      </c>
      <c r="H17" s="96" t="s">
        <v>591</v>
      </c>
      <c r="I17" s="96"/>
      <c r="J17" s="96" t="s">
        <v>592</v>
      </c>
      <c r="L17" s="97"/>
      <c r="M17" s="96"/>
      <c r="N17" s="97"/>
      <c r="O17" s="96" t="s">
        <v>511</v>
      </c>
      <c r="P17" s="96"/>
      <c r="Q17" s="98"/>
      <c r="R17" s="24"/>
      <c r="S17" s="49"/>
      <c r="T17" s="99"/>
      <c r="U17" s="100" t="s">
        <v>593</v>
      </c>
      <c r="V17" s="101" t="s">
        <v>526</v>
      </c>
      <c r="W17" s="101" t="s">
        <v>594</v>
      </c>
      <c r="X17" s="104" t="s">
        <v>595</v>
      </c>
      <c r="Y17" s="24"/>
      <c r="Z17" s="24"/>
      <c r="AA17" s="24"/>
      <c r="AB17" s="24"/>
      <c r="AC17" s="24"/>
      <c r="AD17" s="24"/>
    </row>
    <row r="18" spans="1:30" ht="244.5" customHeight="1">
      <c r="A18" s="95">
        <f t="shared" si="0"/>
        <v>17</v>
      </c>
      <c r="B18" s="3" t="s">
        <v>5</v>
      </c>
      <c r="C18" s="96" t="s">
        <v>596</v>
      </c>
      <c r="D18" s="96">
        <v>2015</v>
      </c>
      <c r="E18" s="96" t="s">
        <v>207</v>
      </c>
      <c r="F18" s="96" t="s">
        <v>597</v>
      </c>
      <c r="G18" s="96" t="s">
        <v>598</v>
      </c>
      <c r="H18" s="96"/>
      <c r="I18" s="96" t="s">
        <v>599</v>
      </c>
      <c r="J18" s="96" t="s">
        <v>600</v>
      </c>
      <c r="L18" s="97"/>
      <c r="M18" s="96" t="s">
        <v>601</v>
      </c>
      <c r="N18" s="97"/>
      <c r="O18" s="96" t="s">
        <v>511</v>
      </c>
      <c r="P18" s="96" t="s">
        <v>602</v>
      </c>
      <c r="Q18" s="98"/>
      <c r="R18" s="24"/>
      <c r="S18" s="49" t="s">
        <v>603</v>
      </c>
      <c r="T18" s="99"/>
      <c r="U18" s="100" t="s">
        <v>604</v>
      </c>
      <c r="V18" s="101" t="s">
        <v>605</v>
      </c>
      <c r="W18" s="101" t="s">
        <v>606</v>
      </c>
      <c r="X18" s="102" t="s">
        <v>607</v>
      </c>
      <c r="Y18" s="24"/>
      <c r="Z18" s="24"/>
      <c r="AA18" s="24"/>
      <c r="AB18" s="24"/>
      <c r="AC18" s="24"/>
      <c r="AD18" s="24"/>
    </row>
    <row r="19" spans="1:30" ht="205.5" customHeight="1">
      <c r="A19" s="43">
        <f t="shared" si="0"/>
        <v>18</v>
      </c>
      <c r="B19" s="44" t="s">
        <v>5</v>
      </c>
      <c r="C19" s="45" t="s">
        <v>608</v>
      </c>
      <c r="D19" s="45">
        <v>2014</v>
      </c>
      <c r="E19" s="45" t="s">
        <v>283</v>
      </c>
      <c r="F19" s="45" t="s">
        <v>609</v>
      </c>
      <c r="G19" s="45" t="s">
        <v>610</v>
      </c>
      <c r="H19" s="45" t="s">
        <v>591</v>
      </c>
      <c r="I19" s="45" t="s">
        <v>611</v>
      </c>
      <c r="J19" s="45" t="s">
        <v>612</v>
      </c>
      <c r="K19" s="131" t="s">
        <v>477</v>
      </c>
      <c r="L19" s="46"/>
      <c r="M19" s="96" t="s">
        <v>601</v>
      </c>
      <c r="N19" s="46"/>
      <c r="O19" s="45"/>
      <c r="P19" s="45"/>
      <c r="Q19" s="47"/>
      <c r="R19" s="54"/>
      <c r="S19" s="49" t="s">
        <v>613</v>
      </c>
      <c r="T19" s="50"/>
      <c r="U19" s="51" t="s">
        <v>614</v>
      </c>
      <c r="V19" s="52"/>
      <c r="W19" s="52" t="s">
        <v>615</v>
      </c>
      <c r="X19" s="53"/>
      <c r="Y19" s="54"/>
      <c r="Z19" s="54"/>
      <c r="AA19" s="54"/>
      <c r="AB19" s="54"/>
      <c r="AC19" s="54"/>
      <c r="AD19" s="54"/>
    </row>
    <row r="20" spans="1:30" ht="379.5" customHeight="1">
      <c r="A20" s="132">
        <f t="shared" si="0"/>
        <v>19</v>
      </c>
      <c r="B20" s="133" t="s">
        <v>5</v>
      </c>
      <c r="C20" s="134" t="s">
        <v>616</v>
      </c>
      <c r="D20" s="135">
        <v>2014</v>
      </c>
      <c r="E20" s="135" t="s">
        <v>235</v>
      </c>
      <c r="F20" s="135" t="s">
        <v>617</v>
      </c>
      <c r="G20" s="135" t="s">
        <v>618</v>
      </c>
      <c r="H20" s="135" t="s">
        <v>619</v>
      </c>
      <c r="I20" s="135" t="s">
        <v>620</v>
      </c>
      <c r="J20" s="135" t="s">
        <v>621</v>
      </c>
      <c r="K20" s="135" t="s">
        <v>622</v>
      </c>
      <c r="L20" s="136"/>
      <c r="M20" s="96" t="s">
        <v>601</v>
      </c>
      <c r="N20" s="136"/>
      <c r="O20" s="135" t="s">
        <v>623</v>
      </c>
      <c r="P20" s="135"/>
      <c r="Q20" s="137"/>
      <c r="R20" s="138"/>
      <c r="S20" s="139" t="s">
        <v>624</v>
      </c>
      <c r="T20" s="140"/>
      <c r="U20" s="141" t="s">
        <v>625</v>
      </c>
      <c r="V20" s="142" t="s">
        <v>483</v>
      </c>
      <c r="W20" s="142" t="s">
        <v>626</v>
      </c>
      <c r="X20" s="143"/>
      <c r="Y20" s="138"/>
      <c r="Z20" s="138"/>
      <c r="AA20" s="138"/>
      <c r="AB20" s="138"/>
      <c r="AC20" s="138"/>
      <c r="AD20" s="138"/>
    </row>
    <row r="21" spans="1:30" ht="159" customHeight="1">
      <c r="A21" s="117">
        <f t="shared" si="0"/>
        <v>20</v>
      </c>
      <c r="B21" s="144" t="s">
        <v>5</v>
      </c>
      <c r="C21" s="144" t="s">
        <v>627</v>
      </c>
      <c r="D21" s="144">
        <v>2014</v>
      </c>
      <c r="E21" s="144" t="s">
        <v>628</v>
      </c>
      <c r="F21" s="144" t="s">
        <v>629</v>
      </c>
      <c r="G21" s="144" t="s">
        <v>630</v>
      </c>
      <c r="H21" s="144"/>
      <c r="I21" s="144" t="s">
        <v>631</v>
      </c>
      <c r="J21" s="144" t="s">
        <v>632</v>
      </c>
      <c r="K21" s="144" t="s">
        <v>622</v>
      </c>
      <c r="L21" s="144"/>
      <c r="M21" s="144"/>
      <c r="N21" s="144"/>
      <c r="O21" s="144" t="s">
        <v>511</v>
      </c>
      <c r="P21" s="144"/>
      <c r="Q21" s="144"/>
      <c r="R21" s="144"/>
      <c r="S21" s="144" t="s">
        <v>633</v>
      </c>
      <c r="T21" s="144"/>
      <c r="U21" s="144" t="s">
        <v>634</v>
      </c>
      <c r="V21" s="144"/>
      <c r="W21" s="144" t="s">
        <v>635</v>
      </c>
      <c r="X21" s="144"/>
      <c r="Y21" s="144"/>
      <c r="Z21" s="144"/>
      <c r="AA21" s="144"/>
      <c r="AB21" s="144"/>
      <c r="AC21" s="144"/>
      <c r="AD21" s="144"/>
    </row>
    <row r="22" spans="1:30" ht="159" customHeight="1">
      <c r="A22" s="117">
        <f t="shared" si="0"/>
        <v>21</v>
      </c>
      <c r="B22" s="144" t="s">
        <v>5</v>
      </c>
      <c r="C22" s="144" t="s">
        <v>636</v>
      </c>
      <c r="D22" s="144">
        <v>2014</v>
      </c>
      <c r="E22" s="144" t="s">
        <v>293</v>
      </c>
      <c r="F22" s="144" t="s">
        <v>637</v>
      </c>
      <c r="G22" s="144" t="s">
        <v>638</v>
      </c>
      <c r="H22" s="144"/>
      <c r="I22" s="144" t="s">
        <v>639</v>
      </c>
      <c r="J22" s="144" t="s">
        <v>592</v>
      </c>
      <c r="K22" s="144" t="s">
        <v>622</v>
      </c>
      <c r="L22" s="144"/>
      <c r="M22" s="144" t="s">
        <v>601</v>
      </c>
      <c r="N22" s="144"/>
      <c r="O22" s="144" t="s">
        <v>640</v>
      </c>
      <c r="P22" s="144"/>
      <c r="Q22" s="144"/>
      <c r="R22" s="144"/>
      <c r="S22" s="144" t="s">
        <v>641</v>
      </c>
      <c r="T22" s="144"/>
      <c r="U22" s="144" t="s">
        <v>634</v>
      </c>
      <c r="V22" s="144" t="s">
        <v>642</v>
      </c>
      <c r="W22" s="144" t="s">
        <v>643</v>
      </c>
      <c r="X22" s="144"/>
      <c r="Y22" s="144"/>
      <c r="Z22" s="144"/>
      <c r="AA22" s="144"/>
      <c r="AB22" s="144"/>
      <c r="AC22" s="144"/>
      <c r="AD22" s="144"/>
    </row>
    <row r="23" spans="1:30" ht="277.5" customHeight="1">
      <c r="A23" s="30">
        <f t="shared" si="0"/>
        <v>22</v>
      </c>
      <c r="B23" s="145" t="s">
        <v>5</v>
      </c>
      <c r="C23" s="145" t="s">
        <v>644</v>
      </c>
      <c r="D23" s="145">
        <v>2014</v>
      </c>
      <c r="E23" s="145" t="s">
        <v>278</v>
      </c>
      <c r="F23" s="145" t="s">
        <v>645</v>
      </c>
      <c r="G23" s="145" t="s">
        <v>646</v>
      </c>
      <c r="H23" s="145"/>
      <c r="I23" s="145"/>
      <c r="J23" s="145"/>
      <c r="K23" s="145"/>
      <c r="L23" s="145"/>
      <c r="M23" s="145"/>
      <c r="N23" s="145"/>
      <c r="O23" s="145"/>
      <c r="P23" s="145"/>
      <c r="Q23" s="145"/>
      <c r="R23" s="145"/>
      <c r="S23" s="145"/>
      <c r="T23" s="145"/>
      <c r="U23" s="145"/>
      <c r="V23" s="145"/>
      <c r="W23" s="145"/>
      <c r="X23" s="145" t="s">
        <v>647</v>
      </c>
      <c r="Y23" s="146" t="s">
        <v>648</v>
      </c>
      <c r="Z23" s="145"/>
      <c r="AA23" s="145"/>
      <c r="AB23" s="145"/>
      <c r="AC23" s="145"/>
      <c r="AD23" s="145"/>
    </row>
    <row r="24" spans="1:30" ht="78.75" customHeight="1">
      <c r="A24" s="95">
        <f t="shared" si="0"/>
        <v>23</v>
      </c>
      <c r="B24" s="147" t="s">
        <v>5</v>
      </c>
      <c r="C24" s="147" t="s">
        <v>649</v>
      </c>
      <c r="D24" s="147">
        <v>2018</v>
      </c>
      <c r="E24" s="147" t="s">
        <v>289</v>
      </c>
      <c r="F24" s="147" t="s">
        <v>650</v>
      </c>
      <c r="G24" s="147"/>
      <c r="H24" s="147"/>
      <c r="I24" s="147" t="s">
        <v>651</v>
      </c>
      <c r="J24" s="147"/>
      <c r="K24" s="147"/>
      <c r="L24" s="147"/>
      <c r="M24" s="147"/>
      <c r="N24" s="147"/>
      <c r="O24" s="147"/>
      <c r="P24" s="147"/>
      <c r="Q24" s="147"/>
      <c r="R24" s="147"/>
      <c r="S24" s="147"/>
      <c r="T24" s="147"/>
      <c r="U24" s="147" t="s">
        <v>652</v>
      </c>
      <c r="V24" s="147"/>
      <c r="W24" s="147"/>
      <c r="X24" s="147" t="s">
        <v>653</v>
      </c>
      <c r="Y24" s="147"/>
      <c r="Z24" s="147"/>
      <c r="AA24" s="147"/>
      <c r="AB24" s="147"/>
      <c r="AC24" s="147"/>
      <c r="AD24" s="147"/>
    </row>
    <row r="25" spans="1:30" ht="159" customHeight="1">
      <c r="A25" s="30">
        <f t="shared" si="0"/>
        <v>24</v>
      </c>
      <c r="B25" s="145" t="s">
        <v>5</v>
      </c>
      <c r="C25" s="145" t="s">
        <v>654</v>
      </c>
      <c r="D25" s="145">
        <v>2015</v>
      </c>
      <c r="E25" s="145" t="s">
        <v>182</v>
      </c>
      <c r="F25" s="145"/>
      <c r="G25" s="145" t="s">
        <v>655</v>
      </c>
      <c r="H25" s="145"/>
      <c r="I25" s="145" t="s">
        <v>656</v>
      </c>
      <c r="J25" s="145"/>
      <c r="K25" s="145"/>
      <c r="L25" s="145"/>
      <c r="M25" s="145"/>
      <c r="N25" s="145"/>
      <c r="O25" s="145"/>
      <c r="P25" s="145"/>
      <c r="Q25" s="145"/>
      <c r="R25" s="145"/>
      <c r="S25" s="145"/>
      <c r="T25" s="145"/>
      <c r="U25" s="145"/>
      <c r="V25" s="145"/>
      <c r="W25" s="145"/>
      <c r="X25" s="146" t="s">
        <v>657</v>
      </c>
      <c r="Y25" s="145"/>
      <c r="Z25" s="145"/>
      <c r="AA25" s="145"/>
      <c r="AB25" s="145"/>
      <c r="AC25" s="145"/>
      <c r="AD25" s="145"/>
    </row>
    <row r="26" spans="1:30" ht="231" customHeight="1">
      <c r="A26" s="30">
        <f t="shared" si="0"/>
        <v>25</v>
      </c>
      <c r="B26" s="145" t="s">
        <v>5</v>
      </c>
      <c r="C26" s="32" t="s">
        <v>658</v>
      </c>
      <c r="D26" s="145">
        <v>2016</v>
      </c>
      <c r="E26" s="145" t="s">
        <v>339</v>
      </c>
      <c r="F26" s="145"/>
      <c r="G26" s="145" t="s">
        <v>659</v>
      </c>
      <c r="H26" s="145"/>
      <c r="I26" s="145"/>
      <c r="J26" s="145"/>
      <c r="K26" s="145"/>
      <c r="L26" s="145"/>
      <c r="M26" s="145"/>
      <c r="N26" s="145"/>
      <c r="O26" s="145"/>
      <c r="P26" s="145"/>
      <c r="Q26" s="145"/>
      <c r="R26" s="145"/>
      <c r="S26" s="145"/>
      <c r="T26" s="145"/>
      <c r="U26" s="145"/>
      <c r="V26" s="145"/>
      <c r="W26" s="145"/>
      <c r="X26" s="145" t="s">
        <v>660</v>
      </c>
      <c r="Y26" s="145"/>
      <c r="Z26" s="145"/>
      <c r="AA26" s="145"/>
      <c r="AB26" s="145"/>
      <c r="AC26" s="145"/>
      <c r="AD26" s="145"/>
    </row>
    <row r="27" spans="1:30" ht="159" customHeight="1">
      <c r="A27" s="95">
        <f t="shared" si="0"/>
        <v>26</v>
      </c>
      <c r="B27" s="147" t="s">
        <v>5</v>
      </c>
      <c r="C27" s="147" t="s">
        <v>661</v>
      </c>
      <c r="D27" s="147">
        <v>2015</v>
      </c>
      <c r="E27" s="147" t="s">
        <v>336</v>
      </c>
      <c r="F27" s="147" t="s">
        <v>662</v>
      </c>
      <c r="G27" s="147" t="s">
        <v>663</v>
      </c>
      <c r="H27" s="147" t="s">
        <v>664</v>
      </c>
      <c r="I27" s="147"/>
      <c r="J27" s="147"/>
      <c r="K27" s="147"/>
      <c r="L27" s="147"/>
      <c r="M27" s="147" t="s">
        <v>601</v>
      </c>
      <c r="N27" s="147"/>
      <c r="O27" s="147" t="s">
        <v>665</v>
      </c>
      <c r="P27" s="147"/>
      <c r="Q27" s="147"/>
      <c r="R27" s="147"/>
      <c r="S27" s="147" t="s">
        <v>666</v>
      </c>
      <c r="T27" s="147"/>
      <c r="U27" s="147" t="s">
        <v>667</v>
      </c>
      <c r="V27" s="147" t="s">
        <v>668</v>
      </c>
      <c r="W27" s="147" t="s">
        <v>669</v>
      </c>
      <c r="X27" s="148" t="s">
        <v>670</v>
      </c>
      <c r="Y27" s="147"/>
      <c r="Z27" s="147"/>
      <c r="AA27" s="147"/>
      <c r="AB27" s="147"/>
      <c r="AC27" s="147"/>
      <c r="AD27" s="147"/>
    </row>
    <row r="28" spans="1:30" ht="159" customHeight="1">
      <c r="A28" s="95">
        <f t="shared" si="0"/>
        <v>27</v>
      </c>
      <c r="B28" s="147" t="s">
        <v>5</v>
      </c>
      <c r="C28" s="147" t="s">
        <v>671</v>
      </c>
      <c r="D28" s="147">
        <v>2018</v>
      </c>
      <c r="E28" s="147" t="s">
        <v>238</v>
      </c>
      <c r="F28" s="147" t="s">
        <v>672</v>
      </c>
      <c r="G28" s="147" t="s">
        <v>673</v>
      </c>
      <c r="H28" s="147" t="s">
        <v>575</v>
      </c>
      <c r="I28" s="147"/>
      <c r="J28" s="147"/>
      <c r="K28" s="147"/>
      <c r="L28" s="147"/>
      <c r="M28" s="147" t="s">
        <v>674</v>
      </c>
      <c r="N28" s="147"/>
      <c r="O28" s="147"/>
      <c r="P28" s="147"/>
      <c r="Q28" s="147"/>
      <c r="R28" s="147"/>
      <c r="S28" s="147"/>
      <c r="T28" s="147"/>
      <c r="U28" s="147" t="s">
        <v>587</v>
      </c>
      <c r="V28" s="147"/>
      <c r="W28" s="147"/>
      <c r="X28" s="148" t="s">
        <v>675</v>
      </c>
      <c r="Y28" s="147"/>
      <c r="Z28" s="147"/>
      <c r="AA28" s="147"/>
      <c r="AB28" s="147"/>
      <c r="AC28" s="147"/>
      <c r="AD28" s="147"/>
    </row>
    <row r="29" spans="1:30" ht="159" customHeight="1">
      <c r="A29" s="95">
        <f t="shared" si="0"/>
        <v>28</v>
      </c>
      <c r="B29" s="147" t="s">
        <v>5</v>
      </c>
      <c r="C29" s="96" t="s">
        <v>676</v>
      </c>
      <c r="D29" s="147">
        <v>2019</v>
      </c>
      <c r="E29" s="147" t="s">
        <v>218</v>
      </c>
      <c r="F29" s="147" t="s">
        <v>677</v>
      </c>
      <c r="G29" s="147"/>
      <c r="H29" s="147"/>
      <c r="I29" s="147" t="s">
        <v>678</v>
      </c>
      <c r="J29" s="147"/>
      <c r="K29" s="147"/>
      <c r="L29" s="147"/>
      <c r="M29" s="147"/>
      <c r="N29" s="147"/>
      <c r="O29" s="147"/>
      <c r="P29" s="147"/>
      <c r="Q29" s="147"/>
      <c r="R29" s="147"/>
      <c r="S29" s="147"/>
      <c r="T29" s="147"/>
      <c r="U29" s="147"/>
      <c r="V29" s="147"/>
      <c r="W29" s="147"/>
      <c r="X29" s="147" t="s">
        <v>679</v>
      </c>
      <c r="Y29" s="147"/>
      <c r="Z29" s="147"/>
      <c r="AA29" s="147"/>
      <c r="AB29" s="147"/>
      <c r="AC29" s="147"/>
      <c r="AD29" s="147"/>
    </row>
    <row r="30" spans="1:30" ht="198" customHeight="1">
      <c r="A30" s="117">
        <f t="shared" si="0"/>
        <v>29</v>
      </c>
      <c r="B30" s="144" t="s">
        <v>5</v>
      </c>
      <c r="C30" s="144" t="s">
        <v>680</v>
      </c>
      <c r="D30" s="144">
        <v>2017</v>
      </c>
      <c r="E30" s="144"/>
      <c r="F30" s="144" t="s">
        <v>681</v>
      </c>
      <c r="G30" s="144" t="s">
        <v>682</v>
      </c>
      <c r="H30" s="144" t="s">
        <v>575</v>
      </c>
      <c r="I30" s="144"/>
      <c r="J30" s="144" t="s">
        <v>683</v>
      </c>
      <c r="K30" s="144" t="s">
        <v>622</v>
      </c>
      <c r="L30" s="144"/>
      <c r="M30" s="144" t="s">
        <v>684</v>
      </c>
      <c r="N30" s="144"/>
      <c r="O30" s="144" t="s">
        <v>511</v>
      </c>
      <c r="P30" s="144"/>
      <c r="Q30" s="144"/>
      <c r="R30" s="144"/>
      <c r="S30" s="144" t="s">
        <v>685</v>
      </c>
      <c r="T30" s="144"/>
      <c r="U30" s="144" t="s">
        <v>686</v>
      </c>
      <c r="V30" s="144" t="s">
        <v>687</v>
      </c>
      <c r="W30" s="144" t="s">
        <v>497</v>
      </c>
      <c r="X30" s="144"/>
      <c r="Y30" s="144"/>
      <c r="Z30" s="144"/>
      <c r="AA30" s="144"/>
      <c r="AB30" s="144"/>
      <c r="AC30" s="144"/>
      <c r="AD30" s="144"/>
    </row>
    <row r="31" spans="1:30" ht="184.5" customHeight="1">
      <c r="A31" s="43">
        <f t="shared" si="0"/>
        <v>30</v>
      </c>
      <c r="B31" s="149" t="s">
        <v>5</v>
      </c>
      <c r="C31" s="45" t="s">
        <v>688</v>
      </c>
      <c r="D31" s="149">
        <v>2016</v>
      </c>
      <c r="E31" s="149" t="s">
        <v>309</v>
      </c>
      <c r="F31" s="149" t="s">
        <v>689</v>
      </c>
      <c r="G31" s="149" t="s">
        <v>690</v>
      </c>
      <c r="H31" s="149"/>
      <c r="I31" s="149" t="s">
        <v>691</v>
      </c>
      <c r="J31" s="149" t="s">
        <v>692</v>
      </c>
      <c r="K31" s="149" t="s">
        <v>477</v>
      </c>
      <c r="L31" s="149"/>
      <c r="M31" s="149"/>
      <c r="N31" s="149"/>
      <c r="O31" s="149" t="s">
        <v>693</v>
      </c>
      <c r="P31" s="149"/>
      <c r="Q31" s="149"/>
      <c r="R31" s="149"/>
      <c r="S31" s="149" t="s">
        <v>694</v>
      </c>
      <c r="T31" s="149"/>
      <c r="U31" s="149"/>
      <c r="V31" s="149" t="s">
        <v>526</v>
      </c>
      <c r="W31" s="149" t="s">
        <v>497</v>
      </c>
      <c r="X31" s="149"/>
      <c r="Y31" s="149"/>
      <c r="Z31" s="149"/>
      <c r="AA31" s="149"/>
      <c r="AB31" s="149"/>
      <c r="AC31" s="149"/>
      <c r="AD31" s="149"/>
    </row>
    <row r="32" spans="1:30" ht="250.5" customHeight="1">
      <c r="A32" s="150">
        <f t="shared" si="0"/>
        <v>31</v>
      </c>
      <c r="B32" s="151" t="s">
        <v>5</v>
      </c>
      <c r="C32" s="152" t="s">
        <v>695</v>
      </c>
      <c r="D32" s="151">
        <v>2016</v>
      </c>
      <c r="E32" s="151" t="s">
        <v>330</v>
      </c>
      <c r="F32" s="151" t="s">
        <v>696</v>
      </c>
      <c r="G32" s="152" t="s">
        <v>697</v>
      </c>
      <c r="H32" s="151" t="s">
        <v>575</v>
      </c>
      <c r="I32" s="153"/>
      <c r="J32" s="151" t="s">
        <v>698</v>
      </c>
      <c r="K32" s="151" t="s">
        <v>622</v>
      </c>
      <c r="L32" s="151"/>
      <c r="M32" s="151"/>
      <c r="N32" s="151"/>
      <c r="O32" s="151" t="s">
        <v>699</v>
      </c>
      <c r="P32" s="151"/>
      <c r="Q32" s="151"/>
      <c r="R32" s="151"/>
      <c r="S32" s="151" t="s">
        <v>694</v>
      </c>
      <c r="T32" s="151"/>
      <c r="U32" s="151" t="s">
        <v>700</v>
      </c>
      <c r="V32" s="151"/>
      <c r="W32" s="151"/>
      <c r="X32" s="151"/>
      <c r="Y32" s="151"/>
      <c r="Z32" s="151"/>
      <c r="AA32" s="151"/>
      <c r="AB32" s="151"/>
      <c r="AC32" s="151"/>
      <c r="AD32" s="151"/>
    </row>
    <row r="33" spans="1:30" ht="129" customHeight="1">
      <c r="A33" s="132">
        <f t="shared" si="0"/>
        <v>32</v>
      </c>
      <c r="B33" s="134" t="s">
        <v>5</v>
      </c>
      <c r="C33" s="135" t="s">
        <v>701</v>
      </c>
      <c r="D33" s="134">
        <v>2014</v>
      </c>
      <c r="E33" s="134" t="s">
        <v>262</v>
      </c>
      <c r="F33" s="134" t="s">
        <v>702</v>
      </c>
      <c r="G33" s="135" t="s">
        <v>703</v>
      </c>
      <c r="H33" s="134" t="s">
        <v>575</v>
      </c>
      <c r="I33" s="154"/>
      <c r="J33" s="134"/>
      <c r="K33" s="134" t="s">
        <v>622</v>
      </c>
      <c r="L33" s="134"/>
      <c r="M33" s="134" t="s">
        <v>601</v>
      </c>
      <c r="N33" s="134"/>
      <c r="O33" s="134" t="s">
        <v>704</v>
      </c>
      <c r="P33" s="134"/>
      <c r="Q33" s="134"/>
      <c r="R33" s="134"/>
      <c r="S33" s="134" t="s">
        <v>705</v>
      </c>
      <c r="T33" s="134"/>
      <c r="U33" s="134" t="s">
        <v>706</v>
      </c>
      <c r="V33" s="134" t="s">
        <v>687</v>
      </c>
      <c r="W33" s="134" t="s">
        <v>497</v>
      </c>
      <c r="X33" s="155" t="s">
        <v>707</v>
      </c>
      <c r="Y33" s="134"/>
      <c r="Z33" s="134"/>
      <c r="AA33" s="134"/>
      <c r="AB33" s="134"/>
      <c r="AC33" s="134"/>
      <c r="AD33" s="134"/>
    </row>
    <row r="34" spans="1:30" ht="129" customHeight="1">
      <c r="A34" s="43">
        <f t="shared" si="0"/>
        <v>33</v>
      </c>
      <c r="B34" s="149" t="s">
        <v>5</v>
      </c>
      <c r="C34" s="45" t="s">
        <v>708</v>
      </c>
      <c r="D34" s="149">
        <v>2018</v>
      </c>
      <c r="E34" s="149" t="s">
        <v>46</v>
      </c>
      <c r="F34" s="149" t="s">
        <v>709</v>
      </c>
      <c r="G34" s="45" t="s">
        <v>710</v>
      </c>
      <c r="H34" s="149" t="s">
        <v>619</v>
      </c>
      <c r="I34" s="149" t="s">
        <v>711</v>
      </c>
      <c r="J34" s="149" t="s">
        <v>712</v>
      </c>
      <c r="K34" s="156" t="s">
        <v>477</v>
      </c>
      <c r="L34" s="149"/>
      <c r="M34" s="149" t="s">
        <v>601</v>
      </c>
      <c r="N34" s="149"/>
      <c r="O34" s="149" t="s">
        <v>713</v>
      </c>
      <c r="P34" s="149"/>
      <c r="Q34" s="149" t="s">
        <v>714</v>
      </c>
      <c r="R34" s="149"/>
      <c r="S34" s="149" t="s">
        <v>694</v>
      </c>
      <c r="T34" s="149"/>
      <c r="U34" s="149" t="s">
        <v>715</v>
      </c>
      <c r="V34" s="149" t="s">
        <v>483</v>
      </c>
      <c r="W34" s="149" t="s">
        <v>497</v>
      </c>
      <c r="X34" s="149"/>
      <c r="Y34" s="149"/>
      <c r="Z34" s="149"/>
      <c r="AA34" s="149"/>
      <c r="AB34" s="149"/>
      <c r="AC34" s="149"/>
      <c r="AD34" s="149"/>
    </row>
    <row r="35" spans="1:30" ht="226.5" customHeight="1">
      <c r="A35" s="95">
        <f t="shared" si="0"/>
        <v>34</v>
      </c>
      <c r="B35" s="147" t="s">
        <v>5</v>
      </c>
      <c r="C35" s="96" t="s">
        <v>716</v>
      </c>
      <c r="D35" s="147">
        <v>2014</v>
      </c>
      <c r="E35" s="147" t="s">
        <v>293</v>
      </c>
      <c r="F35" s="147" t="s">
        <v>717</v>
      </c>
      <c r="G35" s="96" t="s">
        <v>718</v>
      </c>
      <c r="H35" s="147"/>
      <c r="I35" s="147"/>
      <c r="J35" s="147"/>
      <c r="K35" s="147"/>
      <c r="L35" s="147"/>
      <c r="M35" s="147" t="s">
        <v>601</v>
      </c>
      <c r="N35" s="147"/>
      <c r="O35" s="147"/>
      <c r="P35" s="147"/>
      <c r="Q35" s="147"/>
      <c r="R35" s="147"/>
      <c r="S35" s="147" t="s">
        <v>719</v>
      </c>
      <c r="T35" s="147"/>
      <c r="U35" s="147" t="s">
        <v>667</v>
      </c>
      <c r="V35" s="147" t="s">
        <v>720</v>
      </c>
      <c r="W35" s="147"/>
      <c r="X35" s="96" t="s">
        <v>721</v>
      </c>
      <c r="Y35" s="147"/>
      <c r="Z35" s="147"/>
      <c r="AA35" s="147"/>
      <c r="AB35" s="147"/>
      <c r="AC35" s="147"/>
      <c r="AD35" s="147"/>
    </row>
    <row r="36" spans="1:30" ht="157.5" customHeight="1">
      <c r="A36" s="117">
        <f t="shared" si="0"/>
        <v>35</v>
      </c>
      <c r="B36" s="144" t="s">
        <v>5</v>
      </c>
      <c r="C36" s="119" t="s">
        <v>722</v>
      </c>
      <c r="D36" s="144">
        <v>2018</v>
      </c>
      <c r="E36" s="144" t="s">
        <v>251</v>
      </c>
      <c r="F36" s="144" t="s">
        <v>723</v>
      </c>
      <c r="G36" s="119" t="s">
        <v>724</v>
      </c>
      <c r="H36" s="144" t="s">
        <v>725</v>
      </c>
      <c r="I36" s="144"/>
      <c r="J36" s="144"/>
      <c r="K36" s="144" t="s">
        <v>622</v>
      </c>
      <c r="L36" s="144"/>
      <c r="M36" s="144" t="s">
        <v>601</v>
      </c>
      <c r="N36" s="144"/>
      <c r="O36" s="144"/>
      <c r="P36" s="144"/>
      <c r="Q36" s="144"/>
      <c r="R36" s="144"/>
      <c r="S36" s="144" t="s">
        <v>694</v>
      </c>
      <c r="T36" s="144"/>
      <c r="U36" s="144" t="s">
        <v>715</v>
      </c>
      <c r="V36" s="144" t="s">
        <v>483</v>
      </c>
      <c r="W36" s="144" t="s">
        <v>497</v>
      </c>
      <c r="X36" s="144"/>
      <c r="Y36" s="144"/>
      <c r="Z36" s="144"/>
      <c r="AA36" s="144"/>
      <c r="AB36" s="144"/>
      <c r="AC36" s="144"/>
      <c r="AD36" s="144"/>
    </row>
    <row r="37" spans="1:30" ht="181.5" customHeight="1">
      <c r="A37" s="157">
        <f t="shared" si="0"/>
        <v>36</v>
      </c>
      <c r="B37" s="158" t="s">
        <v>5</v>
      </c>
      <c r="C37" s="159" t="s">
        <v>726</v>
      </c>
      <c r="D37" s="158">
        <v>2018</v>
      </c>
      <c r="E37" s="158" t="s">
        <v>79</v>
      </c>
      <c r="F37" s="158" t="s">
        <v>727</v>
      </c>
      <c r="G37" s="159" t="s">
        <v>728</v>
      </c>
      <c r="H37" s="158"/>
      <c r="I37" s="158" t="s">
        <v>729</v>
      </c>
      <c r="J37" s="158" t="s">
        <v>730</v>
      </c>
      <c r="K37" s="158" t="s">
        <v>731</v>
      </c>
      <c r="L37" s="158"/>
      <c r="M37" s="158" t="s">
        <v>732</v>
      </c>
      <c r="N37" s="158"/>
      <c r="O37" s="158"/>
      <c r="P37" s="158"/>
      <c r="Q37" s="158"/>
      <c r="R37" s="158"/>
      <c r="S37" s="158"/>
      <c r="T37" s="158"/>
      <c r="U37" s="158" t="s">
        <v>733</v>
      </c>
      <c r="V37" s="158" t="s">
        <v>483</v>
      </c>
      <c r="W37" s="158" t="s">
        <v>497</v>
      </c>
      <c r="X37" s="158"/>
      <c r="Y37" s="158"/>
      <c r="Z37" s="158"/>
      <c r="AA37" s="158"/>
      <c r="AB37" s="158"/>
      <c r="AC37" s="158"/>
      <c r="AD37" s="158"/>
    </row>
    <row r="38" spans="1:30" ht="139.5" customHeight="1">
      <c r="A38" s="30">
        <f t="shared" si="0"/>
        <v>37</v>
      </c>
      <c r="B38" s="145" t="s">
        <v>5</v>
      </c>
      <c r="C38" s="32" t="s">
        <v>734</v>
      </c>
      <c r="D38" s="145">
        <v>2019</v>
      </c>
      <c r="E38" s="145" t="s">
        <v>258</v>
      </c>
      <c r="F38" s="145" t="s">
        <v>551</v>
      </c>
      <c r="G38" s="32" t="s">
        <v>735</v>
      </c>
      <c r="H38" s="145"/>
      <c r="I38" s="145"/>
      <c r="J38" s="145"/>
      <c r="K38" s="145"/>
      <c r="L38" s="145"/>
      <c r="M38" s="145"/>
      <c r="N38" s="145"/>
      <c r="O38" s="145"/>
      <c r="P38" s="145"/>
      <c r="Q38" s="145"/>
      <c r="R38" s="145"/>
      <c r="S38" s="145" t="s">
        <v>736</v>
      </c>
      <c r="T38" s="145"/>
      <c r="U38" s="145"/>
      <c r="V38" s="145"/>
      <c r="W38" s="145"/>
      <c r="X38" s="32" t="s">
        <v>737</v>
      </c>
      <c r="Y38" s="145"/>
      <c r="Z38" s="145"/>
      <c r="AA38" s="145"/>
      <c r="AB38" s="145"/>
      <c r="AC38" s="145"/>
      <c r="AD38" s="145"/>
    </row>
    <row r="39" spans="1:30" ht="157.5" customHeight="1">
      <c r="A39" s="95">
        <f t="shared" si="0"/>
        <v>38</v>
      </c>
      <c r="B39" s="147" t="s">
        <v>5</v>
      </c>
      <c r="C39" s="96" t="s">
        <v>738</v>
      </c>
      <c r="D39" s="147">
        <v>2018</v>
      </c>
      <c r="E39" s="147" t="s">
        <v>298</v>
      </c>
      <c r="F39" s="147" t="s">
        <v>739</v>
      </c>
      <c r="G39" s="96" t="s">
        <v>740</v>
      </c>
      <c r="H39" s="147"/>
      <c r="I39" s="147"/>
      <c r="J39" s="147" t="s">
        <v>741</v>
      </c>
      <c r="K39" s="147"/>
      <c r="L39" s="147"/>
      <c r="M39" s="147" t="s">
        <v>742</v>
      </c>
      <c r="N39" s="147"/>
      <c r="O39" s="147" t="s">
        <v>743</v>
      </c>
      <c r="P39" s="147"/>
      <c r="Q39" s="147"/>
      <c r="R39" s="147"/>
      <c r="S39" s="147" t="s">
        <v>744</v>
      </c>
      <c r="T39" s="147"/>
      <c r="U39" s="147" t="s">
        <v>745</v>
      </c>
      <c r="V39" s="147" t="s">
        <v>483</v>
      </c>
      <c r="W39" s="147" t="s">
        <v>497</v>
      </c>
      <c r="X39" s="148" t="s">
        <v>675</v>
      </c>
      <c r="Y39" s="147"/>
      <c r="Z39" s="147"/>
      <c r="AA39" s="147"/>
      <c r="AB39" s="147"/>
      <c r="AC39" s="147"/>
      <c r="AD39" s="147"/>
    </row>
    <row r="40" spans="1:30" ht="157.5" customHeight="1">
      <c r="A40" s="95">
        <f t="shared" si="0"/>
        <v>39</v>
      </c>
      <c r="B40" s="147" t="s">
        <v>5</v>
      </c>
      <c r="C40" s="96" t="s">
        <v>746</v>
      </c>
      <c r="D40" s="147">
        <v>2015</v>
      </c>
      <c r="E40" s="147" t="s">
        <v>175</v>
      </c>
      <c r="F40" s="147" t="s">
        <v>747</v>
      </c>
      <c r="G40" s="96" t="s">
        <v>748</v>
      </c>
      <c r="H40" s="147" t="s">
        <v>591</v>
      </c>
      <c r="I40" s="147"/>
      <c r="J40" s="147" t="s">
        <v>749</v>
      </c>
      <c r="K40" s="147"/>
      <c r="L40" s="147"/>
      <c r="M40" s="147"/>
      <c r="N40" s="147"/>
      <c r="O40" s="147" t="s">
        <v>750</v>
      </c>
      <c r="P40" s="147"/>
      <c r="Q40" s="147"/>
      <c r="R40" s="147"/>
      <c r="S40" s="147" t="s">
        <v>751</v>
      </c>
      <c r="T40" s="147"/>
      <c r="U40" s="147" t="s">
        <v>752</v>
      </c>
      <c r="V40" s="147" t="s">
        <v>483</v>
      </c>
      <c r="W40" s="147" t="s">
        <v>753</v>
      </c>
      <c r="X40" s="147"/>
      <c r="Y40" s="147"/>
      <c r="Z40" s="147"/>
      <c r="AA40" s="147"/>
      <c r="AB40" s="147"/>
      <c r="AC40" s="147"/>
      <c r="AD40" s="147"/>
    </row>
    <row r="41" spans="1:30" ht="157.5" customHeight="1">
      <c r="A41" s="107">
        <f t="shared" si="0"/>
        <v>40</v>
      </c>
      <c r="B41" s="160" t="s">
        <v>5</v>
      </c>
      <c r="C41" s="109" t="s">
        <v>754</v>
      </c>
      <c r="D41" s="160">
        <v>2019</v>
      </c>
      <c r="E41" s="160" t="s">
        <v>110</v>
      </c>
      <c r="F41" s="160" t="s">
        <v>755</v>
      </c>
      <c r="G41" s="109" t="s">
        <v>756</v>
      </c>
      <c r="H41" s="160" t="s">
        <v>757</v>
      </c>
      <c r="I41" s="160" t="s">
        <v>758</v>
      </c>
      <c r="J41" s="160"/>
      <c r="K41" s="160" t="s">
        <v>622</v>
      </c>
      <c r="L41" s="160"/>
      <c r="M41" s="160" t="s">
        <v>601</v>
      </c>
      <c r="N41" s="160"/>
      <c r="O41" s="160"/>
      <c r="P41" s="160"/>
      <c r="Q41" s="160"/>
      <c r="R41" s="160"/>
      <c r="S41" s="160" t="s">
        <v>759</v>
      </c>
      <c r="T41" s="160"/>
      <c r="U41" s="160" t="s">
        <v>760</v>
      </c>
      <c r="V41" s="160" t="s">
        <v>687</v>
      </c>
      <c r="W41" s="160"/>
      <c r="X41" s="160" t="s">
        <v>761</v>
      </c>
      <c r="Y41" s="160" t="s">
        <v>762</v>
      </c>
      <c r="Z41" s="160"/>
      <c r="AA41" s="160"/>
      <c r="AB41" s="160"/>
      <c r="AC41" s="160"/>
      <c r="AD41" s="160"/>
    </row>
    <row r="42" spans="1:30" ht="290.25" customHeight="1">
      <c r="A42" s="30">
        <f t="shared" si="0"/>
        <v>41</v>
      </c>
      <c r="B42" s="145" t="s">
        <v>5</v>
      </c>
      <c r="C42" s="32" t="s">
        <v>763</v>
      </c>
      <c r="D42" s="145">
        <v>2019</v>
      </c>
      <c r="E42" s="145" t="s">
        <v>221</v>
      </c>
      <c r="F42" s="145" t="s">
        <v>551</v>
      </c>
      <c r="G42" s="32" t="s">
        <v>764</v>
      </c>
      <c r="H42" s="145"/>
      <c r="I42" s="145"/>
      <c r="J42" s="145"/>
      <c r="K42" s="145" t="s">
        <v>765</v>
      </c>
      <c r="L42" s="145"/>
      <c r="M42" s="145" t="s">
        <v>601</v>
      </c>
      <c r="N42" s="145"/>
      <c r="O42" s="145"/>
      <c r="P42" s="145"/>
      <c r="Q42" s="145"/>
      <c r="R42" s="145"/>
      <c r="S42" s="145" t="s">
        <v>719</v>
      </c>
      <c r="T42" s="145"/>
      <c r="U42" s="145"/>
      <c r="V42" s="145" t="s">
        <v>687</v>
      </c>
      <c r="W42" s="145" t="s">
        <v>766</v>
      </c>
      <c r="X42" s="145"/>
      <c r="Y42" s="145"/>
      <c r="Z42" s="145"/>
      <c r="AA42" s="145"/>
      <c r="AB42" s="145"/>
      <c r="AC42" s="145"/>
      <c r="AD42" s="145"/>
    </row>
    <row r="43" spans="1:30" ht="179.25" customHeight="1">
      <c r="A43" s="95">
        <f t="shared" si="0"/>
        <v>42</v>
      </c>
      <c r="B43" s="147" t="s">
        <v>5</v>
      </c>
      <c r="C43" s="96" t="s">
        <v>767</v>
      </c>
      <c r="D43" s="147">
        <v>2017</v>
      </c>
      <c r="E43" s="147" t="s">
        <v>68</v>
      </c>
      <c r="F43" s="147" t="s">
        <v>768</v>
      </c>
      <c r="G43" s="96" t="s">
        <v>769</v>
      </c>
      <c r="H43" s="147"/>
      <c r="I43" s="147"/>
      <c r="J43" s="147"/>
      <c r="K43" s="147"/>
      <c r="L43" s="147"/>
      <c r="M43" s="147" t="s">
        <v>770</v>
      </c>
      <c r="N43" s="147"/>
      <c r="O43" s="147"/>
      <c r="P43" s="147"/>
      <c r="Q43" s="147"/>
      <c r="R43" s="147"/>
      <c r="S43" s="147" t="s">
        <v>719</v>
      </c>
      <c r="T43" s="147"/>
      <c r="U43" s="147"/>
      <c r="V43" s="147"/>
      <c r="W43" s="147" t="s">
        <v>626</v>
      </c>
      <c r="X43" s="148" t="s">
        <v>675</v>
      </c>
      <c r="Y43" s="147"/>
      <c r="Z43" s="147"/>
      <c r="AA43" s="147"/>
      <c r="AB43" s="147"/>
      <c r="AC43" s="147"/>
      <c r="AD43" s="147"/>
    </row>
    <row r="44" spans="1:30" ht="193.5" customHeight="1">
      <c r="A44" s="117">
        <f t="shared" si="0"/>
        <v>43</v>
      </c>
      <c r="B44" s="144" t="s">
        <v>5</v>
      </c>
      <c r="C44" s="119" t="s">
        <v>771</v>
      </c>
      <c r="D44" s="144">
        <v>2019</v>
      </c>
      <c r="E44" s="144" t="s">
        <v>172</v>
      </c>
      <c r="F44" s="144" t="s">
        <v>772</v>
      </c>
      <c r="G44" s="119" t="s">
        <v>773</v>
      </c>
      <c r="H44" s="144" t="s">
        <v>774</v>
      </c>
      <c r="I44" s="144" t="s">
        <v>775</v>
      </c>
      <c r="J44" s="144"/>
      <c r="K44" s="144" t="s">
        <v>622</v>
      </c>
      <c r="L44" s="144"/>
      <c r="M44" s="144" t="s">
        <v>601</v>
      </c>
      <c r="N44" s="144"/>
      <c r="O44" s="144" t="s">
        <v>511</v>
      </c>
      <c r="P44" s="144"/>
      <c r="Q44" s="144"/>
      <c r="R44" s="144"/>
      <c r="S44" s="144" t="s">
        <v>776</v>
      </c>
      <c r="T44" s="144"/>
      <c r="U44" s="144" t="s">
        <v>634</v>
      </c>
      <c r="V44" s="144" t="s">
        <v>687</v>
      </c>
      <c r="W44" s="144"/>
      <c r="X44" s="144" t="s">
        <v>777</v>
      </c>
      <c r="Y44" s="144"/>
      <c r="Z44" s="144"/>
      <c r="AA44" s="144"/>
      <c r="AB44" s="144"/>
      <c r="AC44" s="144"/>
      <c r="AD44" s="144"/>
    </row>
    <row r="45" spans="1:30" ht="108" customHeight="1">
      <c r="A45" s="161">
        <f t="shared" si="0"/>
        <v>44</v>
      </c>
      <c r="B45" s="162" t="s">
        <v>5</v>
      </c>
      <c r="C45" s="163" t="s">
        <v>778</v>
      </c>
      <c r="D45" s="162">
        <v>2019</v>
      </c>
      <c r="E45" s="162" t="s">
        <v>137</v>
      </c>
      <c r="F45" s="162" t="s">
        <v>779</v>
      </c>
      <c r="G45" s="163" t="s">
        <v>780</v>
      </c>
      <c r="H45" s="162" t="s">
        <v>575</v>
      </c>
      <c r="I45" s="162" t="s">
        <v>781</v>
      </c>
      <c r="J45" s="162"/>
      <c r="K45" s="162" t="s">
        <v>477</v>
      </c>
      <c r="L45" s="162"/>
      <c r="M45" s="162" t="s">
        <v>601</v>
      </c>
      <c r="N45" s="162"/>
      <c r="O45" s="162"/>
      <c r="P45" s="162"/>
      <c r="Q45" s="162"/>
      <c r="R45" s="162"/>
      <c r="S45" s="162" t="s">
        <v>744</v>
      </c>
      <c r="T45" s="162"/>
      <c r="U45" s="162" t="s">
        <v>782</v>
      </c>
      <c r="V45" s="162" t="s">
        <v>526</v>
      </c>
      <c r="W45" s="162" t="s">
        <v>783</v>
      </c>
      <c r="X45" s="162"/>
      <c r="Y45" s="162"/>
      <c r="Z45" s="162"/>
      <c r="AA45" s="162"/>
      <c r="AB45" s="162"/>
      <c r="AC45" s="162"/>
      <c r="AD45" s="162"/>
    </row>
    <row r="46" spans="1:30" ht="267" customHeight="1">
      <c r="A46" s="30">
        <f t="shared" si="0"/>
        <v>45</v>
      </c>
      <c r="B46" s="145" t="s">
        <v>5</v>
      </c>
      <c r="C46" s="32" t="s">
        <v>784</v>
      </c>
      <c r="D46" s="145">
        <v>2017</v>
      </c>
      <c r="E46" s="145" t="s">
        <v>274</v>
      </c>
      <c r="F46" s="145" t="s">
        <v>551</v>
      </c>
      <c r="G46" s="32" t="s">
        <v>785</v>
      </c>
      <c r="H46" s="145"/>
      <c r="I46" s="145"/>
      <c r="J46" s="145"/>
      <c r="K46" s="145"/>
      <c r="L46" s="145"/>
      <c r="M46" s="145"/>
      <c r="N46" s="145"/>
      <c r="O46" s="145"/>
      <c r="P46" s="145"/>
      <c r="Q46" s="145"/>
      <c r="R46" s="145"/>
      <c r="S46" s="145"/>
      <c r="T46" s="145"/>
      <c r="U46" s="145"/>
      <c r="V46" s="145"/>
      <c r="W46" s="145"/>
      <c r="X46" s="145"/>
      <c r="Y46" s="145"/>
      <c r="Z46" s="145"/>
      <c r="AA46" s="145"/>
      <c r="AB46" s="145"/>
      <c r="AC46" s="145"/>
      <c r="AD46" s="145"/>
    </row>
    <row r="47" spans="1:30" ht="101.25" customHeight="1">
      <c r="A47" s="95">
        <f t="shared" si="0"/>
        <v>46</v>
      </c>
      <c r="B47" s="147" t="s">
        <v>5</v>
      </c>
      <c r="C47" s="96" t="s">
        <v>786</v>
      </c>
      <c r="D47" s="147">
        <v>2017</v>
      </c>
      <c r="E47" s="147" t="s">
        <v>84</v>
      </c>
      <c r="F47" s="147" t="s">
        <v>787</v>
      </c>
      <c r="G47" s="96" t="s">
        <v>788</v>
      </c>
      <c r="H47" s="147"/>
      <c r="I47" s="147" t="s">
        <v>789</v>
      </c>
      <c r="J47" s="147"/>
      <c r="K47" s="147"/>
      <c r="L47" s="147"/>
      <c r="M47" s="147" t="s">
        <v>601</v>
      </c>
      <c r="N47" s="147"/>
      <c r="O47" s="147" t="s">
        <v>790</v>
      </c>
      <c r="P47" s="147"/>
      <c r="Q47" s="147"/>
      <c r="R47" s="147"/>
      <c r="S47" s="147"/>
      <c r="T47" s="147"/>
      <c r="U47" s="147" t="s">
        <v>791</v>
      </c>
      <c r="V47" s="147"/>
      <c r="W47" s="147"/>
      <c r="X47" s="147"/>
      <c r="Y47" s="147"/>
      <c r="Z47" s="147"/>
      <c r="AA47" s="147"/>
      <c r="AB47" s="147"/>
      <c r="AC47" s="147"/>
      <c r="AD47" s="147"/>
    </row>
    <row r="48" spans="1:30" ht="276" customHeight="1">
      <c r="A48" s="161">
        <f t="shared" si="0"/>
        <v>47</v>
      </c>
      <c r="B48" s="162" t="s">
        <v>5</v>
      </c>
      <c r="C48" s="163" t="s">
        <v>792</v>
      </c>
      <c r="D48" s="162">
        <v>2018</v>
      </c>
      <c r="E48" s="162" t="s">
        <v>237</v>
      </c>
      <c r="F48" s="162" t="s">
        <v>793</v>
      </c>
      <c r="G48" s="163" t="s">
        <v>794</v>
      </c>
      <c r="H48" s="162"/>
      <c r="I48" s="162" t="s">
        <v>795</v>
      </c>
      <c r="J48" s="162"/>
      <c r="K48" s="162" t="s">
        <v>477</v>
      </c>
      <c r="L48" s="162"/>
      <c r="M48" s="162"/>
      <c r="N48" s="162"/>
      <c r="O48" s="162" t="s">
        <v>796</v>
      </c>
      <c r="P48" s="162"/>
      <c r="Q48" s="162"/>
      <c r="R48" s="162"/>
      <c r="S48" s="162"/>
      <c r="T48" s="162"/>
      <c r="U48" s="164" t="s">
        <v>797</v>
      </c>
      <c r="V48" s="162" t="s">
        <v>798</v>
      </c>
      <c r="W48" s="162" t="s">
        <v>626</v>
      </c>
      <c r="X48" s="162"/>
      <c r="Y48" s="162"/>
      <c r="Z48" s="162"/>
      <c r="AA48" s="162"/>
      <c r="AB48" s="162"/>
      <c r="AC48" s="162"/>
      <c r="AD48" s="162"/>
    </row>
    <row r="49" spans="1:30" ht="190.5" customHeight="1">
      <c r="A49" s="150">
        <f t="shared" si="0"/>
        <v>48</v>
      </c>
      <c r="B49" s="151" t="s">
        <v>5</v>
      </c>
      <c r="C49" s="152" t="s">
        <v>799</v>
      </c>
      <c r="D49" s="151">
        <v>2017</v>
      </c>
      <c r="E49" s="151" t="s">
        <v>34</v>
      </c>
      <c r="F49" s="151"/>
      <c r="G49" s="152" t="s">
        <v>800</v>
      </c>
      <c r="H49" s="151"/>
      <c r="I49" s="151"/>
      <c r="J49" s="151" t="s">
        <v>801</v>
      </c>
      <c r="K49" s="151" t="s">
        <v>802</v>
      </c>
      <c r="L49" s="151"/>
      <c r="M49" s="151" t="s">
        <v>601</v>
      </c>
      <c r="N49" s="151"/>
      <c r="O49" s="151" t="s">
        <v>803</v>
      </c>
      <c r="P49" s="151"/>
      <c r="Q49" s="151"/>
      <c r="R49" s="151"/>
      <c r="S49" s="151" t="s">
        <v>705</v>
      </c>
      <c r="T49" s="151"/>
      <c r="U49" s="151" t="s">
        <v>580</v>
      </c>
      <c r="V49" s="151" t="s">
        <v>483</v>
      </c>
      <c r="W49" s="151" t="s">
        <v>804</v>
      </c>
      <c r="X49" s="151"/>
      <c r="Y49" s="151"/>
      <c r="Z49" s="151"/>
      <c r="AA49" s="151"/>
      <c r="AB49" s="151"/>
      <c r="AC49" s="151"/>
      <c r="AD49" s="151"/>
    </row>
    <row r="50" spans="1:30" ht="157.5" customHeight="1">
      <c r="A50" s="157">
        <f t="shared" si="0"/>
        <v>49</v>
      </c>
      <c r="B50" s="158" t="s">
        <v>5</v>
      </c>
      <c r="C50" s="159" t="s">
        <v>805</v>
      </c>
      <c r="D50" s="158">
        <v>2017</v>
      </c>
      <c r="E50" s="158" t="s">
        <v>131</v>
      </c>
      <c r="F50" s="158" t="s">
        <v>806</v>
      </c>
      <c r="G50" s="159" t="s">
        <v>807</v>
      </c>
      <c r="H50" s="158" t="s">
        <v>591</v>
      </c>
      <c r="I50" s="158" t="s">
        <v>808</v>
      </c>
      <c r="J50" s="158"/>
      <c r="K50" s="158" t="s">
        <v>809</v>
      </c>
      <c r="L50" s="158"/>
      <c r="M50" s="158" t="s">
        <v>601</v>
      </c>
      <c r="N50" s="158"/>
      <c r="O50" s="158" t="s">
        <v>511</v>
      </c>
      <c r="P50" s="158"/>
      <c r="Q50" s="158"/>
      <c r="R50" s="158"/>
      <c r="S50" s="158" t="s">
        <v>810</v>
      </c>
      <c r="T50" s="158"/>
      <c r="U50" s="158" t="s">
        <v>811</v>
      </c>
      <c r="V50" s="158" t="s">
        <v>812</v>
      </c>
      <c r="W50" s="158" t="s">
        <v>813</v>
      </c>
      <c r="X50" s="158"/>
      <c r="Y50" s="158"/>
      <c r="Z50" s="158"/>
      <c r="AA50" s="158"/>
      <c r="AB50" s="158"/>
      <c r="AC50" s="158"/>
      <c r="AD50" s="158"/>
    </row>
    <row r="51" spans="1:30" ht="177.75" customHeight="1">
      <c r="A51" s="95">
        <f t="shared" si="0"/>
        <v>50</v>
      </c>
      <c r="B51" s="147" t="s">
        <v>5</v>
      </c>
      <c r="C51" s="96" t="s">
        <v>814</v>
      </c>
      <c r="D51" s="147">
        <v>2017</v>
      </c>
      <c r="E51" s="147" t="s">
        <v>243</v>
      </c>
      <c r="F51" s="147"/>
      <c r="G51" s="96" t="s">
        <v>815</v>
      </c>
      <c r="H51" s="147" t="s">
        <v>575</v>
      </c>
      <c r="I51" s="147" t="s">
        <v>816</v>
      </c>
      <c r="J51" s="147"/>
      <c r="K51" s="147"/>
      <c r="L51" s="147"/>
      <c r="M51" s="147" t="s">
        <v>817</v>
      </c>
      <c r="N51" s="147"/>
      <c r="O51" s="147" t="s">
        <v>818</v>
      </c>
      <c r="P51" s="147"/>
      <c r="Q51" s="147"/>
      <c r="R51" s="147"/>
      <c r="S51" s="147" t="s">
        <v>694</v>
      </c>
      <c r="T51" s="147"/>
      <c r="U51" s="147"/>
      <c r="V51" s="147"/>
      <c r="W51" s="147" t="s">
        <v>497</v>
      </c>
      <c r="X51" s="147" t="s">
        <v>819</v>
      </c>
      <c r="Y51" s="147"/>
      <c r="Z51" s="147"/>
      <c r="AA51" s="147"/>
      <c r="AB51" s="147"/>
      <c r="AC51" s="147"/>
      <c r="AD51" s="147"/>
    </row>
    <row r="52" spans="1:30" ht="132" customHeight="1">
      <c r="A52" s="161">
        <f t="shared" si="0"/>
        <v>51</v>
      </c>
      <c r="B52" s="162" t="s">
        <v>5</v>
      </c>
      <c r="C52" s="163" t="s">
        <v>820</v>
      </c>
      <c r="D52" s="162">
        <v>2018</v>
      </c>
      <c r="E52" s="162" t="s">
        <v>248</v>
      </c>
      <c r="F52" s="162" t="s">
        <v>821</v>
      </c>
      <c r="G52" s="163" t="s">
        <v>822</v>
      </c>
      <c r="H52" s="162"/>
      <c r="I52" s="162" t="s">
        <v>823</v>
      </c>
      <c r="J52" s="162"/>
      <c r="K52" s="162" t="s">
        <v>477</v>
      </c>
      <c r="L52" s="162"/>
      <c r="M52" s="162" t="s">
        <v>601</v>
      </c>
      <c r="N52" s="162"/>
      <c r="O52" s="162" t="s">
        <v>824</v>
      </c>
      <c r="P52" s="162"/>
      <c r="Q52" s="162"/>
      <c r="R52" s="162"/>
      <c r="S52" s="162"/>
      <c r="T52" s="162"/>
      <c r="U52" s="162" t="s">
        <v>825</v>
      </c>
      <c r="V52" s="162" t="s">
        <v>687</v>
      </c>
      <c r="W52" s="162" t="s">
        <v>497</v>
      </c>
      <c r="X52" s="162"/>
      <c r="Y52" s="162"/>
      <c r="Z52" s="162"/>
      <c r="AA52" s="162"/>
      <c r="AB52" s="162"/>
      <c r="AC52" s="162"/>
      <c r="AD52" s="162"/>
    </row>
    <row r="53" spans="1:30" ht="208.5" customHeight="1">
      <c r="A53" s="95">
        <f t="shared" si="0"/>
        <v>52</v>
      </c>
      <c r="B53" s="147" t="s">
        <v>5</v>
      </c>
      <c r="C53" s="96" t="s">
        <v>826</v>
      </c>
      <c r="D53" s="147">
        <v>2019</v>
      </c>
      <c r="E53" s="147" t="s">
        <v>111</v>
      </c>
      <c r="F53" s="147" t="s">
        <v>827</v>
      </c>
      <c r="G53" s="96" t="s">
        <v>828</v>
      </c>
      <c r="H53" s="147"/>
      <c r="I53" s="147"/>
      <c r="J53" s="147"/>
      <c r="K53" s="147"/>
      <c r="L53" s="147"/>
      <c r="M53" s="147"/>
      <c r="N53" s="147"/>
      <c r="O53" s="147" t="s">
        <v>829</v>
      </c>
      <c r="P53" s="147"/>
      <c r="Q53" s="147"/>
      <c r="R53" s="147"/>
      <c r="S53" s="147" t="s">
        <v>830</v>
      </c>
      <c r="T53" s="147"/>
      <c r="U53" s="147" t="s">
        <v>580</v>
      </c>
      <c r="V53" s="147"/>
      <c r="W53" s="147"/>
      <c r="X53" s="147" t="s">
        <v>831</v>
      </c>
      <c r="Y53" s="147"/>
      <c r="Z53" s="147"/>
      <c r="AA53" s="147"/>
      <c r="AB53" s="147"/>
      <c r="AC53" s="147"/>
      <c r="AD53" s="147"/>
    </row>
    <row r="54" spans="1:30" ht="98.25" customHeight="1">
      <c r="A54" s="95">
        <f t="shared" si="0"/>
        <v>53</v>
      </c>
      <c r="B54" s="147" t="s">
        <v>5</v>
      </c>
      <c r="C54" s="96" t="s">
        <v>832</v>
      </c>
      <c r="D54" s="147">
        <v>2015</v>
      </c>
      <c r="E54" s="147" t="s">
        <v>281</v>
      </c>
      <c r="F54" s="147" t="s">
        <v>833</v>
      </c>
      <c r="G54" s="96" t="s">
        <v>834</v>
      </c>
      <c r="H54" s="147"/>
      <c r="I54" s="147"/>
      <c r="J54" s="147"/>
      <c r="K54" s="147"/>
      <c r="L54" s="147"/>
      <c r="M54" s="147" t="s">
        <v>601</v>
      </c>
      <c r="N54" s="147"/>
      <c r="O54" s="147" t="s">
        <v>835</v>
      </c>
      <c r="P54" s="147"/>
      <c r="Q54" s="147"/>
      <c r="R54" s="147"/>
      <c r="S54" s="147" t="s">
        <v>836</v>
      </c>
      <c r="T54" s="147"/>
      <c r="U54" s="147" t="s">
        <v>715</v>
      </c>
      <c r="V54" s="147" t="s">
        <v>483</v>
      </c>
      <c r="W54" s="147" t="s">
        <v>497</v>
      </c>
      <c r="X54" s="147"/>
      <c r="Y54" s="147"/>
      <c r="Z54" s="147"/>
      <c r="AA54" s="147"/>
      <c r="AB54" s="147"/>
      <c r="AC54" s="147"/>
      <c r="AD54" s="147"/>
    </row>
    <row r="55" spans="1:30" ht="261" customHeight="1">
      <c r="A55" s="95">
        <f t="shared" si="0"/>
        <v>54</v>
      </c>
      <c r="B55" s="147" t="s">
        <v>5</v>
      </c>
      <c r="C55" s="96" t="s">
        <v>837</v>
      </c>
      <c r="D55" s="147">
        <v>2015</v>
      </c>
      <c r="E55" s="147" t="s">
        <v>271</v>
      </c>
      <c r="F55" s="147" t="s">
        <v>838</v>
      </c>
      <c r="G55" s="96" t="s">
        <v>839</v>
      </c>
      <c r="H55" s="147"/>
      <c r="I55" s="147"/>
      <c r="J55" s="147"/>
      <c r="K55" s="147"/>
      <c r="L55" s="147"/>
      <c r="M55" s="147"/>
      <c r="N55" s="147"/>
      <c r="O55" s="147" t="s">
        <v>840</v>
      </c>
      <c r="P55" s="147"/>
      <c r="Q55" s="147"/>
      <c r="R55" s="147"/>
      <c r="S55" s="147"/>
      <c r="T55" s="147"/>
      <c r="U55" s="147" t="s">
        <v>841</v>
      </c>
      <c r="V55" s="147"/>
      <c r="W55" s="147"/>
      <c r="X55" s="147"/>
      <c r="Y55" s="147"/>
      <c r="Z55" s="147"/>
      <c r="AA55" s="147"/>
      <c r="AB55" s="147"/>
      <c r="AC55" s="147"/>
      <c r="AD55" s="147"/>
    </row>
    <row r="56" spans="1:30" ht="264" customHeight="1">
      <c r="A56" s="30">
        <f t="shared" si="0"/>
        <v>55</v>
      </c>
      <c r="B56" s="145" t="s">
        <v>5</v>
      </c>
      <c r="C56" s="32" t="s">
        <v>842</v>
      </c>
      <c r="D56" s="145">
        <v>2015</v>
      </c>
      <c r="E56" s="145" t="s">
        <v>134</v>
      </c>
      <c r="F56" s="145" t="s">
        <v>843</v>
      </c>
      <c r="G56" s="32" t="s">
        <v>844</v>
      </c>
      <c r="H56" s="145"/>
      <c r="I56" s="145"/>
      <c r="J56" s="145"/>
      <c r="K56" s="145"/>
      <c r="L56" s="145"/>
      <c r="M56" s="145"/>
      <c r="N56" s="145"/>
      <c r="O56" s="145"/>
      <c r="P56" s="145"/>
      <c r="Q56" s="145"/>
      <c r="R56" s="145"/>
      <c r="S56" s="145"/>
      <c r="T56" s="145"/>
      <c r="U56" s="145"/>
      <c r="V56" s="145"/>
      <c r="W56" s="145"/>
      <c r="X56" s="145"/>
      <c r="Y56" s="145"/>
      <c r="Z56" s="145"/>
      <c r="AA56" s="145"/>
      <c r="AB56" s="145"/>
      <c r="AC56" s="145"/>
      <c r="AD56" s="145"/>
    </row>
    <row r="57" spans="1:30" ht="157.5" customHeight="1">
      <c r="A57" s="95">
        <f t="shared" si="0"/>
        <v>56</v>
      </c>
      <c r="B57" s="147" t="s">
        <v>5</v>
      </c>
      <c r="C57" s="96" t="s">
        <v>845</v>
      </c>
      <c r="D57" s="147">
        <v>2017</v>
      </c>
      <c r="E57" s="147" t="s">
        <v>307</v>
      </c>
      <c r="F57" s="147" t="s">
        <v>846</v>
      </c>
      <c r="G57" s="96" t="s">
        <v>847</v>
      </c>
      <c r="H57" s="147" t="s">
        <v>575</v>
      </c>
      <c r="I57" s="147"/>
      <c r="J57" s="147" t="s">
        <v>848</v>
      </c>
      <c r="K57" s="147"/>
      <c r="L57" s="147"/>
      <c r="M57" s="147"/>
      <c r="N57" s="147"/>
      <c r="O57" s="147"/>
      <c r="P57" s="147"/>
      <c r="Q57" s="147"/>
      <c r="R57" s="147"/>
      <c r="S57" s="147"/>
      <c r="T57" s="147"/>
      <c r="U57" s="147" t="s">
        <v>849</v>
      </c>
      <c r="V57" s="147" t="s">
        <v>483</v>
      </c>
      <c r="W57" s="147" t="s">
        <v>497</v>
      </c>
      <c r="X57" s="147"/>
      <c r="Y57" s="147"/>
      <c r="Z57" s="147"/>
      <c r="AA57" s="147"/>
      <c r="AB57" s="147"/>
      <c r="AC57" s="147"/>
      <c r="AD57" s="147"/>
    </row>
    <row r="58" spans="1:30" ht="267" customHeight="1">
      <c r="A58" s="30">
        <f t="shared" si="0"/>
        <v>57</v>
      </c>
      <c r="B58" s="145" t="s">
        <v>5</v>
      </c>
      <c r="C58" s="32" t="s">
        <v>850</v>
      </c>
      <c r="D58" s="145">
        <v>2019</v>
      </c>
      <c r="E58" s="145" t="s">
        <v>102</v>
      </c>
      <c r="F58" s="145" t="s">
        <v>851</v>
      </c>
      <c r="G58" s="32" t="s">
        <v>852</v>
      </c>
      <c r="H58" s="145"/>
      <c r="I58" s="145"/>
      <c r="J58" s="145"/>
      <c r="K58" s="145"/>
      <c r="L58" s="145"/>
      <c r="M58" s="145"/>
      <c r="N58" s="145"/>
      <c r="O58" s="145" t="s">
        <v>504</v>
      </c>
      <c r="P58" s="145"/>
      <c r="Q58" s="145"/>
      <c r="R58" s="145"/>
      <c r="S58" s="145" t="s">
        <v>694</v>
      </c>
      <c r="T58" s="145"/>
      <c r="U58" s="145"/>
      <c r="V58" s="145"/>
      <c r="W58" s="145"/>
      <c r="X58" s="145" t="s">
        <v>853</v>
      </c>
      <c r="Y58" s="145"/>
      <c r="Z58" s="145"/>
      <c r="AA58" s="145"/>
      <c r="AB58" s="145"/>
      <c r="AC58" s="145"/>
      <c r="AD58" s="145"/>
    </row>
    <row r="59" spans="1:30" ht="186.75" customHeight="1">
      <c r="A59" s="117">
        <f t="shared" si="0"/>
        <v>58</v>
      </c>
      <c r="B59" s="144" t="s">
        <v>5</v>
      </c>
      <c r="C59" s="119" t="s">
        <v>854</v>
      </c>
      <c r="D59" s="144">
        <v>2017</v>
      </c>
      <c r="E59" s="144" t="s">
        <v>171</v>
      </c>
      <c r="F59" s="144"/>
      <c r="G59" s="119" t="s">
        <v>855</v>
      </c>
      <c r="H59" s="144"/>
      <c r="I59" s="144"/>
      <c r="J59" s="144"/>
      <c r="K59" s="144" t="s">
        <v>622</v>
      </c>
      <c r="L59" s="144"/>
      <c r="M59" s="144" t="s">
        <v>601</v>
      </c>
      <c r="N59" s="144"/>
      <c r="O59" s="144" t="s">
        <v>856</v>
      </c>
      <c r="P59" s="144"/>
      <c r="Q59" s="144"/>
      <c r="R59" s="144"/>
      <c r="S59" s="144" t="s">
        <v>857</v>
      </c>
      <c r="T59" s="144"/>
      <c r="U59" s="144" t="s">
        <v>858</v>
      </c>
      <c r="V59" s="144" t="s">
        <v>687</v>
      </c>
      <c r="W59" s="144" t="s">
        <v>859</v>
      </c>
      <c r="X59" s="144"/>
      <c r="Y59" s="144"/>
      <c r="Z59" s="144"/>
      <c r="AA59" s="144"/>
      <c r="AB59" s="144"/>
      <c r="AC59" s="144"/>
      <c r="AD59" s="144"/>
    </row>
    <row r="60" spans="1:30" ht="157.5" customHeight="1">
      <c r="A60" s="161">
        <f t="shared" si="0"/>
        <v>59</v>
      </c>
      <c r="B60" s="162" t="s">
        <v>5</v>
      </c>
      <c r="C60" s="163" t="s">
        <v>860</v>
      </c>
      <c r="D60" s="162">
        <v>2017</v>
      </c>
      <c r="E60" s="162" t="s">
        <v>297</v>
      </c>
      <c r="F60" s="162" t="s">
        <v>861</v>
      </c>
      <c r="G60" s="163" t="s">
        <v>862</v>
      </c>
      <c r="H60" s="162" t="s">
        <v>575</v>
      </c>
      <c r="I60" s="162" t="s">
        <v>863</v>
      </c>
      <c r="J60" s="162" t="s">
        <v>864</v>
      </c>
      <c r="K60" s="162" t="s">
        <v>477</v>
      </c>
      <c r="L60" s="162"/>
      <c r="M60" s="162" t="s">
        <v>601</v>
      </c>
      <c r="N60" s="162"/>
      <c r="O60" s="162" t="s">
        <v>713</v>
      </c>
      <c r="P60" s="162"/>
      <c r="Q60" s="162"/>
      <c r="R60" s="162"/>
      <c r="S60" s="162" t="s">
        <v>865</v>
      </c>
      <c r="T60" s="162" t="s">
        <v>866</v>
      </c>
      <c r="U60" s="162" t="s">
        <v>867</v>
      </c>
      <c r="V60" s="162" t="s">
        <v>526</v>
      </c>
      <c r="W60" s="162" t="s">
        <v>497</v>
      </c>
      <c r="X60" s="162"/>
      <c r="Y60" s="162"/>
      <c r="Z60" s="162"/>
      <c r="AA60" s="162"/>
      <c r="AB60" s="162"/>
      <c r="AC60" s="162"/>
      <c r="AD60" s="162"/>
    </row>
    <row r="61" spans="1:30" ht="157.5" customHeight="1">
      <c r="A61" s="161">
        <f t="shared" si="0"/>
        <v>60</v>
      </c>
      <c r="B61" s="162" t="s">
        <v>5</v>
      </c>
      <c r="C61" s="163" t="s">
        <v>868</v>
      </c>
      <c r="D61" s="162">
        <v>2015</v>
      </c>
      <c r="E61" s="162" t="s">
        <v>869</v>
      </c>
      <c r="F61" s="162" t="s">
        <v>870</v>
      </c>
      <c r="G61" s="163" t="s">
        <v>871</v>
      </c>
      <c r="H61" s="162"/>
      <c r="I61" s="162"/>
      <c r="J61" s="162"/>
      <c r="K61" s="162" t="s">
        <v>477</v>
      </c>
      <c r="L61" s="162"/>
      <c r="M61" s="162" t="s">
        <v>601</v>
      </c>
      <c r="N61" s="162"/>
      <c r="O61" s="162" t="s">
        <v>872</v>
      </c>
      <c r="P61" s="162"/>
      <c r="Q61" s="162"/>
      <c r="R61" s="162"/>
      <c r="S61" s="162" t="s">
        <v>873</v>
      </c>
      <c r="T61" s="162"/>
      <c r="U61" s="162" t="s">
        <v>874</v>
      </c>
      <c r="V61" s="162" t="s">
        <v>483</v>
      </c>
      <c r="W61" s="162" t="s">
        <v>497</v>
      </c>
      <c r="X61" s="162"/>
      <c r="Y61" s="162"/>
      <c r="Z61" s="162"/>
      <c r="AA61" s="162"/>
      <c r="AB61" s="162"/>
      <c r="AC61" s="162"/>
      <c r="AD61" s="162"/>
    </row>
    <row r="62" spans="1:30" ht="115.5" customHeight="1">
      <c r="A62" s="30">
        <f t="shared" si="0"/>
        <v>61</v>
      </c>
      <c r="B62" s="145" t="s">
        <v>5</v>
      </c>
      <c r="C62" s="32" t="s">
        <v>875</v>
      </c>
      <c r="D62" s="145">
        <v>2018</v>
      </c>
      <c r="E62" s="145" t="s">
        <v>75</v>
      </c>
      <c r="F62" s="145" t="s">
        <v>876</v>
      </c>
      <c r="G62" s="32" t="s">
        <v>877</v>
      </c>
      <c r="H62" s="145"/>
      <c r="I62" s="145" t="s">
        <v>878</v>
      </c>
      <c r="J62" s="145"/>
      <c r="K62" s="145"/>
      <c r="L62" s="145"/>
      <c r="M62" s="145"/>
      <c r="N62" s="145"/>
      <c r="O62" s="145"/>
      <c r="P62" s="145"/>
      <c r="Q62" s="145"/>
      <c r="R62" s="145"/>
      <c r="S62" s="145"/>
      <c r="T62" s="145"/>
      <c r="U62" s="145"/>
      <c r="V62" s="145"/>
      <c r="W62" s="145"/>
      <c r="X62" s="145"/>
      <c r="Y62" s="145"/>
      <c r="Z62" s="145"/>
      <c r="AA62" s="145"/>
      <c r="AB62" s="145"/>
      <c r="AC62" s="145"/>
      <c r="AD62" s="145"/>
    </row>
    <row r="63" spans="1:30" ht="257.25" customHeight="1">
      <c r="A63" s="95">
        <f t="shared" si="0"/>
        <v>62</v>
      </c>
      <c r="B63" s="147" t="s">
        <v>5</v>
      </c>
      <c r="C63" s="96" t="s">
        <v>879</v>
      </c>
      <c r="D63" s="147">
        <v>2020</v>
      </c>
      <c r="E63" s="147" t="s">
        <v>114</v>
      </c>
      <c r="F63" s="147" t="s">
        <v>880</v>
      </c>
      <c r="G63" s="96" t="s">
        <v>881</v>
      </c>
      <c r="H63" s="147" t="s">
        <v>882</v>
      </c>
      <c r="I63" s="147" t="s">
        <v>883</v>
      </c>
      <c r="J63" s="147"/>
      <c r="K63" s="147"/>
      <c r="L63" s="147"/>
      <c r="M63" s="147"/>
      <c r="N63" s="147"/>
      <c r="O63" s="147"/>
      <c r="P63" s="147"/>
      <c r="Q63" s="147"/>
      <c r="R63" s="147"/>
      <c r="S63" s="147"/>
      <c r="T63" s="147"/>
      <c r="U63" s="147"/>
      <c r="V63" s="147"/>
      <c r="W63" s="147"/>
      <c r="X63" s="147" t="s">
        <v>884</v>
      </c>
      <c r="Y63" s="147"/>
      <c r="Z63" s="147"/>
      <c r="AA63" s="147"/>
      <c r="AB63" s="147"/>
      <c r="AC63" s="147"/>
      <c r="AD63" s="147"/>
    </row>
    <row r="64" spans="1:30" ht="193.5" customHeight="1">
      <c r="A64" s="95">
        <f t="shared" si="0"/>
        <v>63</v>
      </c>
      <c r="B64" s="147" t="s">
        <v>5</v>
      </c>
      <c r="C64" s="96" t="s">
        <v>885</v>
      </c>
      <c r="D64" s="147">
        <v>2019</v>
      </c>
      <c r="E64" s="147" t="s">
        <v>241</v>
      </c>
      <c r="F64" s="147" t="s">
        <v>886</v>
      </c>
      <c r="G64" s="96" t="s">
        <v>887</v>
      </c>
      <c r="H64" s="147"/>
      <c r="I64" s="147"/>
      <c r="J64" s="147"/>
      <c r="K64" s="147"/>
      <c r="L64" s="147"/>
      <c r="M64" s="147"/>
      <c r="N64" s="147"/>
      <c r="O64" s="147" t="s">
        <v>790</v>
      </c>
      <c r="P64" s="147"/>
      <c r="Q64" s="147"/>
      <c r="R64" s="147"/>
      <c r="S64" s="147"/>
      <c r="T64" s="147"/>
      <c r="U64" s="147" t="s">
        <v>888</v>
      </c>
      <c r="V64" s="147"/>
      <c r="W64" s="147"/>
      <c r="X64" s="147" t="s">
        <v>889</v>
      </c>
      <c r="Y64" s="147"/>
      <c r="Z64" s="147"/>
      <c r="AA64" s="147"/>
      <c r="AB64" s="147"/>
      <c r="AC64" s="147"/>
      <c r="AD64" s="147"/>
    </row>
    <row r="65" spans="1:30" ht="140.25" customHeight="1">
      <c r="A65" s="95">
        <f t="shared" si="0"/>
        <v>64</v>
      </c>
      <c r="B65" s="147" t="s">
        <v>5</v>
      </c>
      <c r="C65" s="96" t="s">
        <v>890</v>
      </c>
      <c r="D65" s="147">
        <v>2019</v>
      </c>
      <c r="E65" s="147" t="s">
        <v>273</v>
      </c>
      <c r="F65" s="147" t="s">
        <v>891</v>
      </c>
      <c r="G65" s="96" t="s">
        <v>892</v>
      </c>
      <c r="H65" s="147" t="s">
        <v>575</v>
      </c>
      <c r="I65" s="147"/>
      <c r="J65" s="147"/>
      <c r="K65" s="147"/>
      <c r="L65" s="147"/>
      <c r="M65" s="147" t="s">
        <v>601</v>
      </c>
      <c r="N65" s="147"/>
      <c r="O65" s="147"/>
      <c r="P65" s="147"/>
      <c r="Q65" s="147"/>
      <c r="R65" s="147"/>
      <c r="S65" s="147"/>
      <c r="T65" s="147"/>
      <c r="U65" s="147"/>
      <c r="V65" s="147"/>
      <c r="W65" s="147"/>
      <c r="X65" s="147" t="s">
        <v>893</v>
      </c>
      <c r="Y65" s="147"/>
      <c r="Z65" s="147"/>
      <c r="AA65" s="147"/>
      <c r="AB65" s="147"/>
      <c r="AC65" s="147"/>
      <c r="AD65" s="147"/>
    </row>
    <row r="66" spans="1:30" ht="157.5" customHeight="1">
      <c r="A66" s="95">
        <f t="shared" si="0"/>
        <v>65</v>
      </c>
      <c r="B66" s="147" t="s">
        <v>5</v>
      </c>
      <c r="C66" s="96" t="s">
        <v>894</v>
      </c>
      <c r="D66" s="147">
        <v>2017</v>
      </c>
      <c r="E66" s="147" t="s">
        <v>244</v>
      </c>
      <c r="F66" s="147" t="s">
        <v>895</v>
      </c>
      <c r="G66" s="96" t="s">
        <v>896</v>
      </c>
      <c r="H66" s="147"/>
      <c r="I66" s="147" t="s">
        <v>551</v>
      </c>
      <c r="J66" s="147"/>
      <c r="K66" s="147"/>
      <c r="L66" s="147"/>
      <c r="M66" s="147"/>
      <c r="N66" s="147"/>
      <c r="O66" s="147"/>
      <c r="P66" s="147"/>
      <c r="Q66" s="147"/>
      <c r="R66" s="147"/>
      <c r="S66" s="147"/>
      <c r="T66" s="147"/>
      <c r="U66" s="147"/>
      <c r="V66" s="147"/>
      <c r="W66" s="147"/>
      <c r="X66" s="147" t="s">
        <v>897</v>
      </c>
      <c r="Y66" s="147"/>
      <c r="Z66" s="147"/>
      <c r="AA66" s="147"/>
      <c r="AB66" s="147"/>
      <c r="AC66" s="147"/>
      <c r="AD66" s="147"/>
    </row>
    <row r="67" spans="1:30" ht="261" customHeight="1">
      <c r="A67" s="95">
        <f t="shared" si="0"/>
        <v>66</v>
      </c>
      <c r="B67" s="147" t="s">
        <v>5</v>
      </c>
      <c r="C67" s="96" t="s">
        <v>898</v>
      </c>
      <c r="D67" s="147">
        <v>2016</v>
      </c>
      <c r="E67" s="147" t="s">
        <v>199</v>
      </c>
      <c r="F67" s="147" t="s">
        <v>899</v>
      </c>
      <c r="G67" s="96" t="s">
        <v>900</v>
      </c>
      <c r="H67" s="147"/>
      <c r="I67" s="147"/>
      <c r="J67" s="147" t="s">
        <v>901</v>
      </c>
      <c r="K67" s="147"/>
      <c r="L67" s="147"/>
      <c r="M67" s="147" t="s">
        <v>902</v>
      </c>
      <c r="N67" s="147"/>
      <c r="O67" s="147"/>
      <c r="P67" s="147"/>
      <c r="Q67" s="147"/>
      <c r="R67" s="147"/>
      <c r="S67" s="147" t="s">
        <v>903</v>
      </c>
      <c r="T67" s="147"/>
      <c r="U67" s="147" t="s">
        <v>904</v>
      </c>
      <c r="V67" s="147" t="s">
        <v>483</v>
      </c>
      <c r="W67" s="147"/>
      <c r="X67" s="147" t="s">
        <v>675</v>
      </c>
      <c r="Y67" s="147"/>
      <c r="Z67" s="147"/>
      <c r="AA67" s="147"/>
      <c r="AB67" s="147"/>
      <c r="AC67" s="147"/>
      <c r="AD67" s="147"/>
    </row>
    <row r="68" spans="1:30" ht="136.5" customHeight="1">
      <c r="A68" s="43">
        <f t="shared" si="0"/>
        <v>67</v>
      </c>
      <c r="B68" s="149" t="s">
        <v>5</v>
      </c>
      <c r="C68" s="45" t="s">
        <v>905</v>
      </c>
      <c r="D68" s="149">
        <v>2017</v>
      </c>
      <c r="E68" s="149" t="s">
        <v>65</v>
      </c>
      <c r="F68" s="149" t="s">
        <v>906</v>
      </c>
      <c r="G68" s="45" t="s">
        <v>907</v>
      </c>
      <c r="H68" s="149"/>
      <c r="I68" s="149" t="s">
        <v>908</v>
      </c>
      <c r="J68" s="149"/>
      <c r="K68" s="156" t="s">
        <v>477</v>
      </c>
      <c r="L68" s="149"/>
      <c r="M68" s="149" t="s">
        <v>909</v>
      </c>
      <c r="N68" s="149"/>
      <c r="O68" s="149" t="s">
        <v>910</v>
      </c>
      <c r="P68" s="149"/>
      <c r="Q68" s="149"/>
      <c r="R68" s="149"/>
      <c r="S68" s="149"/>
      <c r="T68" s="149"/>
      <c r="U68" s="149"/>
      <c r="V68" s="149" t="s">
        <v>483</v>
      </c>
      <c r="W68" s="149" t="s">
        <v>497</v>
      </c>
      <c r="X68" s="165" t="s">
        <v>911</v>
      </c>
      <c r="Y68" s="149"/>
      <c r="Z68" s="149"/>
      <c r="AA68" s="149"/>
      <c r="AB68" s="149"/>
      <c r="AC68" s="149"/>
      <c r="AD68" s="149"/>
    </row>
    <row r="69" spans="1:30" ht="157.5" customHeight="1">
      <c r="A69" s="43">
        <f t="shared" si="0"/>
        <v>68</v>
      </c>
      <c r="B69" s="149" t="s">
        <v>5</v>
      </c>
      <c r="C69" s="45" t="s">
        <v>912</v>
      </c>
      <c r="D69" s="149">
        <v>2020</v>
      </c>
      <c r="E69" s="149" t="s">
        <v>246</v>
      </c>
      <c r="F69" s="149" t="s">
        <v>913</v>
      </c>
      <c r="G69" s="45" t="s">
        <v>914</v>
      </c>
      <c r="H69" s="149" t="s">
        <v>664</v>
      </c>
      <c r="I69" s="149"/>
      <c r="J69" s="149" t="s">
        <v>712</v>
      </c>
      <c r="K69" s="156" t="s">
        <v>477</v>
      </c>
      <c r="L69" s="149"/>
      <c r="M69" s="149" t="s">
        <v>915</v>
      </c>
      <c r="N69" s="149"/>
      <c r="O69" s="149" t="s">
        <v>713</v>
      </c>
      <c r="P69" s="149"/>
      <c r="Q69" s="149"/>
      <c r="R69" s="149"/>
      <c r="S69" s="149" t="s">
        <v>903</v>
      </c>
      <c r="T69" s="149"/>
      <c r="U69" s="149" t="s">
        <v>715</v>
      </c>
      <c r="V69" s="149" t="s">
        <v>812</v>
      </c>
      <c r="W69" s="149" t="s">
        <v>497</v>
      </c>
      <c r="X69" s="149"/>
      <c r="Y69" s="149"/>
      <c r="Z69" s="149"/>
      <c r="AA69" s="149"/>
      <c r="AB69" s="149"/>
      <c r="AC69" s="149"/>
      <c r="AD69" s="149"/>
    </row>
    <row r="70" spans="1:30" ht="157.5" customHeight="1">
      <c r="A70" s="95">
        <f t="shared" si="0"/>
        <v>69</v>
      </c>
      <c r="B70" s="147" t="s">
        <v>5</v>
      </c>
      <c r="C70" s="96" t="s">
        <v>916</v>
      </c>
      <c r="D70" s="147">
        <v>2016</v>
      </c>
      <c r="E70" s="147" t="s">
        <v>917</v>
      </c>
      <c r="F70" s="147" t="s">
        <v>918</v>
      </c>
      <c r="G70" s="96" t="s">
        <v>919</v>
      </c>
      <c r="H70" s="147"/>
      <c r="I70" s="147"/>
      <c r="J70" s="147"/>
      <c r="K70" s="147"/>
      <c r="L70" s="147"/>
      <c r="M70" s="147"/>
      <c r="N70" s="147"/>
      <c r="O70" s="147" t="s">
        <v>920</v>
      </c>
      <c r="P70" s="147"/>
      <c r="Q70" s="147"/>
      <c r="R70" s="147"/>
      <c r="S70" s="147" t="s">
        <v>921</v>
      </c>
      <c r="T70" s="147"/>
      <c r="U70" s="147" t="s">
        <v>922</v>
      </c>
      <c r="V70" s="147"/>
      <c r="W70" s="147" t="s">
        <v>923</v>
      </c>
      <c r="X70" s="147" t="s">
        <v>924</v>
      </c>
      <c r="Y70" s="147"/>
      <c r="Z70" s="147"/>
      <c r="AA70" s="147"/>
      <c r="AB70" s="147"/>
      <c r="AC70" s="147"/>
      <c r="AD70" s="147"/>
    </row>
    <row r="71" spans="1:30" ht="157.5" customHeight="1">
      <c r="A71" s="30">
        <f t="shared" si="0"/>
        <v>70</v>
      </c>
      <c r="B71" s="145" t="s">
        <v>5</v>
      </c>
      <c r="C71" s="32" t="s">
        <v>925</v>
      </c>
      <c r="D71" s="145">
        <v>2019</v>
      </c>
      <c r="E71" s="145" t="s">
        <v>926</v>
      </c>
      <c r="F71" s="145" t="s">
        <v>927</v>
      </c>
      <c r="G71" s="32" t="s">
        <v>928</v>
      </c>
      <c r="H71" s="145"/>
      <c r="I71" s="145" t="s">
        <v>929</v>
      </c>
      <c r="J71" s="145"/>
      <c r="K71" s="145"/>
      <c r="L71" s="145"/>
      <c r="M71" s="145"/>
      <c r="N71" s="145"/>
      <c r="O71" s="145"/>
      <c r="P71" s="145"/>
      <c r="Q71" s="145"/>
      <c r="R71" s="145"/>
      <c r="S71" s="145"/>
      <c r="T71" s="145"/>
      <c r="U71" s="145"/>
      <c r="V71" s="145"/>
      <c r="W71" s="145"/>
      <c r="X71" s="145"/>
      <c r="Y71" s="145"/>
      <c r="Z71" s="145"/>
      <c r="AA71" s="145"/>
      <c r="AB71" s="145"/>
      <c r="AC71" s="145"/>
      <c r="AD71" s="145"/>
    </row>
    <row r="72" spans="1:30" ht="244.5" customHeight="1">
      <c r="A72" s="30">
        <f t="shared" si="0"/>
        <v>71</v>
      </c>
      <c r="B72" s="145" t="s">
        <v>5</v>
      </c>
      <c r="C72" s="32" t="s">
        <v>930</v>
      </c>
      <c r="D72" s="145">
        <v>2015</v>
      </c>
      <c r="E72" s="145"/>
      <c r="F72" s="145" t="s">
        <v>551</v>
      </c>
      <c r="G72" s="32" t="s">
        <v>931</v>
      </c>
      <c r="H72" s="145"/>
      <c r="I72" s="145" t="s">
        <v>932</v>
      </c>
      <c r="J72" s="145"/>
      <c r="K72" s="145"/>
      <c r="L72" s="145"/>
      <c r="M72" s="145"/>
      <c r="N72" s="145"/>
      <c r="O72" s="145"/>
      <c r="P72" s="145"/>
      <c r="Q72" s="145"/>
      <c r="R72" s="145"/>
      <c r="S72" s="145"/>
      <c r="T72" s="145"/>
      <c r="U72" s="145"/>
      <c r="V72" s="145"/>
      <c r="W72" s="145"/>
      <c r="X72" s="145" t="s">
        <v>933</v>
      </c>
      <c r="Y72" s="145"/>
      <c r="Z72" s="145"/>
      <c r="AA72" s="145"/>
      <c r="AB72" s="145"/>
      <c r="AC72" s="145"/>
      <c r="AD72" s="145"/>
    </row>
    <row r="73" spans="1:30" ht="252" customHeight="1">
      <c r="A73" s="30">
        <f t="shared" si="0"/>
        <v>72</v>
      </c>
      <c r="B73" s="145" t="s">
        <v>5</v>
      </c>
      <c r="C73" s="32" t="s">
        <v>934</v>
      </c>
      <c r="D73" s="145">
        <v>2015</v>
      </c>
      <c r="E73" s="145" t="s">
        <v>123</v>
      </c>
      <c r="F73" s="145" t="s">
        <v>935</v>
      </c>
      <c r="G73" s="32" t="s">
        <v>936</v>
      </c>
      <c r="H73" s="145"/>
      <c r="I73" s="145"/>
      <c r="J73" s="145"/>
      <c r="K73" s="145"/>
      <c r="L73" s="145"/>
      <c r="M73" s="145"/>
      <c r="N73" s="145"/>
      <c r="O73" s="145"/>
      <c r="P73" s="145"/>
      <c r="Q73" s="145"/>
      <c r="R73" s="145"/>
      <c r="S73" s="145"/>
      <c r="T73" s="145"/>
      <c r="U73" s="145"/>
      <c r="V73" s="145"/>
      <c r="W73" s="145"/>
      <c r="X73" s="145" t="s">
        <v>937</v>
      </c>
      <c r="Y73" s="145"/>
      <c r="Z73" s="145"/>
      <c r="AA73" s="145"/>
      <c r="AB73" s="145"/>
      <c r="AC73" s="145"/>
      <c r="AD73" s="145"/>
    </row>
    <row r="74" spans="1:30" ht="218.25" customHeight="1">
      <c r="A74" s="43">
        <f t="shared" si="0"/>
        <v>73</v>
      </c>
      <c r="B74" s="149" t="s">
        <v>5</v>
      </c>
      <c r="C74" s="45" t="s">
        <v>938</v>
      </c>
      <c r="D74" s="149">
        <v>2018</v>
      </c>
      <c r="E74" s="149" t="s">
        <v>939</v>
      </c>
      <c r="F74" s="149" t="s">
        <v>940</v>
      </c>
      <c r="G74" s="45" t="s">
        <v>941</v>
      </c>
      <c r="H74" s="149" t="s">
        <v>575</v>
      </c>
      <c r="I74" s="149"/>
      <c r="J74" s="149"/>
      <c r="K74" s="149" t="s">
        <v>942</v>
      </c>
      <c r="L74" s="149"/>
      <c r="M74" s="149" t="s">
        <v>601</v>
      </c>
      <c r="N74" s="149"/>
      <c r="O74" s="149" t="s">
        <v>943</v>
      </c>
      <c r="P74" s="149"/>
      <c r="Q74" s="149"/>
      <c r="R74" s="149"/>
      <c r="S74" s="149" t="s">
        <v>944</v>
      </c>
      <c r="T74" s="149"/>
      <c r="U74" s="149" t="s">
        <v>715</v>
      </c>
      <c r="V74" s="149" t="s">
        <v>687</v>
      </c>
      <c r="W74" s="149" t="s">
        <v>497</v>
      </c>
      <c r="X74" s="149"/>
      <c r="Y74" s="149"/>
      <c r="Z74" s="149"/>
      <c r="AA74" s="149"/>
      <c r="AB74" s="149"/>
      <c r="AC74" s="149"/>
      <c r="AD74" s="149"/>
    </row>
    <row r="75" spans="1:30" ht="218.25" customHeight="1">
      <c r="A75" s="95">
        <f t="shared" si="0"/>
        <v>74</v>
      </c>
      <c r="B75" s="147" t="s">
        <v>5</v>
      </c>
      <c r="C75" s="96" t="s">
        <v>945</v>
      </c>
      <c r="D75" s="147">
        <v>2017</v>
      </c>
      <c r="E75" s="147" t="s">
        <v>946</v>
      </c>
      <c r="F75" s="147" t="s">
        <v>947</v>
      </c>
      <c r="G75" s="96" t="s">
        <v>948</v>
      </c>
      <c r="H75" s="147"/>
      <c r="I75" s="147"/>
      <c r="J75" s="147"/>
      <c r="K75" s="147"/>
      <c r="L75" s="147"/>
      <c r="M75" s="147"/>
      <c r="N75" s="147"/>
      <c r="O75" s="147"/>
      <c r="P75" s="147"/>
      <c r="Q75" s="147"/>
      <c r="R75" s="147"/>
      <c r="S75" s="147"/>
      <c r="T75" s="147"/>
      <c r="U75" s="147" t="s">
        <v>715</v>
      </c>
      <c r="V75" s="147" t="s">
        <v>923</v>
      </c>
      <c r="W75" s="147" t="s">
        <v>949</v>
      </c>
      <c r="X75" s="147"/>
      <c r="Y75" s="147"/>
      <c r="Z75" s="147"/>
      <c r="AA75" s="147"/>
      <c r="AB75" s="147"/>
      <c r="AC75" s="147"/>
      <c r="AD75" s="147"/>
    </row>
    <row r="76" spans="1:30" ht="218.25" customHeight="1">
      <c r="A76" s="95">
        <f t="shared" si="0"/>
        <v>75</v>
      </c>
      <c r="B76" s="147" t="s">
        <v>5</v>
      </c>
      <c r="C76" s="96" t="s">
        <v>950</v>
      </c>
      <c r="D76" s="147">
        <v>2017</v>
      </c>
      <c r="E76" s="147" t="s">
        <v>951</v>
      </c>
      <c r="F76" s="147" t="s">
        <v>952</v>
      </c>
      <c r="G76" s="96" t="s">
        <v>953</v>
      </c>
      <c r="H76" s="147"/>
      <c r="I76" s="147"/>
      <c r="J76" s="147"/>
      <c r="K76" s="147"/>
      <c r="L76" s="147"/>
      <c r="M76" s="147"/>
      <c r="N76" s="147"/>
      <c r="O76" s="147"/>
      <c r="P76" s="147"/>
      <c r="Q76" s="147"/>
      <c r="R76" s="147"/>
      <c r="S76" s="147"/>
      <c r="T76" s="147"/>
      <c r="U76" s="147" t="s">
        <v>667</v>
      </c>
      <c r="V76" s="147" t="s">
        <v>687</v>
      </c>
      <c r="W76" s="147"/>
      <c r="X76" s="147"/>
      <c r="Y76" s="147"/>
      <c r="Z76" s="147"/>
      <c r="AA76" s="147"/>
      <c r="AB76" s="147"/>
      <c r="AC76" s="147"/>
      <c r="AD76" s="147"/>
    </row>
    <row r="77" spans="1:30" ht="153" customHeight="1">
      <c r="A77" s="95">
        <f t="shared" si="0"/>
        <v>76</v>
      </c>
      <c r="B77" s="147" t="s">
        <v>5</v>
      </c>
      <c r="C77" s="96" t="s">
        <v>954</v>
      </c>
      <c r="D77" s="147">
        <v>2017</v>
      </c>
      <c r="E77" s="147" t="s">
        <v>955</v>
      </c>
      <c r="F77" s="147" t="s">
        <v>956</v>
      </c>
      <c r="G77" s="96" t="s">
        <v>957</v>
      </c>
      <c r="H77" s="147" t="s">
        <v>575</v>
      </c>
      <c r="I77" s="147"/>
      <c r="J77" s="147"/>
      <c r="K77" s="147"/>
      <c r="L77" s="147"/>
      <c r="M77" s="147" t="s">
        <v>601</v>
      </c>
      <c r="N77" s="147"/>
      <c r="O77" s="147" t="s">
        <v>958</v>
      </c>
      <c r="P77" s="147"/>
      <c r="Q77" s="147"/>
      <c r="R77" s="147"/>
      <c r="S77" s="147" t="s">
        <v>903</v>
      </c>
      <c r="T77" s="147"/>
      <c r="U77" s="147" t="s">
        <v>959</v>
      </c>
      <c r="V77" s="147" t="s">
        <v>687</v>
      </c>
      <c r="W77" s="147" t="s">
        <v>497</v>
      </c>
      <c r="X77" s="147"/>
      <c r="Y77" s="147"/>
      <c r="Z77" s="147"/>
      <c r="AA77" s="147"/>
      <c r="AB77" s="147"/>
      <c r="AC77" s="147"/>
      <c r="AD77" s="147"/>
    </row>
    <row r="78" spans="1:30" ht="237.75" customHeight="1">
      <c r="A78" s="95">
        <f t="shared" si="0"/>
        <v>77</v>
      </c>
      <c r="B78" s="147" t="s">
        <v>5</v>
      </c>
      <c r="C78" s="96" t="s">
        <v>396</v>
      </c>
      <c r="D78" s="147">
        <v>2019</v>
      </c>
      <c r="E78" s="147" t="s">
        <v>960</v>
      </c>
      <c r="F78" s="147" t="s">
        <v>961</v>
      </c>
      <c r="G78" s="96" t="s">
        <v>962</v>
      </c>
      <c r="H78" s="147"/>
      <c r="I78" s="147"/>
      <c r="J78" s="147"/>
      <c r="K78" s="147"/>
      <c r="L78" s="147"/>
      <c r="M78" s="147"/>
      <c r="N78" s="147"/>
      <c r="O78" s="147"/>
      <c r="P78" s="147"/>
      <c r="Q78" s="147"/>
      <c r="R78" s="147"/>
      <c r="S78" s="147"/>
      <c r="T78" s="147"/>
      <c r="U78" s="147" t="s">
        <v>963</v>
      </c>
      <c r="V78" s="147"/>
      <c r="W78" s="147"/>
      <c r="X78" s="147" t="s">
        <v>964</v>
      </c>
      <c r="Y78" s="147"/>
      <c r="Z78" s="147"/>
      <c r="AA78" s="147"/>
      <c r="AB78" s="147"/>
      <c r="AC78" s="147"/>
      <c r="AD78" s="147"/>
    </row>
    <row r="79" spans="1:30" ht="197.25" customHeight="1">
      <c r="A79" s="150">
        <f t="shared" si="0"/>
        <v>78</v>
      </c>
      <c r="B79" s="151" t="s">
        <v>5</v>
      </c>
      <c r="C79" s="152" t="s">
        <v>965</v>
      </c>
      <c r="D79" s="151">
        <v>2020</v>
      </c>
      <c r="E79" s="151" t="s">
        <v>966</v>
      </c>
      <c r="F79" s="151" t="s">
        <v>967</v>
      </c>
      <c r="G79" s="152" t="s">
        <v>968</v>
      </c>
      <c r="H79" s="151"/>
      <c r="I79" s="152" t="s">
        <v>969</v>
      </c>
      <c r="J79" s="151"/>
      <c r="K79" s="151" t="s">
        <v>622</v>
      </c>
      <c r="L79" s="151"/>
      <c r="M79" s="151" t="s">
        <v>601</v>
      </c>
      <c r="N79" s="151"/>
      <c r="O79" s="151"/>
      <c r="P79" s="151"/>
      <c r="Q79" s="151"/>
      <c r="R79" s="151"/>
      <c r="S79" s="151" t="s">
        <v>970</v>
      </c>
      <c r="T79" s="151"/>
      <c r="U79" s="151" t="s">
        <v>667</v>
      </c>
      <c r="V79" s="151" t="s">
        <v>798</v>
      </c>
      <c r="W79" s="151" t="s">
        <v>971</v>
      </c>
      <c r="X79" s="151" t="s">
        <v>972</v>
      </c>
      <c r="Y79" s="151"/>
      <c r="Z79" s="151"/>
      <c r="AA79" s="151"/>
      <c r="AB79" s="151"/>
      <c r="AC79" s="151"/>
      <c r="AD79" s="151"/>
    </row>
    <row r="80" spans="1:30" ht="160.5" customHeight="1">
      <c r="A80" s="150">
        <f t="shared" si="0"/>
        <v>79</v>
      </c>
      <c r="B80" s="151" t="s">
        <v>5</v>
      </c>
      <c r="C80" s="152" t="s">
        <v>973</v>
      </c>
      <c r="D80" s="151">
        <v>2019</v>
      </c>
      <c r="E80" s="151" t="s">
        <v>974</v>
      </c>
      <c r="F80" s="151" t="s">
        <v>975</v>
      </c>
      <c r="G80" s="152" t="s">
        <v>976</v>
      </c>
      <c r="H80" s="151" t="s">
        <v>664</v>
      </c>
      <c r="I80" s="151" t="s">
        <v>977</v>
      </c>
      <c r="J80" s="151"/>
      <c r="K80" s="151" t="s">
        <v>622</v>
      </c>
      <c r="L80" s="151"/>
      <c r="M80" s="151" t="s">
        <v>601</v>
      </c>
      <c r="N80" s="151"/>
      <c r="O80" s="151" t="s">
        <v>790</v>
      </c>
      <c r="P80" s="151"/>
      <c r="Q80" s="151"/>
      <c r="R80" s="151"/>
      <c r="S80" s="151" t="s">
        <v>903</v>
      </c>
      <c r="T80" s="151"/>
      <c r="U80" s="151" t="s">
        <v>715</v>
      </c>
      <c r="V80" s="151" t="s">
        <v>978</v>
      </c>
      <c r="W80" s="151" t="s">
        <v>497</v>
      </c>
      <c r="X80" s="151"/>
      <c r="Y80" s="151"/>
      <c r="Z80" s="151"/>
      <c r="AA80" s="151"/>
      <c r="AB80" s="151"/>
      <c r="AC80" s="151"/>
      <c r="AD80" s="151"/>
    </row>
    <row r="81" spans="1:30" ht="99" customHeight="1">
      <c r="A81" s="95">
        <f t="shared" si="0"/>
        <v>80</v>
      </c>
      <c r="B81" s="147" t="s">
        <v>5</v>
      </c>
      <c r="C81" s="96" t="s">
        <v>979</v>
      </c>
      <c r="D81" s="147">
        <v>2018</v>
      </c>
      <c r="E81" s="147" t="s">
        <v>980</v>
      </c>
      <c r="F81" s="147" t="s">
        <v>981</v>
      </c>
      <c r="G81" s="96" t="s">
        <v>982</v>
      </c>
      <c r="H81" s="147" t="s">
        <v>575</v>
      </c>
      <c r="I81" s="147"/>
      <c r="J81" s="147"/>
      <c r="K81" s="147"/>
      <c r="L81" s="147"/>
      <c r="M81" s="147" t="s">
        <v>601</v>
      </c>
      <c r="N81" s="147"/>
      <c r="O81" s="147" t="s">
        <v>511</v>
      </c>
      <c r="P81" s="147"/>
      <c r="Q81" s="147"/>
      <c r="R81" s="147"/>
      <c r="S81" s="147" t="s">
        <v>903</v>
      </c>
      <c r="T81" s="147"/>
      <c r="U81" s="147"/>
      <c r="V81" s="147"/>
      <c r="W81" s="147"/>
      <c r="X81" s="147" t="s">
        <v>983</v>
      </c>
      <c r="Y81" s="147"/>
      <c r="Z81" s="147"/>
      <c r="AA81" s="147"/>
      <c r="AB81" s="147"/>
      <c r="AC81" s="147"/>
      <c r="AD81" s="147"/>
    </row>
    <row r="82" spans="1:30" ht="255.75" customHeight="1">
      <c r="A82" s="95">
        <f t="shared" si="0"/>
        <v>81</v>
      </c>
      <c r="B82" s="147" t="s">
        <v>5</v>
      </c>
      <c r="C82" s="96" t="s">
        <v>984</v>
      </c>
      <c r="D82" s="147">
        <v>2019</v>
      </c>
      <c r="E82" s="147" t="s">
        <v>37</v>
      </c>
      <c r="F82" s="147" t="s">
        <v>985</v>
      </c>
      <c r="G82" s="96" t="s">
        <v>986</v>
      </c>
      <c r="H82" s="147"/>
      <c r="I82" s="147" t="s">
        <v>987</v>
      </c>
      <c r="J82" s="147"/>
      <c r="K82" s="147"/>
      <c r="L82" s="147"/>
      <c r="M82" s="147"/>
      <c r="N82" s="147"/>
      <c r="O82" s="147" t="s">
        <v>988</v>
      </c>
      <c r="P82" s="147"/>
      <c r="Q82" s="147"/>
      <c r="R82" s="147"/>
      <c r="S82" s="147"/>
      <c r="T82" s="147"/>
      <c r="U82" s="147" t="s">
        <v>715</v>
      </c>
      <c r="V82" s="147"/>
      <c r="W82" s="147"/>
      <c r="X82" s="147"/>
      <c r="Y82" s="147"/>
      <c r="Z82" s="147"/>
      <c r="AA82" s="147"/>
      <c r="AB82" s="147"/>
      <c r="AC82" s="147"/>
      <c r="AD82" s="147"/>
    </row>
    <row r="83" spans="1:30" ht="250.5" customHeight="1">
      <c r="A83" s="30">
        <f t="shared" si="0"/>
        <v>82</v>
      </c>
      <c r="B83" s="145" t="s">
        <v>5</v>
      </c>
      <c r="C83" s="32" t="s">
        <v>989</v>
      </c>
      <c r="D83" s="145">
        <v>2019</v>
      </c>
      <c r="E83" s="145" t="s">
        <v>990</v>
      </c>
      <c r="F83" s="145" t="s">
        <v>991</v>
      </c>
      <c r="G83" s="32" t="s">
        <v>992</v>
      </c>
      <c r="H83" s="145"/>
      <c r="I83" s="145"/>
      <c r="J83" s="145"/>
      <c r="K83" s="145"/>
      <c r="L83" s="145"/>
      <c r="M83" s="145" t="s">
        <v>817</v>
      </c>
      <c r="N83" s="145"/>
      <c r="O83" s="145"/>
      <c r="P83" s="145"/>
      <c r="Q83" s="145"/>
      <c r="R83" s="145"/>
      <c r="S83" s="145"/>
      <c r="T83" s="145"/>
      <c r="U83" s="145"/>
      <c r="V83" s="145"/>
      <c r="W83" s="145"/>
      <c r="X83" s="145" t="s">
        <v>993</v>
      </c>
      <c r="Y83" s="145"/>
      <c r="Z83" s="145"/>
      <c r="AA83" s="145"/>
      <c r="AB83" s="145"/>
      <c r="AC83" s="145"/>
      <c r="AD83" s="145"/>
    </row>
    <row r="84" spans="1:30" ht="156.75" customHeight="1">
      <c r="A84" s="161">
        <f t="shared" si="0"/>
        <v>83</v>
      </c>
      <c r="B84" s="162" t="s">
        <v>5</v>
      </c>
      <c r="C84" s="163" t="s">
        <v>994</v>
      </c>
      <c r="D84" s="162">
        <v>2019</v>
      </c>
      <c r="E84" s="162" t="s">
        <v>995</v>
      </c>
      <c r="F84" s="162" t="s">
        <v>996</v>
      </c>
      <c r="G84" s="163" t="s">
        <v>997</v>
      </c>
      <c r="H84" s="162"/>
      <c r="I84" s="162"/>
      <c r="J84" s="162"/>
      <c r="K84" s="162" t="s">
        <v>477</v>
      </c>
      <c r="L84" s="162"/>
      <c r="M84" s="162" t="s">
        <v>601</v>
      </c>
      <c r="N84" s="162"/>
      <c r="O84" s="162" t="s">
        <v>818</v>
      </c>
      <c r="P84" s="162"/>
      <c r="Q84" s="162"/>
      <c r="R84" s="162"/>
      <c r="S84" s="162" t="s">
        <v>694</v>
      </c>
      <c r="T84" s="162"/>
      <c r="U84" s="162" t="s">
        <v>998</v>
      </c>
      <c r="V84" s="162" t="s">
        <v>483</v>
      </c>
      <c r="W84" s="162" t="s">
        <v>999</v>
      </c>
      <c r="X84" s="162"/>
      <c r="Y84" s="162"/>
      <c r="Z84" s="162"/>
      <c r="AA84" s="162"/>
      <c r="AB84" s="162"/>
      <c r="AC84" s="162"/>
      <c r="AD84" s="162"/>
    </row>
    <row r="85" spans="1:30" ht="257.25" customHeight="1">
      <c r="A85" s="95">
        <f t="shared" si="0"/>
        <v>84</v>
      </c>
      <c r="B85" s="147" t="s">
        <v>5</v>
      </c>
      <c r="C85" s="96" t="s">
        <v>1000</v>
      </c>
      <c r="D85" s="147">
        <v>2017</v>
      </c>
      <c r="E85" s="147" t="s">
        <v>70</v>
      </c>
      <c r="F85" s="147" t="s">
        <v>1001</v>
      </c>
      <c r="G85" s="96" t="s">
        <v>1002</v>
      </c>
      <c r="H85" s="147" t="s">
        <v>664</v>
      </c>
      <c r="I85" s="147"/>
      <c r="J85" s="147"/>
      <c r="K85" s="147" t="s">
        <v>1003</v>
      </c>
      <c r="L85" s="147"/>
      <c r="M85" s="147" t="s">
        <v>601</v>
      </c>
      <c r="N85" s="147"/>
      <c r="O85" s="147" t="s">
        <v>504</v>
      </c>
      <c r="P85" s="147"/>
      <c r="Q85" s="147"/>
      <c r="R85" s="147"/>
      <c r="S85" s="147" t="s">
        <v>970</v>
      </c>
      <c r="T85" s="147"/>
      <c r="U85" s="147" t="s">
        <v>580</v>
      </c>
      <c r="V85" s="147" t="s">
        <v>483</v>
      </c>
      <c r="W85" s="147" t="s">
        <v>1004</v>
      </c>
      <c r="X85" s="147"/>
      <c r="Y85" s="147"/>
      <c r="Z85" s="147"/>
      <c r="AA85" s="147"/>
      <c r="AB85" s="147"/>
      <c r="AC85" s="147"/>
      <c r="AD85" s="147"/>
    </row>
    <row r="86" spans="1:30" ht="141.75" customHeight="1">
      <c r="A86" s="43">
        <f t="shared" si="0"/>
        <v>85</v>
      </c>
      <c r="B86" s="149" t="s">
        <v>5</v>
      </c>
      <c r="C86" s="45" t="s">
        <v>365</v>
      </c>
      <c r="D86" s="149">
        <v>2019</v>
      </c>
      <c r="E86" s="149" t="s">
        <v>1005</v>
      </c>
      <c r="F86" s="149" t="s">
        <v>1006</v>
      </c>
      <c r="G86" s="45" t="s">
        <v>1007</v>
      </c>
      <c r="H86" s="149" t="s">
        <v>575</v>
      </c>
      <c r="I86" s="149"/>
      <c r="J86" s="149"/>
      <c r="K86" s="149" t="s">
        <v>1008</v>
      </c>
      <c r="L86" s="149"/>
      <c r="M86" s="149" t="s">
        <v>601</v>
      </c>
      <c r="N86" s="149"/>
      <c r="O86" s="149"/>
      <c r="P86" s="149"/>
      <c r="Q86" s="149"/>
      <c r="R86" s="149"/>
      <c r="S86" s="149" t="s">
        <v>694</v>
      </c>
      <c r="T86" s="149"/>
      <c r="U86" s="149" t="s">
        <v>959</v>
      </c>
      <c r="V86" s="149" t="s">
        <v>687</v>
      </c>
      <c r="W86" s="149" t="s">
        <v>1009</v>
      </c>
      <c r="X86" s="149"/>
      <c r="Y86" s="149"/>
      <c r="Z86" s="149"/>
      <c r="AA86" s="149"/>
      <c r="AB86" s="149"/>
      <c r="AC86" s="149"/>
      <c r="AD86" s="149"/>
    </row>
    <row r="87" spans="1:30" ht="264" customHeight="1">
      <c r="A87" s="157">
        <f t="shared" si="0"/>
        <v>86</v>
      </c>
      <c r="B87" s="158" t="s">
        <v>5</v>
      </c>
      <c r="C87" s="159" t="s">
        <v>395</v>
      </c>
      <c r="D87" s="158">
        <v>2019</v>
      </c>
      <c r="E87" s="158" t="s">
        <v>1010</v>
      </c>
      <c r="F87" s="158" t="s">
        <v>1011</v>
      </c>
      <c r="G87" s="159" t="s">
        <v>1012</v>
      </c>
      <c r="H87" s="158" t="s">
        <v>591</v>
      </c>
      <c r="I87" s="158" t="s">
        <v>1013</v>
      </c>
      <c r="J87" s="158"/>
      <c r="K87" s="158" t="s">
        <v>1014</v>
      </c>
      <c r="L87" s="158"/>
      <c r="M87" s="158" t="s">
        <v>601</v>
      </c>
      <c r="N87" s="158"/>
      <c r="O87" s="158"/>
      <c r="P87" s="158"/>
      <c r="Q87" s="158"/>
      <c r="R87" s="158"/>
      <c r="S87" s="158" t="s">
        <v>970</v>
      </c>
      <c r="T87" s="158"/>
      <c r="U87" s="158" t="s">
        <v>715</v>
      </c>
      <c r="V87" s="158"/>
      <c r="W87" s="158" t="s">
        <v>497</v>
      </c>
      <c r="X87" s="158"/>
      <c r="Y87" s="158"/>
      <c r="Z87" s="158"/>
      <c r="AA87" s="158"/>
      <c r="AB87" s="158"/>
      <c r="AC87" s="158"/>
      <c r="AD87" s="158"/>
    </row>
    <row r="88" spans="1:30" ht="269.25" customHeight="1">
      <c r="A88" s="43">
        <f t="shared" si="0"/>
        <v>87</v>
      </c>
      <c r="B88" s="149" t="s">
        <v>5</v>
      </c>
      <c r="C88" s="45" t="s">
        <v>1015</v>
      </c>
      <c r="D88" s="149">
        <v>2019</v>
      </c>
      <c r="E88" s="149" t="s">
        <v>1016</v>
      </c>
      <c r="F88" s="149" t="s">
        <v>1017</v>
      </c>
      <c r="G88" s="45" t="s">
        <v>1018</v>
      </c>
      <c r="H88" s="149"/>
      <c r="I88" s="149"/>
      <c r="J88" s="149"/>
      <c r="K88" s="149" t="s">
        <v>477</v>
      </c>
      <c r="L88" s="149"/>
      <c r="M88" s="149" t="s">
        <v>601</v>
      </c>
      <c r="N88" s="149"/>
      <c r="O88" s="149" t="s">
        <v>1019</v>
      </c>
      <c r="P88" s="149"/>
      <c r="Q88" s="149"/>
      <c r="R88" s="149"/>
      <c r="S88" s="149" t="s">
        <v>705</v>
      </c>
      <c r="T88" s="149"/>
      <c r="U88" s="149" t="s">
        <v>715</v>
      </c>
      <c r="V88" s="149" t="s">
        <v>687</v>
      </c>
      <c r="W88" s="149" t="s">
        <v>497</v>
      </c>
      <c r="X88" s="149" t="s">
        <v>1020</v>
      </c>
      <c r="Y88" s="149"/>
      <c r="Z88" s="149"/>
      <c r="AA88" s="149"/>
      <c r="AB88" s="149"/>
      <c r="AC88" s="149"/>
      <c r="AD88" s="149"/>
    </row>
    <row r="89" spans="1:30" ht="183" customHeight="1">
      <c r="A89" s="95">
        <f t="shared" si="0"/>
        <v>88</v>
      </c>
      <c r="B89" s="147" t="s">
        <v>5</v>
      </c>
      <c r="C89" s="96" t="s">
        <v>1021</v>
      </c>
      <c r="D89" s="147">
        <v>2019</v>
      </c>
      <c r="E89" s="147" t="s">
        <v>1022</v>
      </c>
      <c r="F89" s="147" t="s">
        <v>1023</v>
      </c>
      <c r="G89" s="96" t="s">
        <v>1024</v>
      </c>
      <c r="H89" s="147" t="s">
        <v>575</v>
      </c>
      <c r="I89" s="147"/>
      <c r="J89" s="147"/>
      <c r="K89" s="147"/>
      <c r="L89" s="147"/>
      <c r="M89" s="147" t="s">
        <v>601</v>
      </c>
      <c r="N89" s="147"/>
      <c r="O89" s="147" t="s">
        <v>511</v>
      </c>
      <c r="P89" s="147"/>
      <c r="Q89" s="147"/>
      <c r="R89" s="147"/>
      <c r="S89" s="147" t="s">
        <v>719</v>
      </c>
      <c r="T89" s="147"/>
      <c r="U89" s="147"/>
      <c r="V89" s="147" t="s">
        <v>687</v>
      </c>
      <c r="W89" s="147"/>
      <c r="X89" s="147" t="s">
        <v>1025</v>
      </c>
      <c r="Y89" s="147"/>
      <c r="Z89" s="147"/>
      <c r="AA89" s="147"/>
      <c r="AB89" s="147"/>
      <c r="AC89" s="147"/>
      <c r="AD89" s="147"/>
    </row>
    <row r="90" spans="1:30" ht="88.5" customHeight="1">
      <c r="A90" s="117">
        <f t="shared" si="0"/>
        <v>89</v>
      </c>
      <c r="B90" s="144" t="s">
        <v>5</v>
      </c>
      <c r="C90" s="119" t="s">
        <v>1026</v>
      </c>
      <c r="D90" s="144">
        <v>2019</v>
      </c>
      <c r="E90" s="144" t="s">
        <v>1027</v>
      </c>
      <c r="F90" s="144" t="s">
        <v>1028</v>
      </c>
      <c r="G90" s="119" t="s">
        <v>1029</v>
      </c>
      <c r="H90" s="144" t="s">
        <v>575</v>
      </c>
      <c r="I90" s="144" t="s">
        <v>1030</v>
      </c>
      <c r="J90" s="144"/>
      <c r="K90" s="144" t="s">
        <v>1031</v>
      </c>
      <c r="L90" s="144"/>
      <c r="M90" s="144" t="s">
        <v>601</v>
      </c>
      <c r="N90" s="144"/>
      <c r="O90" s="144" t="s">
        <v>1032</v>
      </c>
      <c r="P90" s="144"/>
      <c r="Q90" s="144"/>
      <c r="R90" s="144"/>
      <c r="S90" s="144" t="s">
        <v>1033</v>
      </c>
      <c r="T90" s="144"/>
      <c r="U90" s="144" t="s">
        <v>715</v>
      </c>
      <c r="V90" s="144" t="s">
        <v>483</v>
      </c>
      <c r="W90" s="144" t="s">
        <v>497</v>
      </c>
      <c r="X90" s="144"/>
      <c r="Y90" s="144"/>
      <c r="Z90" s="144"/>
      <c r="AA90" s="144"/>
      <c r="AB90" s="144"/>
      <c r="AC90" s="144"/>
      <c r="AD90" s="144"/>
    </row>
    <row r="91" spans="1:30" ht="219" customHeight="1">
      <c r="A91" s="30">
        <f t="shared" si="0"/>
        <v>90</v>
      </c>
      <c r="B91" s="145"/>
      <c r="C91" s="32" t="s">
        <v>1034</v>
      </c>
      <c r="D91" s="145">
        <v>2017</v>
      </c>
      <c r="E91" s="145" t="s">
        <v>1035</v>
      </c>
      <c r="F91" s="145" t="s">
        <v>1036</v>
      </c>
      <c r="G91" s="32" t="s">
        <v>1037</v>
      </c>
      <c r="H91" s="145" t="s">
        <v>575</v>
      </c>
      <c r="I91" s="145" t="s">
        <v>551</v>
      </c>
      <c r="J91" s="145"/>
      <c r="K91" s="145" t="s">
        <v>1031</v>
      </c>
      <c r="L91" s="145"/>
      <c r="M91" s="145"/>
      <c r="N91" s="145"/>
      <c r="O91" s="145"/>
      <c r="P91" s="145"/>
      <c r="Q91" s="145"/>
      <c r="R91" s="145"/>
      <c r="S91" s="145"/>
      <c r="T91" s="145"/>
      <c r="U91" s="145"/>
      <c r="V91" s="145"/>
      <c r="W91" s="145"/>
      <c r="X91" s="145"/>
      <c r="Y91" s="145"/>
      <c r="Z91" s="145"/>
      <c r="AA91" s="145"/>
      <c r="AB91" s="145"/>
      <c r="AC91" s="145"/>
      <c r="AD91" s="145"/>
    </row>
    <row r="92" spans="1:30" ht="141.75" customHeight="1">
      <c r="A92" s="117">
        <f t="shared" si="0"/>
        <v>91</v>
      </c>
      <c r="B92" s="144" t="s">
        <v>5</v>
      </c>
      <c r="C92" s="119" t="s">
        <v>393</v>
      </c>
      <c r="D92" s="144">
        <v>2017</v>
      </c>
      <c r="E92" s="166" t="s">
        <v>83</v>
      </c>
      <c r="F92" s="144" t="s">
        <v>1038</v>
      </c>
      <c r="G92" s="144" t="s">
        <v>1039</v>
      </c>
      <c r="H92" s="119" t="s">
        <v>1040</v>
      </c>
      <c r="I92" s="144"/>
      <c r="J92" s="144"/>
      <c r="K92" s="144" t="s">
        <v>1031</v>
      </c>
      <c r="L92" s="144"/>
      <c r="M92" s="144" t="s">
        <v>1041</v>
      </c>
      <c r="N92" s="144"/>
      <c r="O92" s="144" t="s">
        <v>1042</v>
      </c>
      <c r="P92" s="144"/>
      <c r="Q92" s="144"/>
      <c r="R92" s="144"/>
      <c r="S92" s="144" t="s">
        <v>903</v>
      </c>
      <c r="T92" s="144"/>
      <c r="U92" s="144" t="s">
        <v>580</v>
      </c>
      <c r="V92" s="144" t="s">
        <v>483</v>
      </c>
      <c r="W92" s="144" t="s">
        <v>1043</v>
      </c>
      <c r="X92" s="144"/>
      <c r="Y92" s="144"/>
      <c r="Z92" s="144"/>
      <c r="AA92" s="144"/>
      <c r="AB92" s="144"/>
      <c r="AC92" s="144"/>
      <c r="AD92" s="144"/>
    </row>
    <row r="93" spans="1:30" ht="141.75" customHeight="1">
      <c r="A93" s="95">
        <f t="shared" si="0"/>
        <v>92</v>
      </c>
      <c r="B93" s="147" t="s">
        <v>5</v>
      </c>
      <c r="C93" s="96" t="s">
        <v>1044</v>
      </c>
      <c r="D93" s="147">
        <v>2017</v>
      </c>
      <c r="E93" s="167" t="s">
        <v>1045</v>
      </c>
      <c r="F93" s="147"/>
      <c r="G93" s="147" t="s">
        <v>1046</v>
      </c>
      <c r="H93" s="96"/>
      <c r="I93" s="147"/>
      <c r="J93" s="147"/>
      <c r="K93" s="147"/>
      <c r="L93" s="147"/>
      <c r="M93" s="147"/>
      <c r="N93" s="147"/>
      <c r="O93" s="147"/>
      <c r="P93" s="147"/>
      <c r="Q93" s="147"/>
      <c r="R93" s="147"/>
      <c r="S93" s="147"/>
      <c r="T93" s="147"/>
      <c r="U93" s="147"/>
      <c r="V93" s="147"/>
      <c r="W93" s="147"/>
      <c r="X93" s="148" t="s">
        <v>1047</v>
      </c>
      <c r="Y93" s="147"/>
      <c r="Z93" s="147"/>
      <c r="AA93" s="147"/>
      <c r="AB93" s="147"/>
      <c r="AC93" s="147"/>
      <c r="AD93" s="147"/>
    </row>
    <row r="94" spans="1:30" ht="256.5" customHeight="1">
      <c r="A94" s="95">
        <f t="shared" si="0"/>
        <v>93</v>
      </c>
      <c r="B94" s="147" t="s">
        <v>5</v>
      </c>
      <c r="C94" s="96" t="s">
        <v>1048</v>
      </c>
      <c r="D94" s="147">
        <v>2019</v>
      </c>
      <c r="F94" s="147" t="s">
        <v>1049</v>
      </c>
      <c r="G94" s="147" t="s">
        <v>1050</v>
      </c>
      <c r="H94" s="96" t="s">
        <v>664</v>
      </c>
      <c r="I94" s="147" t="s">
        <v>1051</v>
      </c>
      <c r="J94" s="147"/>
      <c r="K94" s="147"/>
      <c r="L94" s="147"/>
      <c r="M94" s="147"/>
      <c r="N94" s="147"/>
      <c r="O94" s="147"/>
      <c r="P94" s="147"/>
      <c r="Q94" s="147"/>
      <c r="R94" s="147"/>
      <c r="S94" s="147"/>
      <c r="T94" s="147"/>
      <c r="U94" s="147"/>
      <c r="V94" s="147"/>
      <c r="W94" s="147"/>
      <c r="X94" s="147" t="s">
        <v>1052</v>
      </c>
      <c r="Y94" s="147"/>
      <c r="Z94" s="147"/>
      <c r="AA94" s="147"/>
      <c r="AB94" s="147"/>
      <c r="AC94" s="147"/>
      <c r="AD94" s="147"/>
    </row>
    <row r="95" spans="1:30" ht="252.75" customHeight="1">
      <c r="A95" s="107">
        <f t="shared" si="0"/>
        <v>94</v>
      </c>
      <c r="B95" s="160" t="s">
        <v>5</v>
      </c>
      <c r="C95" s="109" t="s">
        <v>1053</v>
      </c>
      <c r="D95" s="160">
        <v>2018</v>
      </c>
      <c r="E95" s="160" t="s">
        <v>1054</v>
      </c>
      <c r="F95" s="168"/>
      <c r="G95" s="160" t="s">
        <v>1055</v>
      </c>
      <c r="H95" s="160"/>
      <c r="I95" s="160"/>
      <c r="J95" s="160"/>
      <c r="K95" s="160"/>
      <c r="L95" s="160"/>
      <c r="M95" s="160"/>
      <c r="N95" s="160"/>
      <c r="O95" s="160"/>
      <c r="P95" s="160"/>
      <c r="Q95" s="160"/>
      <c r="R95" s="160"/>
      <c r="S95" s="160"/>
      <c r="T95" s="160"/>
      <c r="U95" s="160"/>
      <c r="V95" s="160"/>
      <c r="W95" s="160"/>
      <c r="X95" s="160" t="s">
        <v>1056</v>
      </c>
      <c r="Y95" s="169" t="s">
        <v>1057</v>
      </c>
      <c r="Z95" s="160"/>
      <c r="AA95" s="160"/>
      <c r="AB95" s="160"/>
      <c r="AC95" s="160"/>
      <c r="AD95" s="160"/>
    </row>
    <row r="96" spans="1:30" ht="141.75" customHeight="1">
      <c r="A96" s="30">
        <f t="shared" si="0"/>
        <v>95</v>
      </c>
      <c r="B96" s="145" t="s">
        <v>5</v>
      </c>
      <c r="C96" s="32" t="s">
        <v>1058</v>
      </c>
      <c r="D96" s="145">
        <v>2016</v>
      </c>
      <c r="E96" s="145" t="s">
        <v>140</v>
      </c>
      <c r="F96" s="145" t="s">
        <v>1059</v>
      </c>
      <c r="G96" s="32"/>
      <c r="H96" s="145"/>
      <c r="I96" s="145"/>
      <c r="J96" s="145"/>
      <c r="K96" s="145"/>
      <c r="L96" s="145"/>
      <c r="M96" s="145"/>
      <c r="N96" s="145"/>
      <c r="O96" s="145"/>
      <c r="P96" s="145"/>
      <c r="Q96" s="145"/>
      <c r="R96" s="145"/>
      <c r="S96" s="145"/>
      <c r="T96" s="145"/>
      <c r="U96" s="145"/>
      <c r="V96" s="145"/>
      <c r="W96" s="145"/>
      <c r="X96" s="145" t="s">
        <v>1060</v>
      </c>
      <c r="Y96" s="145"/>
      <c r="Z96" s="145"/>
      <c r="AA96" s="145"/>
      <c r="AB96" s="145"/>
      <c r="AC96" s="145"/>
      <c r="AD96" s="145"/>
    </row>
    <row r="97" spans="1:30" ht="141.75" customHeight="1">
      <c r="A97" s="30">
        <f t="shared" si="0"/>
        <v>96</v>
      </c>
      <c r="B97" s="145" t="s">
        <v>5</v>
      </c>
      <c r="C97" s="32" t="s">
        <v>1061</v>
      </c>
      <c r="D97" s="145">
        <v>2018</v>
      </c>
      <c r="E97" s="145" t="s">
        <v>1062</v>
      </c>
      <c r="F97" s="145" t="s">
        <v>1063</v>
      </c>
      <c r="G97" s="32" t="s">
        <v>1064</v>
      </c>
      <c r="H97" s="145" t="s">
        <v>757</v>
      </c>
      <c r="I97" s="145" t="s">
        <v>1065</v>
      </c>
      <c r="J97" s="145"/>
      <c r="K97" s="145"/>
      <c r="L97" s="145"/>
      <c r="M97" s="145"/>
      <c r="N97" s="145"/>
      <c r="O97" s="145"/>
      <c r="P97" s="145"/>
      <c r="Q97" s="145"/>
      <c r="R97" s="145"/>
      <c r="S97" s="145"/>
      <c r="T97" s="145"/>
      <c r="U97" s="145"/>
      <c r="V97" s="145"/>
      <c r="W97" s="145"/>
      <c r="X97" s="145" t="s">
        <v>1066</v>
      </c>
      <c r="Y97" s="145"/>
      <c r="Z97" s="145"/>
      <c r="AA97" s="145"/>
      <c r="AB97" s="145"/>
      <c r="AC97" s="145"/>
      <c r="AD97" s="145"/>
    </row>
    <row r="98" spans="1:30" ht="260.25" customHeight="1">
      <c r="A98" s="95">
        <f t="shared" si="0"/>
        <v>97</v>
      </c>
      <c r="B98" s="147" t="s">
        <v>5</v>
      </c>
      <c r="C98" s="96" t="s">
        <v>1067</v>
      </c>
      <c r="D98" s="147">
        <v>2019</v>
      </c>
      <c r="E98" s="147" t="s">
        <v>1068</v>
      </c>
      <c r="F98" s="147" t="s">
        <v>1069</v>
      </c>
      <c r="G98" s="96" t="s">
        <v>1070</v>
      </c>
      <c r="H98" s="147" t="s">
        <v>575</v>
      </c>
      <c r="I98" s="147" t="s">
        <v>1071</v>
      </c>
      <c r="J98" s="147"/>
      <c r="K98" s="147"/>
      <c r="L98" s="147"/>
      <c r="M98" s="147" t="s">
        <v>601</v>
      </c>
      <c r="N98" s="147"/>
      <c r="O98" s="147" t="s">
        <v>1072</v>
      </c>
      <c r="P98" s="147"/>
      <c r="Q98" s="147"/>
      <c r="R98" s="147"/>
      <c r="S98" s="147"/>
      <c r="T98" s="147"/>
      <c r="U98" s="147" t="s">
        <v>715</v>
      </c>
      <c r="V98" s="147" t="s">
        <v>483</v>
      </c>
      <c r="W98" s="147" t="s">
        <v>1073</v>
      </c>
      <c r="X98" s="147"/>
      <c r="Y98" s="147"/>
      <c r="Z98" s="147"/>
      <c r="AA98" s="147"/>
      <c r="AB98" s="147"/>
      <c r="AC98" s="147"/>
      <c r="AD98" s="147"/>
    </row>
    <row r="99" spans="1:30" ht="141.75" customHeight="1">
      <c r="A99" s="95">
        <f t="shared" si="0"/>
        <v>98</v>
      </c>
      <c r="B99" s="147" t="s">
        <v>5</v>
      </c>
      <c r="C99" s="96" t="s">
        <v>1074</v>
      </c>
      <c r="D99" s="147">
        <v>2019</v>
      </c>
      <c r="E99" s="147" t="s">
        <v>1075</v>
      </c>
      <c r="F99" s="147" t="s">
        <v>1076</v>
      </c>
      <c r="G99" s="96" t="s">
        <v>1077</v>
      </c>
      <c r="H99" s="147" t="s">
        <v>575</v>
      </c>
      <c r="I99" s="147"/>
      <c r="J99" s="147"/>
      <c r="K99" s="147"/>
      <c r="L99" s="147"/>
      <c r="M99" s="147" t="s">
        <v>601</v>
      </c>
      <c r="N99" s="147"/>
      <c r="O99" s="147" t="s">
        <v>1078</v>
      </c>
      <c r="P99" s="147"/>
      <c r="Q99" s="147"/>
      <c r="R99" s="147"/>
      <c r="S99" s="147" t="s">
        <v>719</v>
      </c>
      <c r="T99" s="147"/>
      <c r="U99" s="147"/>
      <c r="V99" s="147" t="s">
        <v>483</v>
      </c>
      <c r="W99" s="147" t="s">
        <v>1079</v>
      </c>
      <c r="X99" s="147"/>
      <c r="Y99" s="147"/>
      <c r="Z99" s="147"/>
      <c r="AA99" s="147"/>
      <c r="AB99" s="147"/>
      <c r="AC99" s="147"/>
      <c r="AD99" s="147"/>
    </row>
    <row r="100" spans="1:30" ht="236.25" customHeight="1">
      <c r="A100" s="95">
        <f t="shared" si="0"/>
        <v>99</v>
      </c>
      <c r="B100" s="147" t="s">
        <v>5</v>
      </c>
      <c r="C100" s="96" t="s">
        <v>1080</v>
      </c>
      <c r="D100" s="147">
        <v>2019</v>
      </c>
      <c r="E100" s="147" t="s">
        <v>1081</v>
      </c>
      <c r="F100" s="147" t="s">
        <v>1082</v>
      </c>
      <c r="G100" s="96" t="s">
        <v>1083</v>
      </c>
      <c r="H100" s="147" t="s">
        <v>591</v>
      </c>
      <c r="I100" s="147"/>
      <c r="J100" s="147"/>
      <c r="K100" s="147"/>
      <c r="L100" s="147"/>
      <c r="M100" s="147" t="s">
        <v>601</v>
      </c>
      <c r="N100" s="147"/>
      <c r="O100" s="147"/>
      <c r="P100" s="147"/>
      <c r="Q100" s="147"/>
      <c r="R100" s="147"/>
      <c r="S100" s="147" t="s">
        <v>903</v>
      </c>
      <c r="T100" s="147"/>
      <c r="U100" s="147" t="s">
        <v>1084</v>
      </c>
      <c r="V100" s="147" t="s">
        <v>483</v>
      </c>
      <c r="W100" s="147" t="s">
        <v>1079</v>
      </c>
      <c r="X100" s="147"/>
      <c r="Y100" s="147"/>
      <c r="Z100" s="147"/>
      <c r="AA100" s="147"/>
      <c r="AB100" s="147"/>
      <c r="AC100" s="147"/>
      <c r="AD100" s="147"/>
    </row>
    <row r="101" spans="1:30" ht="138.75" customHeight="1">
      <c r="A101" s="43">
        <f t="shared" si="0"/>
        <v>100</v>
      </c>
      <c r="B101" s="44" t="s">
        <v>353</v>
      </c>
      <c r="C101" s="45" t="s">
        <v>354</v>
      </c>
      <c r="D101" s="45">
        <v>2018</v>
      </c>
      <c r="E101" s="45" t="s">
        <v>71</v>
      </c>
      <c r="F101" s="45" t="s">
        <v>1085</v>
      </c>
      <c r="G101" s="45" t="s">
        <v>1086</v>
      </c>
      <c r="H101" s="46" t="s">
        <v>1087</v>
      </c>
      <c r="I101" s="45" t="s">
        <v>1088</v>
      </c>
      <c r="J101" s="45" t="s">
        <v>1089</v>
      </c>
      <c r="K101" s="45" t="s">
        <v>1008</v>
      </c>
      <c r="L101" s="46" t="s">
        <v>1090</v>
      </c>
      <c r="M101" s="46" t="s">
        <v>1091</v>
      </c>
      <c r="N101" s="46"/>
      <c r="O101" s="46" t="s">
        <v>1092</v>
      </c>
      <c r="P101" s="46" t="s">
        <v>1093</v>
      </c>
      <c r="Q101" s="46" t="s">
        <v>1094</v>
      </c>
      <c r="R101" s="170"/>
      <c r="S101" s="49" t="s">
        <v>1095</v>
      </c>
      <c r="T101" s="50"/>
      <c r="U101" s="52" t="s">
        <v>1096</v>
      </c>
      <c r="V101" s="52" t="s">
        <v>1097</v>
      </c>
      <c r="W101" s="52" t="s">
        <v>1098</v>
      </c>
      <c r="X101" s="53" t="s">
        <v>1099</v>
      </c>
      <c r="Y101" s="131" t="s">
        <v>1100</v>
      </c>
      <c r="Z101" s="54"/>
      <c r="AA101" s="54"/>
      <c r="AB101" s="54"/>
      <c r="AC101" s="54"/>
      <c r="AD101" s="54"/>
    </row>
    <row r="102" spans="1:30" ht="136.5" customHeight="1">
      <c r="A102" s="117">
        <f t="shared" si="0"/>
        <v>101</v>
      </c>
      <c r="B102" s="118" t="s">
        <v>353</v>
      </c>
      <c r="C102" s="171" t="s">
        <v>355</v>
      </c>
      <c r="D102" s="119">
        <v>2015</v>
      </c>
      <c r="E102" s="119" t="s">
        <v>139</v>
      </c>
      <c r="F102" s="119" t="s">
        <v>1101</v>
      </c>
      <c r="G102" s="119" t="s">
        <v>1102</v>
      </c>
      <c r="H102" s="121" t="s">
        <v>1103</v>
      </c>
      <c r="I102" s="119" t="s">
        <v>1104</v>
      </c>
      <c r="J102" s="121" t="s">
        <v>1105</v>
      </c>
      <c r="K102" s="121" t="s">
        <v>1106</v>
      </c>
      <c r="L102" s="121"/>
      <c r="M102" s="121" t="s">
        <v>493</v>
      </c>
      <c r="N102" s="121" t="s">
        <v>532</v>
      </c>
      <c r="O102" s="121" t="s">
        <v>1107</v>
      </c>
      <c r="P102" s="121" t="s">
        <v>1108</v>
      </c>
      <c r="Q102" s="121" t="s">
        <v>1109</v>
      </c>
      <c r="R102" s="172"/>
      <c r="S102" s="124" t="s">
        <v>1095</v>
      </c>
      <c r="T102" s="125"/>
      <c r="U102" s="127" t="s">
        <v>640</v>
      </c>
      <c r="V102" s="127" t="s">
        <v>483</v>
      </c>
      <c r="W102" s="127" t="s">
        <v>497</v>
      </c>
      <c r="X102" s="125"/>
      <c r="Y102" s="123"/>
      <c r="Z102" s="123"/>
      <c r="AA102" s="123"/>
      <c r="AB102" s="123"/>
      <c r="AC102" s="123"/>
      <c r="AD102" s="123"/>
    </row>
    <row r="103" spans="1:30" ht="162.75" customHeight="1">
      <c r="A103" s="43">
        <f t="shared" si="0"/>
        <v>102</v>
      </c>
      <c r="B103" s="44" t="s">
        <v>353</v>
      </c>
      <c r="C103" s="173" t="s">
        <v>358</v>
      </c>
      <c r="D103" s="174">
        <v>2016</v>
      </c>
      <c r="E103" s="45" t="s">
        <v>1110</v>
      </c>
      <c r="F103" s="45" t="s">
        <v>1111</v>
      </c>
      <c r="G103" s="45" t="s">
        <v>1112</v>
      </c>
      <c r="H103" s="46" t="s">
        <v>1113</v>
      </c>
      <c r="I103" s="175" t="s">
        <v>1114</v>
      </c>
      <c r="J103" s="45" t="s">
        <v>1115</v>
      </c>
      <c r="K103" s="46" t="s">
        <v>1116</v>
      </c>
      <c r="L103" s="46"/>
      <c r="M103" s="46" t="s">
        <v>1117</v>
      </c>
      <c r="N103" s="46"/>
      <c r="O103" s="46" t="s">
        <v>1118</v>
      </c>
      <c r="P103" s="46" t="s">
        <v>1119</v>
      </c>
      <c r="Q103" s="46" t="s">
        <v>1120</v>
      </c>
      <c r="R103" s="170"/>
      <c r="S103" s="49" t="s">
        <v>1121</v>
      </c>
      <c r="T103" s="50"/>
      <c r="U103" s="52" t="s">
        <v>1096</v>
      </c>
      <c r="V103" s="52" t="s">
        <v>483</v>
      </c>
      <c r="W103" s="52" t="s">
        <v>753</v>
      </c>
      <c r="X103" s="50"/>
      <c r="Y103" s="54"/>
      <c r="Z103" s="54"/>
      <c r="AA103" s="54"/>
      <c r="AB103" s="54"/>
      <c r="AC103" s="54"/>
      <c r="AD103" s="54"/>
    </row>
    <row r="104" spans="1:30" ht="117.75" customHeight="1">
      <c r="A104" s="132">
        <f t="shared" si="0"/>
        <v>103</v>
      </c>
      <c r="B104" s="133" t="s">
        <v>353</v>
      </c>
      <c r="C104" s="176" t="s">
        <v>359</v>
      </c>
      <c r="D104" s="177">
        <v>2016</v>
      </c>
      <c r="E104" s="135" t="s">
        <v>107</v>
      </c>
      <c r="F104" s="135" t="s">
        <v>1122</v>
      </c>
      <c r="G104" s="135" t="s">
        <v>1123</v>
      </c>
      <c r="H104" s="136" t="s">
        <v>1124</v>
      </c>
      <c r="I104" s="178" t="s">
        <v>1125</v>
      </c>
      <c r="J104" s="135" t="s">
        <v>1126</v>
      </c>
      <c r="K104" s="136" t="s">
        <v>1127</v>
      </c>
      <c r="L104" s="136"/>
      <c r="M104" s="135" t="s">
        <v>1128</v>
      </c>
      <c r="N104" s="136"/>
      <c r="O104" s="136" t="s">
        <v>1129</v>
      </c>
      <c r="P104" s="136" t="s">
        <v>1130</v>
      </c>
      <c r="Q104" s="176" t="s">
        <v>1131</v>
      </c>
      <c r="R104" s="179"/>
      <c r="S104" s="139" t="s">
        <v>694</v>
      </c>
      <c r="T104" s="143" t="s">
        <v>1132</v>
      </c>
      <c r="U104" s="142" t="s">
        <v>1133</v>
      </c>
      <c r="V104" s="142" t="s">
        <v>1134</v>
      </c>
      <c r="W104" s="142" t="s">
        <v>753</v>
      </c>
      <c r="X104" s="140"/>
      <c r="Y104" s="138"/>
      <c r="Z104" s="138"/>
      <c r="AA104" s="138"/>
      <c r="AB104" s="138"/>
      <c r="AC104" s="138"/>
      <c r="AD104" s="138"/>
    </row>
    <row r="105" spans="1:30" ht="150" customHeight="1">
      <c r="A105" s="117">
        <f t="shared" si="0"/>
        <v>104</v>
      </c>
      <c r="B105" s="180" t="s">
        <v>353</v>
      </c>
      <c r="C105" s="119" t="s">
        <v>360</v>
      </c>
      <c r="D105" s="181">
        <v>2019</v>
      </c>
      <c r="E105" s="181" t="s">
        <v>1135</v>
      </c>
      <c r="F105" s="128" t="s">
        <v>1136</v>
      </c>
      <c r="G105" s="128" t="s">
        <v>1137</v>
      </c>
      <c r="H105" s="127" t="s">
        <v>1138</v>
      </c>
      <c r="I105" s="127" t="s">
        <v>1139</v>
      </c>
      <c r="J105" s="127" t="s">
        <v>1140</v>
      </c>
      <c r="K105" s="128" t="s">
        <v>1127</v>
      </c>
      <c r="L105" s="182"/>
      <c r="M105" s="128" t="s">
        <v>1141</v>
      </c>
      <c r="N105" s="172"/>
      <c r="O105" s="128" t="s">
        <v>1142</v>
      </c>
      <c r="P105" s="122" t="s">
        <v>1143</v>
      </c>
      <c r="Q105" s="124" t="s">
        <v>1144</v>
      </c>
      <c r="R105" s="172"/>
      <c r="S105" s="124" t="s">
        <v>1145</v>
      </c>
      <c r="T105" s="125"/>
      <c r="U105" s="127" t="s">
        <v>1146</v>
      </c>
      <c r="V105" s="127" t="s">
        <v>1147</v>
      </c>
      <c r="W105" s="127" t="s">
        <v>1148</v>
      </c>
      <c r="X105" s="128" t="s">
        <v>1149</v>
      </c>
      <c r="Y105" s="123"/>
      <c r="Z105" s="123"/>
      <c r="AA105" s="123"/>
      <c r="AB105" s="123"/>
      <c r="AC105" s="123"/>
      <c r="AD105" s="123"/>
    </row>
    <row r="106" spans="1:30" ht="171">
      <c r="A106" s="117">
        <f t="shared" si="0"/>
        <v>105</v>
      </c>
      <c r="B106" s="180" t="s">
        <v>353</v>
      </c>
      <c r="C106" s="119" t="s">
        <v>361</v>
      </c>
      <c r="D106" s="181">
        <v>2019</v>
      </c>
      <c r="E106" s="181" t="s">
        <v>990</v>
      </c>
      <c r="F106" s="128" t="s">
        <v>1150</v>
      </c>
      <c r="G106" s="128" t="s">
        <v>1151</v>
      </c>
      <c r="H106" s="127" t="s">
        <v>1152</v>
      </c>
      <c r="I106" s="127" t="s">
        <v>1153</v>
      </c>
      <c r="J106" s="127" t="s">
        <v>1154</v>
      </c>
      <c r="K106" s="128" t="s">
        <v>1106</v>
      </c>
      <c r="L106" s="182"/>
      <c r="M106" s="128" t="s">
        <v>1155</v>
      </c>
      <c r="N106" s="122" t="s">
        <v>551</v>
      </c>
      <c r="O106" s="128" t="s">
        <v>1156</v>
      </c>
      <c r="P106" s="172"/>
      <c r="Q106" s="124" t="s">
        <v>1157</v>
      </c>
      <c r="R106" s="172"/>
      <c r="S106" s="124" t="s">
        <v>1158</v>
      </c>
      <c r="T106" s="125"/>
      <c r="U106" s="127" t="s">
        <v>1159</v>
      </c>
      <c r="V106" s="127" t="s">
        <v>1147</v>
      </c>
      <c r="W106" s="127" t="s">
        <v>497</v>
      </c>
      <c r="X106" s="128" t="s">
        <v>1160</v>
      </c>
      <c r="Y106" s="123"/>
      <c r="Z106" s="123"/>
      <c r="AA106" s="123"/>
      <c r="AB106" s="123"/>
      <c r="AC106" s="123"/>
      <c r="AD106" s="123"/>
    </row>
    <row r="107" spans="1:30" ht="63.75">
      <c r="A107" s="150">
        <f t="shared" si="0"/>
        <v>106</v>
      </c>
      <c r="B107" s="183" t="s">
        <v>353</v>
      </c>
      <c r="C107" s="152" t="s">
        <v>362</v>
      </c>
      <c r="D107" s="184">
        <v>2016</v>
      </c>
      <c r="E107" s="185" t="s">
        <v>32</v>
      </c>
      <c r="F107" s="185" t="s">
        <v>1161</v>
      </c>
      <c r="G107" s="185" t="s">
        <v>1162</v>
      </c>
      <c r="H107" s="186" t="s">
        <v>1163</v>
      </c>
      <c r="I107" s="186" t="s">
        <v>1164</v>
      </c>
      <c r="J107" s="186" t="s">
        <v>1165</v>
      </c>
      <c r="K107" s="185" t="s">
        <v>1106</v>
      </c>
      <c r="L107" s="187"/>
      <c r="M107" s="185" t="s">
        <v>1041</v>
      </c>
      <c r="N107" s="188"/>
      <c r="O107" s="185" t="s">
        <v>1166</v>
      </c>
      <c r="P107" s="189" t="s">
        <v>1167</v>
      </c>
      <c r="Q107" s="190" t="s">
        <v>1168</v>
      </c>
      <c r="R107" s="188"/>
      <c r="S107" s="191"/>
      <c r="T107" s="192"/>
      <c r="U107" s="193"/>
      <c r="V107" s="186" t="s">
        <v>483</v>
      </c>
      <c r="W107" s="186" t="s">
        <v>497</v>
      </c>
      <c r="X107" s="192"/>
      <c r="Y107" s="194"/>
      <c r="Z107" s="194"/>
      <c r="AA107" s="194"/>
      <c r="AB107" s="194"/>
      <c r="AC107" s="194"/>
      <c r="AD107" s="194"/>
    </row>
    <row r="108" spans="1:30" ht="99.75">
      <c r="A108" s="150">
        <f t="shared" si="0"/>
        <v>107</v>
      </c>
      <c r="B108" s="183" t="s">
        <v>353</v>
      </c>
      <c r="C108" s="152" t="s">
        <v>363</v>
      </c>
      <c r="D108" s="184">
        <v>2019</v>
      </c>
      <c r="E108" s="185" t="s">
        <v>26</v>
      </c>
      <c r="F108" s="185" t="s">
        <v>1169</v>
      </c>
      <c r="G108" s="185" t="s">
        <v>1170</v>
      </c>
      <c r="H108" s="186" t="s">
        <v>1171</v>
      </c>
      <c r="I108" s="186" t="s">
        <v>1172</v>
      </c>
      <c r="J108" s="186" t="s">
        <v>1173</v>
      </c>
      <c r="K108" s="185" t="s">
        <v>1106</v>
      </c>
      <c r="L108" s="187"/>
      <c r="M108" s="185" t="s">
        <v>1041</v>
      </c>
      <c r="N108" s="188"/>
      <c r="O108" s="185" t="s">
        <v>1174</v>
      </c>
      <c r="P108" s="189"/>
      <c r="Q108" s="190" t="s">
        <v>1175</v>
      </c>
      <c r="R108" s="188"/>
      <c r="S108" s="191" t="s">
        <v>1176</v>
      </c>
      <c r="T108" s="192"/>
      <c r="U108" s="193" t="s">
        <v>1096</v>
      </c>
      <c r="V108" s="186" t="s">
        <v>483</v>
      </c>
      <c r="W108" s="186" t="s">
        <v>753</v>
      </c>
      <c r="X108" s="192"/>
      <c r="Y108" s="194"/>
      <c r="Z108" s="194"/>
      <c r="AA108" s="194"/>
      <c r="AB108" s="194"/>
      <c r="AC108" s="194"/>
      <c r="AD108" s="194"/>
    </row>
    <row r="109" spans="1:30" ht="85.5">
      <c r="A109" s="43">
        <f t="shared" si="0"/>
        <v>108</v>
      </c>
      <c r="B109" s="195" t="s">
        <v>353</v>
      </c>
      <c r="C109" s="45" t="s">
        <v>364</v>
      </c>
      <c r="D109" s="196">
        <v>2016</v>
      </c>
      <c r="E109" s="53" t="s">
        <v>105</v>
      </c>
      <c r="F109" s="53" t="s">
        <v>1177</v>
      </c>
      <c r="G109" s="53" t="s">
        <v>1178</v>
      </c>
      <c r="H109" s="52" t="s">
        <v>1179</v>
      </c>
      <c r="I109" s="52" t="s">
        <v>1180</v>
      </c>
      <c r="J109" s="52" t="s">
        <v>1181</v>
      </c>
      <c r="K109" s="53" t="s">
        <v>1116</v>
      </c>
      <c r="L109" s="197"/>
      <c r="M109" s="53" t="s">
        <v>1041</v>
      </c>
      <c r="N109" s="170"/>
      <c r="O109" s="53" t="s">
        <v>1182</v>
      </c>
      <c r="P109" s="170"/>
      <c r="Q109" s="49" t="s">
        <v>1183</v>
      </c>
      <c r="R109" s="170"/>
      <c r="S109" s="49" t="s">
        <v>1184</v>
      </c>
      <c r="T109" s="50"/>
      <c r="U109" s="52" t="s">
        <v>1096</v>
      </c>
      <c r="V109" s="52" t="s">
        <v>483</v>
      </c>
      <c r="W109" s="52" t="s">
        <v>753</v>
      </c>
      <c r="X109" s="50"/>
      <c r="Y109" s="54"/>
      <c r="Z109" s="54"/>
      <c r="AA109" s="54"/>
      <c r="AB109" s="54"/>
      <c r="AC109" s="54"/>
      <c r="AD109" s="54"/>
    </row>
    <row r="110" spans="1:30" ht="85.5">
      <c r="A110" s="43">
        <f t="shared" si="0"/>
        <v>109</v>
      </c>
      <c r="B110" s="195" t="s">
        <v>353</v>
      </c>
      <c r="C110" s="45" t="s">
        <v>365</v>
      </c>
      <c r="D110" s="196">
        <v>2019</v>
      </c>
      <c r="E110" s="53" t="s">
        <v>1005</v>
      </c>
      <c r="F110" s="53" t="s">
        <v>1185</v>
      </c>
      <c r="G110" s="53" t="s">
        <v>1186</v>
      </c>
      <c r="H110" s="52" t="s">
        <v>1187</v>
      </c>
      <c r="I110" s="52" t="s">
        <v>1188</v>
      </c>
      <c r="J110" s="52" t="s">
        <v>1189</v>
      </c>
      <c r="K110" s="53" t="s">
        <v>1116</v>
      </c>
      <c r="L110" s="197"/>
      <c r="M110" s="53" t="s">
        <v>1041</v>
      </c>
      <c r="N110" s="170" t="s">
        <v>1190</v>
      </c>
      <c r="O110" s="53" t="s">
        <v>1142</v>
      </c>
      <c r="P110" s="170" t="s">
        <v>1191</v>
      </c>
      <c r="Q110" s="49"/>
      <c r="R110" s="170"/>
      <c r="S110" s="49" t="s">
        <v>1192</v>
      </c>
      <c r="T110" s="50"/>
      <c r="U110" s="52"/>
      <c r="V110" s="52" t="s">
        <v>483</v>
      </c>
      <c r="W110" s="52"/>
      <c r="X110" s="50"/>
      <c r="Y110" s="54"/>
      <c r="Z110" s="54"/>
      <c r="AA110" s="54"/>
      <c r="AB110" s="54"/>
      <c r="AC110" s="54"/>
      <c r="AD110" s="54"/>
    </row>
    <row r="111" spans="1:30" ht="171">
      <c r="A111" s="117">
        <f t="shared" si="0"/>
        <v>110</v>
      </c>
      <c r="B111" s="180" t="s">
        <v>353</v>
      </c>
      <c r="C111" s="119" t="s">
        <v>366</v>
      </c>
      <c r="D111" s="181">
        <v>2019</v>
      </c>
      <c r="E111" s="128" t="s">
        <v>980</v>
      </c>
      <c r="F111" s="128" t="s">
        <v>1193</v>
      </c>
      <c r="G111" s="128" t="s">
        <v>1194</v>
      </c>
      <c r="H111" s="127" t="s">
        <v>1195</v>
      </c>
      <c r="I111" s="127" t="s">
        <v>1196</v>
      </c>
      <c r="J111" s="127" t="s">
        <v>1165</v>
      </c>
      <c r="K111" s="128" t="s">
        <v>1106</v>
      </c>
      <c r="L111" s="182"/>
      <c r="M111" s="128" t="s">
        <v>1041</v>
      </c>
      <c r="N111" s="122" t="s">
        <v>575</v>
      </c>
      <c r="O111" s="128" t="s">
        <v>1174</v>
      </c>
      <c r="P111" s="172"/>
      <c r="Q111" s="124" t="s">
        <v>1197</v>
      </c>
      <c r="R111" s="172"/>
      <c r="S111" s="124" t="s">
        <v>1198</v>
      </c>
      <c r="T111" s="128" t="s">
        <v>575</v>
      </c>
      <c r="U111" s="198"/>
      <c r="V111" s="127" t="s">
        <v>483</v>
      </c>
      <c r="W111" s="127" t="s">
        <v>497</v>
      </c>
      <c r="X111" s="125"/>
      <c r="Y111" s="123"/>
      <c r="Z111" s="123"/>
      <c r="AA111" s="123"/>
      <c r="AB111" s="123"/>
      <c r="AC111" s="123"/>
      <c r="AD111" s="123"/>
    </row>
    <row r="112" spans="1:30" ht="199.5">
      <c r="A112" s="117">
        <f t="shared" si="0"/>
        <v>111</v>
      </c>
      <c r="B112" s="180" t="s">
        <v>353</v>
      </c>
      <c r="C112" s="119" t="s">
        <v>367</v>
      </c>
      <c r="D112" s="181">
        <v>2020</v>
      </c>
      <c r="E112" s="128" t="s">
        <v>1199</v>
      </c>
      <c r="F112" s="128" t="s">
        <v>1200</v>
      </c>
      <c r="G112" s="128" t="s">
        <v>1201</v>
      </c>
      <c r="H112" s="127" t="s">
        <v>1202</v>
      </c>
      <c r="I112" s="127" t="s">
        <v>1203</v>
      </c>
      <c r="J112" s="127" t="s">
        <v>1204</v>
      </c>
      <c r="K112" s="128" t="s">
        <v>1106</v>
      </c>
      <c r="L112" s="182" t="s">
        <v>532</v>
      </c>
      <c r="M112" s="128" t="s">
        <v>1141</v>
      </c>
      <c r="N112" s="122"/>
      <c r="O112" s="128" t="s">
        <v>640</v>
      </c>
      <c r="P112" s="172"/>
      <c r="Q112" s="124" t="s">
        <v>640</v>
      </c>
      <c r="R112" s="172"/>
      <c r="S112" s="124" t="s">
        <v>1205</v>
      </c>
      <c r="T112" s="128"/>
      <c r="U112" s="198"/>
      <c r="V112" s="127" t="s">
        <v>1206</v>
      </c>
      <c r="W112" s="127" t="s">
        <v>497</v>
      </c>
      <c r="X112" s="125"/>
      <c r="Y112" s="123"/>
      <c r="Z112" s="123"/>
      <c r="AA112" s="123"/>
      <c r="AB112" s="123"/>
      <c r="AC112" s="123"/>
      <c r="AD112" s="123"/>
    </row>
    <row r="113" spans="1:30" ht="71.25">
      <c r="A113" s="117">
        <f t="shared" si="0"/>
        <v>112</v>
      </c>
      <c r="B113" s="180" t="s">
        <v>353</v>
      </c>
      <c r="C113" s="119" t="s">
        <v>368</v>
      </c>
      <c r="D113" s="181">
        <v>2018</v>
      </c>
      <c r="E113" s="128" t="s">
        <v>52</v>
      </c>
      <c r="F113" s="128" t="s">
        <v>1207</v>
      </c>
      <c r="G113" s="128" t="s">
        <v>1208</v>
      </c>
      <c r="H113" s="127" t="s">
        <v>1209</v>
      </c>
      <c r="I113" s="127" t="s">
        <v>1210</v>
      </c>
      <c r="J113" s="127" t="s">
        <v>1211</v>
      </c>
      <c r="K113" s="128" t="s">
        <v>1106</v>
      </c>
      <c r="L113" s="182"/>
      <c r="M113" s="128" t="s">
        <v>1041</v>
      </c>
      <c r="N113" s="122"/>
      <c r="O113" s="128" t="s">
        <v>1142</v>
      </c>
      <c r="P113" s="172"/>
      <c r="Q113" s="124" t="s">
        <v>1212</v>
      </c>
      <c r="R113" s="172"/>
      <c r="S113" s="124" t="s">
        <v>1091</v>
      </c>
      <c r="T113" s="128"/>
      <c r="U113" s="198"/>
      <c r="V113" s="127" t="s">
        <v>483</v>
      </c>
      <c r="W113" s="127"/>
      <c r="X113" s="125" t="s">
        <v>1213</v>
      </c>
      <c r="Y113" s="123"/>
      <c r="Z113" s="123"/>
      <c r="AA113" s="123"/>
      <c r="AB113" s="123"/>
      <c r="AC113" s="123"/>
      <c r="AD113" s="123"/>
    </row>
    <row r="114" spans="1:30" ht="85.5">
      <c r="A114" s="117">
        <f t="shared" si="0"/>
        <v>113</v>
      </c>
      <c r="B114" s="180" t="s">
        <v>353</v>
      </c>
      <c r="C114" s="119" t="s">
        <v>369</v>
      </c>
      <c r="D114" s="181">
        <v>2018</v>
      </c>
      <c r="E114" s="128" t="s">
        <v>24</v>
      </c>
      <c r="F114" s="128" t="s">
        <v>1214</v>
      </c>
      <c r="G114" s="128" t="s">
        <v>1215</v>
      </c>
      <c r="H114" s="127" t="s">
        <v>1216</v>
      </c>
      <c r="I114" s="127" t="s">
        <v>1217</v>
      </c>
      <c r="J114" s="127" t="s">
        <v>1218</v>
      </c>
      <c r="K114" s="128" t="s">
        <v>1106</v>
      </c>
      <c r="L114" s="182" t="s">
        <v>532</v>
      </c>
      <c r="M114" s="128" t="s">
        <v>1041</v>
      </c>
      <c r="N114" s="122"/>
      <c r="O114" s="128" t="s">
        <v>1142</v>
      </c>
      <c r="P114" s="172"/>
      <c r="Q114" s="124" t="s">
        <v>1219</v>
      </c>
      <c r="R114" s="172"/>
      <c r="S114" s="124" t="s">
        <v>1220</v>
      </c>
      <c r="T114" s="128"/>
      <c r="U114" s="198"/>
      <c r="V114" s="127" t="s">
        <v>483</v>
      </c>
      <c r="W114" s="127"/>
      <c r="X114" s="125" t="s">
        <v>1221</v>
      </c>
      <c r="Y114" s="123"/>
      <c r="Z114" s="123"/>
      <c r="AA114" s="123"/>
      <c r="AB114" s="123"/>
      <c r="AC114" s="123"/>
      <c r="AD114" s="123"/>
    </row>
    <row r="115" spans="1:30" ht="42.75">
      <c r="A115" s="117">
        <f t="shared" si="0"/>
        <v>114</v>
      </c>
      <c r="B115" s="180" t="s">
        <v>353</v>
      </c>
      <c r="C115" s="119" t="s">
        <v>370</v>
      </c>
      <c r="D115" s="181">
        <v>2016</v>
      </c>
      <c r="E115" s="128" t="s">
        <v>103</v>
      </c>
      <c r="F115" s="128" t="s">
        <v>1222</v>
      </c>
      <c r="G115" s="128" t="s">
        <v>1223</v>
      </c>
      <c r="H115" s="127" t="s">
        <v>1224</v>
      </c>
      <c r="I115" s="127" t="s">
        <v>1225</v>
      </c>
      <c r="J115" s="127" t="s">
        <v>1126</v>
      </c>
      <c r="K115" s="128" t="s">
        <v>1106</v>
      </c>
      <c r="L115" s="182"/>
      <c r="M115" s="128" t="s">
        <v>535</v>
      </c>
      <c r="N115" s="122"/>
      <c r="O115" s="128" t="s">
        <v>1226</v>
      </c>
      <c r="P115" s="172"/>
      <c r="Q115" s="124" t="s">
        <v>1227</v>
      </c>
      <c r="R115" s="172"/>
      <c r="S115" s="124" t="s">
        <v>1220</v>
      </c>
      <c r="T115" s="128"/>
      <c r="U115" s="198" t="s">
        <v>1096</v>
      </c>
      <c r="V115" s="127" t="s">
        <v>483</v>
      </c>
      <c r="W115" s="127" t="s">
        <v>753</v>
      </c>
      <c r="X115" s="125"/>
      <c r="Y115" s="123"/>
      <c r="Z115" s="123"/>
      <c r="AA115" s="123"/>
      <c r="AB115" s="123"/>
      <c r="AC115" s="123"/>
      <c r="AD115" s="123"/>
    </row>
    <row r="116" spans="1:30" ht="71.25">
      <c r="A116" s="43">
        <f t="shared" si="0"/>
        <v>115</v>
      </c>
      <c r="B116" s="195" t="s">
        <v>353</v>
      </c>
      <c r="C116" s="45" t="s">
        <v>371</v>
      </c>
      <c r="D116" s="196">
        <v>2017</v>
      </c>
      <c r="E116" s="53" t="s">
        <v>64</v>
      </c>
      <c r="F116" s="53" t="s">
        <v>1228</v>
      </c>
      <c r="G116" s="53" t="s">
        <v>1229</v>
      </c>
      <c r="H116" s="52" t="s">
        <v>1230</v>
      </c>
      <c r="I116" s="52" t="s">
        <v>1231</v>
      </c>
      <c r="J116" s="52" t="s">
        <v>1126</v>
      </c>
      <c r="K116" s="53" t="s">
        <v>1116</v>
      </c>
      <c r="L116" s="197"/>
      <c r="M116" s="53" t="s">
        <v>1232</v>
      </c>
      <c r="N116" s="170"/>
      <c r="O116" s="53" t="s">
        <v>1233</v>
      </c>
      <c r="P116" s="170"/>
      <c r="Q116" s="49" t="s">
        <v>1234</v>
      </c>
      <c r="R116" s="170"/>
      <c r="S116" s="49" t="s">
        <v>640</v>
      </c>
      <c r="T116" s="50"/>
      <c r="U116" s="52" t="s">
        <v>1096</v>
      </c>
      <c r="V116" s="52" t="s">
        <v>483</v>
      </c>
      <c r="W116" s="52" t="s">
        <v>640</v>
      </c>
      <c r="X116" s="50"/>
      <c r="Y116" s="54"/>
      <c r="Z116" s="54"/>
      <c r="AA116" s="54"/>
      <c r="AB116" s="54"/>
      <c r="AC116" s="54"/>
      <c r="AD116" s="54"/>
    </row>
    <row r="117" spans="1:30" ht="85.5">
      <c r="A117" s="95">
        <f t="shared" si="0"/>
        <v>116</v>
      </c>
      <c r="B117" s="199" t="s">
        <v>353</v>
      </c>
      <c r="C117" s="96" t="s">
        <v>372</v>
      </c>
      <c r="D117" s="200">
        <v>2017</v>
      </c>
      <c r="E117" s="104" t="s">
        <v>85</v>
      </c>
      <c r="F117" s="104" t="s">
        <v>1235</v>
      </c>
      <c r="G117" s="104" t="s">
        <v>1236</v>
      </c>
      <c r="H117" s="101" t="s">
        <v>1237</v>
      </c>
      <c r="I117" s="101" t="s">
        <v>1238</v>
      </c>
      <c r="J117" s="101" t="s">
        <v>1239</v>
      </c>
      <c r="K117" s="65" t="s">
        <v>1240</v>
      </c>
      <c r="L117" s="201"/>
      <c r="M117" s="65" t="s">
        <v>1041</v>
      </c>
      <c r="N117" s="202"/>
      <c r="O117" s="203" t="s">
        <v>1241</v>
      </c>
      <c r="P117" s="202"/>
      <c r="Q117" s="49" t="s">
        <v>1242</v>
      </c>
      <c r="R117" s="202"/>
      <c r="S117" s="49" t="s">
        <v>1091</v>
      </c>
      <c r="T117" s="99"/>
      <c r="U117" s="204"/>
      <c r="V117" s="101" t="s">
        <v>483</v>
      </c>
      <c r="W117" s="101" t="s">
        <v>497</v>
      </c>
      <c r="X117" s="99"/>
      <c r="Y117" s="24"/>
      <c r="Z117" s="24"/>
      <c r="AA117" s="24"/>
      <c r="AB117" s="24"/>
      <c r="AC117" s="24"/>
      <c r="AD117" s="24"/>
    </row>
    <row r="118" spans="1:30" ht="71.25">
      <c r="A118" s="95">
        <f t="shared" si="0"/>
        <v>117</v>
      </c>
      <c r="B118" s="199" t="s">
        <v>373</v>
      </c>
      <c r="C118" s="96" t="s">
        <v>374</v>
      </c>
      <c r="D118" s="200">
        <v>2018</v>
      </c>
      <c r="E118" s="205" t="s">
        <v>1243</v>
      </c>
      <c r="F118" s="205" t="s">
        <v>1244</v>
      </c>
      <c r="G118" s="205" t="s">
        <v>1245</v>
      </c>
      <c r="H118" s="206" t="s">
        <v>1246</v>
      </c>
      <c r="I118" s="206" t="s">
        <v>1247</v>
      </c>
      <c r="J118" s="206" t="s">
        <v>1248</v>
      </c>
      <c r="K118" s="207" t="s">
        <v>1240</v>
      </c>
      <c r="L118" s="208"/>
      <c r="M118" s="207" t="s">
        <v>1041</v>
      </c>
      <c r="N118" s="209"/>
      <c r="O118" s="210" t="s">
        <v>1174</v>
      </c>
      <c r="P118" s="209"/>
      <c r="Q118" s="211" t="s">
        <v>1234</v>
      </c>
      <c r="R118" s="209"/>
      <c r="S118" s="211" t="s">
        <v>1249</v>
      </c>
      <c r="T118" s="212"/>
      <c r="U118" s="206" t="s">
        <v>1250</v>
      </c>
      <c r="V118" s="206" t="s">
        <v>483</v>
      </c>
      <c r="W118" s="206" t="s">
        <v>640</v>
      </c>
      <c r="X118" s="212"/>
      <c r="Y118" s="24"/>
      <c r="Z118" s="24"/>
      <c r="AA118" s="24"/>
      <c r="AB118" s="24"/>
      <c r="AC118" s="24"/>
      <c r="AD118" s="24"/>
    </row>
    <row r="119" spans="1:30" ht="99.75">
      <c r="A119" s="95">
        <f t="shared" si="0"/>
        <v>118</v>
      </c>
      <c r="B119" s="199" t="s">
        <v>373</v>
      </c>
      <c r="C119" s="96" t="s">
        <v>375</v>
      </c>
      <c r="D119" s="200">
        <v>2018</v>
      </c>
      <c r="E119" s="205" t="s">
        <v>1251</v>
      </c>
      <c r="F119" s="205" t="s">
        <v>1252</v>
      </c>
      <c r="G119" s="205" t="s">
        <v>1253</v>
      </c>
      <c r="H119" s="206" t="s">
        <v>1254</v>
      </c>
      <c r="I119" s="206" t="s">
        <v>1255</v>
      </c>
      <c r="J119" s="206" t="s">
        <v>1256</v>
      </c>
      <c r="K119" s="207" t="s">
        <v>1240</v>
      </c>
      <c r="L119" s="208"/>
      <c r="M119" s="207" t="s">
        <v>1041</v>
      </c>
      <c r="N119" s="209"/>
      <c r="O119" s="210" t="s">
        <v>1257</v>
      </c>
      <c r="P119" s="209"/>
      <c r="Q119" s="211" t="s">
        <v>1258</v>
      </c>
      <c r="R119" s="209"/>
      <c r="S119" s="211" t="s">
        <v>1220</v>
      </c>
      <c r="T119" s="212"/>
      <c r="U119" s="206" t="s">
        <v>1259</v>
      </c>
      <c r="V119" s="206" t="s">
        <v>483</v>
      </c>
      <c r="W119" s="206" t="s">
        <v>497</v>
      </c>
      <c r="X119" s="212"/>
      <c r="Y119" s="24"/>
      <c r="Z119" s="24"/>
      <c r="AA119" s="24"/>
      <c r="AB119" s="24"/>
      <c r="AC119" s="24"/>
      <c r="AD119" s="24"/>
    </row>
    <row r="120" spans="1:30" ht="63.75">
      <c r="A120" s="95">
        <f t="shared" si="0"/>
        <v>119</v>
      </c>
      <c r="B120" s="199" t="s">
        <v>373</v>
      </c>
      <c r="C120" s="96" t="s">
        <v>376</v>
      </c>
      <c r="D120" s="200">
        <v>2015</v>
      </c>
      <c r="E120" s="205" t="s">
        <v>1260</v>
      </c>
      <c r="F120" s="205" t="s">
        <v>1261</v>
      </c>
      <c r="G120" s="205" t="s">
        <v>1262</v>
      </c>
      <c r="H120" s="206" t="s">
        <v>1263</v>
      </c>
      <c r="I120" s="206" t="s">
        <v>1264</v>
      </c>
      <c r="J120" s="206" t="s">
        <v>1126</v>
      </c>
      <c r="K120" s="207" t="s">
        <v>1240</v>
      </c>
      <c r="L120" s="208"/>
      <c r="M120" s="207" t="s">
        <v>1232</v>
      </c>
      <c r="N120" s="209"/>
      <c r="O120" s="210" t="s">
        <v>1257</v>
      </c>
      <c r="P120" s="209"/>
      <c r="Q120" s="211" t="s">
        <v>1234</v>
      </c>
      <c r="R120" s="209"/>
      <c r="S120" s="211" t="s">
        <v>1220</v>
      </c>
      <c r="T120" s="212"/>
      <c r="U120" s="206" t="s">
        <v>715</v>
      </c>
      <c r="V120" s="206" t="s">
        <v>483</v>
      </c>
      <c r="W120" s="206" t="s">
        <v>1091</v>
      </c>
      <c r="X120" s="212"/>
      <c r="Y120" s="24"/>
      <c r="Z120" s="24"/>
      <c r="AA120" s="24"/>
      <c r="AB120" s="24"/>
      <c r="AC120" s="24"/>
      <c r="AD120" s="24"/>
    </row>
    <row r="121" spans="1:30" ht="51">
      <c r="A121" s="95">
        <f t="shared" si="0"/>
        <v>120</v>
      </c>
      <c r="B121" s="199" t="s">
        <v>373</v>
      </c>
      <c r="C121" s="96" t="s">
        <v>377</v>
      </c>
      <c r="D121" s="213"/>
      <c r="E121" s="212"/>
      <c r="F121" s="212"/>
      <c r="G121" s="212"/>
      <c r="H121" s="214"/>
      <c r="I121" s="214"/>
      <c r="J121" s="214"/>
      <c r="K121" s="215"/>
      <c r="L121" s="208"/>
      <c r="M121" s="215"/>
      <c r="N121" s="209"/>
      <c r="O121" s="216"/>
      <c r="P121" s="209"/>
      <c r="Q121" s="217"/>
      <c r="R121" s="209"/>
      <c r="S121" s="217"/>
      <c r="T121" s="212"/>
      <c r="U121" s="214"/>
      <c r="V121" s="214"/>
      <c r="W121" s="214"/>
      <c r="X121" s="212"/>
      <c r="Y121" s="24"/>
      <c r="Z121" s="24"/>
      <c r="AA121" s="24"/>
      <c r="AB121" s="24"/>
      <c r="AC121" s="24"/>
      <c r="AD121" s="24"/>
    </row>
    <row r="122" spans="1:30" ht="51">
      <c r="A122" s="95">
        <f t="shared" si="0"/>
        <v>121</v>
      </c>
      <c r="B122" s="199" t="s">
        <v>373</v>
      </c>
      <c r="C122" s="96" t="s">
        <v>378</v>
      </c>
      <c r="D122" s="213"/>
      <c r="E122" s="212"/>
      <c r="F122" s="212"/>
      <c r="G122" s="212"/>
      <c r="H122" s="214"/>
      <c r="I122" s="214"/>
      <c r="J122" s="214"/>
      <c r="K122" s="215"/>
      <c r="L122" s="208"/>
      <c r="M122" s="215"/>
      <c r="N122" s="209"/>
      <c r="O122" s="216"/>
      <c r="P122" s="209"/>
      <c r="Q122" s="217"/>
      <c r="R122" s="209"/>
      <c r="S122" s="217"/>
      <c r="T122" s="212"/>
      <c r="U122" s="214"/>
      <c r="V122" s="214"/>
      <c r="W122" s="214"/>
      <c r="X122" s="212"/>
      <c r="Y122" s="24"/>
      <c r="Z122" s="24"/>
      <c r="AA122" s="24"/>
      <c r="AB122" s="24"/>
      <c r="AC122" s="24"/>
      <c r="AD122" s="24"/>
    </row>
    <row r="123" spans="1:30" ht="51">
      <c r="A123" s="95">
        <f t="shared" si="0"/>
        <v>122</v>
      </c>
      <c r="B123" s="199" t="s">
        <v>373</v>
      </c>
      <c r="C123" s="96" t="s">
        <v>379</v>
      </c>
      <c r="D123" s="213"/>
      <c r="E123" s="212"/>
      <c r="F123" s="212"/>
      <c r="G123" s="212"/>
      <c r="H123" s="214"/>
      <c r="I123" s="214"/>
      <c r="J123" s="214"/>
      <c r="K123" s="215"/>
      <c r="L123" s="208"/>
      <c r="M123" s="215"/>
      <c r="N123" s="209"/>
      <c r="O123" s="216"/>
      <c r="P123" s="209"/>
      <c r="Q123" s="217"/>
      <c r="R123" s="209"/>
      <c r="S123" s="217"/>
      <c r="T123" s="212"/>
      <c r="U123" s="214"/>
      <c r="V123" s="214"/>
      <c r="W123" s="214"/>
      <c r="X123" s="212"/>
      <c r="Y123" s="24"/>
      <c r="Z123" s="24"/>
      <c r="AA123" s="24"/>
      <c r="AB123" s="24"/>
      <c r="AC123" s="24"/>
      <c r="AD123" s="24"/>
    </row>
    <row r="124" spans="1:30" ht="76.5">
      <c r="A124" s="95">
        <f t="shared" si="0"/>
        <v>123</v>
      </c>
      <c r="B124" s="199" t="s">
        <v>373</v>
      </c>
      <c r="C124" s="96" t="s">
        <v>380</v>
      </c>
      <c r="D124" s="213"/>
      <c r="E124" s="212"/>
      <c r="F124" s="212"/>
      <c r="G124" s="212"/>
      <c r="H124" s="214"/>
      <c r="I124" s="214"/>
      <c r="J124" s="214"/>
      <c r="K124" s="215"/>
      <c r="L124" s="208"/>
      <c r="M124" s="215"/>
      <c r="N124" s="209"/>
      <c r="O124" s="216"/>
      <c r="P124" s="209"/>
      <c r="Q124" s="217"/>
      <c r="R124" s="209"/>
      <c r="S124" s="217"/>
      <c r="T124" s="212"/>
      <c r="U124" s="214"/>
      <c r="V124" s="214"/>
      <c r="W124" s="214"/>
      <c r="X124" s="212"/>
      <c r="Y124" s="24"/>
      <c r="Z124" s="24"/>
      <c r="AA124" s="24"/>
      <c r="AB124" s="24"/>
      <c r="AC124" s="24"/>
      <c r="AD124" s="24"/>
    </row>
    <row r="125" spans="1:30" ht="89.25">
      <c r="A125" s="95">
        <f t="shared" si="0"/>
        <v>124</v>
      </c>
      <c r="B125" s="199" t="s">
        <v>373</v>
      </c>
      <c r="C125" s="96" t="s">
        <v>381</v>
      </c>
      <c r="D125" s="213"/>
      <c r="E125" s="212"/>
      <c r="F125" s="212"/>
      <c r="G125" s="212"/>
      <c r="H125" s="214"/>
      <c r="I125" s="214"/>
      <c r="J125" s="214"/>
      <c r="K125" s="215"/>
      <c r="L125" s="208"/>
      <c r="M125" s="215"/>
      <c r="N125" s="209"/>
      <c r="O125" s="216"/>
      <c r="P125" s="209"/>
      <c r="Q125" s="217"/>
      <c r="R125" s="209"/>
      <c r="S125" s="217"/>
      <c r="T125" s="212"/>
      <c r="U125" s="214"/>
      <c r="V125" s="214"/>
      <c r="W125" s="214"/>
      <c r="X125" s="212"/>
      <c r="Y125" s="24"/>
      <c r="Z125" s="24"/>
      <c r="AA125" s="24"/>
      <c r="AB125" s="24"/>
      <c r="AC125" s="24"/>
      <c r="AD125" s="24"/>
    </row>
    <row r="126" spans="1:30" ht="51">
      <c r="A126" s="95">
        <f t="shared" si="0"/>
        <v>125</v>
      </c>
      <c r="B126" s="199" t="s">
        <v>373</v>
      </c>
      <c r="C126" s="96" t="s">
        <v>382</v>
      </c>
      <c r="D126" s="213"/>
      <c r="E126" s="212"/>
      <c r="F126" s="212"/>
      <c r="G126" s="212"/>
      <c r="H126" s="214"/>
      <c r="I126" s="214"/>
      <c r="J126" s="214"/>
      <c r="K126" s="215"/>
      <c r="L126" s="208"/>
      <c r="M126" s="215"/>
      <c r="N126" s="209"/>
      <c r="O126" s="216"/>
      <c r="P126" s="209"/>
      <c r="Q126" s="217"/>
      <c r="R126" s="209"/>
      <c r="S126" s="217"/>
      <c r="T126" s="212"/>
      <c r="U126" s="214"/>
      <c r="V126" s="214"/>
      <c r="W126" s="214"/>
      <c r="X126" s="212"/>
      <c r="Y126" s="24"/>
      <c r="Z126" s="24"/>
      <c r="AA126" s="24"/>
      <c r="AB126" s="24"/>
      <c r="AC126" s="24"/>
      <c r="AD126" s="24"/>
    </row>
    <row r="127" spans="1:30" ht="38.25">
      <c r="A127" s="95">
        <f t="shared" si="0"/>
        <v>126</v>
      </c>
      <c r="B127" s="199" t="s">
        <v>373</v>
      </c>
      <c r="C127" s="96" t="s">
        <v>383</v>
      </c>
      <c r="D127" s="213"/>
      <c r="E127" s="212"/>
      <c r="F127" s="212"/>
      <c r="G127" s="212"/>
      <c r="H127" s="214"/>
      <c r="I127" s="214"/>
      <c r="J127" s="214"/>
      <c r="K127" s="215"/>
      <c r="L127" s="208"/>
      <c r="M127" s="215"/>
      <c r="N127" s="209"/>
      <c r="O127" s="216"/>
      <c r="P127" s="209"/>
      <c r="Q127" s="217"/>
      <c r="R127" s="209"/>
      <c r="S127" s="217"/>
      <c r="T127" s="212"/>
      <c r="U127" s="214"/>
      <c r="V127" s="214"/>
      <c r="W127" s="214"/>
      <c r="X127" s="212"/>
      <c r="Y127" s="24"/>
      <c r="Z127" s="24"/>
      <c r="AA127" s="24"/>
      <c r="AB127" s="24"/>
      <c r="AC127" s="24"/>
      <c r="AD127" s="24"/>
    </row>
    <row r="128" spans="1:30" ht="38.25">
      <c r="A128" s="95">
        <f t="shared" si="0"/>
        <v>127</v>
      </c>
      <c r="B128" s="199" t="s">
        <v>373</v>
      </c>
      <c r="C128" s="96" t="s">
        <v>384</v>
      </c>
      <c r="D128" s="213"/>
      <c r="E128" s="212"/>
      <c r="F128" s="212"/>
      <c r="G128" s="212"/>
      <c r="H128" s="214"/>
      <c r="I128" s="214"/>
      <c r="J128" s="214"/>
      <c r="K128" s="215"/>
      <c r="L128" s="208"/>
      <c r="M128" s="215"/>
      <c r="N128" s="209"/>
      <c r="O128" s="216"/>
      <c r="P128" s="209"/>
      <c r="Q128" s="217"/>
      <c r="R128" s="209"/>
      <c r="S128" s="217"/>
      <c r="T128" s="212"/>
      <c r="U128" s="214"/>
      <c r="V128" s="214"/>
      <c r="W128" s="214"/>
      <c r="X128" s="212"/>
      <c r="Y128" s="24"/>
      <c r="Z128" s="24"/>
      <c r="AA128" s="24"/>
      <c r="AB128" s="24"/>
      <c r="AC128" s="24"/>
      <c r="AD128" s="24"/>
    </row>
    <row r="129" spans="1:30" ht="38.25">
      <c r="A129" s="95">
        <f t="shared" si="0"/>
        <v>128</v>
      </c>
      <c r="B129" s="199" t="s">
        <v>373</v>
      </c>
      <c r="C129" s="96" t="s">
        <v>385</v>
      </c>
      <c r="D129" s="213"/>
      <c r="E129" s="212"/>
      <c r="F129" s="212"/>
      <c r="G129" s="212"/>
      <c r="H129" s="214"/>
      <c r="I129" s="214"/>
      <c r="J129" s="214"/>
      <c r="K129" s="215"/>
      <c r="L129" s="208"/>
      <c r="M129" s="207"/>
      <c r="N129" s="209"/>
      <c r="O129" s="210"/>
      <c r="P129" s="209"/>
      <c r="Q129" s="217"/>
      <c r="R129" s="209"/>
      <c r="S129" s="217"/>
      <c r="T129" s="212"/>
      <c r="U129" s="206"/>
      <c r="V129" s="214"/>
      <c r="W129" s="214"/>
      <c r="X129" s="212"/>
      <c r="Y129" s="24"/>
      <c r="Z129" s="24"/>
      <c r="AA129" s="24"/>
      <c r="AB129" s="24"/>
      <c r="AC129" s="24"/>
      <c r="AD129" s="24"/>
    </row>
    <row r="130" spans="1:30" ht="153">
      <c r="A130" s="95">
        <f t="shared" si="0"/>
        <v>129</v>
      </c>
      <c r="B130" s="199" t="s">
        <v>373</v>
      </c>
      <c r="C130" s="96" t="s">
        <v>386</v>
      </c>
      <c r="D130" s="17">
        <v>2019</v>
      </c>
      <c r="E130" s="17" t="s">
        <v>25</v>
      </c>
      <c r="F130" s="16" t="s">
        <v>1265</v>
      </c>
      <c r="G130" s="16" t="s">
        <v>1266</v>
      </c>
      <c r="H130" s="16" t="s">
        <v>1267</v>
      </c>
      <c r="I130" s="17" t="s">
        <v>1268</v>
      </c>
      <c r="J130" s="17" t="s">
        <v>801</v>
      </c>
      <c r="K130" s="207" t="s">
        <v>1269</v>
      </c>
      <c r="L130" s="16" t="s">
        <v>1270</v>
      </c>
      <c r="M130" s="17" t="s">
        <v>601</v>
      </c>
      <c r="O130" s="17" t="s">
        <v>504</v>
      </c>
      <c r="Q130" s="17" t="s">
        <v>470</v>
      </c>
      <c r="S130" s="16" t="s">
        <v>1271</v>
      </c>
      <c r="U130" s="17" t="s">
        <v>715</v>
      </c>
      <c r="V130" s="17" t="s">
        <v>483</v>
      </c>
      <c r="W130" s="17" t="s">
        <v>497</v>
      </c>
      <c r="X130" s="212"/>
      <c r="Y130" s="24"/>
      <c r="Z130" s="24"/>
      <c r="AA130" s="24"/>
      <c r="AB130" s="24"/>
      <c r="AC130" s="24"/>
      <c r="AD130" s="24"/>
    </row>
    <row r="131" spans="1:30" ht="85.5">
      <c r="A131" s="95">
        <f t="shared" si="0"/>
        <v>130</v>
      </c>
      <c r="B131" s="199" t="s">
        <v>373</v>
      </c>
      <c r="C131" s="96" t="s">
        <v>387</v>
      </c>
      <c r="D131" s="200">
        <v>2016</v>
      </c>
      <c r="E131" s="205" t="s">
        <v>81</v>
      </c>
      <c r="F131" s="205" t="s">
        <v>1272</v>
      </c>
      <c r="G131" s="205" t="s">
        <v>1273</v>
      </c>
      <c r="H131" s="206" t="s">
        <v>1274</v>
      </c>
      <c r="I131" s="206" t="s">
        <v>1275</v>
      </c>
      <c r="J131" s="206" t="s">
        <v>801</v>
      </c>
      <c r="K131" s="207" t="s">
        <v>470</v>
      </c>
      <c r="L131" s="208"/>
      <c r="M131" s="207" t="s">
        <v>470</v>
      </c>
      <c r="N131" s="218"/>
      <c r="O131" s="210" t="s">
        <v>1276</v>
      </c>
      <c r="P131" s="209"/>
      <c r="Q131" s="211" t="s">
        <v>470</v>
      </c>
      <c r="R131" s="209"/>
      <c r="S131" s="211" t="s">
        <v>470</v>
      </c>
      <c r="T131" s="212"/>
      <c r="U131" s="206" t="s">
        <v>1277</v>
      </c>
      <c r="V131" s="206" t="s">
        <v>470</v>
      </c>
      <c r="W131" s="206" t="s">
        <v>470</v>
      </c>
      <c r="X131" s="205" t="s">
        <v>1278</v>
      </c>
      <c r="Y131" s="24"/>
      <c r="Z131" s="24"/>
      <c r="AA131" s="24"/>
      <c r="AB131" s="24"/>
      <c r="AC131" s="24"/>
      <c r="AD131" s="24"/>
    </row>
    <row r="132" spans="1:30" ht="128.25">
      <c r="A132" s="95">
        <f t="shared" si="0"/>
        <v>131</v>
      </c>
      <c r="B132" s="199" t="s">
        <v>373</v>
      </c>
      <c r="C132" s="96" t="s">
        <v>388</v>
      </c>
      <c r="D132" s="200">
        <v>2016</v>
      </c>
      <c r="E132" s="205" t="s">
        <v>101</v>
      </c>
      <c r="F132" s="205" t="s">
        <v>1279</v>
      </c>
      <c r="G132" s="205" t="s">
        <v>1280</v>
      </c>
      <c r="H132" s="206" t="s">
        <v>1281</v>
      </c>
      <c r="I132" s="206" t="s">
        <v>1282</v>
      </c>
      <c r="J132" s="206" t="s">
        <v>1283</v>
      </c>
      <c r="K132" s="207" t="s">
        <v>1269</v>
      </c>
      <c r="L132" s="219" t="s">
        <v>1281</v>
      </c>
      <c r="M132" s="207" t="s">
        <v>601</v>
      </c>
      <c r="N132" s="220" t="s">
        <v>1281</v>
      </c>
      <c r="O132" s="210" t="s">
        <v>988</v>
      </c>
      <c r="P132" s="218" t="s">
        <v>1119</v>
      </c>
      <c r="Q132" s="211" t="s">
        <v>1284</v>
      </c>
      <c r="R132" s="218" t="s">
        <v>1285</v>
      </c>
      <c r="S132" s="211" t="s">
        <v>470</v>
      </c>
      <c r="T132" s="212"/>
      <c r="U132" s="206" t="s">
        <v>1286</v>
      </c>
      <c r="V132" s="206" t="s">
        <v>470</v>
      </c>
      <c r="W132" s="206" t="s">
        <v>470</v>
      </c>
      <c r="X132" s="212"/>
      <c r="Y132" s="24"/>
      <c r="Z132" s="24"/>
      <c r="AA132" s="24"/>
      <c r="AB132" s="24"/>
      <c r="AC132" s="24"/>
      <c r="AD132" s="24"/>
    </row>
    <row r="133" spans="1:30" ht="114">
      <c r="A133" s="95">
        <f t="shared" si="0"/>
        <v>132</v>
      </c>
      <c r="B133" s="199" t="s">
        <v>373</v>
      </c>
      <c r="C133" s="96" t="s">
        <v>389</v>
      </c>
      <c r="D133" s="17">
        <v>2019</v>
      </c>
      <c r="E133" s="17" t="s">
        <v>1287</v>
      </c>
      <c r="F133" s="16" t="s">
        <v>1288</v>
      </c>
      <c r="G133" s="17" t="s">
        <v>1289</v>
      </c>
      <c r="H133" s="16" t="s">
        <v>1290</v>
      </c>
      <c r="I133" s="17" t="s">
        <v>1291</v>
      </c>
      <c r="J133" s="206" t="s">
        <v>1292</v>
      </c>
      <c r="K133" s="207" t="s">
        <v>493</v>
      </c>
      <c r="L133" s="221" t="s">
        <v>1293</v>
      </c>
      <c r="M133" s="207" t="s">
        <v>601</v>
      </c>
      <c r="N133" s="209"/>
      <c r="O133" s="210" t="s">
        <v>1294</v>
      </c>
      <c r="P133" s="209"/>
      <c r="Q133" s="217"/>
      <c r="R133" s="222" t="s">
        <v>1295</v>
      </c>
      <c r="S133" s="211" t="s">
        <v>1296</v>
      </c>
      <c r="T133" s="212"/>
      <c r="U133" s="206" t="s">
        <v>1297</v>
      </c>
      <c r="V133" s="206" t="s">
        <v>483</v>
      </c>
      <c r="W133" s="206" t="s">
        <v>497</v>
      </c>
      <c r="X133" s="212"/>
      <c r="Y133" s="24"/>
      <c r="Z133" s="24"/>
      <c r="AA133" s="24"/>
      <c r="AB133" s="24"/>
      <c r="AC133" s="24"/>
      <c r="AD133" s="24"/>
    </row>
    <row r="134" spans="1:30" ht="114">
      <c r="A134" s="55">
        <f t="shared" si="0"/>
        <v>133</v>
      </c>
      <c r="B134" s="223" t="s">
        <v>373</v>
      </c>
      <c r="C134" s="57" t="s">
        <v>390</v>
      </c>
      <c r="D134" s="224">
        <v>2015</v>
      </c>
      <c r="E134" s="207" t="s">
        <v>132</v>
      </c>
      <c r="F134" s="207" t="s">
        <v>1298</v>
      </c>
      <c r="G134" s="215"/>
      <c r="H134" s="225" t="s">
        <v>1299</v>
      </c>
      <c r="I134" s="225" t="s">
        <v>1300</v>
      </c>
      <c r="J134" s="225" t="s">
        <v>1301</v>
      </c>
      <c r="K134" s="207" t="s">
        <v>1269</v>
      </c>
      <c r="L134" s="226" t="s">
        <v>1302</v>
      </c>
      <c r="M134" s="207" t="s">
        <v>601</v>
      </c>
      <c r="N134" s="227" t="s">
        <v>1303</v>
      </c>
      <c r="O134" s="207" t="s">
        <v>790</v>
      </c>
      <c r="P134" s="227" t="s">
        <v>1304</v>
      </c>
      <c r="Q134" s="228" t="s">
        <v>470</v>
      </c>
      <c r="R134" s="229"/>
      <c r="S134" s="228" t="s">
        <v>1305</v>
      </c>
      <c r="T134" s="215"/>
      <c r="U134" s="225" t="s">
        <v>1306</v>
      </c>
      <c r="V134" s="225" t="s">
        <v>594</v>
      </c>
      <c r="W134" s="225" t="s">
        <v>594</v>
      </c>
      <c r="X134" s="207" t="s">
        <v>1307</v>
      </c>
      <c r="Y134" s="225" t="s">
        <v>1308</v>
      </c>
      <c r="Z134" s="60"/>
      <c r="AA134" s="60"/>
      <c r="AB134" s="60"/>
      <c r="AC134" s="60"/>
      <c r="AD134" s="60"/>
    </row>
    <row r="135" spans="1:30" ht="89.25">
      <c r="A135" s="43">
        <f t="shared" si="0"/>
        <v>134</v>
      </c>
      <c r="B135" s="195" t="s">
        <v>391</v>
      </c>
      <c r="C135" s="45" t="s">
        <v>392</v>
      </c>
      <c r="D135" s="174">
        <v>2014</v>
      </c>
      <c r="E135" s="174" t="s">
        <v>149</v>
      </c>
      <c r="F135" s="230" t="s">
        <v>1309</v>
      </c>
      <c r="G135" s="230" t="s">
        <v>1310</v>
      </c>
      <c r="H135" s="231" t="s">
        <v>1311</v>
      </c>
      <c r="I135" s="231" t="s">
        <v>1312</v>
      </c>
      <c r="J135" s="231" t="s">
        <v>1313</v>
      </c>
      <c r="K135" s="230" t="s">
        <v>1314</v>
      </c>
      <c r="L135" s="232"/>
      <c r="M135" s="230" t="s">
        <v>1315</v>
      </c>
      <c r="N135" s="233" t="s">
        <v>575</v>
      </c>
      <c r="O135" s="230" t="s">
        <v>1316</v>
      </c>
      <c r="P135" s="233">
        <v>2014</v>
      </c>
      <c r="Q135" s="211" t="s">
        <v>470</v>
      </c>
      <c r="R135" s="234"/>
      <c r="S135" s="211" t="s">
        <v>1317</v>
      </c>
      <c r="T135" s="230" t="s">
        <v>1318</v>
      </c>
      <c r="U135" s="231" t="s">
        <v>1319</v>
      </c>
      <c r="V135" s="231" t="s">
        <v>1320</v>
      </c>
      <c r="W135" s="231" t="s">
        <v>594</v>
      </c>
      <c r="X135" s="230" t="s">
        <v>1321</v>
      </c>
      <c r="Y135" s="54"/>
      <c r="Z135" s="54"/>
      <c r="AA135" s="54"/>
      <c r="AB135" s="54"/>
      <c r="AC135" s="54"/>
      <c r="AD135" s="54"/>
    </row>
    <row r="136" spans="1:30" ht="256.5">
      <c r="A136" s="150">
        <f t="shared" si="0"/>
        <v>135</v>
      </c>
      <c r="B136" s="183" t="s">
        <v>391</v>
      </c>
      <c r="C136" s="152" t="s">
        <v>393</v>
      </c>
      <c r="D136" s="235">
        <v>2017</v>
      </c>
      <c r="E136" s="235" t="s">
        <v>83</v>
      </c>
      <c r="F136" s="236" t="s">
        <v>1322</v>
      </c>
      <c r="G136" s="236" t="s">
        <v>1323</v>
      </c>
      <c r="H136" s="237" t="s">
        <v>1324</v>
      </c>
      <c r="I136" s="237" t="s">
        <v>1325</v>
      </c>
      <c r="J136" s="237" t="s">
        <v>1326</v>
      </c>
      <c r="K136" s="236" t="s">
        <v>1327</v>
      </c>
      <c r="L136" s="238"/>
      <c r="M136" s="236" t="s">
        <v>1328</v>
      </c>
      <c r="N136" s="239" t="s">
        <v>591</v>
      </c>
      <c r="O136" s="236" t="s">
        <v>1329</v>
      </c>
      <c r="P136" s="240"/>
      <c r="Q136" s="241"/>
      <c r="R136" s="240"/>
      <c r="S136" s="241" t="s">
        <v>1330</v>
      </c>
      <c r="T136" s="242"/>
      <c r="U136" s="237" t="s">
        <v>470</v>
      </c>
      <c r="V136" s="237" t="s">
        <v>1331</v>
      </c>
      <c r="W136" s="237" t="s">
        <v>1332</v>
      </c>
      <c r="X136" s="243"/>
      <c r="Y136" s="194"/>
      <c r="Z136" s="194"/>
      <c r="AA136" s="194"/>
      <c r="AB136" s="194"/>
      <c r="AC136" s="194"/>
      <c r="AD136" s="194"/>
    </row>
    <row r="137" spans="1:30" ht="156.75">
      <c r="A137" s="43">
        <f t="shared" si="0"/>
        <v>136</v>
      </c>
      <c r="B137" s="195" t="s">
        <v>391</v>
      </c>
      <c r="C137" s="45" t="s">
        <v>1333</v>
      </c>
      <c r="D137" s="196">
        <v>2013</v>
      </c>
      <c r="E137" s="244" t="s">
        <v>1334</v>
      </c>
      <c r="F137" s="230" t="s">
        <v>1335</v>
      </c>
      <c r="G137" s="230" t="s">
        <v>1336</v>
      </c>
      <c r="H137" s="231" t="s">
        <v>1337</v>
      </c>
      <c r="I137" s="231" t="s">
        <v>1338</v>
      </c>
      <c r="J137" s="231" t="s">
        <v>1339</v>
      </c>
      <c r="K137" s="230" t="s">
        <v>1340</v>
      </c>
      <c r="L137" s="232"/>
      <c r="M137" s="230" t="s">
        <v>1341</v>
      </c>
      <c r="N137" s="234"/>
      <c r="O137" s="230" t="s">
        <v>1342</v>
      </c>
      <c r="P137" s="234"/>
      <c r="Q137" s="211" t="s">
        <v>470</v>
      </c>
      <c r="R137" s="234"/>
      <c r="S137" s="45" t="s">
        <v>470</v>
      </c>
      <c r="T137" s="245"/>
      <c r="U137" s="45" t="s">
        <v>1343</v>
      </c>
      <c r="V137" s="45" t="s">
        <v>1344</v>
      </c>
      <c r="W137" s="45" t="s">
        <v>594</v>
      </c>
      <c r="X137" s="230" t="s">
        <v>1345</v>
      </c>
      <c r="Y137" s="131" t="s">
        <v>1346</v>
      </c>
      <c r="Z137" s="54"/>
      <c r="AA137" s="54"/>
      <c r="AB137" s="54"/>
      <c r="AC137" s="54"/>
      <c r="AD137" s="54"/>
    </row>
    <row r="138" spans="1:30" ht="228">
      <c r="A138" s="150">
        <f t="shared" si="0"/>
        <v>137</v>
      </c>
      <c r="B138" s="183" t="s">
        <v>391</v>
      </c>
      <c r="C138" s="152" t="s">
        <v>395</v>
      </c>
      <c r="D138" s="184">
        <v>2019</v>
      </c>
      <c r="E138" s="236" t="s">
        <v>1010</v>
      </c>
      <c r="F138" s="246" t="s">
        <v>1347</v>
      </c>
      <c r="G138" s="246" t="s">
        <v>1348</v>
      </c>
      <c r="H138" s="237" t="s">
        <v>1349</v>
      </c>
      <c r="I138" s="237" t="s">
        <v>1350</v>
      </c>
      <c r="J138" s="237" t="s">
        <v>1351</v>
      </c>
      <c r="K138" s="236" t="s">
        <v>1352</v>
      </c>
      <c r="L138" s="238"/>
      <c r="M138" s="236" t="s">
        <v>1353</v>
      </c>
      <c r="N138" s="239" t="s">
        <v>575</v>
      </c>
      <c r="O138" s="236" t="s">
        <v>1354</v>
      </c>
      <c r="P138" s="240"/>
      <c r="Q138" s="241" t="s">
        <v>470</v>
      </c>
      <c r="R138" s="240"/>
      <c r="S138" s="241" t="s">
        <v>1355</v>
      </c>
      <c r="T138" s="242"/>
      <c r="U138" s="237" t="s">
        <v>587</v>
      </c>
      <c r="V138" s="237" t="s">
        <v>1356</v>
      </c>
      <c r="W138" s="237" t="s">
        <v>1357</v>
      </c>
      <c r="X138" s="236" t="s">
        <v>1358</v>
      </c>
      <c r="Y138" s="194"/>
      <c r="Z138" s="194"/>
      <c r="AA138" s="194"/>
      <c r="AB138" s="194"/>
      <c r="AC138" s="194"/>
      <c r="AD138" s="194"/>
    </row>
    <row r="139" spans="1:30" ht="114.75">
      <c r="A139" s="95">
        <f t="shared" si="0"/>
        <v>138</v>
      </c>
      <c r="B139" s="199" t="s">
        <v>391</v>
      </c>
      <c r="C139" s="96" t="s">
        <v>396</v>
      </c>
      <c r="D139" s="247">
        <v>2019</v>
      </c>
      <c r="E139" s="247" t="s">
        <v>960</v>
      </c>
      <c r="F139" s="205" t="s">
        <v>1359</v>
      </c>
      <c r="G139" s="205" t="s">
        <v>1360</v>
      </c>
      <c r="H139" s="214"/>
      <c r="I139" s="206" t="s">
        <v>1361</v>
      </c>
      <c r="J139" s="206" t="s">
        <v>1362</v>
      </c>
      <c r="K139" s="207" t="s">
        <v>470</v>
      </c>
      <c r="L139" s="208"/>
      <c r="M139" s="207" t="s">
        <v>493</v>
      </c>
      <c r="N139" s="209"/>
      <c r="O139" s="210" t="s">
        <v>1363</v>
      </c>
      <c r="P139" s="218" t="s">
        <v>1364</v>
      </c>
      <c r="Q139" s="211" t="s">
        <v>1365</v>
      </c>
      <c r="R139" s="209"/>
      <c r="S139" s="211" t="s">
        <v>1366</v>
      </c>
      <c r="T139" s="212"/>
      <c r="U139" s="206" t="s">
        <v>1367</v>
      </c>
      <c r="V139" s="206" t="s">
        <v>1368</v>
      </c>
      <c r="W139" s="206" t="s">
        <v>1369</v>
      </c>
      <c r="X139" s="212"/>
      <c r="Y139" s="24"/>
      <c r="Z139" s="24"/>
      <c r="AA139" s="24"/>
      <c r="AB139" s="24"/>
      <c r="AC139" s="24"/>
      <c r="AD139" s="24"/>
    </row>
    <row r="140" spans="1:30" ht="71.25">
      <c r="A140" s="95">
        <f t="shared" si="0"/>
        <v>139</v>
      </c>
      <c r="B140" s="199" t="s">
        <v>391</v>
      </c>
      <c r="C140" s="96" t="s">
        <v>397</v>
      </c>
      <c r="D140" s="247">
        <v>2017</v>
      </c>
      <c r="E140" s="247" t="s">
        <v>1370</v>
      </c>
      <c r="F140" s="205" t="s">
        <v>1371</v>
      </c>
      <c r="G140" s="205" t="s">
        <v>1372</v>
      </c>
      <c r="H140" s="214"/>
      <c r="I140" s="206" t="s">
        <v>1373</v>
      </c>
      <c r="J140" s="206" t="s">
        <v>470</v>
      </c>
      <c r="K140" s="207" t="s">
        <v>470</v>
      </c>
      <c r="L140" s="208"/>
      <c r="M140" s="207" t="s">
        <v>470</v>
      </c>
      <c r="N140" s="209"/>
      <c r="O140" s="210" t="s">
        <v>1374</v>
      </c>
      <c r="P140" s="209"/>
      <c r="Q140" s="211" t="s">
        <v>1375</v>
      </c>
      <c r="R140" s="209"/>
      <c r="S140" s="211" t="s">
        <v>470</v>
      </c>
      <c r="T140" s="212"/>
      <c r="U140" s="206" t="s">
        <v>1376</v>
      </c>
      <c r="V140" s="214"/>
      <c r="W140" s="214"/>
      <c r="X140" s="212"/>
      <c r="Y140" s="24"/>
      <c r="Z140" s="24"/>
      <c r="AA140" s="24"/>
      <c r="AB140" s="24"/>
      <c r="AC140" s="24"/>
      <c r="AD140" s="24"/>
    </row>
    <row r="141" spans="1:30" ht="99.75">
      <c r="A141" s="117">
        <f t="shared" si="0"/>
        <v>140</v>
      </c>
      <c r="B141" s="180" t="s">
        <v>391</v>
      </c>
      <c r="C141" s="119" t="s">
        <v>398</v>
      </c>
      <c r="D141" s="181">
        <v>2015</v>
      </c>
      <c r="E141" s="248" t="s">
        <v>147</v>
      </c>
      <c r="F141" s="248" t="s">
        <v>1377</v>
      </c>
      <c r="G141" s="248" t="s">
        <v>1378</v>
      </c>
      <c r="H141" s="249" t="s">
        <v>619</v>
      </c>
      <c r="I141" s="249" t="s">
        <v>1379</v>
      </c>
      <c r="J141" s="249" t="s">
        <v>1380</v>
      </c>
      <c r="K141" s="248" t="s">
        <v>1352</v>
      </c>
      <c r="L141" s="250"/>
      <c r="M141" s="248" t="s">
        <v>470</v>
      </c>
      <c r="N141" s="251"/>
      <c r="O141" s="248" t="s">
        <v>1381</v>
      </c>
      <c r="P141" s="251"/>
      <c r="Q141" s="252" t="s">
        <v>1382</v>
      </c>
      <c r="R141" s="253" t="s">
        <v>1383</v>
      </c>
      <c r="S141" s="252" t="s">
        <v>1384</v>
      </c>
      <c r="T141" s="254"/>
      <c r="U141" s="249" t="s">
        <v>1385</v>
      </c>
      <c r="V141" s="249" t="s">
        <v>483</v>
      </c>
      <c r="W141" s="249" t="s">
        <v>753</v>
      </c>
      <c r="X141" s="254"/>
      <c r="Y141" s="123"/>
      <c r="Z141" s="123"/>
      <c r="AA141" s="123"/>
      <c r="AB141" s="123"/>
      <c r="AC141" s="123"/>
      <c r="AD141" s="123"/>
    </row>
    <row r="142" spans="1:30" ht="76.5">
      <c r="A142" s="95">
        <f t="shared" si="0"/>
        <v>141</v>
      </c>
      <c r="B142" s="199" t="s">
        <v>391</v>
      </c>
      <c r="C142" s="96" t="s">
        <v>399</v>
      </c>
      <c r="D142" s="200">
        <v>2015</v>
      </c>
      <c r="E142" s="255" t="s">
        <v>138</v>
      </c>
      <c r="F142" s="205" t="s">
        <v>1386</v>
      </c>
      <c r="G142" s="205" t="s">
        <v>1387</v>
      </c>
      <c r="H142" s="206" t="s">
        <v>757</v>
      </c>
      <c r="I142" s="206" t="s">
        <v>1388</v>
      </c>
      <c r="J142" s="206" t="s">
        <v>1389</v>
      </c>
      <c r="K142" s="207" t="s">
        <v>1390</v>
      </c>
      <c r="L142" s="208"/>
      <c r="M142" s="207" t="s">
        <v>601</v>
      </c>
      <c r="N142" s="209"/>
      <c r="O142" s="210" t="s">
        <v>1391</v>
      </c>
      <c r="P142" s="209"/>
      <c r="Q142" s="211" t="s">
        <v>470</v>
      </c>
      <c r="R142" s="209"/>
      <c r="S142" s="211" t="s">
        <v>1392</v>
      </c>
      <c r="T142" s="212"/>
      <c r="U142" s="206" t="s">
        <v>1393</v>
      </c>
      <c r="V142" s="206" t="s">
        <v>483</v>
      </c>
      <c r="W142" s="206" t="s">
        <v>1357</v>
      </c>
      <c r="X142" s="212"/>
      <c r="Y142" s="24"/>
      <c r="Z142" s="24"/>
      <c r="AA142" s="24"/>
      <c r="AB142" s="24"/>
      <c r="AC142" s="24"/>
      <c r="AD142" s="24"/>
    </row>
    <row r="143" spans="1:30" ht="99.75">
      <c r="A143" s="43">
        <f t="shared" si="0"/>
        <v>142</v>
      </c>
      <c r="B143" s="195" t="s">
        <v>391</v>
      </c>
      <c r="C143" s="45" t="s">
        <v>400</v>
      </c>
      <c r="D143" s="196">
        <v>2018</v>
      </c>
      <c r="E143" s="256" t="s">
        <v>35</v>
      </c>
      <c r="F143" s="230" t="s">
        <v>1394</v>
      </c>
      <c r="G143" s="230" t="s">
        <v>1395</v>
      </c>
      <c r="H143" s="231" t="s">
        <v>470</v>
      </c>
      <c r="I143" s="231" t="s">
        <v>1396</v>
      </c>
      <c r="J143" s="231" t="s">
        <v>1397</v>
      </c>
      <c r="K143" s="230" t="s">
        <v>1390</v>
      </c>
      <c r="L143" s="232"/>
      <c r="M143" s="230" t="s">
        <v>1398</v>
      </c>
      <c r="N143" s="234"/>
      <c r="O143" s="230" t="s">
        <v>470</v>
      </c>
      <c r="P143" s="233" t="s">
        <v>1399</v>
      </c>
      <c r="Q143" s="211" t="s">
        <v>470</v>
      </c>
      <c r="R143" s="234"/>
      <c r="S143" s="211" t="s">
        <v>470</v>
      </c>
      <c r="T143" s="245"/>
      <c r="U143" s="231" t="s">
        <v>470</v>
      </c>
      <c r="V143" s="231" t="s">
        <v>483</v>
      </c>
      <c r="W143" s="231" t="s">
        <v>1357</v>
      </c>
      <c r="X143" s="245"/>
      <c r="Y143" s="54"/>
      <c r="Z143" s="54"/>
      <c r="AA143" s="54"/>
      <c r="AB143" s="54"/>
      <c r="AC143" s="54"/>
      <c r="AD143" s="54"/>
    </row>
    <row r="144" spans="1:30" ht="71.25">
      <c r="A144" s="95">
        <f t="shared" si="0"/>
        <v>143</v>
      </c>
      <c r="B144" s="199" t="s">
        <v>391</v>
      </c>
      <c r="C144" s="96" t="s">
        <v>401</v>
      </c>
      <c r="D144" s="200">
        <v>2016</v>
      </c>
      <c r="E144" s="257" t="s">
        <v>87</v>
      </c>
      <c r="F144" s="205" t="s">
        <v>1400</v>
      </c>
      <c r="G144" s="205" t="s">
        <v>1401</v>
      </c>
      <c r="H144" s="206" t="s">
        <v>575</v>
      </c>
      <c r="I144" s="206" t="s">
        <v>1402</v>
      </c>
      <c r="J144" s="206" t="s">
        <v>1403</v>
      </c>
      <c r="K144" s="207" t="s">
        <v>1352</v>
      </c>
      <c r="L144" s="208"/>
      <c r="M144" s="207" t="s">
        <v>601</v>
      </c>
      <c r="N144" s="209"/>
      <c r="O144" s="210" t="s">
        <v>1404</v>
      </c>
      <c r="P144" s="209"/>
      <c r="Q144" s="211" t="s">
        <v>470</v>
      </c>
      <c r="R144" s="209"/>
      <c r="S144" s="211" t="s">
        <v>1405</v>
      </c>
      <c r="T144" s="212"/>
      <c r="U144" s="206" t="s">
        <v>1406</v>
      </c>
      <c r="V144" s="206" t="s">
        <v>1407</v>
      </c>
      <c r="W144" s="206" t="s">
        <v>1357</v>
      </c>
      <c r="X144" s="212"/>
      <c r="Y144" s="24"/>
      <c r="Z144" s="24"/>
      <c r="AA144" s="24"/>
      <c r="AB144" s="24"/>
      <c r="AC144" s="24"/>
      <c r="AD144" s="24"/>
    </row>
    <row r="145" spans="1:30" ht="85.5">
      <c r="A145" s="95">
        <f t="shared" si="0"/>
        <v>144</v>
      </c>
      <c r="B145" s="199" t="s">
        <v>391</v>
      </c>
      <c r="C145" s="96" t="s">
        <v>402</v>
      </c>
      <c r="D145" s="200">
        <v>2017</v>
      </c>
      <c r="E145" s="257" t="s">
        <v>73</v>
      </c>
      <c r="F145" s="212"/>
      <c r="G145" s="258" t="s">
        <v>1408</v>
      </c>
      <c r="H145" s="214"/>
      <c r="I145" s="214"/>
      <c r="J145" s="214"/>
      <c r="K145" s="215"/>
      <c r="L145" s="208"/>
      <c r="M145" s="215"/>
      <c r="N145" s="209"/>
      <c r="O145" s="216"/>
      <c r="P145" s="209"/>
      <c r="Q145" s="217"/>
      <c r="R145" s="209"/>
      <c r="S145" s="217"/>
      <c r="T145" s="212"/>
      <c r="U145" s="214"/>
      <c r="V145" s="214"/>
      <c r="W145" s="214"/>
      <c r="X145" s="212"/>
      <c r="Y145" s="24"/>
      <c r="Z145" s="24"/>
      <c r="AA145" s="24"/>
      <c r="AB145" s="24"/>
      <c r="AC145" s="24"/>
      <c r="AD145" s="24"/>
    </row>
    <row r="146" spans="1:30" ht="99.75">
      <c r="A146" s="43">
        <f t="shared" si="0"/>
        <v>145</v>
      </c>
      <c r="B146" s="195" t="s">
        <v>391</v>
      </c>
      <c r="C146" s="45" t="s">
        <v>403</v>
      </c>
      <c r="D146" s="196">
        <v>2016</v>
      </c>
      <c r="E146" s="256" t="s">
        <v>104</v>
      </c>
      <c r="F146" s="230" t="s">
        <v>1409</v>
      </c>
      <c r="G146" s="259" t="s">
        <v>1410</v>
      </c>
      <c r="H146" s="231" t="s">
        <v>575</v>
      </c>
      <c r="I146" s="231" t="s">
        <v>1411</v>
      </c>
      <c r="J146" s="231" t="s">
        <v>1412</v>
      </c>
      <c r="K146" s="230" t="s">
        <v>1390</v>
      </c>
      <c r="L146" s="232"/>
      <c r="M146" s="230" t="s">
        <v>1413</v>
      </c>
      <c r="N146" s="234"/>
      <c r="O146" s="230" t="s">
        <v>1414</v>
      </c>
      <c r="P146" s="233"/>
      <c r="Q146" s="211" t="s">
        <v>470</v>
      </c>
      <c r="R146" s="234"/>
      <c r="S146" s="211" t="s">
        <v>1415</v>
      </c>
      <c r="T146" s="245"/>
      <c r="U146" s="231" t="s">
        <v>1416</v>
      </c>
      <c r="V146" s="231" t="s">
        <v>594</v>
      </c>
      <c r="W146" s="231" t="s">
        <v>594</v>
      </c>
      <c r="X146" s="230" t="s">
        <v>1417</v>
      </c>
      <c r="Y146" s="54"/>
      <c r="Z146" s="54"/>
      <c r="AA146" s="54"/>
      <c r="AB146" s="54"/>
      <c r="AC146" s="54"/>
      <c r="AD146" s="54"/>
    </row>
    <row r="147" spans="1:30" ht="85.5">
      <c r="A147" s="117">
        <f t="shared" si="0"/>
        <v>146</v>
      </c>
      <c r="B147" s="180" t="s">
        <v>391</v>
      </c>
      <c r="C147" s="119" t="s">
        <v>404</v>
      </c>
      <c r="D147" s="181">
        <v>2018</v>
      </c>
      <c r="E147" s="260" t="s">
        <v>43</v>
      </c>
      <c r="F147" s="248" t="s">
        <v>1418</v>
      </c>
      <c r="G147" s="261" t="s">
        <v>1419</v>
      </c>
      <c r="H147" s="249" t="s">
        <v>591</v>
      </c>
      <c r="I147" s="249" t="s">
        <v>1420</v>
      </c>
      <c r="J147" s="249" t="s">
        <v>1421</v>
      </c>
      <c r="K147" s="248" t="s">
        <v>1352</v>
      </c>
      <c r="L147" s="250"/>
      <c r="M147" s="248" t="s">
        <v>1422</v>
      </c>
      <c r="N147" s="251"/>
      <c r="O147" s="248" t="s">
        <v>1423</v>
      </c>
      <c r="P147" s="251"/>
      <c r="Q147" s="252" t="s">
        <v>470</v>
      </c>
      <c r="R147" s="251"/>
      <c r="S147" s="252" t="s">
        <v>1424</v>
      </c>
      <c r="T147" s="254"/>
      <c r="U147" s="249" t="s">
        <v>715</v>
      </c>
      <c r="V147" s="249" t="s">
        <v>483</v>
      </c>
      <c r="W147" s="249" t="s">
        <v>1425</v>
      </c>
      <c r="X147" s="254"/>
      <c r="Y147" s="123"/>
      <c r="Z147" s="123"/>
      <c r="AA147" s="123"/>
      <c r="AB147" s="123"/>
      <c r="AC147" s="123"/>
      <c r="AD147" s="123"/>
    </row>
    <row r="148" spans="1:30" ht="51">
      <c r="A148" s="95">
        <f t="shared" si="0"/>
        <v>147</v>
      </c>
      <c r="B148" s="199" t="s">
        <v>391</v>
      </c>
      <c r="C148" s="96" t="s">
        <v>405</v>
      </c>
      <c r="D148" s="200">
        <v>2018</v>
      </c>
      <c r="E148" s="262" t="s">
        <v>1426</v>
      </c>
      <c r="F148" s="205" t="s">
        <v>1427</v>
      </c>
      <c r="G148" s="263" t="s">
        <v>1428</v>
      </c>
      <c r="H148" s="206" t="s">
        <v>1429</v>
      </c>
      <c r="I148" s="206" t="s">
        <v>1430</v>
      </c>
      <c r="J148" s="214"/>
      <c r="K148" s="215"/>
      <c r="L148" s="208"/>
      <c r="M148" s="215"/>
      <c r="N148" s="209"/>
      <c r="O148" s="216"/>
      <c r="P148" s="209"/>
      <c r="Q148" s="217"/>
      <c r="R148" s="209"/>
      <c r="S148" s="217"/>
      <c r="T148" s="212"/>
      <c r="U148" s="214"/>
      <c r="V148" s="214"/>
      <c r="W148" s="214"/>
      <c r="X148" s="212"/>
      <c r="Y148" s="24"/>
      <c r="Z148" s="24"/>
      <c r="AA148" s="24"/>
      <c r="AB148" s="24"/>
      <c r="AC148" s="24"/>
      <c r="AD148" s="24"/>
    </row>
    <row r="149" spans="1:30" ht="76.5">
      <c r="A149" s="43">
        <f t="shared" si="0"/>
        <v>148</v>
      </c>
      <c r="B149" s="195" t="s">
        <v>391</v>
      </c>
      <c r="C149" s="45" t="s">
        <v>406</v>
      </c>
      <c r="D149" s="196">
        <v>2017</v>
      </c>
      <c r="E149" s="256" t="s">
        <v>76</v>
      </c>
      <c r="F149" s="230" t="s">
        <v>1431</v>
      </c>
      <c r="G149" s="263" t="s">
        <v>1432</v>
      </c>
      <c r="H149" s="231" t="s">
        <v>591</v>
      </c>
      <c r="I149" s="231" t="s">
        <v>1433</v>
      </c>
      <c r="J149" s="231" t="s">
        <v>1434</v>
      </c>
      <c r="K149" s="230" t="s">
        <v>1435</v>
      </c>
      <c r="L149" s="232"/>
      <c r="M149" s="230" t="s">
        <v>1436</v>
      </c>
      <c r="N149" s="234"/>
      <c r="O149" s="230" t="s">
        <v>1414</v>
      </c>
      <c r="P149" s="233"/>
      <c r="Q149" s="211" t="s">
        <v>470</v>
      </c>
      <c r="R149" s="234"/>
      <c r="S149" s="211" t="s">
        <v>1437</v>
      </c>
      <c r="T149" s="245"/>
      <c r="U149" s="231" t="s">
        <v>1438</v>
      </c>
      <c r="V149" s="231" t="s">
        <v>594</v>
      </c>
      <c r="W149" s="231" t="s">
        <v>594</v>
      </c>
      <c r="X149" s="230" t="s">
        <v>1439</v>
      </c>
      <c r="Y149" s="54"/>
      <c r="Z149" s="54"/>
      <c r="AA149" s="54"/>
      <c r="AB149" s="54"/>
      <c r="AC149" s="54"/>
      <c r="AD149" s="54"/>
    </row>
    <row r="150" spans="1:30" ht="114.75">
      <c r="A150" s="150">
        <f t="shared" si="0"/>
        <v>149</v>
      </c>
      <c r="B150" s="183" t="s">
        <v>391</v>
      </c>
      <c r="C150" s="152" t="s">
        <v>407</v>
      </c>
      <c r="D150" s="184">
        <v>2018</v>
      </c>
      <c r="E150" s="236" t="s">
        <v>974</v>
      </c>
      <c r="F150" s="236" t="s">
        <v>1440</v>
      </c>
      <c r="G150" s="261" t="s">
        <v>1441</v>
      </c>
      <c r="H150" s="237" t="s">
        <v>664</v>
      </c>
      <c r="I150" s="237" t="s">
        <v>1442</v>
      </c>
      <c r="J150" s="237" t="s">
        <v>1443</v>
      </c>
      <c r="K150" s="236" t="s">
        <v>1352</v>
      </c>
      <c r="L150" s="238"/>
      <c r="M150" s="236" t="s">
        <v>1444</v>
      </c>
      <c r="N150" s="240"/>
      <c r="O150" s="236" t="s">
        <v>1414</v>
      </c>
      <c r="P150" s="240"/>
      <c r="Q150" s="241" t="s">
        <v>470</v>
      </c>
      <c r="R150" s="240"/>
      <c r="S150" s="241" t="s">
        <v>1445</v>
      </c>
      <c r="T150" s="242"/>
      <c r="U150" s="237" t="s">
        <v>1446</v>
      </c>
      <c r="V150" s="237" t="s">
        <v>1447</v>
      </c>
      <c r="W150" s="237" t="s">
        <v>1448</v>
      </c>
      <c r="X150" s="242"/>
      <c r="Y150" s="194"/>
      <c r="Z150" s="194"/>
      <c r="AA150" s="194"/>
      <c r="AB150" s="194"/>
      <c r="AC150" s="194"/>
      <c r="AD150" s="194"/>
    </row>
    <row r="151" spans="1:30" ht="89.25">
      <c r="A151" s="95">
        <f t="shared" si="0"/>
        <v>150</v>
      </c>
      <c r="B151" s="199" t="s">
        <v>391</v>
      </c>
      <c r="C151" s="96" t="s">
        <v>408</v>
      </c>
      <c r="D151" s="200">
        <v>2017</v>
      </c>
      <c r="E151" s="205" t="s">
        <v>1449</v>
      </c>
      <c r="F151" s="205" t="s">
        <v>1450</v>
      </c>
      <c r="G151" s="263" t="s">
        <v>1451</v>
      </c>
      <c r="H151" s="206" t="s">
        <v>1452</v>
      </c>
      <c r="I151" s="206" t="s">
        <v>1453</v>
      </c>
      <c r="J151" s="206" t="s">
        <v>470</v>
      </c>
      <c r="K151" s="207" t="s">
        <v>470</v>
      </c>
      <c r="L151" s="208"/>
      <c r="M151" s="207" t="s">
        <v>1454</v>
      </c>
      <c r="N151" s="209"/>
      <c r="O151" s="210" t="s">
        <v>1454</v>
      </c>
      <c r="P151" s="209"/>
      <c r="Q151" s="211" t="s">
        <v>1454</v>
      </c>
      <c r="R151" s="209"/>
      <c r="S151" s="211" t="s">
        <v>1455</v>
      </c>
      <c r="T151" s="212"/>
      <c r="U151" s="206" t="s">
        <v>470</v>
      </c>
      <c r="V151" s="206" t="s">
        <v>1357</v>
      </c>
      <c r="W151" s="206" t="s">
        <v>1357</v>
      </c>
      <c r="X151" s="205" t="s">
        <v>1456</v>
      </c>
      <c r="Y151" s="24"/>
      <c r="Z151" s="24"/>
      <c r="AA151" s="24"/>
      <c r="AB151" s="24"/>
      <c r="AC151" s="24"/>
      <c r="AD151" s="24"/>
    </row>
    <row r="152" spans="1:30" ht="128.25">
      <c r="A152" s="43">
        <f t="shared" si="0"/>
        <v>151</v>
      </c>
      <c r="B152" s="195" t="s">
        <v>409</v>
      </c>
      <c r="C152" s="264" t="s">
        <v>410</v>
      </c>
      <c r="D152" s="230">
        <v>2016</v>
      </c>
      <c r="E152" s="231" t="s">
        <v>51</v>
      </c>
      <c r="F152" s="245" t="s">
        <v>1457</v>
      </c>
      <c r="G152" s="265" t="s">
        <v>1458</v>
      </c>
      <c r="H152" s="231" t="s">
        <v>1459</v>
      </c>
      <c r="I152" s="266" t="s">
        <v>1460</v>
      </c>
      <c r="J152" s="266" t="s">
        <v>1461</v>
      </c>
      <c r="K152" s="230" t="s">
        <v>1462</v>
      </c>
      <c r="L152" s="267" t="s">
        <v>1463</v>
      </c>
      <c r="M152" s="245" t="s">
        <v>1464</v>
      </c>
      <c r="N152" s="233" t="s">
        <v>1465</v>
      </c>
      <c r="O152" s="245">
        <v>48</v>
      </c>
      <c r="P152" s="233" t="s">
        <v>1466</v>
      </c>
      <c r="Q152" s="230" t="s">
        <v>1467</v>
      </c>
      <c r="R152" s="233" t="s">
        <v>1468</v>
      </c>
      <c r="S152" s="230" t="s">
        <v>1469</v>
      </c>
      <c r="T152" s="230" t="s">
        <v>1470</v>
      </c>
      <c r="U152" s="266" t="s">
        <v>1471</v>
      </c>
      <c r="V152" s="266" t="s">
        <v>483</v>
      </c>
      <c r="W152" s="266" t="s">
        <v>497</v>
      </c>
      <c r="X152" s="245"/>
      <c r="Y152" s="54"/>
      <c r="Z152" s="54"/>
      <c r="AA152" s="54"/>
      <c r="AB152" s="54"/>
      <c r="AC152" s="54"/>
      <c r="AD152" s="54"/>
    </row>
    <row r="153" spans="1:30" ht="185.25">
      <c r="A153" s="150">
        <f t="shared" si="0"/>
        <v>152</v>
      </c>
      <c r="B153" s="183" t="s">
        <v>409</v>
      </c>
      <c r="C153" s="268" t="s">
        <v>1472</v>
      </c>
      <c r="D153" s="237">
        <v>2015</v>
      </c>
      <c r="E153" s="237" t="s">
        <v>145</v>
      </c>
      <c r="F153" s="269" t="s">
        <v>1473</v>
      </c>
      <c r="G153" s="269"/>
      <c r="H153" s="237" t="s">
        <v>1474</v>
      </c>
      <c r="I153" s="269" t="s">
        <v>1475</v>
      </c>
      <c r="J153" s="269" t="s">
        <v>1476</v>
      </c>
      <c r="K153" s="236" t="s">
        <v>1477</v>
      </c>
      <c r="L153" s="239" t="s">
        <v>1478</v>
      </c>
      <c r="M153" s="242" t="s">
        <v>1479</v>
      </c>
      <c r="N153" s="240" t="s">
        <v>1480</v>
      </c>
      <c r="O153" s="242" t="s">
        <v>1481</v>
      </c>
      <c r="P153" s="239" t="s">
        <v>1482</v>
      </c>
      <c r="Q153" s="236" t="s">
        <v>640</v>
      </c>
      <c r="R153" s="239" t="s">
        <v>1483</v>
      </c>
      <c r="S153" s="237" t="s">
        <v>1484</v>
      </c>
      <c r="T153" s="237" t="s">
        <v>1485</v>
      </c>
      <c r="U153" s="269" t="s">
        <v>1367</v>
      </c>
      <c r="V153" s="269" t="s">
        <v>1486</v>
      </c>
      <c r="W153" s="237" t="s">
        <v>1487</v>
      </c>
      <c r="X153" s="242"/>
      <c r="Y153" s="194"/>
      <c r="Z153" s="194"/>
      <c r="AA153" s="194"/>
      <c r="AB153" s="194"/>
      <c r="AC153" s="194"/>
      <c r="AD153" s="194"/>
    </row>
    <row r="154" spans="1:30" ht="142.5">
      <c r="A154" s="95">
        <f t="shared" si="0"/>
        <v>153</v>
      </c>
      <c r="B154" s="199" t="s">
        <v>409</v>
      </c>
      <c r="C154" s="270" t="s">
        <v>412</v>
      </c>
      <c r="D154" s="206">
        <v>2019</v>
      </c>
      <c r="E154" s="206" t="s">
        <v>1488</v>
      </c>
      <c r="F154" s="214" t="s">
        <v>1489</v>
      </c>
      <c r="G154" s="214"/>
      <c r="H154" s="206" t="s">
        <v>1490</v>
      </c>
      <c r="I154" s="271" t="s">
        <v>1491</v>
      </c>
      <c r="J154" s="214" t="s">
        <v>1476</v>
      </c>
      <c r="K154" s="272" t="s">
        <v>1492</v>
      </c>
      <c r="L154" s="206" t="s">
        <v>1493</v>
      </c>
      <c r="M154" s="272" t="s">
        <v>1492</v>
      </c>
      <c r="N154" s="206" t="s">
        <v>1493</v>
      </c>
      <c r="O154" s="271">
        <v>400</v>
      </c>
      <c r="P154" s="214" t="s">
        <v>1167</v>
      </c>
      <c r="Q154" s="210" t="s">
        <v>640</v>
      </c>
      <c r="R154" s="218" t="s">
        <v>1483</v>
      </c>
      <c r="S154" s="215" t="s">
        <v>1494</v>
      </c>
      <c r="T154" s="206" t="s">
        <v>1495</v>
      </c>
      <c r="U154" s="214" t="s">
        <v>963</v>
      </c>
      <c r="V154" s="205" t="s">
        <v>1492</v>
      </c>
      <c r="W154" s="205" t="s">
        <v>1492</v>
      </c>
      <c r="X154" s="205" t="s">
        <v>1496</v>
      </c>
      <c r="Y154" s="24"/>
      <c r="Z154" s="24"/>
      <c r="AA154" s="24"/>
      <c r="AB154" s="24"/>
      <c r="AC154" s="24"/>
      <c r="AD154" s="24"/>
    </row>
    <row r="155" spans="1:30" ht="114">
      <c r="A155" s="43">
        <f t="shared" si="0"/>
        <v>154</v>
      </c>
      <c r="B155" s="195" t="s">
        <v>409</v>
      </c>
      <c r="C155" s="273" t="s">
        <v>413</v>
      </c>
      <c r="D155" s="231">
        <v>2016</v>
      </c>
      <c r="E155" s="231" t="s">
        <v>119</v>
      </c>
      <c r="F155" s="266" t="s">
        <v>1497</v>
      </c>
      <c r="G155" s="266"/>
      <c r="H155" s="231" t="s">
        <v>1498</v>
      </c>
      <c r="I155" s="266" t="s">
        <v>1499</v>
      </c>
      <c r="J155" s="266" t="s">
        <v>1500</v>
      </c>
      <c r="K155" s="266" t="s">
        <v>477</v>
      </c>
      <c r="L155" s="266" t="s">
        <v>575</v>
      </c>
      <c r="M155" s="266" t="s">
        <v>1501</v>
      </c>
      <c r="N155" s="266" t="s">
        <v>575</v>
      </c>
      <c r="O155" s="266" t="s">
        <v>1502</v>
      </c>
      <c r="P155" s="232" t="s">
        <v>1503</v>
      </c>
      <c r="Q155" s="266" t="s">
        <v>1504</v>
      </c>
      <c r="R155" s="232" t="s">
        <v>1505</v>
      </c>
      <c r="S155" s="266" t="s">
        <v>1506</v>
      </c>
      <c r="T155" s="231" t="s">
        <v>1507</v>
      </c>
      <c r="U155" s="266" t="s">
        <v>634</v>
      </c>
      <c r="V155" s="266" t="s">
        <v>1492</v>
      </c>
      <c r="W155" s="266" t="s">
        <v>1492</v>
      </c>
      <c r="X155" s="245"/>
      <c r="Y155" s="54"/>
      <c r="Z155" s="54"/>
      <c r="AA155" s="54"/>
      <c r="AB155" s="54"/>
      <c r="AC155" s="54"/>
      <c r="AD155" s="54"/>
    </row>
    <row r="156" spans="1:30" ht="128.25">
      <c r="A156" s="117">
        <f t="shared" si="0"/>
        <v>155</v>
      </c>
      <c r="B156" s="180" t="s">
        <v>409</v>
      </c>
      <c r="C156" s="274" t="s">
        <v>361</v>
      </c>
      <c r="D156" s="249">
        <v>2019</v>
      </c>
      <c r="E156" s="249" t="s">
        <v>990</v>
      </c>
      <c r="F156" s="275" t="s">
        <v>1508</v>
      </c>
      <c r="G156" s="275"/>
      <c r="H156" s="249" t="s">
        <v>1509</v>
      </c>
      <c r="I156" s="275" t="s">
        <v>1499</v>
      </c>
      <c r="J156" s="275" t="s">
        <v>1154</v>
      </c>
      <c r="K156" s="275" t="s">
        <v>1510</v>
      </c>
      <c r="L156" s="275" t="s">
        <v>1511</v>
      </c>
      <c r="M156" s="275" t="s">
        <v>1512</v>
      </c>
      <c r="N156" s="275" t="s">
        <v>1513</v>
      </c>
      <c r="O156" s="275" t="s">
        <v>1514</v>
      </c>
      <c r="P156" s="250" t="s">
        <v>1515</v>
      </c>
      <c r="Q156" s="249" t="s">
        <v>1516</v>
      </c>
      <c r="R156" s="249" t="s">
        <v>1517</v>
      </c>
      <c r="S156" s="248" t="s">
        <v>1518</v>
      </c>
      <c r="T156" s="275" t="s">
        <v>1519</v>
      </c>
      <c r="U156" s="275" t="s">
        <v>1492</v>
      </c>
      <c r="V156" s="275" t="s">
        <v>1520</v>
      </c>
      <c r="W156" s="275" t="s">
        <v>497</v>
      </c>
      <c r="X156" s="276" t="s">
        <v>553</v>
      </c>
      <c r="Y156" s="123"/>
      <c r="Z156" s="123"/>
      <c r="AA156" s="123"/>
      <c r="AB156" s="123"/>
      <c r="AC156" s="123"/>
      <c r="AD156" s="123"/>
    </row>
    <row r="157" spans="1:30" ht="285">
      <c r="A157" s="150">
        <f t="shared" si="0"/>
        <v>156</v>
      </c>
      <c r="B157" s="183" t="s">
        <v>409</v>
      </c>
      <c r="C157" s="268" t="s">
        <v>414</v>
      </c>
      <c r="D157" s="236">
        <v>2017</v>
      </c>
      <c r="E157" s="236" t="s">
        <v>45</v>
      </c>
      <c r="F157" s="242" t="s">
        <v>1521</v>
      </c>
      <c r="G157" s="242"/>
      <c r="H157" s="237" t="s">
        <v>1522</v>
      </c>
      <c r="I157" s="269" t="s">
        <v>1523</v>
      </c>
      <c r="J157" s="269" t="s">
        <v>1476</v>
      </c>
      <c r="K157" s="242" t="s">
        <v>622</v>
      </c>
      <c r="L157" s="239" t="s">
        <v>575</v>
      </c>
      <c r="M157" s="242" t="s">
        <v>1524</v>
      </c>
      <c r="N157" s="240" t="s">
        <v>1525</v>
      </c>
      <c r="O157" s="242">
        <v>400</v>
      </c>
      <c r="P157" s="240" t="s">
        <v>1526</v>
      </c>
      <c r="Q157" s="236" t="s">
        <v>640</v>
      </c>
      <c r="R157" s="239" t="s">
        <v>1483</v>
      </c>
      <c r="S157" s="236" t="s">
        <v>1527</v>
      </c>
      <c r="T157" s="239" t="s">
        <v>575</v>
      </c>
      <c r="U157" s="242" t="s">
        <v>1528</v>
      </c>
      <c r="V157" s="242" t="s">
        <v>1520</v>
      </c>
      <c r="W157" s="269" t="s">
        <v>497</v>
      </c>
      <c r="X157" s="242"/>
      <c r="Y157" s="194"/>
      <c r="Z157" s="194"/>
      <c r="AA157" s="194"/>
      <c r="AB157" s="194"/>
      <c r="AC157" s="194"/>
      <c r="AD157" s="194"/>
    </row>
    <row r="158" spans="1:30" ht="142.5">
      <c r="A158" s="43">
        <f t="shared" si="0"/>
        <v>157</v>
      </c>
      <c r="B158" s="195" t="s">
        <v>409</v>
      </c>
      <c r="C158" s="264" t="s">
        <v>1529</v>
      </c>
      <c r="D158" s="230">
        <v>2014</v>
      </c>
      <c r="E158" s="230" t="s">
        <v>153</v>
      </c>
      <c r="F158" s="245" t="s">
        <v>1530</v>
      </c>
      <c r="G158" s="245"/>
      <c r="H158" s="230" t="s">
        <v>1531</v>
      </c>
      <c r="I158" s="266" t="s">
        <v>1499</v>
      </c>
      <c r="J158" s="266" t="s">
        <v>1476</v>
      </c>
      <c r="K158" s="266" t="s">
        <v>477</v>
      </c>
      <c r="L158" s="233" t="s">
        <v>1532</v>
      </c>
      <c r="M158" s="245" t="s">
        <v>1533</v>
      </c>
      <c r="N158" s="233" t="s">
        <v>1532</v>
      </c>
      <c r="O158" s="245">
        <v>240</v>
      </c>
      <c r="P158" s="234" t="s">
        <v>1534</v>
      </c>
      <c r="Q158" s="230" t="s">
        <v>1535</v>
      </c>
      <c r="R158" s="233" t="s">
        <v>1536</v>
      </c>
      <c r="S158" s="230" t="s">
        <v>1506</v>
      </c>
      <c r="T158" s="230" t="s">
        <v>1537</v>
      </c>
      <c r="U158" s="245" t="s">
        <v>1538</v>
      </c>
      <c r="V158" s="245" t="s">
        <v>1520</v>
      </c>
      <c r="W158" s="245" t="s">
        <v>497</v>
      </c>
      <c r="X158" s="245" t="s">
        <v>1539</v>
      </c>
      <c r="Y158" s="54"/>
      <c r="Z158" s="54"/>
      <c r="AA158" s="54"/>
      <c r="AB158" s="54"/>
      <c r="AC158" s="54"/>
      <c r="AD158" s="54"/>
    </row>
    <row r="159" spans="1:30" ht="90">
      <c r="A159" s="150">
        <f t="shared" si="0"/>
        <v>158</v>
      </c>
      <c r="B159" s="183" t="s">
        <v>409</v>
      </c>
      <c r="C159" s="268" t="s">
        <v>1540</v>
      </c>
      <c r="D159" s="236">
        <v>2017</v>
      </c>
      <c r="E159" s="236" t="s">
        <v>62</v>
      </c>
      <c r="F159" s="242" t="s">
        <v>1541</v>
      </c>
      <c r="G159" s="242"/>
      <c r="H159" s="240" t="s">
        <v>1542</v>
      </c>
      <c r="I159" s="236" t="s">
        <v>1543</v>
      </c>
      <c r="J159" s="269" t="s">
        <v>1476</v>
      </c>
      <c r="K159" s="242" t="s">
        <v>622</v>
      </c>
      <c r="L159" s="240" t="s">
        <v>1542</v>
      </c>
      <c r="M159" s="242" t="s">
        <v>1544</v>
      </c>
      <c r="N159" s="236" t="s">
        <v>1545</v>
      </c>
      <c r="O159" s="242">
        <v>600</v>
      </c>
      <c r="P159" s="242" t="s">
        <v>1546</v>
      </c>
      <c r="Q159" s="236" t="s">
        <v>640</v>
      </c>
      <c r="R159" s="239" t="s">
        <v>1483</v>
      </c>
      <c r="S159" s="236" t="s">
        <v>1547</v>
      </c>
      <c r="T159" s="236" t="s">
        <v>1548</v>
      </c>
      <c r="U159" s="242" t="s">
        <v>1096</v>
      </c>
      <c r="V159" s="236" t="s">
        <v>1492</v>
      </c>
      <c r="W159" s="236" t="s">
        <v>1492</v>
      </c>
      <c r="X159" s="242" t="s">
        <v>1549</v>
      </c>
      <c r="Y159" s="194"/>
      <c r="Z159" s="194"/>
      <c r="AA159" s="194"/>
      <c r="AB159" s="194"/>
      <c r="AC159" s="194"/>
      <c r="AD159" s="194"/>
    </row>
    <row r="160" spans="1:30" ht="128.25">
      <c r="A160" s="150">
        <f t="shared" si="0"/>
        <v>159</v>
      </c>
      <c r="B160" s="183" t="s">
        <v>409</v>
      </c>
      <c r="C160" s="268" t="s">
        <v>417</v>
      </c>
      <c r="D160" s="236">
        <v>2015</v>
      </c>
      <c r="E160" s="236" t="s">
        <v>115</v>
      </c>
      <c r="F160" s="242" t="s">
        <v>1550</v>
      </c>
      <c r="G160" s="242"/>
      <c r="H160" s="240" t="s">
        <v>1551</v>
      </c>
      <c r="I160" s="236" t="s">
        <v>1492</v>
      </c>
      <c r="J160" s="269" t="s">
        <v>1552</v>
      </c>
      <c r="K160" s="242" t="s">
        <v>622</v>
      </c>
      <c r="L160" s="240" t="s">
        <v>1553</v>
      </c>
      <c r="M160" s="242" t="s">
        <v>1554</v>
      </c>
      <c r="N160" s="236"/>
      <c r="O160" s="242" t="s">
        <v>1555</v>
      </c>
      <c r="P160" s="242" t="s">
        <v>1556</v>
      </c>
      <c r="Q160" s="236" t="s">
        <v>1492</v>
      </c>
      <c r="R160" s="239" t="s">
        <v>1557</v>
      </c>
      <c r="S160" s="236" t="s">
        <v>1492</v>
      </c>
      <c r="T160" s="236" t="s">
        <v>1558</v>
      </c>
      <c r="U160" s="242" t="s">
        <v>1492</v>
      </c>
      <c r="V160" s="236" t="s">
        <v>1492</v>
      </c>
      <c r="W160" s="236" t="s">
        <v>1492</v>
      </c>
      <c r="X160" s="242" t="s">
        <v>1559</v>
      </c>
      <c r="Y160" s="194"/>
      <c r="Z160" s="194"/>
      <c r="AA160" s="194"/>
      <c r="AB160" s="194"/>
      <c r="AC160" s="194"/>
      <c r="AD160" s="194"/>
    </row>
    <row r="161" spans="1:30" ht="99.75">
      <c r="A161" s="150">
        <f t="shared" si="0"/>
        <v>160</v>
      </c>
      <c r="B161" s="183" t="s">
        <v>409</v>
      </c>
      <c r="C161" s="268" t="s">
        <v>418</v>
      </c>
      <c r="D161" s="236">
        <v>2018</v>
      </c>
      <c r="E161" s="236" t="s">
        <v>1560</v>
      </c>
      <c r="F161" s="242" t="s">
        <v>1561</v>
      </c>
      <c r="G161" s="242"/>
      <c r="H161" s="240" t="s">
        <v>1492</v>
      </c>
      <c r="I161" s="236" t="s">
        <v>1562</v>
      </c>
      <c r="J161" s="269" t="s">
        <v>1154</v>
      </c>
      <c r="K161" s="242" t="s">
        <v>1510</v>
      </c>
      <c r="L161" s="240" t="s">
        <v>575</v>
      </c>
      <c r="M161" s="242" t="s">
        <v>1563</v>
      </c>
      <c r="N161" s="236" t="s">
        <v>1564</v>
      </c>
      <c r="O161" s="242" t="s">
        <v>1565</v>
      </c>
      <c r="P161" s="242" t="s">
        <v>1566</v>
      </c>
      <c r="Q161" s="236" t="s">
        <v>1506</v>
      </c>
      <c r="R161" s="239" t="s">
        <v>1567</v>
      </c>
      <c r="S161" s="236" t="s">
        <v>1492</v>
      </c>
      <c r="T161" s="236" t="s">
        <v>1568</v>
      </c>
      <c r="U161" s="242" t="s">
        <v>1492</v>
      </c>
      <c r="V161" s="236" t="s">
        <v>1492</v>
      </c>
      <c r="W161" s="236" t="s">
        <v>1492</v>
      </c>
      <c r="X161" s="242" t="s">
        <v>1569</v>
      </c>
      <c r="Y161" s="277" t="s">
        <v>1308</v>
      </c>
      <c r="Z161" s="194"/>
      <c r="AA161" s="194"/>
      <c r="AB161" s="194"/>
      <c r="AC161" s="194"/>
      <c r="AD161" s="194"/>
    </row>
    <row r="162" spans="1:30" ht="156.75">
      <c r="A162" s="43">
        <f t="shared" si="0"/>
        <v>161</v>
      </c>
      <c r="B162" s="195" t="s">
        <v>409</v>
      </c>
      <c r="C162" s="264" t="s">
        <v>419</v>
      </c>
      <c r="D162" s="230">
        <v>2018</v>
      </c>
      <c r="E162" s="230" t="s">
        <v>1570</v>
      </c>
      <c r="F162" s="245" t="s">
        <v>1571</v>
      </c>
      <c r="G162" s="245"/>
      <c r="H162" s="234" t="s">
        <v>575</v>
      </c>
      <c r="I162" s="230" t="s">
        <v>1491</v>
      </c>
      <c r="J162" s="266" t="s">
        <v>1461</v>
      </c>
      <c r="K162" s="245" t="s">
        <v>477</v>
      </c>
      <c r="L162" s="234" t="s">
        <v>575</v>
      </c>
      <c r="M162" s="245" t="s">
        <v>1572</v>
      </c>
      <c r="N162" s="230" t="s">
        <v>575</v>
      </c>
      <c r="O162" s="245">
        <v>400</v>
      </c>
      <c r="P162" s="245" t="s">
        <v>1573</v>
      </c>
      <c r="Q162" s="230" t="s">
        <v>640</v>
      </c>
      <c r="R162" s="233" t="s">
        <v>1574</v>
      </c>
      <c r="S162" s="230" t="s">
        <v>1575</v>
      </c>
      <c r="T162" s="230"/>
      <c r="U162" s="245" t="s">
        <v>1576</v>
      </c>
      <c r="V162" s="230" t="s">
        <v>1492</v>
      </c>
      <c r="W162" s="230" t="s">
        <v>1492</v>
      </c>
      <c r="X162" s="245"/>
      <c r="Y162" s="54"/>
      <c r="Z162" s="54"/>
      <c r="AA162" s="54"/>
      <c r="AB162" s="54"/>
      <c r="AC162" s="54"/>
      <c r="AD162" s="54"/>
    </row>
    <row r="163" spans="1:30" ht="99.75">
      <c r="A163" s="43">
        <f t="shared" si="0"/>
        <v>162</v>
      </c>
      <c r="B163" s="195" t="s">
        <v>409</v>
      </c>
      <c r="C163" s="264" t="s">
        <v>420</v>
      </c>
      <c r="D163" s="230">
        <v>2015</v>
      </c>
      <c r="E163" s="230" t="s">
        <v>125</v>
      </c>
      <c r="F163" s="245" t="s">
        <v>1577</v>
      </c>
      <c r="G163" s="245"/>
      <c r="H163" s="266" t="s">
        <v>575</v>
      </c>
      <c r="I163" s="266" t="s">
        <v>1578</v>
      </c>
      <c r="J163" s="266" t="s">
        <v>1579</v>
      </c>
      <c r="K163" s="266" t="s">
        <v>477</v>
      </c>
      <c r="L163" s="266" t="s">
        <v>575</v>
      </c>
      <c r="M163" s="266" t="s">
        <v>1501</v>
      </c>
      <c r="N163" s="266" t="s">
        <v>575</v>
      </c>
      <c r="O163" s="266" t="s">
        <v>1502</v>
      </c>
      <c r="P163" s="266" t="s">
        <v>1119</v>
      </c>
      <c r="Q163" s="266" t="s">
        <v>1580</v>
      </c>
      <c r="R163" s="245"/>
      <c r="S163" s="231" t="s">
        <v>1581</v>
      </c>
      <c r="T163" s="231" t="s">
        <v>1582</v>
      </c>
      <c r="U163" s="266" t="s">
        <v>1096</v>
      </c>
      <c r="V163" s="266" t="s">
        <v>1492</v>
      </c>
      <c r="W163" s="266" t="s">
        <v>1492</v>
      </c>
      <c r="X163" s="266"/>
      <c r="Y163" s="54"/>
      <c r="Z163" s="54"/>
      <c r="AA163" s="54"/>
      <c r="AB163" s="54"/>
      <c r="AC163" s="54"/>
      <c r="AD163" s="54"/>
    </row>
    <row r="164" spans="1:30" ht="99.75">
      <c r="A164" s="43">
        <f t="shared" si="0"/>
        <v>163</v>
      </c>
      <c r="B164" s="195" t="s">
        <v>409</v>
      </c>
      <c r="C164" s="264" t="s">
        <v>421</v>
      </c>
      <c r="D164" s="230">
        <v>2018</v>
      </c>
      <c r="E164" s="230" t="s">
        <v>33</v>
      </c>
      <c r="F164" s="245" t="s">
        <v>1583</v>
      </c>
      <c r="G164" s="245"/>
      <c r="H164" s="245" t="s">
        <v>1584</v>
      </c>
      <c r="I164" s="266" t="s">
        <v>1460</v>
      </c>
      <c r="J164" s="266" t="s">
        <v>1579</v>
      </c>
      <c r="K164" s="245" t="s">
        <v>477</v>
      </c>
      <c r="L164" s="234" t="s">
        <v>1584</v>
      </c>
      <c r="M164" s="266" t="s">
        <v>1501</v>
      </c>
      <c r="N164" s="234" t="s">
        <v>1584</v>
      </c>
      <c r="O164" s="266">
        <v>48</v>
      </c>
      <c r="P164" s="234" t="s">
        <v>1119</v>
      </c>
      <c r="Q164" s="230" t="s">
        <v>640</v>
      </c>
      <c r="R164" s="233" t="s">
        <v>1483</v>
      </c>
      <c r="S164" s="231" t="s">
        <v>1585</v>
      </c>
      <c r="T164" s="230" t="s">
        <v>1467</v>
      </c>
      <c r="U164" s="245" t="s">
        <v>715</v>
      </c>
      <c r="V164" s="230" t="s">
        <v>1586</v>
      </c>
      <c r="W164" s="230" t="s">
        <v>1492</v>
      </c>
      <c r="X164" s="245"/>
      <c r="Y164" s="54"/>
      <c r="Z164" s="54"/>
      <c r="AA164" s="54"/>
      <c r="AB164" s="54"/>
      <c r="AC164" s="54"/>
      <c r="AD164" s="54"/>
    </row>
    <row r="165" spans="1:30" ht="114">
      <c r="A165" s="43">
        <f t="shared" si="0"/>
        <v>164</v>
      </c>
      <c r="B165" s="195" t="s">
        <v>409</v>
      </c>
      <c r="C165" s="264" t="s">
        <v>422</v>
      </c>
      <c r="D165" s="230">
        <v>2014</v>
      </c>
      <c r="E165" s="230" t="s">
        <v>158</v>
      </c>
      <c r="F165" s="245" t="s">
        <v>1587</v>
      </c>
      <c r="G165" s="245"/>
      <c r="H165" s="245" t="s">
        <v>1588</v>
      </c>
      <c r="I165" s="266" t="s">
        <v>1460</v>
      </c>
      <c r="J165" s="266" t="s">
        <v>1579</v>
      </c>
      <c r="K165" s="245" t="s">
        <v>477</v>
      </c>
      <c r="L165" s="234" t="s">
        <v>1588</v>
      </c>
      <c r="M165" s="266" t="s">
        <v>1533</v>
      </c>
      <c r="N165" s="234" t="s">
        <v>1588</v>
      </c>
      <c r="O165" s="266">
        <v>50</v>
      </c>
      <c r="P165" s="234" t="s">
        <v>1167</v>
      </c>
      <c r="Q165" s="230" t="s">
        <v>640</v>
      </c>
      <c r="R165" s="233" t="s">
        <v>1483</v>
      </c>
      <c r="S165" s="231" t="s">
        <v>1589</v>
      </c>
      <c r="T165" s="230" t="s">
        <v>1590</v>
      </c>
      <c r="U165" s="245" t="s">
        <v>1376</v>
      </c>
      <c r="V165" s="230" t="s">
        <v>1591</v>
      </c>
      <c r="W165" s="230" t="s">
        <v>753</v>
      </c>
      <c r="X165" s="245" t="s">
        <v>1592</v>
      </c>
      <c r="Y165" s="54"/>
      <c r="Z165" s="54"/>
      <c r="AA165" s="54"/>
      <c r="AB165" s="54"/>
      <c r="AC165" s="54"/>
      <c r="AD165" s="54"/>
    </row>
    <row r="166" spans="1:30" ht="114">
      <c r="A166" s="150">
        <f t="shared" si="0"/>
        <v>165</v>
      </c>
      <c r="B166" s="183" t="s">
        <v>409</v>
      </c>
      <c r="C166" s="268" t="s">
        <v>423</v>
      </c>
      <c r="D166" s="236">
        <v>2015</v>
      </c>
      <c r="E166" s="236" t="s">
        <v>53</v>
      </c>
      <c r="F166" s="242" t="s">
        <v>1593</v>
      </c>
      <c r="G166" s="242"/>
      <c r="H166" s="242" t="s">
        <v>532</v>
      </c>
      <c r="I166" s="269" t="s">
        <v>1594</v>
      </c>
      <c r="J166" s="269" t="s">
        <v>1579</v>
      </c>
      <c r="K166" s="242" t="s">
        <v>622</v>
      </c>
      <c r="L166" s="242" t="s">
        <v>532</v>
      </c>
      <c r="M166" s="242" t="s">
        <v>521</v>
      </c>
      <c r="N166" s="242" t="s">
        <v>532</v>
      </c>
      <c r="O166" s="242">
        <v>100</v>
      </c>
      <c r="P166" s="242" t="s">
        <v>1595</v>
      </c>
      <c r="Q166" s="242" t="s">
        <v>1596</v>
      </c>
      <c r="R166" s="242"/>
      <c r="S166" s="242" t="s">
        <v>1597</v>
      </c>
      <c r="T166" s="242" t="s">
        <v>532</v>
      </c>
      <c r="U166" s="242" t="s">
        <v>587</v>
      </c>
      <c r="V166" s="242" t="s">
        <v>1486</v>
      </c>
      <c r="W166" s="242" t="s">
        <v>497</v>
      </c>
      <c r="X166" s="242"/>
      <c r="Y166" s="194"/>
      <c r="Z166" s="194"/>
      <c r="AA166" s="194"/>
      <c r="AB166" s="194"/>
      <c r="AC166" s="194"/>
      <c r="AD166" s="194"/>
    </row>
    <row r="167" spans="1:30" ht="142.5">
      <c r="A167" s="150">
        <f t="shared" si="0"/>
        <v>166</v>
      </c>
      <c r="B167" s="183" t="s">
        <v>409</v>
      </c>
      <c r="C167" s="268" t="s">
        <v>424</v>
      </c>
      <c r="D167" s="236">
        <v>2019</v>
      </c>
      <c r="E167" s="236" t="s">
        <v>1598</v>
      </c>
      <c r="F167" s="242" t="s">
        <v>1599</v>
      </c>
      <c r="G167" s="242"/>
      <c r="H167" s="242" t="s">
        <v>1600</v>
      </c>
      <c r="I167" s="269" t="s">
        <v>1594</v>
      </c>
      <c r="J167" s="269" t="s">
        <v>1579</v>
      </c>
      <c r="K167" s="242" t="s">
        <v>622</v>
      </c>
      <c r="L167" s="242" t="s">
        <v>532</v>
      </c>
      <c r="M167" s="242" t="s">
        <v>1601</v>
      </c>
      <c r="N167" s="242" t="s">
        <v>1602</v>
      </c>
      <c r="O167" s="242">
        <v>1200</v>
      </c>
      <c r="P167" s="242" t="s">
        <v>1119</v>
      </c>
      <c r="Q167" s="242" t="s">
        <v>1603</v>
      </c>
      <c r="R167" s="242"/>
      <c r="S167" s="242" t="s">
        <v>1604</v>
      </c>
      <c r="T167" s="242"/>
      <c r="U167" s="242" t="s">
        <v>1367</v>
      </c>
      <c r="V167" s="242" t="s">
        <v>1486</v>
      </c>
      <c r="W167" s="242" t="s">
        <v>497</v>
      </c>
      <c r="X167" s="242"/>
      <c r="Y167" s="194"/>
      <c r="Z167" s="194"/>
      <c r="AA167" s="194"/>
      <c r="AB167" s="194"/>
      <c r="AC167" s="194"/>
      <c r="AD167" s="194"/>
    </row>
    <row r="168" spans="1:30" ht="99.75">
      <c r="A168" s="43">
        <f t="shared" si="0"/>
        <v>167</v>
      </c>
      <c r="B168" s="195" t="s">
        <v>409</v>
      </c>
      <c r="C168" s="264" t="s">
        <v>425</v>
      </c>
      <c r="D168" s="231">
        <v>2014</v>
      </c>
      <c r="E168" s="231" t="s">
        <v>136</v>
      </c>
      <c r="F168" s="266" t="s">
        <v>1605</v>
      </c>
      <c r="G168" s="266"/>
      <c r="H168" s="231" t="s">
        <v>1606</v>
      </c>
      <c r="I168" s="266" t="s">
        <v>1460</v>
      </c>
      <c r="J168" s="266" t="s">
        <v>1461</v>
      </c>
      <c r="K168" s="245" t="s">
        <v>477</v>
      </c>
      <c r="L168" s="245" t="s">
        <v>1588</v>
      </c>
      <c r="M168" s="266" t="s">
        <v>1607</v>
      </c>
      <c r="N168" s="245" t="s">
        <v>1588</v>
      </c>
      <c r="O168" s="266">
        <v>48</v>
      </c>
      <c r="P168" s="266" t="s">
        <v>1608</v>
      </c>
      <c r="Q168" s="266" t="s">
        <v>640</v>
      </c>
      <c r="R168" s="231" t="s">
        <v>1574</v>
      </c>
      <c r="S168" s="230" t="s">
        <v>1609</v>
      </c>
      <c r="T168" s="245"/>
      <c r="U168" s="266" t="s">
        <v>1610</v>
      </c>
      <c r="V168" s="266" t="s">
        <v>483</v>
      </c>
      <c r="W168" s="266" t="s">
        <v>753</v>
      </c>
      <c r="X168" s="245"/>
      <c r="Y168" s="54"/>
      <c r="Z168" s="54"/>
      <c r="AA168" s="54"/>
      <c r="AB168" s="54"/>
      <c r="AC168" s="54"/>
      <c r="AD168" s="54"/>
    </row>
    <row r="169" spans="1:30" ht="64.5" customHeight="1">
      <c r="A169" s="150">
        <f t="shared" si="0"/>
        <v>168</v>
      </c>
      <c r="B169" s="183" t="s">
        <v>426</v>
      </c>
      <c r="C169" s="152" t="s">
        <v>427</v>
      </c>
      <c r="D169" s="278">
        <v>2019</v>
      </c>
      <c r="E169" s="279" t="str">
        <f>HYPERLINK("https://doi.org/10.1007/s00202-019-00869-8"," 10.1007/s00202-019-00869-8")</f>
        <v xml:space="preserve"> 10.1007/s00202-019-00869-8</v>
      </c>
      <c r="F169" s="280" t="s">
        <v>1611</v>
      </c>
      <c r="G169" s="280"/>
      <c r="H169" s="281"/>
      <c r="I169" s="269" t="s">
        <v>1460</v>
      </c>
      <c r="J169" s="278" t="s">
        <v>1612</v>
      </c>
      <c r="K169" s="278" t="s">
        <v>1613</v>
      </c>
      <c r="L169" s="281"/>
      <c r="M169" s="278" t="s">
        <v>1607</v>
      </c>
      <c r="N169" s="281"/>
      <c r="O169" s="278">
        <v>48</v>
      </c>
      <c r="P169" s="281"/>
      <c r="Q169" s="281"/>
      <c r="R169" s="281"/>
      <c r="S169" s="278" t="s">
        <v>1614</v>
      </c>
      <c r="T169" s="281"/>
      <c r="U169" s="278" t="s">
        <v>1615</v>
      </c>
      <c r="V169" s="281"/>
      <c r="W169" s="281"/>
      <c r="X169" s="281"/>
      <c r="Y169" s="194"/>
      <c r="Z169" s="194"/>
      <c r="AA169" s="194"/>
      <c r="AB169" s="194"/>
      <c r="AC169" s="194"/>
      <c r="AD169" s="194"/>
    </row>
    <row r="170" spans="1:30" ht="59.25" customHeight="1">
      <c r="A170" s="43">
        <f t="shared" si="0"/>
        <v>169</v>
      </c>
      <c r="B170" s="195" t="s">
        <v>426</v>
      </c>
      <c r="C170" s="45" t="s">
        <v>429</v>
      </c>
      <c r="D170" s="282">
        <v>2019</v>
      </c>
      <c r="E170" s="283" t="s">
        <v>1616</v>
      </c>
      <c r="F170" s="282" t="s">
        <v>1617</v>
      </c>
      <c r="G170" s="282"/>
      <c r="H170" s="284"/>
      <c r="I170" s="284"/>
      <c r="J170" s="282" t="s">
        <v>1612</v>
      </c>
      <c r="K170" s="282" t="s">
        <v>1618</v>
      </c>
      <c r="L170" s="284"/>
      <c r="M170" s="282" t="s">
        <v>1619</v>
      </c>
      <c r="N170" s="284"/>
      <c r="O170" s="282" t="s">
        <v>1620</v>
      </c>
      <c r="P170" s="284"/>
      <c r="Q170" s="282" t="s">
        <v>1621</v>
      </c>
      <c r="R170" s="284"/>
      <c r="S170" s="282"/>
      <c r="T170" s="284"/>
      <c r="U170" s="282" t="s">
        <v>1622</v>
      </c>
      <c r="V170" s="284"/>
      <c r="W170" s="282" t="s">
        <v>1623</v>
      </c>
      <c r="X170" s="284"/>
      <c r="Y170" s="54"/>
      <c r="Z170" s="54"/>
      <c r="AA170" s="54"/>
      <c r="AB170" s="54"/>
      <c r="AC170" s="54"/>
      <c r="AD170" s="54"/>
    </row>
    <row r="171" spans="1:30" ht="73.5" customHeight="1">
      <c r="A171" s="157">
        <f t="shared" si="0"/>
        <v>170</v>
      </c>
      <c r="B171" s="285" t="s">
        <v>426</v>
      </c>
      <c r="C171" s="159" t="s">
        <v>430</v>
      </c>
      <c r="D171" s="286">
        <v>2019</v>
      </c>
      <c r="E171" s="287" t="s">
        <v>1624</v>
      </c>
      <c r="F171" s="286" t="s">
        <v>1625</v>
      </c>
      <c r="G171" s="286"/>
      <c r="H171" s="288"/>
      <c r="I171" s="288"/>
      <c r="J171" s="286" t="s">
        <v>1612</v>
      </c>
      <c r="K171" s="286" t="s">
        <v>1626</v>
      </c>
      <c r="L171" s="288"/>
      <c r="M171" s="286" t="s">
        <v>1627</v>
      </c>
      <c r="N171" s="288"/>
      <c r="O171" s="286" t="s">
        <v>713</v>
      </c>
      <c r="P171" s="288"/>
      <c r="Q171" s="286" t="s">
        <v>1628</v>
      </c>
      <c r="R171" s="288"/>
      <c r="S171" s="286" t="s">
        <v>1614</v>
      </c>
      <c r="T171" s="288"/>
      <c r="U171" s="286" t="s">
        <v>1629</v>
      </c>
      <c r="V171" s="288"/>
      <c r="W171" s="288"/>
      <c r="X171" s="288"/>
      <c r="Y171" s="289"/>
      <c r="Z171" s="289"/>
      <c r="AA171" s="289"/>
      <c r="AB171" s="289"/>
      <c r="AC171" s="289"/>
      <c r="AD171" s="289"/>
    </row>
    <row r="172" spans="1:30" ht="88.5" customHeight="1">
      <c r="A172" s="95">
        <f t="shared" si="0"/>
        <v>171</v>
      </c>
      <c r="B172" s="199" t="s">
        <v>426</v>
      </c>
      <c r="C172" s="96" t="s">
        <v>431</v>
      </c>
      <c r="D172" s="290">
        <v>2018</v>
      </c>
      <c r="E172" s="291" t="s">
        <v>1630</v>
      </c>
      <c r="F172" s="290" t="s">
        <v>1631</v>
      </c>
      <c r="G172" s="290"/>
      <c r="H172" s="292"/>
      <c r="I172" s="292"/>
      <c r="J172" s="290" t="s">
        <v>1612</v>
      </c>
      <c r="K172" s="290" t="s">
        <v>1632</v>
      </c>
      <c r="L172" s="292"/>
      <c r="M172" s="290" t="s">
        <v>1627</v>
      </c>
      <c r="N172" s="292"/>
      <c r="O172" s="290" t="s">
        <v>1633</v>
      </c>
      <c r="P172" s="292"/>
      <c r="Q172" s="292"/>
      <c r="R172" s="292"/>
      <c r="S172" s="290" t="s">
        <v>1634</v>
      </c>
      <c r="T172" s="292"/>
      <c r="U172" s="290" t="s">
        <v>1635</v>
      </c>
      <c r="V172" s="292"/>
      <c r="W172" s="292"/>
      <c r="X172" s="292"/>
      <c r="Y172" s="24"/>
      <c r="Z172" s="24"/>
      <c r="AA172" s="24"/>
      <c r="AB172" s="24"/>
      <c r="AC172" s="24"/>
      <c r="AD172" s="24"/>
    </row>
    <row r="173" spans="1:30" ht="108" customHeight="1">
      <c r="A173" s="150">
        <f t="shared" si="0"/>
        <v>172</v>
      </c>
      <c r="B173" s="183" t="s">
        <v>426</v>
      </c>
      <c r="C173" s="152" t="s">
        <v>432</v>
      </c>
      <c r="D173" s="278">
        <v>2017</v>
      </c>
      <c r="E173" s="293" t="s">
        <v>77</v>
      </c>
      <c r="F173" s="278" t="s">
        <v>1636</v>
      </c>
      <c r="G173" s="278"/>
      <c r="H173" s="281"/>
      <c r="I173" s="278" t="s">
        <v>1637</v>
      </c>
      <c r="J173" s="278" t="s">
        <v>1612</v>
      </c>
      <c r="K173" s="278" t="s">
        <v>1031</v>
      </c>
      <c r="L173" s="281"/>
      <c r="M173" s="278" t="s">
        <v>1638</v>
      </c>
      <c r="N173" s="281"/>
      <c r="O173" s="278" t="s">
        <v>1639</v>
      </c>
      <c r="P173" s="281"/>
      <c r="Q173" s="281"/>
      <c r="R173" s="281"/>
      <c r="S173" s="281"/>
      <c r="T173" s="281"/>
      <c r="U173" s="278" t="s">
        <v>715</v>
      </c>
      <c r="V173" s="281"/>
      <c r="W173" s="281"/>
      <c r="X173" s="281"/>
      <c r="Y173" s="194"/>
      <c r="Z173" s="194"/>
      <c r="AA173" s="194"/>
      <c r="AB173" s="194"/>
      <c r="AC173" s="194"/>
      <c r="AD173" s="194"/>
    </row>
    <row r="174" spans="1:30" ht="108" customHeight="1">
      <c r="A174" s="150">
        <f t="shared" si="0"/>
        <v>173</v>
      </c>
      <c r="B174" s="183" t="s">
        <v>426</v>
      </c>
      <c r="C174" s="152" t="s">
        <v>433</v>
      </c>
      <c r="D174" s="278">
        <v>2015</v>
      </c>
      <c r="E174" s="293" t="s">
        <v>130</v>
      </c>
      <c r="F174" s="278" t="s">
        <v>1640</v>
      </c>
      <c r="G174" s="278"/>
      <c r="H174" s="281"/>
      <c r="I174" s="278" t="s">
        <v>1641</v>
      </c>
      <c r="J174" s="278" t="s">
        <v>1642</v>
      </c>
      <c r="K174" s="278" t="s">
        <v>1031</v>
      </c>
      <c r="L174" s="281"/>
      <c r="M174" s="278" t="s">
        <v>1627</v>
      </c>
      <c r="N174" s="281"/>
      <c r="O174" s="278" t="s">
        <v>1643</v>
      </c>
      <c r="P174" s="281"/>
      <c r="Q174" s="281"/>
      <c r="R174" s="281"/>
      <c r="S174" s="281" t="s">
        <v>1644</v>
      </c>
      <c r="T174" s="281"/>
      <c r="U174" s="278" t="s">
        <v>1576</v>
      </c>
      <c r="V174" s="281"/>
      <c r="W174" s="281"/>
      <c r="X174" s="281"/>
      <c r="Y174" s="194"/>
      <c r="Z174" s="194"/>
      <c r="AA174" s="194"/>
      <c r="AB174" s="194"/>
      <c r="AC174" s="194"/>
      <c r="AD174" s="194"/>
    </row>
    <row r="175" spans="1:30" ht="111" customHeight="1">
      <c r="A175" s="150">
        <f t="shared" si="0"/>
        <v>174</v>
      </c>
      <c r="B175" s="183" t="s">
        <v>426</v>
      </c>
      <c r="C175" s="152" t="s">
        <v>434</v>
      </c>
      <c r="D175" s="278">
        <v>2014</v>
      </c>
      <c r="E175" s="293" t="s">
        <v>151</v>
      </c>
      <c r="F175" s="278" t="s">
        <v>1645</v>
      </c>
      <c r="G175" s="278"/>
      <c r="H175" s="281"/>
      <c r="I175" s="278"/>
      <c r="J175" s="278" t="s">
        <v>1642</v>
      </c>
      <c r="K175" s="278" t="s">
        <v>1031</v>
      </c>
      <c r="L175" s="281"/>
      <c r="M175" s="278" t="s">
        <v>1627</v>
      </c>
      <c r="N175" s="281"/>
      <c r="O175" s="278" t="s">
        <v>1646</v>
      </c>
      <c r="P175" s="281"/>
      <c r="Q175" s="281" t="s">
        <v>1647</v>
      </c>
      <c r="R175" s="281"/>
      <c r="S175" s="281"/>
      <c r="T175" s="281"/>
      <c r="U175" s="278" t="s">
        <v>715</v>
      </c>
      <c r="V175" s="281"/>
      <c r="W175" s="281"/>
      <c r="X175" s="281"/>
      <c r="Y175" s="194"/>
      <c r="Z175" s="194"/>
      <c r="AA175" s="194"/>
      <c r="AB175" s="194"/>
      <c r="AC175" s="194"/>
      <c r="AD175" s="194"/>
    </row>
    <row r="176" spans="1:30" ht="125.25" customHeight="1">
      <c r="A176" s="150">
        <f t="shared" si="0"/>
        <v>175</v>
      </c>
      <c r="B176" s="183" t="s">
        <v>426</v>
      </c>
      <c r="C176" s="152" t="s">
        <v>435</v>
      </c>
      <c r="D176" s="278">
        <v>2018</v>
      </c>
      <c r="E176" s="293" t="s">
        <v>1648</v>
      </c>
      <c r="F176" s="278" t="s">
        <v>1649</v>
      </c>
      <c r="G176" s="278"/>
      <c r="H176" s="281"/>
      <c r="I176" s="278"/>
      <c r="J176" s="278" t="s">
        <v>1612</v>
      </c>
      <c r="K176" s="278" t="s">
        <v>1031</v>
      </c>
      <c r="L176" s="281"/>
      <c r="M176" s="278" t="s">
        <v>1627</v>
      </c>
      <c r="N176" s="281"/>
      <c r="O176" s="278" t="s">
        <v>790</v>
      </c>
      <c r="P176" s="281"/>
      <c r="Q176" s="281"/>
      <c r="R176" s="281"/>
      <c r="S176" s="281"/>
      <c r="T176" s="281"/>
      <c r="U176" s="278" t="s">
        <v>1650</v>
      </c>
      <c r="V176" s="281"/>
      <c r="W176" s="281" t="s">
        <v>1651</v>
      </c>
      <c r="X176" s="281"/>
      <c r="Y176" s="194"/>
      <c r="Z176" s="194"/>
      <c r="AA176" s="194"/>
      <c r="AB176" s="194"/>
      <c r="AC176" s="194"/>
      <c r="AD176" s="194"/>
    </row>
    <row r="177" spans="1:30" ht="76.5">
      <c r="A177" s="150">
        <f t="shared" si="0"/>
        <v>176</v>
      </c>
      <c r="B177" s="183" t="s">
        <v>426</v>
      </c>
      <c r="C177" s="152" t="s">
        <v>436</v>
      </c>
      <c r="D177" s="278">
        <v>2019</v>
      </c>
      <c r="E177" s="293" t="s">
        <v>1022</v>
      </c>
      <c r="F177" s="278" t="s">
        <v>1652</v>
      </c>
      <c r="G177" s="278"/>
      <c r="H177" s="281"/>
      <c r="I177" s="278"/>
      <c r="J177" s="278" t="s">
        <v>1653</v>
      </c>
      <c r="K177" s="278" t="s">
        <v>1031</v>
      </c>
      <c r="L177" s="281"/>
      <c r="M177" s="278" t="s">
        <v>1627</v>
      </c>
      <c r="N177" s="281"/>
      <c r="O177" s="278" t="s">
        <v>511</v>
      </c>
      <c r="P177" s="281"/>
      <c r="Q177" s="281"/>
      <c r="R177" s="281"/>
      <c r="S177" s="281" t="s">
        <v>1654</v>
      </c>
      <c r="T177" s="281"/>
      <c r="U177" s="278" t="s">
        <v>1655</v>
      </c>
      <c r="V177" s="281" t="s">
        <v>1656</v>
      </c>
      <c r="W177" s="281"/>
      <c r="X177" s="281"/>
      <c r="Y177" s="194"/>
      <c r="Z177" s="194"/>
      <c r="AA177" s="194"/>
      <c r="AB177" s="194"/>
      <c r="AC177" s="194"/>
      <c r="AD177" s="194"/>
    </row>
    <row r="178" spans="1:30" ht="63.75">
      <c r="A178" s="150">
        <f t="shared" si="0"/>
        <v>177</v>
      </c>
      <c r="B178" s="183" t="s">
        <v>426</v>
      </c>
      <c r="C178" s="152" t="s">
        <v>437</v>
      </c>
      <c r="D178" s="278">
        <v>2016</v>
      </c>
      <c r="E178" s="293" t="s">
        <v>1657</v>
      </c>
      <c r="F178" s="278" t="s">
        <v>1658</v>
      </c>
      <c r="G178" s="278"/>
      <c r="H178" s="281"/>
      <c r="I178" s="278"/>
      <c r="J178" s="278" t="s">
        <v>1659</v>
      </c>
      <c r="K178" s="278" t="s">
        <v>1031</v>
      </c>
      <c r="L178" s="281"/>
      <c r="M178" s="278" t="s">
        <v>493</v>
      </c>
      <c r="N178" s="281"/>
      <c r="O178" s="278" t="s">
        <v>1660</v>
      </c>
      <c r="P178" s="281"/>
      <c r="Q178" s="281"/>
      <c r="R178" s="281"/>
      <c r="S178" s="281"/>
      <c r="T178" s="281"/>
      <c r="U178" s="278" t="s">
        <v>753</v>
      </c>
      <c r="V178" s="281"/>
      <c r="W178" s="281"/>
      <c r="X178" s="281" t="s">
        <v>1661</v>
      </c>
      <c r="Y178" s="194"/>
      <c r="Z178" s="194"/>
      <c r="AA178" s="194"/>
      <c r="AB178" s="194"/>
      <c r="AC178" s="194"/>
      <c r="AD178" s="194"/>
    </row>
    <row r="179" spans="1:30" ht="76.5">
      <c r="A179" s="150">
        <f t="shared" si="0"/>
        <v>178</v>
      </c>
      <c r="B179" s="183" t="s">
        <v>426</v>
      </c>
      <c r="C179" s="152" t="s">
        <v>438</v>
      </c>
      <c r="D179" s="278">
        <v>2014</v>
      </c>
      <c r="E179" s="293" t="s">
        <v>155</v>
      </c>
      <c r="F179" s="278" t="s">
        <v>1662</v>
      </c>
      <c r="G179" s="278"/>
      <c r="H179" s="281"/>
      <c r="I179" s="278"/>
      <c r="J179" s="278" t="s">
        <v>1612</v>
      </c>
      <c r="K179" s="278" t="s">
        <v>1031</v>
      </c>
      <c r="L179" s="281"/>
      <c r="M179" s="278" t="s">
        <v>1663</v>
      </c>
      <c r="N179" s="281"/>
      <c r="O179" s="278" t="s">
        <v>988</v>
      </c>
      <c r="P179" s="281"/>
      <c r="Q179" s="281"/>
      <c r="R179" s="281"/>
      <c r="S179" s="281"/>
      <c r="T179" s="281"/>
      <c r="U179" s="278" t="s">
        <v>1664</v>
      </c>
      <c r="V179" s="281" t="s">
        <v>1656</v>
      </c>
      <c r="W179" s="281"/>
      <c r="X179" s="281" t="s">
        <v>1665</v>
      </c>
      <c r="Y179" s="194"/>
      <c r="Z179" s="194"/>
      <c r="AA179" s="194"/>
      <c r="AB179" s="194"/>
      <c r="AC179" s="194"/>
      <c r="AD179" s="194"/>
    </row>
    <row r="180" spans="1:30" ht="94.5" customHeight="1">
      <c r="A180" s="150">
        <f t="shared" si="0"/>
        <v>179</v>
      </c>
      <c r="B180" s="183" t="s">
        <v>426</v>
      </c>
      <c r="C180" s="152" t="s">
        <v>439</v>
      </c>
      <c r="D180" s="278">
        <v>2016</v>
      </c>
      <c r="E180" s="293" t="s">
        <v>1666</v>
      </c>
      <c r="F180" s="278" t="s">
        <v>1667</v>
      </c>
      <c r="G180" s="278"/>
      <c r="H180" s="281"/>
      <c r="I180" s="278"/>
      <c r="J180" s="278" t="s">
        <v>1642</v>
      </c>
      <c r="K180" s="278" t="s">
        <v>1031</v>
      </c>
      <c r="L180" s="281"/>
      <c r="M180" s="278" t="s">
        <v>1627</v>
      </c>
      <c r="N180" s="281"/>
      <c r="O180" s="278" t="s">
        <v>943</v>
      </c>
      <c r="P180" s="281"/>
      <c r="Q180" s="281"/>
      <c r="R180" s="281"/>
      <c r="S180" s="281" t="s">
        <v>1668</v>
      </c>
      <c r="T180" s="281"/>
      <c r="U180" s="278" t="s">
        <v>1664</v>
      </c>
      <c r="V180" s="281" t="s">
        <v>1656</v>
      </c>
      <c r="W180" s="281"/>
      <c r="X180" s="281" t="s">
        <v>1669</v>
      </c>
      <c r="Y180" s="194"/>
      <c r="Z180" s="194"/>
      <c r="AA180" s="194"/>
      <c r="AB180" s="194"/>
      <c r="AC180" s="194"/>
      <c r="AD180" s="194"/>
    </row>
    <row r="181" spans="1:30" ht="108.75" customHeight="1">
      <c r="A181" s="150">
        <f t="shared" si="0"/>
        <v>180</v>
      </c>
      <c r="B181" s="183" t="s">
        <v>426</v>
      </c>
      <c r="C181" s="152" t="s">
        <v>440</v>
      </c>
      <c r="D181" s="278">
        <v>2016</v>
      </c>
      <c r="E181" s="293" t="s">
        <v>1670</v>
      </c>
      <c r="F181" s="278" t="s">
        <v>1671</v>
      </c>
      <c r="G181" s="17" t="s">
        <v>439</v>
      </c>
      <c r="H181" s="281"/>
      <c r="I181" s="278"/>
      <c r="J181" s="278" t="s">
        <v>1612</v>
      </c>
      <c r="K181" s="278" t="s">
        <v>1031</v>
      </c>
      <c r="L181" s="281"/>
      <c r="M181" s="278" t="s">
        <v>1627</v>
      </c>
      <c r="N181" s="281"/>
      <c r="O181" s="278" t="s">
        <v>1672</v>
      </c>
      <c r="P181" s="281"/>
      <c r="Q181" s="281"/>
      <c r="R181" s="281"/>
      <c r="S181" s="281" t="s">
        <v>1673</v>
      </c>
      <c r="T181" s="281"/>
      <c r="U181" s="278" t="s">
        <v>1664</v>
      </c>
      <c r="V181" s="281"/>
      <c r="W181" s="281"/>
      <c r="X181" s="281"/>
      <c r="Y181" s="194"/>
      <c r="Z181" s="194"/>
      <c r="AA181" s="194"/>
      <c r="AB181" s="194"/>
      <c r="AC181" s="194"/>
      <c r="AD181" s="194"/>
    </row>
    <row r="182" spans="1:30" ht="102">
      <c r="A182" s="150">
        <f t="shared" si="0"/>
        <v>181</v>
      </c>
      <c r="B182" s="183" t="s">
        <v>426</v>
      </c>
      <c r="C182" s="152" t="s">
        <v>441</v>
      </c>
      <c r="D182" s="278">
        <v>2015</v>
      </c>
      <c r="E182" s="293" t="s">
        <v>1674</v>
      </c>
      <c r="F182" s="278" t="s">
        <v>1675</v>
      </c>
      <c r="G182" s="278"/>
      <c r="H182" s="281"/>
      <c r="I182" s="278"/>
      <c r="J182" s="278" t="s">
        <v>1612</v>
      </c>
      <c r="K182" s="278" t="s">
        <v>1031</v>
      </c>
      <c r="L182" s="281"/>
      <c r="M182" s="278" t="s">
        <v>1676</v>
      </c>
      <c r="N182" s="281" t="s">
        <v>532</v>
      </c>
      <c r="O182" s="278" t="s">
        <v>790</v>
      </c>
      <c r="P182" s="281"/>
      <c r="Q182" s="281"/>
      <c r="R182" s="281"/>
      <c r="S182" s="281" t="s">
        <v>1677</v>
      </c>
      <c r="T182" s="281"/>
      <c r="U182" s="278" t="s">
        <v>1678</v>
      </c>
      <c r="V182" s="281"/>
      <c r="W182" s="281"/>
      <c r="X182" s="281"/>
      <c r="Y182" s="194"/>
      <c r="Z182" s="194"/>
      <c r="AA182" s="194"/>
      <c r="AB182" s="194"/>
      <c r="AC182" s="194"/>
      <c r="AD182" s="194"/>
    </row>
    <row r="183" spans="1:30" ht="76.5">
      <c r="A183" s="95">
        <f t="shared" si="0"/>
        <v>182</v>
      </c>
      <c r="B183" s="199" t="s">
        <v>426</v>
      </c>
      <c r="C183" s="96" t="s">
        <v>359</v>
      </c>
      <c r="D183" s="292"/>
      <c r="E183" s="294" t="s">
        <v>107</v>
      </c>
      <c r="F183" s="290" t="s">
        <v>1679</v>
      </c>
      <c r="G183" s="292"/>
      <c r="H183" s="292"/>
      <c r="I183" s="292"/>
      <c r="J183" s="290" t="s">
        <v>1642</v>
      </c>
      <c r="K183" s="290" t="s">
        <v>1680</v>
      </c>
      <c r="L183" s="292"/>
      <c r="M183" s="290" t="s">
        <v>1680</v>
      </c>
      <c r="N183" s="292"/>
      <c r="O183" s="290" t="s">
        <v>1681</v>
      </c>
      <c r="P183" s="292"/>
      <c r="Q183" s="292"/>
      <c r="R183" s="292"/>
      <c r="S183" s="290" t="s">
        <v>1682</v>
      </c>
      <c r="T183" s="292"/>
      <c r="U183" s="290" t="s">
        <v>1683</v>
      </c>
      <c r="V183" s="292"/>
      <c r="W183" s="292"/>
      <c r="X183" s="292"/>
      <c r="Y183" s="24"/>
      <c r="Z183" s="24"/>
      <c r="AA183" s="24"/>
      <c r="AB183" s="24"/>
      <c r="AC183" s="24"/>
      <c r="AD183" s="24"/>
    </row>
    <row r="184" spans="1:30" ht="89.25">
      <c r="A184" s="150">
        <f t="shared" si="0"/>
        <v>183</v>
      </c>
      <c r="B184" s="183" t="s">
        <v>426</v>
      </c>
      <c r="C184" s="152" t="s">
        <v>442</v>
      </c>
      <c r="D184" s="278"/>
      <c r="E184" s="293" t="s">
        <v>1684</v>
      </c>
      <c r="F184" s="278" t="s">
        <v>1685</v>
      </c>
      <c r="G184" s="278"/>
      <c r="H184" s="281"/>
      <c r="I184" s="278"/>
      <c r="J184" s="278" t="s">
        <v>1642</v>
      </c>
      <c r="K184" s="278" t="s">
        <v>1031</v>
      </c>
      <c r="L184" s="281"/>
      <c r="M184" s="278" t="s">
        <v>1680</v>
      </c>
      <c r="N184" s="281"/>
      <c r="O184" s="278" t="s">
        <v>988</v>
      </c>
      <c r="P184" s="281"/>
      <c r="Q184" s="281"/>
      <c r="R184" s="281"/>
      <c r="S184" s="281" t="s">
        <v>470</v>
      </c>
      <c r="T184" s="281"/>
      <c r="U184" s="278" t="s">
        <v>1096</v>
      </c>
      <c r="V184" s="281"/>
      <c r="W184" s="281"/>
      <c r="X184" s="281"/>
      <c r="Y184" s="194"/>
      <c r="Z184" s="194"/>
      <c r="AA184" s="194"/>
      <c r="AB184" s="194"/>
      <c r="AC184" s="194"/>
      <c r="AD184" s="194"/>
    </row>
    <row r="185" spans="1:30" ht="191.25">
      <c r="A185" s="157">
        <f t="shared" si="0"/>
        <v>184</v>
      </c>
      <c r="B185" s="295" t="s">
        <v>373</v>
      </c>
      <c r="C185" s="286" t="s">
        <v>1686</v>
      </c>
      <c r="D185" s="286">
        <v>2016</v>
      </c>
      <c r="E185" s="296" t="s">
        <v>1687</v>
      </c>
      <c r="F185" s="286" t="s">
        <v>1688</v>
      </c>
      <c r="G185" s="286"/>
      <c r="H185" s="286" t="s">
        <v>1689</v>
      </c>
      <c r="I185" s="288"/>
      <c r="J185" s="286" t="s">
        <v>1690</v>
      </c>
      <c r="K185" s="286" t="s">
        <v>1626</v>
      </c>
      <c r="L185" s="286" t="s">
        <v>1691</v>
      </c>
      <c r="M185" s="286" t="s">
        <v>521</v>
      </c>
      <c r="N185" s="297" t="s">
        <v>1692</v>
      </c>
      <c r="O185" s="286" t="s">
        <v>1693</v>
      </c>
      <c r="P185" s="286" t="s">
        <v>1694</v>
      </c>
      <c r="Q185" s="286" t="s">
        <v>1695</v>
      </c>
      <c r="R185" s="288"/>
      <c r="S185" s="286" t="s">
        <v>1696</v>
      </c>
      <c r="T185" s="286" t="s">
        <v>1697</v>
      </c>
      <c r="U185" s="286" t="s">
        <v>587</v>
      </c>
      <c r="V185" s="286" t="s">
        <v>1698</v>
      </c>
      <c r="W185" s="286" t="s">
        <v>1699</v>
      </c>
      <c r="X185" s="288"/>
      <c r="Y185" s="298"/>
      <c r="Z185" s="298"/>
      <c r="AA185" s="298"/>
      <c r="AB185" s="298"/>
      <c r="AC185" s="298"/>
      <c r="AD185" s="298"/>
    </row>
    <row r="186" spans="1:30" ht="89.25">
      <c r="A186" s="95">
        <f t="shared" si="0"/>
        <v>185</v>
      </c>
      <c r="B186" s="199" t="s">
        <v>391</v>
      </c>
      <c r="C186" s="290" t="s">
        <v>380</v>
      </c>
      <c r="D186" s="290">
        <v>2016</v>
      </c>
      <c r="E186" s="290" t="s">
        <v>118</v>
      </c>
      <c r="F186" s="290" t="s">
        <v>1700</v>
      </c>
      <c r="G186" s="292"/>
      <c r="H186" s="290" t="s">
        <v>532</v>
      </c>
      <c r="I186" s="299" t="s">
        <v>1701</v>
      </c>
      <c r="J186" s="290" t="s">
        <v>1702</v>
      </c>
      <c r="K186" s="290" t="s">
        <v>1703</v>
      </c>
      <c r="L186" s="292"/>
      <c r="M186" s="290" t="s">
        <v>1704</v>
      </c>
      <c r="N186" s="292"/>
      <c r="O186" s="290" t="s">
        <v>1705</v>
      </c>
      <c r="P186" s="292"/>
      <c r="Q186" s="290" t="s">
        <v>470</v>
      </c>
      <c r="R186" s="292"/>
      <c r="S186" s="290" t="s">
        <v>470</v>
      </c>
      <c r="T186" s="292"/>
      <c r="U186" s="290" t="s">
        <v>1376</v>
      </c>
      <c r="V186" s="290" t="s">
        <v>753</v>
      </c>
      <c r="W186" s="290" t="s">
        <v>753</v>
      </c>
      <c r="X186" s="290" t="s">
        <v>1706</v>
      </c>
      <c r="Y186" s="24"/>
      <c r="Z186" s="24"/>
      <c r="AA186" s="24"/>
      <c r="AB186" s="24"/>
      <c r="AC186" s="24"/>
      <c r="AD186" s="24"/>
    </row>
    <row r="187" spans="1:30" ht="89.25">
      <c r="A187" s="43">
        <f t="shared" si="0"/>
        <v>186</v>
      </c>
      <c r="B187" s="195" t="s">
        <v>391</v>
      </c>
      <c r="C187" s="282" t="s">
        <v>381</v>
      </c>
      <c r="D187" s="300">
        <v>2019</v>
      </c>
      <c r="E187" s="282" t="s">
        <v>1707</v>
      </c>
      <c r="F187" s="282" t="s">
        <v>1708</v>
      </c>
      <c r="G187" s="300" t="s">
        <v>1709</v>
      </c>
      <c r="H187" s="300" t="s">
        <v>575</v>
      </c>
      <c r="I187" s="301" t="s">
        <v>1710</v>
      </c>
      <c r="J187" s="300" t="s">
        <v>1711</v>
      </c>
      <c r="K187" s="300" t="s">
        <v>1712</v>
      </c>
      <c r="L187" s="302"/>
      <c r="M187" s="282" t="s">
        <v>1713</v>
      </c>
      <c r="N187" s="302"/>
      <c r="O187" s="282" t="s">
        <v>1714</v>
      </c>
      <c r="P187" s="302"/>
      <c r="Q187" s="300" t="s">
        <v>470</v>
      </c>
      <c r="R187" s="302"/>
      <c r="S187" s="282" t="s">
        <v>1715</v>
      </c>
      <c r="T187" s="282"/>
      <c r="U187" s="282" t="s">
        <v>1376</v>
      </c>
      <c r="V187" s="300" t="s">
        <v>1716</v>
      </c>
      <c r="W187" s="300" t="s">
        <v>1357</v>
      </c>
      <c r="X187" s="302"/>
      <c r="Y187" s="54"/>
      <c r="Z187" s="54"/>
      <c r="AA187" s="54"/>
      <c r="AB187" s="54"/>
      <c r="AC187" s="54"/>
      <c r="AD187" s="54"/>
    </row>
    <row r="188" spans="1:30" ht="114.75">
      <c r="A188" s="43">
        <f t="shared" si="0"/>
        <v>187</v>
      </c>
      <c r="B188" s="195" t="s">
        <v>391</v>
      </c>
      <c r="C188" s="282" t="s">
        <v>382</v>
      </c>
      <c r="D188" s="282">
        <v>2019</v>
      </c>
      <c r="E188" s="282" t="s">
        <v>19</v>
      </c>
      <c r="F188" s="282" t="s">
        <v>1717</v>
      </c>
      <c r="G188" s="282" t="s">
        <v>1718</v>
      </c>
      <c r="H188" s="303" t="s">
        <v>575</v>
      </c>
      <c r="I188" s="129" t="s">
        <v>1719</v>
      </c>
      <c r="J188" s="300" t="s">
        <v>1720</v>
      </c>
      <c r="K188" s="300" t="s">
        <v>1712</v>
      </c>
      <c r="L188" s="304"/>
      <c r="M188" s="303" t="s">
        <v>1721</v>
      </c>
      <c r="N188" s="304"/>
      <c r="O188" s="303" t="s">
        <v>1414</v>
      </c>
      <c r="P188" s="304"/>
      <c r="Q188" s="303" t="s">
        <v>1722</v>
      </c>
      <c r="R188" s="304"/>
      <c r="S188" s="282" t="s">
        <v>1723</v>
      </c>
      <c r="T188" s="304"/>
      <c r="U188" s="282" t="s">
        <v>1376</v>
      </c>
      <c r="V188" s="303" t="s">
        <v>1724</v>
      </c>
      <c r="W188" s="303" t="s">
        <v>1357</v>
      </c>
      <c r="X188" s="304"/>
      <c r="Y188" s="54"/>
      <c r="Z188" s="54"/>
      <c r="AA188" s="54"/>
      <c r="AB188" s="54"/>
      <c r="AC188" s="54"/>
      <c r="AD188" s="54"/>
    </row>
    <row r="189" spans="1:30" ht="127.5">
      <c r="A189" s="117">
        <f t="shared" si="0"/>
        <v>188</v>
      </c>
      <c r="B189" s="180" t="s">
        <v>426</v>
      </c>
      <c r="C189" s="305" t="s">
        <v>383</v>
      </c>
      <c r="D189" s="305">
        <v>2018</v>
      </c>
      <c r="E189" s="306" t="s">
        <v>54</v>
      </c>
      <c r="F189" s="305" t="s">
        <v>1725</v>
      </c>
      <c r="G189" s="307"/>
      <c r="H189" s="307"/>
      <c r="I189" s="307"/>
      <c r="J189" s="308" t="s">
        <v>1726</v>
      </c>
      <c r="K189" s="305" t="s">
        <v>1031</v>
      </c>
      <c r="L189" s="307"/>
      <c r="M189" s="308" t="s">
        <v>1727</v>
      </c>
      <c r="N189" s="307"/>
      <c r="O189" s="308" t="s">
        <v>943</v>
      </c>
      <c r="P189" s="307"/>
      <c r="Q189" s="309" t="s">
        <v>1728</v>
      </c>
      <c r="R189" s="307"/>
      <c r="S189" s="309" t="s">
        <v>1729</v>
      </c>
      <c r="T189" s="307"/>
      <c r="U189" s="305" t="s">
        <v>1376</v>
      </c>
      <c r="V189" s="308" t="s">
        <v>1730</v>
      </c>
      <c r="W189" s="308" t="s">
        <v>1425</v>
      </c>
      <c r="X189" s="307"/>
      <c r="Y189" s="123"/>
      <c r="Z189" s="123"/>
      <c r="AA189" s="123"/>
      <c r="AB189" s="123"/>
      <c r="AC189" s="123"/>
      <c r="AD189" s="123"/>
    </row>
    <row r="190" spans="1:30" ht="102">
      <c r="A190" s="117">
        <f t="shared" si="0"/>
        <v>189</v>
      </c>
      <c r="B190" s="180" t="s">
        <v>426</v>
      </c>
      <c r="C190" s="305" t="s">
        <v>384</v>
      </c>
      <c r="D190" s="305">
        <v>2017</v>
      </c>
      <c r="E190" s="306" t="s">
        <v>70</v>
      </c>
      <c r="F190" s="305" t="s">
        <v>1731</v>
      </c>
      <c r="G190" s="307"/>
      <c r="H190" s="307" t="s">
        <v>532</v>
      </c>
      <c r="I190" s="307" t="s">
        <v>1732</v>
      </c>
      <c r="J190" s="308" t="s">
        <v>1653</v>
      </c>
      <c r="K190" s="305" t="s">
        <v>1031</v>
      </c>
      <c r="L190" s="307"/>
      <c r="M190" s="308" t="s">
        <v>1627</v>
      </c>
      <c r="N190" s="307"/>
      <c r="O190" s="308" t="s">
        <v>504</v>
      </c>
      <c r="P190" s="307"/>
      <c r="Q190" s="309" t="s">
        <v>1733</v>
      </c>
      <c r="R190" s="307"/>
      <c r="S190" s="309" t="s">
        <v>1734</v>
      </c>
      <c r="T190" s="307"/>
      <c r="U190" s="305" t="s">
        <v>1735</v>
      </c>
      <c r="V190" s="308" t="s">
        <v>1730</v>
      </c>
      <c r="W190" s="308" t="s">
        <v>1425</v>
      </c>
      <c r="X190" s="307" t="s">
        <v>1736</v>
      </c>
      <c r="Y190" s="123"/>
      <c r="Z190" s="123"/>
      <c r="AA190" s="123"/>
      <c r="AB190" s="123"/>
      <c r="AC190" s="123"/>
      <c r="AD190" s="123"/>
    </row>
    <row r="191" spans="1:30" ht="63.75">
      <c r="A191" s="95">
        <f t="shared" si="0"/>
        <v>190</v>
      </c>
      <c r="B191" s="199" t="s">
        <v>426</v>
      </c>
      <c r="C191" s="290" t="s">
        <v>385</v>
      </c>
      <c r="D191" s="290">
        <v>2018</v>
      </c>
      <c r="E191" s="294" t="s">
        <v>40</v>
      </c>
      <c r="F191" s="290" t="s">
        <v>1737</v>
      </c>
      <c r="G191" s="310" t="s">
        <v>1738</v>
      </c>
      <c r="H191" s="311"/>
      <c r="I191" s="311"/>
      <c r="J191" s="312" t="s">
        <v>1735</v>
      </c>
      <c r="K191" s="312" t="s">
        <v>1735</v>
      </c>
      <c r="L191" s="311"/>
      <c r="M191" s="312" t="s">
        <v>1735</v>
      </c>
      <c r="N191" s="311"/>
      <c r="O191" s="312" t="s">
        <v>1735</v>
      </c>
      <c r="P191" s="311"/>
      <c r="Q191" s="312" t="s">
        <v>1739</v>
      </c>
      <c r="R191" s="311"/>
      <c r="S191" s="311"/>
      <c r="T191" s="311"/>
      <c r="U191" s="311"/>
      <c r="V191" s="311"/>
      <c r="W191" s="311"/>
      <c r="X191" s="311"/>
      <c r="Y191" s="24"/>
      <c r="Z191" s="24"/>
      <c r="AA191" s="24"/>
      <c r="AB191" s="24"/>
      <c r="AC191" s="24"/>
      <c r="AD191" s="24"/>
    </row>
    <row r="192" spans="1:30" ht="12.75">
      <c r="A192" s="313"/>
      <c r="B192" s="313"/>
      <c r="C192" s="314"/>
      <c r="D192" s="311"/>
      <c r="E192" s="311"/>
      <c r="F192" s="311"/>
      <c r="G192" s="311"/>
      <c r="H192" s="311"/>
      <c r="I192" s="311"/>
      <c r="J192" s="311"/>
      <c r="K192" s="311"/>
      <c r="L192" s="311"/>
      <c r="M192" s="311"/>
      <c r="N192" s="311"/>
      <c r="O192" s="311"/>
      <c r="P192" s="311"/>
      <c r="Q192" s="312"/>
      <c r="R192" s="311"/>
      <c r="S192" s="311"/>
      <c r="T192" s="311"/>
      <c r="U192" s="311"/>
      <c r="V192" s="311"/>
      <c r="W192" s="311"/>
      <c r="X192" s="311"/>
      <c r="Y192" s="24"/>
      <c r="Z192" s="24"/>
      <c r="AA192" s="24"/>
      <c r="AB192" s="24"/>
      <c r="AC192" s="24"/>
      <c r="AD192" s="24"/>
    </row>
    <row r="193" spans="1:30" ht="12.75">
      <c r="A193" s="315" t="s">
        <v>1740</v>
      </c>
      <c r="B193" s="316" t="s">
        <v>1741</v>
      </c>
      <c r="C193" s="310">
        <v>9</v>
      </c>
      <c r="D193" s="311"/>
      <c r="E193" s="311"/>
      <c r="F193" s="311"/>
      <c r="G193" s="311"/>
      <c r="H193" s="311"/>
      <c r="I193" s="311"/>
      <c r="J193" s="311"/>
      <c r="K193" s="311"/>
      <c r="L193" s="311"/>
      <c r="M193" s="311"/>
      <c r="N193" s="311"/>
      <c r="O193" s="311"/>
      <c r="P193" s="311"/>
      <c r="Q193" s="311"/>
      <c r="R193" s="311"/>
      <c r="S193" s="311"/>
      <c r="T193" s="311"/>
      <c r="U193" s="311"/>
      <c r="V193" s="311"/>
      <c r="W193" s="311"/>
      <c r="X193" s="311"/>
      <c r="Y193" s="24"/>
      <c r="Z193" s="24"/>
      <c r="AA193" s="24"/>
      <c r="AB193" s="24"/>
      <c r="AC193" s="24"/>
      <c r="AD193" s="24"/>
    </row>
    <row r="194" spans="1:30" ht="25.5">
      <c r="A194" s="317" t="s">
        <v>1742</v>
      </c>
      <c r="B194" s="318" t="s">
        <v>622</v>
      </c>
      <c r="C194" s="310">
        <v>53</v>
      </c>
      <c r="D194" s="311"/>
      <c r="E194" s="311"/>
      <c r="F194" s="311"/>
      <c r="G194" s="311"/>
      <c r="H194" s="311"/>
      <c r="I194" s="311"/>
      <c r="J194" s="311"/>
      <c r="K194" s="311"/>
      <c r="L194" s="311"/>
      <c r="M194" s="311"/>
      <c r="N194" s="311"/>
      <c r="O194" s="311"/>
      <c r="P194" s="311"/>
      <c r="Q194" s="311"/>
      <c r="R194" s="311"/>
      <c r="S194" s="311"/>
      <c r="T194" s="311"/>
      <c r="U194" s="311"/>
      <c r="V194" s="311"/>
      <c r="W194" s="311"/>
      <c r="X194" s="311"/>
      <c r="Y194" s="24"/>
      <c r="Z194" s="24"/>
      <c r="AA194" s="24"/>
      <c r="AB194" s="24"/>
      <c r="AC194" s="24"/>
      <c r="AD194" s="24"/>
    </row>
    <row r="195" spans="1:30" ht="12.75">
      <c r="A195" s="319" t="s">
        <v>1743</v>
      </c>
      <c r="B195" s="318" t="s">
        <v>477</v>
      </c>
      <c r="C195" s="310">
        <v>37</v>
      </c>
      <c r="D195" s="311"/>
      <c r="E195" s="311"/>
      <c r="F195" s="311"/>
      <c r="G195" s="311"/>
      <c r="H195" s="311"/>
      <c r="I195" s="311"/>
      <c r="J195" s="311"/>
      <c r="K195" s="311"/>
      <c r="L195" s="311"/>
      <c r="M195" s="311"/>
      <c r="N195" s="311"/>
      <c r="O195" s="311"/>
      <c r="P195" s="311"/>
      <c r="Q195" s="311"/>
      <c r="R195" s="311"/>
      <c r="S195" s="311"/>
      <c r="T195" s="311"/>
      <c r="U195" s="311"/>
      <c r="V195" s="311"/>
      <c r="W195" s="311"/>
      <c r="X195" s="311"/>
      <c r="Y195" s="24"/>
      <c r="Z195" s="24"/>
      <c r="AA195" s="24"/>
      <c r="AB195" s="24"/>
      <c r="AC195" s="24"/>
      <c r="AD195" s="24"/>
    </row>
    <row r="196" spans="1:30" ht="12.75">
      <c r="A196" s="320" t="s">
        <v>1744</v>
      </c>
      <c r="B196" s="318" t="s">
        <v>1745</v>
      </c>
      <c r="C196" s="310">
        <v>1</v>
      </c>
      <c r="D196" s="311"/>
      <c r="E196" s="312" t="s">
        <v>551</v>
      </c>
      <c r="F196" s="311"/>
      <c r="G196" s="311"/>
      <c r="I196" s="311"/>
      <c r="J196" s="311"/>
      <c r="K196" s="311"/>
      <c r="L196" s="311"/>
      <c r="M196" s="311"/>
      <c r="N196" s="311"/>
      <c r="O196" s="311"/>
      <c r="P196" s="311"/>
      <c r="Q196" s="311"/>
      <c r="R196" s="311"/>
      <c r="S196" s="311"/>
      <c r="T196" s="311"/>
      <c r="U196" s="311"/>
      <c r="V196" s="311"/>
      <c r="W196" s="311"/>
      <c r="X196" s="311"/>
      <c r="Y196" s="24"/>
      <c r="Z196" s="24"/>
      <c r="AA196" s="24"/>
      <c r="AB196" s="24"/>
      <c r="AC196" s="24"/>
      <c r="AD196" s="24"/>
    </row>
    <row r="197" spans="1:30" ht="12.75">
      <c r="A197" s="313"/>
      <c r="B197" s="321" t="s">
        <v>1746</v>
      </c>
      <c r="C197" s="310">
        <f>SUM(C193:C196)</f>
        <v>100</v>
      </c>
      <c r="D197" s="311"/>
      <c r="E197" s="311"/>
      <c r="F197" s="311"/>
      <c r="G197" s="311"/>
      <c r="H197" s="311"/>
      <c r="I197" s="311"/>
      <c r="J197" s="311"/>
      <c r="K197" s="311"/>
      <c r="L197" s="311"/>
      <c r="M197" s="311"/>
      <c r="N197" s="311"/>
      <c r="O197" s="311"/>
      <c r="P197" s="311"/>
      <c r="Q197" s="311"/>
      <c r="R197" s="311"/>
      <c r="S197" s="311"/>
      <c r="T197" s="311"/>
      <c r="U197" s="311"/>
      <c r="V197" s="311"/>
      <c r="W197" s="311"/>
      <c r="X197" s="311"/>
      <c r="Y197" s="24"/>
      <c r="Z197" s="24"/>
      <c r="AA197" s="24"/>
      <c r="AB197" s="24"/>
      <c r="AC197" s="24"/>
      <c r="AD197" s="24"/>
    </row>
    <row r="198" spans="1:30" ht="12.75">
      <c r="A198" s="313"/>
      <c r="B198" s="313"/>
      <c r="C198" s="314"/>
      <c r="D198" s="311"/>
      <c r="E198" s="311"/>
      <c r="F198" s="311"/>
      <c r="G198" s="311"/>
      <c r="H198" s="311"/>
      <c r="I198" s="311"/>
      <c r="J198" s="311"/>
      <c r="K198" s="311"/>
      <c r="L198" s="311"/>
      <c r="M198" s="311"/>
      <c r="N198" s="311"/>
      <c r="O198" s="311"/>
      <c r="P198" s="311"/>
      <c r="Q198" s="311"/>
      <c r="R198" s="311"/>
      <c r="S198" s="311"/>
      <c r="T198" s="311"/>
      <c r="U198" s="311"/>
      <c r="V198" s="311"/>
      <c r="W198" s="311"/>
      <c r="X198" s="311"/>
      <c r="Y198" s="24"/>
      <c r="Z198" s="24"/>
      <c r="AA198" s="24"/>
      <c r="AB198" s="24"/>
      <c r="AC198" s="24"/>
      <c r="AD198" s="24"/>
    </row>
    <row r="199" spans="1:30" ht="12.75">
      <c r="A199" s="322" t="s">
        <v>1747</v>
      </c>
      <c r="B199" s="313"/>
      <c r="C199" s="310">
        <v>3</v>
      </c>
      <c r="D199" s="311"/>
      <c r="E199" s="311"/>
      <c r="F199" s="311"/>
      <c r="G199" s="311"/>
      <c r="H199" s="311"/>
      <c r="I199" s="311"/>
      <c r="J199" s="311"/>
      <c r="K199" s="311"/>
      <c r="L199" s="311"/>
      <c r="M199" s="311"/>
      <c r="N199" s="311"/>
      <c r="O199" s="311"/>
      <c r="P199" s="311"/>
      <c r="Q199" s="311"/>
      <c r="R199" s="311"/>
      <c r="S199" s="311"/>
      <c r="T199" s="311"/>
      <c r="U199" s="311"/>
      <c r="V199" s="311"/>
      <c r="W199" s="311"/>
      <c r="X199" s="311"/>
      <c r="Y199" s="24"/>
      <c r="Z199" s="24"/>
      <c r="AA199" s="24"/>
      <c r="AB199" s="24"/>
      <c r="AC199" s="24"/>
      <c r="AD199" s="24"/>
    </row>
    <row r="200" spans="1:30" ht="12.75">
      <c r="A200" s="323" t="s">
        <v>1748</v>
      </c>
      <c r="B200" s="313"/>
      <c r="C200" s="314"/>
      <c r="D200" s="311"/>
      <c r="E200" s="311"/>
      <c r="F200" s="311"/>
      <c r="G200" s="311"/>
      <c r="H200" s="311"/>
      <c r="I200" s="311"/>
      <c r="J200" s="311"/>
      <c r="K200" s="311"/>
      <c r="L200" s="311"/>
      <c r="M200" s="311"/>
      <c r="N200" s="311"/>
      <c r="O200" s="311"/>
      <c r="P200" s="311"/>
      <c r="Q200" s="311"/>
      <c r="R200" s="311"/>
      <c r="S200" s="311"/>
      <c r="T200" s="311"/>
      <c r="U200" s="311"/>
      <c r="V200" s="311"/>
      <c r="W200" s="311"/>
      <c r="X200" s="311"/>
      <c r="Y200" s="24"/>
      <c r="Z200" s="24"/>
      <c r="AA200" s="24"/>
      <c r="AB200" s="24"/>
      <c r="AC200" s="24"/>
      <c r="AD200" s="24"/>
    </row>
    <row r="201" spans="1:30" ht="12.75">
      <c r="A201" s="313"/>
      <c r="B201" s="313"/>
      <c r="C201" s="314"/>
      <c r="D201" s="311"/>
      <c r="E201" s="311"/>
      <c r="F201" s="311"/>
      <c r="G201" s="311"/>
      <c r="H201" s="311"/>
      <c r="I201" s="311"/>
      <c r="J201" s="311"/>
      <c r="K201" s="311"/>
      <c r="L201" s="311"/>
      <c r="M201" s="311"/>
      <c r="N201" s="311"/>
      <c r="O201" s="311"/>
      <c r="P201" s="311"/>
      <c r="Q201" s="311"/>
      <c r="R201" s="311"/>
      <c r="S201" s="311"/>
      <c r="T201" s="311"/>
      <c r="U201" s="311"/>
      <c r="V201" s="311"/>
      <c r="W201" s="311"/>
      <c r="X201" s="311"/>
      <c r="Y201" s="24"/>
      <c r="Z201" s="24"/>
      <c r="AA201" s="24"/>
      <c r="AB201" s="24"/>
      <c r="AC201" s="24"/>
      <c r="AD201" s="24"/>
    </row>
    <row r="202" spans="1:30" ht="12.75">
      <c r="A202" s="313"/>
      <c r="B202" s="313"/>
      <c r="C202" s="314"/>
      <c r="D202" s="311"/>
      <c r="E202" s="311"/>
      <c r="F202" s="311"/>
      <c r="G202" s="311"/>
      <c r="H202" s="311"/>
      <c r="I202" s="311"/>
      <c r="J202" s="311"/>
      <c r="K202" s="311"/>
      <c r="L202" s="311"/>
      <c r="M202" s="311"/>
      <c r="N202" s="311"/>
      <c r="O202" s="311"/>
      <c r="P202" s="311"/>
      <c r="Q202" s="311"/>
      <c r="R202" s="311"/>
      <c r="S202" s="311"/>
      <c r="T202" s="311"/>
      <c r="U202" s="311"/>
      <c r="V202" s="311"/>
      <c r="W202" s="311"/>
      <c r="X202" s="311"/>
      <c r="Y202" s="24"/>
      <c r="Z202" s="24"/>
      <c r="AA202" s="24"/>
      <c r="AB202" s="24"/>
      <c r="AC202" s="24"/>
      <c r="AD202" s="24"/>
    </row>
    <row r="203" spans="1:30" ht="12.75">
      <c r="A203" s="313"/>
      <c r="B203" s="313"/>
      <c r="C203" s="314"/>
      <c r="D203" s="311"/>
      <c r="E203" s="311"/>
      <c r="F203" s="311"/>
      <c r="G203" s="311"/>
      <c r="H203" s="311"/>
      <c r="I203" s="311"/>
      <c r="J203" s="311"/>
      <c r="K203" s="311"/>
      <c r="L203" s="311"/>
      <c r="M203" s="311"/>
      <c r="N203" s="311"/>
      <c r="O203" s="311"/>
      <c r="P203" s="311"/>
      <c r="Q203" s="311"/>
      <c r="R203" s="311"/>
      <c r="S203" s="311"/>
      <c r="T203" s="311"/>
      <c r="U203" s="311"/>
      <c r="V203" s="311"/>
      <c r="W203" s="311"/>
      <c r="X203" s="311"/>
      <c r="Y203" s="24"/>
      <c r="Z203" s="24"/>
      <c r="AA203" s="24"/>
      <c r="AB203" s="24"/>
      <c r="AC203" s="24"/>
      <c r="AD203" s="24"/>
    </row>
    <row r="204" spans="1:30" ht="12.75">
      <c r="A204" s="313"/>
      <c r="B204" s="313"/>
      <c r="C204" s="314"/>
      <c r="D204" s="311"/>
      <c r="E204" s="311"/>
      <c r="F204" s="311"/>
      <c r="G204" s="311"/>
      <c r="H204" s="311"/>
      <c r="I204" s="311"/>
      <c r="J204" s="311"/>
      <c r="K204" s="311"/>
      <c r="L204" s="311"/>
      <c r="M204" s="311"/>
      <c r="N204" s="311"/>
      <c r="O204" s="311"/>
      <c r="P204" s="311"/>
      <c r="Q204" s="311"/>
      <c r="R204" s="311"/>
      <c r="S204" s="311"/>
      <c r="T204" s="311"/>
      <c r="U204" s="311"/>
      <c r="V204" s="311"/>
      <c r="W204" s="311"/>
      <c r="X204" s="311"/>
      <c r="Y204" s="24"/>
      <c r="Z204" s="24"/>
      <c r="AA204" s="24"/>
      <c r="AB204" s="24"/>
      <c r="AC204" s="24"/>
      <c r="AD204" s="24"/>
    </row>
    <row r="205" spans="1:30" ht="12.75">
      <c r="A205" s="313"/>
      <c r="B205" s="313"/>
      <c r="C205" s="314"/>
      <c r="D205" s="311"/>
      <c r="E205" s="311"/>
      <c r="F205" s="311"/>
      <c r="G205" s="311"/>
      <c r="H205" s="311"/>
      <c r="I205" s="311"/>
      <c r="J205" s="311"/>
      <c r="K205" s="311"/>
      <c r="L205" s="311"/>
      <c r="M205" s="311"/>
      <c r="N205" s="311"/>
      <c r="O205" s="311"/>
      <c r="P205" s="311"/>
      <c r="Q205" s="311"/>
      <c r="R205" s="311"/>
      <c r="S205" s="311"/>
      <c r="T205" s="311"/>
      <c r="U205" s="311"/>
      <c r="V205" s="311"/>
      <c r="W205" s="311"/>
      <c r="X205" s="311"/>
      <c r="Y205" s="24"/>
      <c r="Z205" s="24"/>
      <c r="AA205" s="24"/>
      <c r="AB205" s="24"/>
      <c r="AC205" s="24"/>
      <c r="AD205" s="24"/>
    </row>
    <row r="206" spans="1:30" ht="12.75">
      <c r="A206" s="313"/>
      <c r="B206" s="313"/>
      <c r="C206" s="314"/>
      <c r="D206" s="311"/>
      <c r="E206" s="311"/>
      <c r="F206" s="311"/>
      <c r="G206" s="311"/>
      <c r="H206" s="311"/>
      <c r="I206" s="311"/>
      <c r="J206" s="311"/>
      <c r="K206" s="311"/>
      <c r="L206" s="311"/>
      <c r="M206" s="311"/>
      <c r="N206" s="311"/>
      <c r="O206" s="311"/>
      <c r="P206" s="311"/>
      <c r="Q206" s="311"/>
      <c r="R206" s="311"/>
      <c r="S206" s="311"/>
      <c r="T206" s="311"/>
      <c r="U206" s="311"/>
      <c r="V206" s="311"/>
      <c r="W206" s="311"/>
      <c r="X206" s="311"/>
      <c r="Y206" s="24"/>
      <c r="Z206" s="24"/>
      <c r="AA206" s="24"/>
      <c r="AB206" s="24"/>
      <c r="AC206" s="24"/>
      <c r="AD206" s="24"/>
    </row>
    <row r="207" spans="1:30" ht="12.75">
      <c r="A207" s="313"/>
      <c r="B207" s="313"/>
      <c r="C207" s="314"/>
      <c r="D207" s="311"/>
      <c r="E207" s="311"/>
      <c r="F207" s="311"/>
      <c r="G207" s="311"/>
      <c r="H207" s="311"/>
      <c r="I207" s="311"/>
      <c r="J207" s="311"/>
      <c r="K207" s="311"/>
      <c r="L207" s="311"/>
      <c r="M207" s="311"/>
      <c r="N207" s="311"/>
      <c r="O207" s="311"/>
      <c r="P207" s="311"/>
      <c r="Q207" s="311"/>
      <c r="R207" s="311"/>
      <c r="S207" s="311"/>
      <c r="T207" s="311"/>
      <c r="U207" s="311"/>
      <c r="V207" s="311"/>
      <c r="W207" s="311"/>
      <c r="X207" s="311"/>
      <c r="Y207" s="24"/>
      <c r="Z207" s="24"/>
      <c r="AA207" s="24"/>
      <c r="AB207" s="24"/>
      <c r="AC207" s="24"/>
      <c r="AD207" s="24"/>
    </row>
    <row r="208" spans="1:30" ht="12.75">
      <c r="A208" s="313"/>
      <c r="B208" s="313"/>
      <c r="C208" s="314"/>
      <c r="D208" s="311"/>
      <c r="E208" s="311"/>
      <c r="F208" s="311"/>
      <c r="G208" s="311"/>
      <c r="H208" s="311"/>
      <c r="I208" s="311"/>
      <c r="J208" s="311"/>
      <c r="K208" s="311"/>
      <c r="L208" s="311"/>
      <c r="M208" s="311"/>
      <c r="N208" s="311"/>
      <c r="O208" s="311"/>
      <c r="P208" s="311"/>
      <c r="Q208" s="311"/>
      <c r="R208" s="311"/>
      <c r="S208" s="311"/>
      <c r="T208" s="311"/>
      <c r="U208" s="311"/>
      <c r="V208" s="311"/>
      <c r="W208" s="311"/>
      <c r="X208" s="311"/>
      <c r="Y208" s="24"/>
      <c r="Z208" s="24"/>
      <c r="AA208" s="24"/>
      <c r="AB208" s="24"/>
      <c r="AC208" s="24"/>
      <c r="AD208" s="24"/>
    </row>
    <row r="209" spans="1:30" ht="12.75">
      <c r="A209" s="313"/>
      <c r="B209" s="313"/>
      <c r="C209" s="314"/>
      <c r="D209" s="311"/>
      <c r="E209" s="311"/>
      <c r="F209" s="311"/>
      <c r="G209" s="311"/>
      <c r="H209" s="311"/>
      <c r="I209" s="311"/>
      <c r="J209" s="311"/>
      <c r="K209" s="311"/>
      <c r="L209" s="311"/>
      <c r="M209" s="311"/>
      <c r="N209" s="311"/>
      <c r="O209" s="311"/>
      <c r="P209" s="311"/>
      <c r="Q209" s="311"/>
      <c r="R209" s="311"/>
      <c r="S209" s="311"/>
      <c r="T209" s="311"/>
      <c r="U209" s="311"/>
      <c r="V209" s="311"/>
      <c r="W209" s="311"/>
      <c r="X209" s="311"/>
      <c r="Y209" s="24"/>
      <c r="Z209" s="24"/>
      <c r="AA209" s="24"/>
      <c r="AB209" s="24"/>
      <c r="AC209" s="24"/>
      <c r="AD209" s="24"/>
    </row>
    <row r="210" spans="1:30" ht="12.75">
      <c r="A210" s="313"/>
      <c r="B210" s="313"/>
      <c r="C210" s="314"/>
      <c r="D210" s="311"/>
      <c r="E210" s="311"/>
      <c r="F210" s="311"/>
      <c r="G210" s="311"/>
      <c r="H210" s="311"/>
      <c r="I210" s="311"/>
      <c r="J210" s="311"/>
      <c r="K210" s="311"/>
      <c r="L210" s="311"/>
      <c r="M210" s="311"/>
      <c r="N210" s="311"/>
      <c r="O210" s="311"/>
      <c r="P210" s="311"/>
      <c r="Q210" s="311"/>
      <c r="R210" s="311"/>
      <c r="S210" s="311"/>
      <c r="T210" s="311"/>
      <c r="U210" s="311"/>
      <c r="V210" s="311"/>
      <c r="W210" s="311"/>
      <c r="X210" s="311"/>
      <c r="Y210" s="24"/>
      <c r="Z210" s="24"/>
      <c r="AA210" s="24"/>
      <c r="AB210" s="24"/>
      <c r="AC210" s="24"/>
      <c r="AD210" s="24"/>
    </row>
    <row r="211" spans="1:30" ht="12.75">
      <c r="A211" s="313"/>
      <c r="B211" s="313"/>
      <c r="C211" s="314"/>
      <c r="D211" s="311"/>
      <c r="E211" s="311"/>
      <c r="F211" s="311"/>
      <c r="G211" s="311"/>
      <c r="H211" s="311"/>
      <c r="I211" s="311"/>
      <c r="J211" s="311"/>
      <c r="K211" s="311"/>
      <c r="L211" s="311"/>
      <c r="M211" s="311"/>
      <c r="N211" s="311"/>
      <c r="O211" s="311"/>
      <c r="P211" s="311"/>
      <c r="Q211" s="311"/>
      <c r="R211" s="311"/>
      <c r="S211" s="311"/>
      <c r="T211" s="311"/>
      <c r="U211" s="311"/>
      <c r="V211" s="311"/>
      <c r="W211" s="311"/>
      <c r="X211" s="311"/>
      <c r="Y211" s="24"/>
      <c r="Z211" s="24"/>
      <c r="AA211" s="24"/>
      <c r="AB211" s="24"/>
      <c r="AC211" s="24"/>
      <c r="AD211" s="24"/>
    </row>
    <row r="212" spans="1:30" ht="12.75">
      <c r="A212" s="313"/>
      <c r="B212" s="313"/>
      <c r="C212" s="314"/>
      <c r="D212" s="311"/>
      <c r="E212" s="311"/>
      <c r="F212" s="311"/>
      <c r="G212" s="311"/>
      <c r="H212" s="311"/>
      <c r="I212" s="311"/>
      <c r="J212" s="311"/>
      <c r="K212" s="311"/>
      <c r="L212" s="311"/>
      <c r="M212" s="311"/>
      <c r="N212" s="311"/>
      <c r="O212" s="311"/>
      <c r="P212" s="311"/>
      <c r="Q212" s="311"/>
      <c r="R212" s="311"/>
      <c r="S212" s="311"/>
      <c r="T212" s="311"/>
      <c r="U212" s="311"/>
      <c r="V212" s="311"/>
      <c r="W212" s="311"/>
      <c r="X212" s="311"/>
      <c r="Y212" s="24"/>
      <c r="Z212" s="24"/>
      <c r="AA212" s="24"/>
      <c r="AB212" s="24"/>
      <c r="AC212" s="24"/>
      <c r="AD212" s="24"/>
    </row>
    <row r="213" spans="1:30" ht="12.75">
      <c r="A213" s="313"/>
      <c r="B213" s="313"/>
      <c r="C213" s="314"/>
      <c r="D213" s="311"/>
      <c r="E213" s="311"/>
      <c r="F213" s="311"/>
      <c r="G213" s="311"/>
      <c r="H213" s="311"/>
      <c r="I213" s="311"/>
      <c r="J213" s="311"/>
      <c r="K213" s="311"/>
      <c r="L213" s="311"/>
      <c r="M213" s="311"/>
      <c r="N213" s="311"/>
      <c r="O213" s="311"/>
      <c r="P213" s="311"/>
      <c r="Q213" s="311"/>
      <c r="R213" s="311"/>
      <c r="S213" s="311"/>
      <c r="T213" s="311"/>
      <c r="U213" s="311"/>
      <c r="V213" s="311"/>
      <c r="W213" s="311"/>
      <c r="X213" s="311"/>
      <c r="Y213" s="24"/>
      <c r="Z213" s="24"/>
      <c r="AA213" s="24"/>
      <c r="AB213" s="24"/>
      <c r="AC213" s="24"/>
      <c r="AD213" s="24"/>
    </row>
    <row r="214" spans="1:30" ht="12.75">
      <c r="A214" s="313"/>
      <c r="B214" s="313"/>
      <c r="C214" s="314"/>
      <c r="D214" s="311"/>
      <c r="E214" s="311"/>
      <c r="F214" s="311"/>
      <c r="G214" s="311"/>
      <c r="H214" s="311"/>
      <c r="I214" s="311"/>
      <c r="J214" s="311"/>
      <c r="K214" s="311"/>
      <c r="L214" s="311"/>
      <c r="M214" s="311"/>
      <c r="N214" s="311"/>
      <c r="O214" s="311"/>
      <c r="P214" s="311"/>
      <c r="Q214" s="311"/>
      <c r="R214" s="311"/>
      <c r="S214" s="311"/>
      <c r="T214" s="311"/>
      <c r="U214" s="311"/>
      <c r="V214" s="311"/>
      <c r="W214" s="311"/>
      <c r="X214" s="311"/>
      <c r="Y214" s="24"/>
      <c r="Z214" s="24"/>
      <c r="AA214" s="24"/>
      <c r="AB214" s="24"/>
      <c r="AC214" s="24"/>
      <c r="AD214" s="24"/>
    </row>
    <row r="215" spans="1:30" ht="12.75">
      <c r="A215" s="313"/>
      <c r="B215" s="313"/>
      <c r="C215" s="314"/>
      <c r="D215" s="311"/>
      <c r="E215" s="311"/>
      <c r="F215" s="311"/>
      <c r="G215" s="311"/>
      <c r="H215" s="311"/>
      <c r="I215" s="311"/>
      <c r="J215" s="311"/>
      <c r="K215" s="311"/>
      <c r="L215" s="311"/>
      <c r="M215" s="311"/>
      <c r="N215" s="311"/>
      <c r="O215" s="311"/>
      <c r="P215" s="311"/>
      <c r="Q215" s="311"/>
      <c r="R215" s="311"/>
      <c r="S215" s="311"/>
      <c r="T215" s="311"/>
      <c r="U215" s="311"/>
      <c r="V215" s="311"/>
      <c r="W215" s="311"/>
      <c r="X215" s="311"/>
      <c r="Y215" s="24"/>
      <c r="Z215" s="24"/>
      <c r="AA215" s="24"/>
      <c r="AB215" s="24"/>
      <c r="AC215" s="24"/>
      <c r="AD215" s="24"/>
    </row>
    <row r="216" spans="1:30" ht="12.75">
      <c r="A216" s="313"/>
      <c r="B216" s="313"/>
      <c r="C216" s="314"/>
      <c r="D216" s="311"/>
      <c r="E216" s="311"/>
      <c r="F216" s="311"/>
      <c r="G216" s="311"/>
      <c r="H216" s="311"/>
      <c r="I216" s="311"/>
      <c r="J216" s="311"/>
      <c r="K216" s="311"/>
      <c r="L216" s="311"/>
      <c r="M216" s="311"/>
      <c r="N216" s="311"/>
      <c r="O216" s="311"/>
      <c r="P216" s="311"/>
      <c r="Q216" s="311"/>
      <c r="R216" s="311"/>
      <c r="S216" s="311"/>
      <c r="T216" s="311"/>
      <c r="U216" s="311"/>
      <c r="V216" s="311"/>
      <c r="W216" s="311"/>
      <c r="X216" s="311"/>
      <c r="Y216" s="24"/>
      <c r="Z216" s="24"/>
      <c r="AA216" s="24"/>
      <c r="AB216" s="24"/>
      <c r="AC216" s="24"/>
      <c r="AD216" s="24"/>
    </row>
    <row r="217" spans="1:30" ht="12.75">
      <c r="A217" s="313"/>
      <c r="B217" s="313"/>
      <c r="C217" s="314"/>
      <c r="D217" s="311"/>
      <c r="E217" s="311"/>
      <c r="F217" s="311"/>
      <c r="G217" s="311"/>
      <c r="H217" s="311"/>
      <c r="I217" s="311"/>
      <c r="J217" s="311"/>
      <c r="K217" s="311"/>
      <c r="L217" s="311"/>
      <c r="M217" s="311"/>
      <c r="N217" s="311"/>
      <c r="O217" s="311"/>
      <c r="P217" s="311"/>
      <c r="Q217" s="311"/>
      <c r="R217" s="311"/>
      <c r="S217" s="311"/>
      <c r="T217" s="311"/>
      <c r="U217" s="311"/>
      <c r="V217" s="311"/>
      <c r="W217" s="311"/>
      <c r="X217" s="311"/>
      <c r="Y217" s="24"/>
      <c r="Z217" s="24"/>
      <c r="AA217" s="24"/>
      <c r="AB217" s="24"/>
      <c r="AC217" s="24"/>
      <c r="AD217" s="24"/>
    </row>
    <row r="218" spans="1:30" ht="12.75">
      <c r="A218" s="313"/>
      <c r="B218" s="313"/>
      <c r="C218" s="314"/>
      <c r="D218" s="311"/>
      <c r="E218" s="311"/>
      <c r="F218" s="311"/>
      <c r="G218" s="311"/>
      <c r="H218" s="311"/>
      <c r="I218" s="311"/>
      <c r="J218" s="311"/>
      <c r="K218" s="311"/>
      <c r="L218" s="311"/>
      <c r="M218" s="311"/>
      <c r="N218" s="311"/>
      <c r="O218" s="311"/>
      <c r="P218" s="311"/>
      <c r="Q218" s="311"/>
      <c r="R218" s="311"/>
      <c r="S218" s="311"/>
      <c r="T218" s="311"/>
      <c r="U218" s="311"/>
      <c r="V218" s="311"/>
      <c r="W218" s="311"/>
      <c r="X218" s="311"/>
      <c r="Y218" s="24"/>
      <c r="Z218" s="24"/>
      <c r="AA218" s="24"/>
      <c r="AB218" s="24"/>
      <c r="AC218" s="24"/>
      <c r="AD218" s="24"/>
    </row>
    <row r="219" spans="1:30" ht="12.75">
      <c r="A219" s="313"/>
      <c r="B219" s="313"/>
      <c r="C219" s="314"/>
      <c r="D219" s="311"/>
      <c r="E219" s="311"/>
      <c r="F219" s="311"/>
      <c r="G219" s="311"/>
      <c r="H219" s="311"/>
      <c r="I219" s="311"/>
      <c r="J219" s="311"/>
      <c r="K219" s="311"/>
      <c r="L219" s="311"/>
      <c r="M219" s="311"/>
      <c r="N219" s="311"/>
      <c r="O219" s="311"/>
      <c r="P219" s="311"/>
      <c r="Q219" s="311"/>
      <c r="R219" s="311"/>
      <c r="S219" s="311"/>
      <c r="T219" s="311"/>
      <c r="U219" s="311"/>
      <c r="V219" s="311"/>
      <c r="W219" s="311"/>
      <c r="X219" s="311"/>
      <c r="Y219" s="24"/>
      <c r="Z219" s="24"/>
      <c r="AA219" s="24"/>
      <c r="AB219" s="24"/>
      <c r="AC219" s="24"/>
      <c r="AD219" s="24"/>
    </row>
    <row r="220" spans="1:30" ht="12.75">
      <c r="A220" s="313"/>
      <c r="B220" s="313"/>
      <c r="C220" s="314"/>
      <c r="D220" s="311"/>
      <c r="E220" s="311"/>
      <c r="F220" s="311"/>
      <c r="G220" s="311"/>
      <c r="H220" s="311"/>
      <c r="I220" s="311"/>
      <c r="J220" s="311"/>
      <c r="K220" s="311"/>
      <c r="L220" s="311"/>
      <c r="M220" s="311"/>
      <c r="N220" s="311"/>
      <c r="O220" s="311"/>
      <c r="P220" s="311"/>
      <c r="Q220" s="311"/>
      <c r="R220" s="311"/>
      <c r="S220" s="311"/>
      <c r="T220" s="311"/>
      <c r="U220" s="311"/>
      <c r="V220" s="311"/>
      <c r="W220" s="311"/>
      <c r="X220" s="311"/>
      <c r="Y220" s="24"/>
      <c r="Z220" s="24"/>
      <c r="AA220" s="24"/>
      <c r="AB220" s="24"/>
      <c r="AC220" s="24"/>
      <c r="AD220" s="24"/>
    </row>
    <row r="221" spans="1:30" ht="12.75">
      <c r="A221" s="313"/>
      <c r="B221" s="313"/>
      <c r="C221" s="314"/>
      <c r="D221" s="311"/>
      <c r="E221" s="311"/>
      <c r="F221" s="311"/>
      <c r="G221" s="311"/>
      <c r="H221" s="311"/>
      <c r="I221" s="311"/>
      <c r="J221" s="311"/>
      <c r="K221" s="311"/>
      <c r="L221" s="311"/>
      <c r="M221" s="311"/>
      <c r="N221" s="311"/>
      <c r="O221" s="311"/>
      <c r="P221" s="311"/>
      <c r="Q221" s="311"/>
      <c r="R221" s="311"/>
      <c r="S221" s="311"/>
      <c r="T221" s="311"/>
      <c r="U221" s="311"/>
      <c r="V221" s="311"/>
      <c r="W221" s="311"/>
      <c r="X221" s="311"/>
      <c r="Y221" s="24"/>
      <c r="Z221" s="24"/>
      <c r="AA221" s="24"/>
      <c r="AB221" s="24"/>
      <c r="AC221" s="24"/>
      <c r="AD221" s="24"/>
    </row>
    <row r="222" spans="1:30" ht="12.75">
      <c r="A222" s="313"/>
      <c r="B222" s="313"/>
      <c r="C222" s="314"/>
      <c r="D222" s="311"/>
      <c r="E222" s="311"/>
      <c r="F222" s="311"/>
      <c r="G222" s="311"/>
      <c r="H222" s="311"/>
      <c r="I222" s="311"/>
      <c r="J222" s="311"/>
      <c r="K222" s="311"/>
      <c r="L222" s="311"/>
      <c r="M222" s="311"/>
      <c r="N222" s="311"/>
      <c r="O222" s="311"/>
      <c r="P222" s="311"/>
      <c r="Q222" s="311"/>
      <c r="R222" s="311"/>
      <c r="S222" s="311"/>
      <c r="T222" s="311"/>
      <c r="U222" s="311"/>
      <c r="V222" s="311"/>
      <c r="W222" s="311"/>
      <c r="X222" s="311"/>
      <c r="Y222" s="24"/>
      <c r="Z222" s="24"/>
      <c r="AA222" s="24"/>
      <c r="AB222" s="24"/>
      <c r="AC222" s="24"/>
      <c r="AD222" s="24"/>
    </row>
    <row r="223" spans="1:30" ht="12.75">
      <c r="A223" s="313"/>
      <c r="B223" s="313"/>
      <c r="C223" s="314"/>
      <c r="D223" s="311"/>
      <c r="E223" s="311"/>
      <c r="F223" s="311"/>
      <c r="G223" s="311"/>
      <c r="H223" s="311"/>
      <c r="I223" s="311"/>
      <c r="J223" s="311"/>
      <c r="K223" s="311"/>
      <c r="L223" s="311"/>
      <c r="M223" s="311"/>
      <c r="N223" s="311"/>
      <c r="O223" s="311"/>
      <c r="P223" s="311"/>
      <c r="Q223" s="311"/>
      <c r="R223" s="311"/>
      <c r="S223" s="311"/>
      <c r="T223" s="311"/>
      <c r="U223" s="311"/>
      <c r="V223" s="311"/>
      <c r="W223" s="311"/>
      <c r="X223" s="311"/>
      <c r="Y223" s="24"/>
      <c r="Z223" s="24"/>
      <c r="AA223" s="24"/>
      <c r="AB223" s="24"/>
      <c r="AC223" s="24"/>
      <c r="AD223" s="24"/>
    </row>
    <row r="224" spans="1:30" ht="12.75">
      <c r="A224" s="313"/>
      <c r="B224" s="313"/>
      <c r="C224" s="314"/>
      <c r="D224" s="311"/>
      <c r="E224" s="311"/>
      <c r="F224" s="311"/>
      <c r="G224" s="311"/>
      <c r="H224" s="311"/>
      <c r="I224" s="311"/>
      <c r="J224" s="311"/>
      <c r="K224" s="311"/>
      <c r="L224" s="311"/>
      <c r="M224" s="311"/>
      <c r="N224" s="311"/>
      <c r="O224" s="311"/>
      <c r="P224" s="311"/>
      <c r="Q224" s="311"/>
      <c r="R224" s="311"/>
      <c r="S224" s="311"/>
      <c r="T224" s="311"/>
      <c r="U224" s="311"/>
      <c r="V224" s="311"/>
      <c r="W224" s="311"/>
      <c r="X224" s="311"/>
      <c r="Y224" s="24"/>
      <c r="Z224" s="24"/>
      <c r="AA224" s="24"/>
      <c r="AB224" s="24"/>
      <c r="AC224" s="24"/>
      <c r="AD224" s="24"/>
    </row>
    <row r="225" spans="1:30" ht="12.75">
      <c r="A225" s="313"/>
      <c r="B225" s="313"/>
      <c r="C225" s="314"/>
      <c r="D225" s="311"/>
      <c r="E225" s="311"/>
      <c r="F225" s="311"/>
      <c r="G225" s="311"/>
      <c r="H225" s="311"/>
      <c r="I225" s="311"/>
      <c r="J225" s="311"/>
      <c r="K225" s="311"/>
      <c r="L225" s="311"/>
      <c r="M225" s="311"/>
      <c r="N225" s="311"/>
      <c r="O225" s="311"/>
      <c r="P225" s="311"/>
      <c r="Q225" s="311"/>
      <c r="R225" s="311"/>
      <c r="S225" s="311"/>
      <c r="T225" s="311"/>
      <c r="U225" s="311"/>
      <c r="V225" s="311"/>
      <c r="W225" s="311"/>
      <c r="X225" s="311"/>
      <c r="Y225" s="24"/>
      <c r="Z225" s="24"/>
      <c r="AA225" s="24"/>
      <c r="AB225" s="24"/>
      <c r="AC225" s="24"/>
      <c r="AD225" s="24"/>
    </row>
    <row r="226" spans="1:30" ht="12.75">
      <c r="A226" s="313"/>
      <c r="B226" s="313"/>
      <c r="C226" s="314"/>
      <c r="D226" s="311"/>
      <c r="E226" s="311"/>
      <c r="F226" s="311"/>
      <c r="G226" s="311"/>
      <c r="H226" s="311"/>
      <c r="I226" s="311"/>
      <c r="J226" s="311"/>
      <c r="K226" s="311"/>
      <c r="L226" s="311"/>
      <c r="M226" s="311"/>
      <c r="N226" s="311"/>
      <c r="O226" s="311"/>
      <c r="P226" s="311"/>
      <c r="Q226" s="311"/>
      <c r="R226" s="311"/>
      <c r="S226" s="311"/>
      <c r="T226" s="311"/>
      <c r="U226" s="311"/>
      <c r="V226" s="311"/>
      <c r="W226" s="311"/>
      <c r="X226" s="311"/>
      <c r="Y226" s="24"/>
      <c r="Z226" s="24"/>
      <c r="AA226" s="24"/>
      <c r="AB226" s="24"/>
      <c r="AC226" s="24"/>
      <c r="AD226" s="24"/>
    </row>
    <row r="227" spans="1:30" ht="12.75">
      <c r="A227" s="313"/>
      <c r="B227" s="313"/>
      <c r="C227" s="314"/>
      <c r="D227" s="311"/>
      <c r="E227" s="311"/>
      <c r="F227" s="311"/>
      <c r="G227" s="311"/>
      <c r="H227" s="311"/>
      <c r="I227" s="311"/>
      <c r="J227" s="311"/>
      <c r="K227" s="311"/>
      <c r="L227" s="311"/>
      <c r="M227" s="311"/>
      <c r="N227" s="311"/>
      <c r="O227" s="311"/>
      <c r="P227" s="311"/>
      <c r="Q227" s="311"/>
      <c r="R227" s="311"/>
      <c r="S227" s="311"/>
      <c r="T227" s="311"/>
      <c r="U227" s="311"/>
      <c r="V227" s="311"/>
      <c r="W227" s="311"/>
      <c r="X227" s="311"/>
      <c r="Y227" s="24"/>
      <c r="Z227" s="24"/>
      <c r="AA227" s="24"/>
      <c r="AB227" s="24"/>
      <c r="AC227" s="24"/>
      <c r="AD227" s="24"/>
    </row>
    <row r="228" spans="1:30" ht="12.75">
      <c r="A228" s="313"/>
      <c r="B228" s="313"/>
      <c r="C228" s="314"/>
      <c r="D228" s="311"/>
      <c r="E228" s="311"/>
      <c r="F228" s="311"/>
      <c r="G228" s="311"/>
      <c r="H228" s="311"/>
      <c r="I228" s="311"/>
      <c r="J228" s="311"/>
      <c r="K228" s="311"/>
      <c r="L228" s="311"/>
      <c r="M228" s="311"/>
      <c r="N228" s="311"/>
      <c r="O228" s="311"/>
      <c r="P228" s="311"/>
      <c r="Q228" s="311"/>
      <c r="R228" s="311"/>
      <c r="S228" s="311"/>
      <c r="T228" s="311"/>
      <c r="U228" s="311"/>
      <c r="V228" s="311"/>
      <c r="W228" s="311"/>
      <c r="X228" s="311"/>
      <c r="Y228" s="24"/>
      <c r="Z228" s="24"/>
      <c r="AA228" s="24"/>
      <c r="AB228" s="24"/>
      <c r="AC228" s="24"/>
      <c r="AD228" s="24"/>
    </row>
    <row r="229" spans="1:30" ht="12.75">
      <c r="A229" s="313"/>
      <c r="B229" s="313"/>
      <c r="C229" s="314"/>
      <c r="D229" s="311"/>
      <c r="E229" s="311"/>
      <c r="F229" s="311"/>
      <c r="G229" s="311"/>
      <c r="H229" s="311"/>
      <c r="I229" s="311"/>
      <c r="J229" s="311"/>
      <c r="K229" s="311"/>
      <c r="L229" s="311"/>
      <c r="M229" s="311"/>
      <c r="N229" s="311"/>
      <c r="O229" s="311"/>
      <c r="P229" s="311"/>
      <c r="Q229" s="311"/>
      <c r="R229" s="311"/>
      <c r="S229" s="311"/>
      <c r="T229" s="311"/>
      <c r="U229" s="311"/>
      <c r="V229" s="311"/>
      <c r="W229" s="311"/>
      <c r="X229" s="311"/>
      <c r="Y229" s="24"/>
      <c r="Z229" s="24"/>
      <c r="AA229" s="24"/>
      <c r="AB229" s="24"/>
      <c r="AC229" s="24"/>
      <c r="AD229" s="24"/>
    </row>
    <row r="230" spans="1:30" ht="12.75">
      <c r="A230" s="313"/>
      <c r="B230" s="313"/>
      <c r="C230" s="314"/>
      <c r="D230" s="311"/>
      <c r="E230" s="311"/>
      <c r="F230" s="311"/>
      <c r="G230" s="311"/>
      <c r="H230" s="311"/>
      <c r="I230" s="311"/>
      <c r="J230" s="311"/>
      <c r="K230" s="311"/>
      <c r="L230" s="311"/>
      <c r="M230" s="311"/>
      <c r="N230" s="311"/>
      <c r="O230" s="311"/>
      <c r="P230" s="311"/>
      <c r="Q230" s="311"/>
      <c r="R230" s="311"/>
      <c r="S230" s="311"/>
      <c r="T230" s="311"/>
      <c r="U230" s="311"/>
      <c r="V230" s="311"/>
      <c r="W230" s="311"/>
      <c r="X230" s="311"/>
      <c r="Y230" s="24"/>
      <c r="Z230" s="24"/>
      <c r="AA230" s="24"/>
      <c r="AB230" s="24"/>
      <c r="AC230" s="24"/>
      <c r="AD230" s="24"/>
    </row>
    <row r="231" spans="1:30" ht="12.75">
      <c r="A231" s="313"/>
      <c r="B231" s="313"/>
      <c r="C231" s="314"/>
      <c r="D231" s="311"/>
      <c r="E231" s="311"/>
      <c r="F231" s="311"/>
      <c r="G231" s="311"/>
      <c r="H231" s="311"/>
      <c r="I231" s="311"/>
      <c r="J231" s="311"/>
      <c r="K231" s="311"/>
      <c r="L231" s="311"/>
      <c r="M231" s="311"/>
      <c r="N231" s="311"/>
      <c r="O231" s="311"/>
      <c r="P231" s="311"/>
      <c r="Q231" s="311"/>
      <c r="R231" s="311"/>
      <c r="S231" s="311"/>
      <c r="T231" s="311"/>
      <c r="U231" s="311"/>
      <c r="V231" s="311"/>
      <c r="W231" s="311"/>
      <c r="X231" s="311"/>
      <c r="Y231" s="24"/>
      <c r="Z231" s="24"/>
      <c r="AA231" s="24"/>
      <c r="AB231" s="24"/>
      <c r="AC231" s="24"/>
      <c r="AD231" s="24"/>
    </row>
    <row r="232" spans="1:30" ht="12.75">
      <c r="A232" s="313"/>
      <c r="B232" s="313"/>
      <c r="C232" s="314"/>
      <c r="D232" s="311"/>
      <c r="E232" s="311"/>
      <c r="F232" s="311"/>
      <c r="G232" s="311"/>
      <c r="H232" s="311"/>
      <c r="I232" s="311"/>
      <c r="J232" s="311"/>
      <c r="K232" s="311"/>
      <c r="L232" s="311"/>
      <c r="M232" s="311"/>
      <c r="N232" s="311"/>
      <c r="O232" s="311"/>
      <c r="P232" s="311"/>
      <c r="Q232" s="311"/>
      <c r="R232" s="311"/>
      <c r="S232" s="311"/>
      <c r="T232" s="311"/>
      <c r="U232" s="311"/>
      <c r="V232" s="311"/>
      <c r="W232" s="311"/>
      <c r="X232" s="311"/>
      <c r="Y232" s="24"/>
      <c r="Z232" s="24"/>
      <c r="AA232" s="24"/>
      <c r="AB232" s="24"/>
      <c r="AC232" s="24"/>
      <c r="AD232" s="24"/>
    </row>
    <row r="233" spans="1:30" ht="12.75">
      <c r="A233" s="313"/>
      <c r="B233" s="313"/>
      <c r="C233" s="314"/>
      <c r="D233" s="311"/>
      <c r="E233" s="311"/>
      <c r="F233" s="311"/>
      <c r="G233" s="311"/>
      <c r="H233" s="311"/>
      <c r="I233" s="311"/>
      <c r="J233" s="311"/>
      <c r="K233" s="311"/>
      <c r="L233" s="311"/>
      <c r="M233" s="311"/>
      <c r="N233" s="311"/>
      <c r="O233" s="311"/>
      <c r="P233" s="311"/>
      <c r="Q233" s="311"/>
      <c r="R233" s="311"/>
      <c r="S233" s="311"/>
      <c r="T233" s="311"/>
      <c r="U233" s="311"/>
      <c r="V233" s="311"/>
      <c r="W233" s="311"/>
      <c r="X233" s="311"/>
      <c r="Y233" s="24"/>
      <c r="Z233" s="24"/>
      <c r="AA233" s="24"/>
      <c r="AB233" s="24"/>
      <c r="AC233" s="24"/>
      <c r="AD233" s="24"/>
    </row>
    <row r="234" spans="1:30" ht="12.75">
      <c r="A234" s="313"/>
      <c r="B234" s="313"/>
      <c r="C234" s="314"/>
      <c r="D234" s="311"/>
      <c r="E234" s="311"/>
      <c r="F234" s="311"/>
      <c r="G234" s="311"/>
      <c r="H234" s="311"/>
      <c r="I234" s="311"/>
      <c r="J234" s="311"/>
      <c r="K234" s="311"/>
      <c r="L234" s="311"/>
      <c r="M234" s="311"/>
      <c r="N234" s="311"/>
      <c r="O234" s="311"/>
      <c r="P234" s="311"/>
      <c r="Q234" s="311"/>
      <c r="R234" s="311"/>
      <c r="S234" s="311"/>
      <c r="T234" s="311"/>
      <c r="U234" s="311"/>
      <c r="V234" s="311"/>
      <c r="W234" s="311"/>
      <c r="X234" s="311"/>
      <c r="Y234" s="24"/>
      <c r="Z234" s="24"/>
      <c r="AA234" s="24"/>
      <c r="AB234" s="24"/>
      <c r="AC234" s="24"/>
      <c r="AD234" s="24"/>
    </row>
    <row r="235" spans="1:30" ht="12.75">
      <c r="A235" s="313"/>
      <c r="B235" s="313"/>
      <c r="C235" s="314"/>
      <c r="D235" s="311"/>
      <c r="E235" s="311"/>
      <c r="F235" s="311"/>
      <c r="G235" s="311"/>
      <c r="H235" s="311"/>
      <c r="I235" s="311"/>
      <c r="J235" s="311"/>
      <c r="K235" s="311"/>
      <c r="L235" s="311"/>
      <c r="M235" s="311"/>
      <c r="N235" s="311"/>
      <c r="O235" s="311"/>
      <c r="P235" s="311"/>
      <c r="Q235" s="311"/>
      <c r="R235" s="311"/>
      <c r="S235" s="311"/>
      <c r="T235" s="311"/>
      <c r="U235" s="311"/>
      <c r="V235" s="311"/>
      <c r="W235" s="311"/>
      <c r="X235" s="311"/>
      <c r="Y235" s="24"/>
      <c r="Z235" s="24"/>
      <c r="AA235" s="24"/>
      <c r="AB235" s="24"/>
      <c r="AC235" s="24"/>
      <c r="AD235" s="24"/>
    </row>
    <row r="236" spans="1:30" ht="12.75">
      <c r="A236" s="313"/>
      <c r="B236" s="313"/>
      <c r="C236" s="314"/>
      <c r="D236" s="311"/>
      <c r="E236" s="311"/>
      <c r="F236" s="311"/>
      <c r="G236" s="311"/>
      <c r="H236" s="311"/>
      <c r="I236" s="311"/>
      <c r="J236" s="311"/>
      <c r="K236" s="311"/>
      <c r="L236" s="311"/>
      <c r="M236" s="311"/>
      <c r="N236" s="311"/>
      <c r="O236" s="311"/>
      <c r="P236" s="311"/>
      <c r="Q236" s="311"/>
      <c r="R236" s="311"/>
      <c r="S236" s="311"/>
      <c r="T236" s="311"/>
      <c r="U236" s="311"/>
      <c r="V236" s="311"/>
      <c r="W236" s="311"/>
      <c r="X236" s="311"/>
      <c r="Y236" s="24"/>
      <c r="Z236" s="24"/>
      <c r="AA236" s="24"/>
      <c r="AB236" s="24"/>
      <c r="AC236" s="24"/>
      <c r="AD236" s="24"/>
    </row>
    <row r="237" spans="1:30" ht="12.75">
      <c r="A237" s="313"/>
      <c r="B237" s="313"/>
      <c r="C237" s="314"/>
      <c r="D237" s="311"/>
      <c r="E237" s="311"/>
      <c r="F237" s="311"/>
      <c r="G237" s="311"/>
      <c r="H237" s="311"/>
      <c r="I237" s="311"/>
      <c r="J237" s="311"/>
      <c r="K237" s="311"/>
      <c r="L237" s="311"/>
      <c r="M237" s="311"/>
      <c r="N237" s="311"/>
      <c r="O237" s="311"/>
      <c r="P237" s="311"/>
      <c r="Q237" s="311"/>
      <c r="R237" s="311"/>
      <c r="S237" s="311"/>
      <c r="T237" s="311"/>
      <c r="U237" s="311"/>
      <c r="V237" s="311"/>
      <c r="W237" s="311"/>
      <c r="X237" s="311"/>
      <c r="Y237" s="24"/>
      <c r="Z237" s="24"/>
      <c r="AA237" s="24"/>
      <c r="AB237" s="24"/>
      <c r="AC237" s="24"/>
      <c r="AD237" s="24"/>
    </row>
    <row r="238" spans="1:30" ht="12.75">
      <c r="A238" s="313"/>
      <c r="B238" s="313"/>
      <c r="C238" s="314"/>
      <c r="D238" s="311"/>
      <c r="E238" s="311"/>
      <c r="F238" s="311"/>
      <c r="G238" s="311"/>
      <c r="H238" s="311"/>
      <c r="I238" s="311"/>
      <c r="J238" s="311"/>
      <c r="K238" s="311"/>
      <c r="L238" s="311"/>
      <c r="M238" s="311"/>
      <c r="N238" s="311"/>
      <c r="O238" s="311"/>
      <c r="P238" s="311"/>
      <c r="Q238" s="311"/>
      <c r="R238" s="311"/>
      <c r="S238" s="311"/>
      <c r="T238" s="311"/>
      <c r="U238" s="311"/>
      <c r="V238" s="311"/>
      <c r="W238" s="311"/>
      <c r="X238" s="311"/>
      <c r="Y238" s="24"/>
      <c r="Z238" s="24"/>
      <c r="AA238" s="24"/>
      <c r="AB238" s="24"/>
      <c r="AC238" s="24"/>
      <c r="AD238" s="24"/>
    </row>
    <row r="239" spans="1:30" ht="12.75">
      <c r="A239" s="313"/>
      <c r="B239" s="313"/>
      <c r="C239" s="314"/>
      <c r="D239" s="311"/>
      <c r="E239" s="311"/>
      <c r="F239" s="311"/>
      <c r="G239" s="311"/>
      <c r="H239" s="311"/>
      <c r="I239" s="311"/>
      <c r="J239" s="311"/>
      <c r="K239" s="311"/>
      <c r="L239" s="311"/>
      <c r="M239" s="311"/>
      <c r="N239" s="311"/>
      <c r="O239" s="311"/>
      <c r="P239" s="311"/>
      <c r="Q239" s="311"/>
      <c r="R239" s="311"/>
      <c r="S239" s="311"/>
      <c r="T239" s="311"/>
      <c r="U239" s="311"/>
      <c r="V239" s="311"/>
      <c r="W239" s="311"/>
      <c r="X239" s="311"/>
      <c r="Y239" s="24"/>
      <c r="Z239" s="24"/>
      <c r="AA239" s="24"/>
      <c r="AB239" s="24"/>
      <c r="AC239" s="24"/>
      <c r="AD239" s="24"/>
    </row>
    <row r="240" spans="1:30" ht="12.75">
      <c r="A240" s="313"/>
      <c r="B240" s="313"/>
      <c r="C240" s="314"/>
      <c r="D240" s="311"/>
      <c r="E240" s="311"/>
      <c r="F240" s="311"/>
      <c r="G240" s="311"/>
      <c r="H240" s="311"/>
      <c r="I240" s="311"/>
      <c r="J240" s="311"/>
      <c r="K240" s="311"/>
      <c r="L240" s="311"/>
      <c r="M240" s="311"/>
      <c r="N240" s="311"/>
      <c r="O240" s="311"/>
      <c r="P240" s="311"/>
      <c r="Q240" s="311"/>
      <c r="R240" s="311"/>
      <c r="S240" s="311"/>
      <c r="T240" s="311"/>
      <c r="U240" s="311"/>
      <c r="V240" s="311"/>
      <c r="W240" s="311"/>
      <c r="X240" s="311"/>
      <c r="Y240" s="24"/>
      <c r="Z240" s="24"/>
      <c r="AA240" s="24"/>
      <c r="AB240" s="24"/>
      <c r="AC240" s="24"/>
      <c r="AD240" s="24"/>
    </row>
    <row r="241" spans="1:30" ht="12.75">
      <c r="A241" s="313"/>
      <c r="B241" s="313"/>
      <c r="C241" s="314"/>
      <c r="D241" s="311"/>
      <c r="E241" s="311"/>
      <c r="F241" s="311"/>
      <c r="G241" s="311"/>
      <c r="H241" s="311"/>
      <c r="I241" s="311"/>
      <c r="J241" s="311"/>
      <c r="K241" s="311"/>
      <c r="L241" s="311"/>
      <c r="M241" s="311"/>
      <c r="N241" s="311"/>
      <c r="O241" s="311"/>
      <c r="P241" s="311"/>
      <c r="Q241" s="311"/>
      <c r="R241" s="311"/>
      <c r="S241" s="311"/>
      <c r="T241" s="311"/>
      <c r="U241" s="311"/>
      <c r="V241" s="311"/>
      <c r="W241" s="311"/>
      <c r="X241" s="311"/>
      <c r="Y241" s="24"/>
      <c r="Z241" s="24"/>
      <c r="AA241" s="24"/>
      <c r="AB241" s="24"/>
      <c r="AC241" s="24"/>
      <c r="AD241" s="24"/>
    </row>
    <row r="242" spans="1:30" ht="12.75">
      <c r="A242" s="313"/>
      <c r="B242" s="313"/>
      <c r="C242" s="314"/>
      <c r="D242" s="311"/>
      <c r="E242" s="311"/>
      <c r="F242" s="311"/>
      <c r="G242" s="311"/>
      <c r="H242" s="311"/>
      <c r="I242" s="311"/>
      <c r="J242" s="311"/>
      <c r="K242" s="311"/>
      <c r="L242" s="311"/>
      <c r="M242" s="311"/>
      <c r="N242" s="311"/>
      <c r="O242" s="311"/>
      <c r="P242" s="311"/>
      <c r="Q242" s="311"/>
      <c r="R242" s="311"/>
      <c r="S242" s="311"/>
      <c r="T242" s="311"/>
      <c r="U242" s="311"/>
      <c r="V242" s="311"/>
      <c r="W242" s="311"/>
      <c r="X242" s="311"/>
      <c r="Y242" s="24"/>
      <c r="Z242" s="24"/>
      <c r="AA242" s="24"/>
      <c r="AB242" s="24"/>
      <c r="AC242" s="24"/>
      <c r="AD242" s="24"/>
    </row>
    <row r="243" spans="1:30" ht="12.75">
      <c r="A243" s="313"/>
      <c r="B243" s="313"/>
      <c r="C243" s="314"/>
      <c r="D243" s="311"/>
      <c r="E243" s="311"/>
      <c r="F243" s="311"/>
      <c r="G243" s="311"/>
      <c r="H243" s="311"/>
      <c r="I243" s="311"/>
      <c r="J243" s="311"/>
      <c r="K243" s="311"/>
      <c r="L243" s="311"/>
      <c r="M243" s="311"/>
      <c r="N243" s="311"/>
      <c r="O243" s="311"/>
      <c r="P243" s="311"/>
      <c r="Q243" s="311"/>
      <c r="R243" s="311"/>
      <c r="S243" s="311"/>
      <c r="T243" s="311"/>
      <c r="U243" s="311"/>
      <c r="V243" s="311"/>
      <c r="W243" s="311"/>
      <c r="X243" s="311"/>
      <c r="Y243" s="24"/>
      <c r="Z243" s="24"/>
      <c r="AA243" s="24"/>
      <c r="AB243" s="24"/>
      <c r="AC243" s="24"/>
      <c r="AD243" s="24"/>
    </row>
    <row r="244" spans="1:30" ht="12.75">
      <c r="A244" s="313"/>
      <c r="B244" s="313"/>
      <c r="C244" s="314"/>
      <c r="D244" s="311"/>
      <c r="E244" s="311"/>
      <c r="F244" s="311"/>
      <c r="G244" s="311"/>
      <c r="H244" s="311"/>
      <c r="I244" s="311"/>
      <c r="J244" s="311"/>
      <c r="K244" s="311"/>
      <c r="L244" s="311"/>
      <c r="M244" s="311"/>
      <c r="N244" s="311"/>
      <c r="O244" s="311"/>
      <c r="P244" s="311"/>
      <c r="Q244" s="311"/>
      <c r="R244" s="311"/>
      <c r="S244" s="311"/>
      <c r="T244" s="311"/>
      <c r="U244" s="311"/>
      <c r="V244" s="311"/>
      <c r="W244" s="311"/>
      <c r="X244" s="311"/>
      <c r="Y244" s="24"/>
      <c r="Z244" s="24"/>
      <c r="AA244" s="24"/>
      <c r="AB244" s="24"/>
      <c r="AC244" s="24"/>
      <c r="AD244" s="24"/>
    </row>
    <row r="245" spans="1:30" ht="12.75">
      <c r="A245" s="313"/>
      <c r="B245" s="313"/>
      <c r="C245" s="314"/>
      <c r="D245" s="311"/>
      <c r="E245" s="311"/>
      <c r="F245" s="311"/>
      <c r="G245" s="311"/>
      <c r="H245" s="311"/>
      <c r="I245" s="311"/>
      <c r="J245" s="311"/>
      <c r="K245" s="311"/>
      <c r="L245" s="311"/>
      <c r="M245" s="311"/>
      <c r="N245" s="311"/>
      <c r="O245" s="311"/>
      <c r="P245" s="311"/>
      <c r="Q245" s="311"/>
      <c r="R245" s="311"/>
      <c r="S245" s="311"/>
      <c r="T245" s="311"/>
      <c r="U245" s="311"/>
      <c r="V245" s="311"/>
      <c r="W245" s="311"/>
      <c r="X245" s="311"/>
      <c r="Y245" s="24"/>
      <c r="Z245" s="24"/>
      <c r="AA245" s="24"/>
      <c r="AB245" s="24"/>
      <c r="AC245" s="24"/>
      <c r="AD245" s="24"/>
    </row>
    <row r="246" spans="1:30" ht="12.75">
      <c r="A246" s="313"/>
      <c r="B246" s="313"/>
      <c r="C246" s="314"/>
      <c r="D246" s="311"/>
      <c r="E246" s="311"/>
      <c r="F246" s="311"/>
      <c r="G246" s="311"/>
      <c r="H246" s="311"/>
      <c r="I246" s="311"/>
      <c r="J246" s="311"/>
      <c r="K246" s="311"/>
      <c r="L246" s="311"/>
      <c r="M246" s="311"/>
      <c r="N246" s="311"/>
      <c r="O246" s="311"/>
      <c r="P246" s="311"/>
      <c r="Q246" s="311"/>
      <c r="R246" s="311"/>
      <c r="S246" s="311"/>
      <c r="T246" s="311"/>
      <c r="U246" s="311"/>
      <c r="V246" s="311"/>
      <c r="W246" s="311"/>
      <c r="X246" s="311"/>
      <c r="Y246" s="24"/>
      <c r="Z246" s="24"/>
      <c r="AA246" s="24"/>
      <c r="AB246" s="24"/>
      <c r="AC246" s="24"/>
      <c r="AD246" s="24"/>
    </row>
    <row r="247" spans="1:30" ht="12.75">
      <c r="A247" s="313"/>
      <c r="B247" s="313"/>
      <c r="C247" s="314"/>
      <c r="D247" s="311"/>
      <c r="E247" s="311"/>
      <c r="F247" s="311"/>
      <c r="G247" s="311"/>
      <c r="H247" s="311"/>
      <c r="I247" s="311"/>
      <c r="J247" s="311"/>
      <c r="K247" s="311"/>
      <c r="L247" s="311"/>
      <c r="M247" s="311"/>
      <c r="N247" s="311"/>
      <c r="O247" s="311"/>
      <c r="P247" s="311"/>
      <c r="Q247" s="311"/>
      <c r="R247" s="311"/>
      <c r="S247" s="311"/>
      <c r="T247" s="311"/>
      <c r="U247" s="311"/>
      <c r="V247" s="311"/>
      <c r="W247" s="311"/>
      <c r="X247" s="311"/>
      <c r="Y247" s="24"/>
      <c r="Z247" s="24"/>
      <c r="AA247" s="24"/>
      <c r="AB247" s="24"/>
      <c r="AC247" s="24"/>
      <c r="AD247" s="24"/>
    </row>
    <row r="248" spans="1:30" ht="12.75">
      <c r="A248" s="313"/>
      <c r="B248" s="313"/>
      <c r="C248" s="314"/>
      <c r="D248" s="311"/>
      <c r="E248" s="311"/>
      <c r="F248" s="311"/>
      <c r="G248" s="311"/>
      <c r="H248" s="311"/>
      <c r="I248" s="311"/>
      <c r="J248" s="311"/>
      <c r="K248" s="311"/>
      <c r="L248" s="311"/>
      <c r="M248" s="311"/>
      <c r="N248" s="311"/>
      <c r="O248" s="311"/>
      <c r="P248" s="311"/>
      <c r="Q248" s="311"/>
      <c r="R248" s="311"/>
      <c r="S248" s="311"/>
      <c r="T248" s="311"/>
      <c r="U248" s="311"/>
      <c r="V248" s="311"/>
      <c r="W248" s="311"/>
      <c r="X248" s="311"/>
      <c r="Y248" s="24"/>
      <c r="Z248" s="24"/>
      <c r="AA248" s="24"/>
      <c r="AB248" s="24"/>
      <c r="AC248" s="24"/>
      <c r="AD248" s="24"/>
    </row>
    <row r="249" spans="1:30" ht="12.75">
      <c r="A249" s="313"/>
      <c r="B249" s="313"/>
      <c r="C249" s="314"/>
      <c r="D249" s="311"/>
      <c r="E249" s="311"/>
      <c r="F249" s="311"/>
      <c r="G249" s="311"/>
      <c r="H249" s="311"/>
      <c r="I249" s="311"/>
      <c r="J249" s="311"/>
      <c r="K249" s="311"/>
      <c r="L249" s="311"/>
      <c r="M249" s="311"/>
      <c r="N249" s="311"/>
      <c r="O249" s="311"/>
      <c r="P249" s="311"/>
      <c r="Q249" s="311"/>
      <c r="R249" s="311"/>
      <c r="S249" s="311"/>
      <c r="T249" s="311"/>
      <c r="U249" s="311"/>
      <c r="V249" s="311"/>
      <c r="W249" s="311"/>
      <c r="X249" s="311"/>
      <c r="Y249" s="24"/>
      <c r="Z249" s="24"/>
      <c r="AA249" s="24"/>
      <c r="AB249" s="24"/>
      <c r="AC249" s="24"/>
      <c r="AD249" s="24"/>
    </row>
    <row r="250" spans="1:30" ht="12.75">
      <c r="A250" s="313"/>
      <c r="B250" s="313"/>
      <c r="C250" s="314"/>
      <c r="D250" s="311"/>
      <c r="E250" s="311"/>
      <c r="F250" s="311"/>
      <c r="G250" s="311"/>
      <c r="H250" s="311"/>
      <c r="I250" s="311"/>
      <c r="J250" s="311"/>
      <c r="K250" s="311"/>
      <c r="L250" s="311"/>
      <c r="M250" s="311"/>
      <c r="N250" s="311"/>
      <c r="O250" s="311"/>
      <c r="P250" s="311"/>
      <c r="Q250" s="311"/>
      <c r="R250" s="311"/>
      <c r="S250" s="311"/>
      <c r="T250" s="311"/>
      <c r="U250" s="311"/>
      <c r="V250" s="311"/>
      <c r="W250" s="311"/>
      <c r="X250" s="311"/>
      <c r="Y250" s="24"/>
      <c r="Z250" s="24"/>
      <c r="AA250" s="24"/>
      <c r="AB250" s="24"/>
      <c r="AC250" s="24"/>
      <c r="AD250" s="24"/>
    </row>
    <row r="251" spans="1:30" ht="12.75">
      <c r="A251" s="313"/>
      <c r="B251" s="313"/>
      <c r="C251" s="314"/>
      <c r="D251" s="311"/>
      <c r="E251" s="311"/>
      <c r="F251" s="311"/>
      <c r="G251" s="311"/>
      <c r="H251" s="311"/>
      <c r="I251" s="311"/>
      <c r="J251" s="311"/>
      <c r="K251" s="311"/>
      <c r="L251" s="311"/>
      <c r="M251" s="311"/>
      <c r="N251" s="311"/>
      <c r="O251" s="311"/>
      <c r="P251" s="311"/>
      <c r="Q251" s="311"/>
      <c r="R251" s="311"/>
      <c r="S251" s="311"/>
      <c r="T251" s="311"/>
      <c r="U251" s="311"/>
      <c r="V251" s="311"/>
      <c r="W251" s="311"/>
      <c r="X251" s="311"/>
      <c r="Y251" s="24"/>
      <c r="Z251" s="24"/>
      <c r="AA251" s="24"/>
      <c r="AB251" s="24"/>
      <c r="AC251" s="24"/>
      <c r="AD251" s="24"/>
    </row>
    <row r="252" spans="1:30" ht="12.75">
      <c r="A252" s="313"/>
      <c r="B252" s="313"/>
      <c r="C252" s="314"/>
      <c r="D252" s="311"/>
      <c r="E252" s="311"/>
      <c r="F252" s="311"/>
      <c r="G252" s="311"/>
      <c r="H252" s="311"/>
      <c r="I252" s="311"/>
      <c r="J252" s="311"/>
      <c r="K252" s="311"/>
      <c r="L252" s="311"/>
      <c r="M252" s="311"/>
      <c r="N252" s="311"/>
      <c r="O252" s="311"/>
      <c r="P252" s="311"/>
      <c r="Q252" s="311"/>
      <c r="R252" s="311"/>
      <c r="S252" s="311"/>
      <c r="T252" s="311"/>
      <c r="U252" s="311"/>
      <c r="V252" s="311"/>
      <c r="W252" s="311"/>
      <c r="X252" s="311"/>
      <c r="Y252" s="24"/>
      <c r="Z252" s="24"/>
      <c r="AA252" s="24"/>
      <c r="AB252" s="24"/>
      <c r="AC252" s="24"/>
      <c r="AD252" s="24"/>
    </row>
    <row r="253" spans="1:30" ht="12.75">
      <c r="A253" s="313"/>
      <c r="B253" s="313"/>
      <c r="C253" s="314"/>
      <c r="D253" s="311"/>
      <c r="E253" s="311"/>
      <c r="F253" s="311"/>
      <c r="G253" s="311"/>
      <c r="H253" s="311"/>
      <c r="I253" s="311"/>
      <c r="J253" s="311"/>
      <c r="K253" s="311"/>
      <c r="L253" s="311"/>
      <c r="M253" s="311"/>
      <c r="N253" s="311"/>
      <c r="O253" s="311"/>
      <c r="P253" s="311"/>
      <c r="Q253" s="311"/>
      <c r="R253" s="311"/>
      <c r="S253" s="311"/>
      <c r="T253" s="311"/>
      <c r="U253" s="311"/>
      <c r="V253" s="311"/>
      <c r="W253" s="311"/>
      <c r="X253" s="311"/>
      <c r="Y253" s="24"/>
      <c r="Z253" s="24"/>
      <c r="AA253" s="24"/>
      <c r="AB253" s="24"/>
      <c r="AC253" s="24"/>
      <c r="AD253" s="24"/>
    </row>
    <row r="254" spans="1:30" ht="12.75">
      <c r="A254" s="313"/>
      <c r="B254" s="313"/>
      <c r="C254" s="314"/>
      <c r="D254" s="311"/>
      <c r="E254" s="311"/>
      <c r="F254" s="311"/>
      <c r="G254" s="311"/>
      <c r="H254" s="311"/>
      <c r="I254" s="311"/>
      <c r="J254" s="311"/>
      <c r="K254" s="311"/>
      <c r="L254" s="311"/>
      <c r="M254" s="311"/>
      <c r="N254" s="311"/>
      <c r="O254" s="311"/>
      <c r="P254" s="311"/>
      <c r="Q254" s="311"/>
      <c r="R254" s="311"/>
      <c r="S254" s="311"/>
      <c r="T254" s="311"/>
      <c r="U254" s="311"/>
      <c r="V254" s="311"/>
      <c r="W254" s="311"/>
      <c r="X254" s="311"/>
      <c r="Y254" s="24"/>
      <c r="Z254" s="24"/>
      <c r="AA254" s="24"/>
      <c r="AB254" s="24"/>
      <c r="AC254" s="24"/>
      <c r="AD254" s="24"/>
    </row>
    <row r="255" spans="1:30" ht="12.75">
      <c r="A255" s="313"/>
      <c r="B255" s="313"/>
      <c r="C255" s="314"/>
      <c r="D255" s="311"/>
      <c r="E255" s="311"/>
      <c r="F255" s="311"/>
      <c r="G255" s="311"/>
      <c r="H255" s="311"/>
      <c r="I255" s="311"/>
      <c r="J255" s="311"/>
      <c r="K255" s="311"/>
      <c r="L255" s="311"/>
      <c r="M255" s="311"/>
      <c r="N255" s="311"/>
      <c r="O255" s="311"/>
      <c r="P255" s="311"/>
      <c r="Q255" s="311"/>
      <c r="R255" s="311"/>
      <c r="S255" s="311"/>
      <c r="T255" s="311"/>
      <c r="U255" s="311"/>
      <c r="V255" s="311"/>
      <c r="W255" s="311"/>
      <c r="X255" s="311"/>
      <c r="Y255" s="24"/>
      <c r="Z255" s="24"/>
      <c r="AA255" s="24"/>
      <c r="AB255" s="24"/>
      <c r="AC255" s="24"/>
      <c r="AD255" s="24"/>
    </row>
    <row r="256" spans="1:30" ht="12.75">
      <c r="A256" s="313"/>
      <c r="B256" s="313"/>
      <c r="C256" s="314"/>
      <c r="D256" s="311"/>
      <c r="E256" s="311"/>
      <c r="F256" s="311"/>
      <c r="G256" s="311"/>
      <c r="H256" s="311"/>
      <c r="I256" s="311"/>
      <c r="J256" s="311"/>
      <c r="K256" s="311"/>
      <c r="L256" s="311"/>
      <c r="M256" s="311"/>
      <c r="N256" s="311"/>
      <c r="O256" s="311"/>
      <c r="P256" s="311"/>
      <c r="Q256" s="311"/>
      <c r="R256" s="311"/>
      <c r="S256" s="311"/>
      <c r="T256" s="311"/>
      <c r="U256" s="311"/>
      <c r="V256" s="311"/>
      <c r="W256" s="311"/>
      <c r="X256" s="311"/>
      <c r="Y256" s="24"/>
      <c r="Z256" s="24"/>
      <c r="AA256" s="24"/>
      <c r="AB256" s="24"/>
      <c r="AC256" s="24"/>
      <c r="AD256" s="24"/>
    </row>
    <row r="257" spans="1:30" ht="12.75">
      <c r="A257" s="313"/>
      <c r="B257" s="313"/>
      <c r="C257" s="314"/>
      <c r="D257" s="311"/>
      <c r="E257" s="311"/>
      <c r="F257" s="311"/>
      <c r="G257" s="311"/>
      <c r="H257" s="311"/>
      <c r="I257" s="311"/>
      <c r="J257" s="311"/>
      <c r="K257" s="311"/>
      <c r="L257" s="311"/>
      <c r="M257" s="311"/>
      <c r="N257" s="311"/>
      <c r="O257" s="311"/>
      <c r="P257" s="311"/>
      <c r="Q257" s="311"/>
      <c r="R257" s="311"/>
      <c r="S257" s="311"/>
      <c r="T257" s="311"/>
      <c r="U257" s="311"/>
      <c r="V257" s="311"/>
      <c r="W257" s="311"/>
      <c r="X257" s="311"/>
      <c r="Y257" s="24"/>
      <c r="Z257" s="24"/>
      <c r="AA257" s="24"/>
      <c r="AB257" s="24"/>
      <c r="AC257" s="24"/>
      <c r="AD257" s="24"/>
    </row>
    <row r="258" spans="1:30" ht="12.75">
      <c r="A258" s="313"/>
      <c r="B258" s="313"/>
      <c r="C258" s="314"/>
      <c r="D258" s="311"/>
      <c r="E258" s="311"/>
      <c r="F258" s="311"/>
      <c r="G258" s="311"/>
      <c r="H258" s="311"/>
      <c r="I258" s="311"/>
      <c r="J258" s="311"/>
      <c r="K258" s="311"/>
      <c r="L258" s="311"/>
      <c r="M258" s="311"/>
      <c r="N258" s="311"/>
      <c r="O258" s="311"/>
      <c r="P258" s="311"/>
      <c r="Q258" s="311"/>
      <c r="R258" s="311"/>
      <c r="S258" s="311"/>
      <c r="T258" s="311"/>
      <c r="U258" s="311"/>
      <c r="V258" s="311"/>
      <c r="W258" s="311"/>
      <c r="X258" s="311"/>
      <c r="Y258" s="24"/>
      <c r="Z258" s="24"/>
      <c r="AA258" s="24"/>
      <c r="AB258" s="24"/>
      <c r="AC258" s="24"/>
      <c r="AD258" s="24"/>
    </row>
    <row r="259" spans="1:30" ht="12.75">
      <c r="A259" s="313"/>
      <c r="B259" s="313"/>
      <c r="C259" s="314"/>
      <c r="D259" s="311"/>
      <c r="E259" s="311"/>
      <c r="F259" s="311"/>
      <c r="G259" s="311"/>
      <c r="H259" s="311"/>
      <c r="I259" s="311"/>
      <c r="J259" s="311"/>
      <c r="K259" s="311"/>
      <c r="L259" s="311"/>
      <c r="M259" s="311"/>
      <c r="N259" s="311"/>
      <c r="O259" s="311"/>
      <c r="P259" s="311"/>
      <c r="Q259" s="311"/>
      <c r="R259" s="311"/>
      <c r="S259" s="311"/>
      <c r="T259" s="311"/>
      <c r="U259" s="311"/>
      <c r="V259" s="311"/>
      <c r="W259" s="311"/>
      <c r="X259" s="311"/>
      <c r="Y259" s="24"/>
      <c r="Z259" s="24"/>
      <c r="AA259" s="24"/>
      <c r="AB259" s="24"/>
      <c r="AC259" s="24"/>
      <c r="AD259" s="24"/>
    </row>
    <row r="260" spans="1:30" ht="12.75">
      <c r="A260" s="313"/>
      <c r="B260" s="313"/>
      <c r="C260" s="314"/>
      <c r="D260" s="311"/>
      <c r="E260" s="311"/>
      <c r="F260" s="311"/>
      <c r="G260" s="311"/>
      <c r="H260" s="311"/>
      <c r="I260" s="311"/>
      <c r="J260" s="311"/>
      <c r="K260" s="311"/>
      <c r="L260" s="311"/>
      <c r="M260" s="311"/>
      <c r="N260" s="311"/>
      <c r="O260" s="311"/>
      <c r="P260" s="311"/>
      <c r="Q260" s="311"/>
      <c r="R260" s="311"/>
      <c r="S260" s="311"/>
      <c r="T260" s="311"/>
      <c r="U260" s="311"/>
      <c r="V260" s="311"/>
      <c r="W260" s="311"/>
      <c r="X260" s="311"/>
      <c r="Y260" s="24"/>
      <c r="Z260" s="24"/>
      <c r="AA260" s="24"/>
      <c r="AB260" s="24"/>
      <c r="AC260" s="24"/>
      <c r="AD260" s="24"/>
    </row>
    <row r="261" spans="1:30" ht="12.75">
      <c r="A261" s="313"/>
      <c r="B261" s="313"/>
      <c r="C261" s="314"/>
      <c r="D261" s="311"/>
      <c r="E261" s="311"/>
      <c r="F261" s="311"/>
      <c r="G261" s="311"/>
      <c r="H261" s="311"/>
      <c r="I261" s="311"/>
      <c r="J261" s="311"/>
      <c r="K261" s="311"/>
      <c r="L261" s="311"/>
      <c r="M261" s="311"/>
      <c r="N261" s="311"/>
      <c r="O261" s="311"/>
      <c r="P261" s="311"/>
      <c r="Q261" s="311"/>
      <c r="R261" s="311"/>
      <c r="S261" s="311"/>
      <c r="T261" s="311"/>
      <c r="U261" s="311"/>
      <c r="V261" s="311"/>
      <c r="W261" s="311"/>
      <c r="X261" s="311"/>
      <c r="Y261" s="24"/>
      <c r="Z261" s="24"/>
      <c r="AA261" s="24"/>
      <c r="AB261" s="24"/>
      <c r="AC261" s="24"/>
      <c r="AD261" s="24"/>
    </row>
    <row r="262" spans="1:30" ht="12.75">
      <c r="A262" s="313"/>
      <c r="B262" s="313"/>
      <c r="C262" s="314"/>
      <c r="D262" s="311"/>
      <c r="E262" s="311"/>
      <c r="F262" s="311"/>
      <c r="G262" s="311"/>
      <c r="H262" s="311"/>
      <c r="I262" s="311"/>
      <c r="J262" s="311"/>
      <c r="K262" s="311"/>
      <c r="L262" s="311"/>
      <c r="M262" s="311"/>
      <c r="N262" s="311"/>
      <c r="O262" s="311"/>
      <c r="P262" s="311"/>
      <c r="Q262" s="311"/>
      <c r="R262" s="311"/>
      <c r="S262" s="311"/>
      <c r="T262" s="311"/>
      <c r="U262" s="311"/>
      <c r="V262" s="311"/>
      <c r="W262" s="311"/>
      <c r="X262" s="311"/>
      <c r="Y262" s="24"/>
      <c r="Z262" s="24"/>
      <c r="AA262" s="24"/>
      <c r="AB262" s="24"/>
      <c r="AC262" s="24"/>
      <c r="AD262" s="24"/>
    </row>
    <row r="263" spans="1:30" ht="12.75">
      <c r="A263" s="313"/>
      <c r="B263" s="313"/>
      <c r="C263" s="314"/>
      <c r="D263" s="311"/>
      <c r="E263" s="311"/>
      <c r="F263" s="311"/>
      <c r="G263" s="311"/>
      <c r="H263" s="311"/>
      <c r="I263" s="311"/>
      <c r="J263" s="311"/>
      <c r="K263" s="311"/>
      <c r="L263" s="311"/>
      <c r="M263" s="311"/>
      <c r="N263" s="311"/>
      <c r="O263" s="311"/>
      <c r="P263" s="311"/>
      <c r="Q263" s="311"/>
      <c r="R263" s="311"/>
      <c r="S263" s="311"/>
      <c r="T263" s="311"/>
      <c r="U263" s="311"/>
      <c r="V263" s="311"/>
      <c r="W263" s="311"/>
      <c r="X263" s="311"/>
      <c r="Y263" s="24"/>
      <c r="Z263" s="24"/>
      <c r="AA263" s="24"/>
      <c r="AB263" s="24"/>
      <c r="AC263" s="24"/>
      <c r="AD263" s="24"/>
    </row>
    <row r="264" spans="1:30" ht="12.75">
      <c r="A264" s="313"/>
      <c r="B264" s="313"/>
      <c r="C264" s="314"/>
      <c r="D264" s="311"/>
      <c r="E264" s="311"/>
      <c r="F264" s="311"/>
      <c r="G264" s="311"/>
      <c r="H264" s="311"/>
      <c r="I264" s="311"/>
      <c r="J264" s="311"/>
      <c r="K264" s="311"/>
      <c r="L264" s="311"/>
      <c r="M264" s="311"/>
      <c r="N264" s="311"/>
      <c r="O264" s="311"/>
      <c r="P264" s="311"/>
      <c r="Q264" s="311"/>
      <c r="R264" s="311"/>
      <c r="S264" s="311"/>
      <c r="T264" s="311"/>
      <c r="U264" s="311"/>
      <c r="V264" s="311"/>
      <c r="W264" s="311"/>
      <c r="X264" s="311"/>
      <c r="Y264" s="24"/>
      <c r="Z264" s="24"/>
      <c r="AA264" s="24"/>
      <c r="AB264" s="24"/>
      <c r="AC264" s="24"/>
      <c r="AD264" s="24"/>
    </row>
    <row r="265" spans="1:30" ht="12.75">
      <c r="A265" s="313"/>
      <c r="B265" s="313"/>
      <c r="C265" s="314"/>
      <c r="D265" s="311"/>
      <c r="E265" s="311"/>
      <c r="F265" s="311"/>
      <c r="G265" s="311"/>
      <c r="H265" s="311"/>
      <c r="I265" s="311"/>
      <c r="J265" s="311"/>
      <c r="K265" s="311"/>
      <c r="L265" s="311"/>
      <c r="M265" s="311"/>
      <c r="N265" s="311"/>
      <c r="O265" s="311"/>
      <c r="P265" s="311"/>
      <c r="Q265" s="311"/>
      <c r="R265" s="311"/>
      <c r="S265" s="311"/>
      <c r="T265" s="311"/>
      <c r="U265" s="311"/>
      <c r="V265" s="311"/>
      <c r="W265" s="311"/>
      <c r="X265" s="311"/>
      <c r="Y265" s="24"/>
      <c r="Z265" s="24"/>
      <c r="AA265" s="24"/>
      <c r="AB265" s="24"/>
      <c r="AC265" s="24"/>
      <c r="AD265" s="24"/>
    </row>
    <row r="266" spans="1:30" ht="12.75">
      <c r="A266" s="313"/>
      <c r="B266" s="313"/>
      <c r="C266" s="314"/>
      <c r="D266" s="311"/>
      <c r="E266" s="311"/>
      <c r="F266" s="311"/>
      <c r="G266" s="311"/>
      <c r="H266" s="311"/>
      <c r="I266" s="311"/>
      <c r="J266" s="311"/>
      <c r="K266" s="311"/>
      <c r="L266" s="311"/>
      <c r="M266" s="311"/>
      <c r="N266" s="311"/>
      <c r="O266" s="311"/>
      <c r="P266" s="311"/>
      <c r="Q266" s="311"/>
      <c r="R266" s="311"/>
      <c r="S266" s="311"/>
      <c r="T266" s="311"/>
      <c r="U266" s="311"/>
      <c r="V266" s="311"/>
      <c r="W266" s="311"/>
      <c r="X266" s="311"/>
      <c r="Y266" s="24"/>
      <c r="Z266" s="24"/>
      <c r="AA266" s="24"/>
      <c r="AB266" s="24"/>
      <c r="AC266" s="24"/>
      <c r="AD266" s="24"/>
    </row>
    <row r="267" spans="1:30" ht="12.75">
      <c r="A267" s="313"/>
      <c r="B267" s="313"/>
      <c r="C267" s="314"/>
      <c r="D267" s="311"/>
      <c r="E267" s="311"/>
      <c r="F267" s="311"/>
      <c r="G267" s="311"/>
      <c r="H267" s="311"/>
      <c r="I267" s="311"/>
      <c r="J267" s="311"/>
      <c r="K267" s="311"/>
      <c r="L267" s="311"/>
      <c r="M267" s="311"/>
      <c r="N267" s="311"/>
      <c r="O267" s="311"/>
      <c r="P267" s="311"/>
      <c r="Q267" s="311"/>
      <c r="R267" s="311"/>
      <c r="S267" s="311"/>
      <c r="T267" s="311"/>
      <c r="U267" s="311"/>
      <c r="V267" s="311"/>
      <c r="W267" s="311"/>
      <c r="X267" s="311"/>
      <c r="Y267" s="24"/>
      <c r="Z267" s="24"/>
      <c r="AA267" s="24"/>
      <c r="AB267" s="24"/>
      <c r="AC267" s="24"/>
      <c r="AD267" s="24"/>
    </row>
    <row r="268" spans="1:30" ht="12.75">
      <c r="A268" s="313"/>
      <c r="B268" s="313"/>
      <c r="C268" s="314"/>
      <c r="D268" s="311"/>
      <c r="E268" s="311"/>
      <c r="F268" s="311"/>
      <c r="G268" s="311"/>
      <c r="H268" s="311"/>
      <c r="I268" s="311"/>
      <c r="J268" s="311"/>
      <c r="K268" s="311"/>
      <c r="L268" s="311"/>
      <c r="M268" s="311"/>
      <c r="N268" s="311"/>
      <c r="O268" s="311"/>
      <c r="P268" s="311"/>
      <c r="Q268" s="311"/>
      <c r="R268" s="311"/>
      <c r="S268" s="311"/>
      <c r="T268" s="311"/>
      <c r="U268" s="311"/>
      <c r="V268" s="311"/>
      <c r="W268" s="311"/>
      <c r="X268" s="311"/>
      <c r="Y268" s="24"/>
      <c r="Z268" s="24"/>
      <c r="AA268" s="24"/>
      <c r="AB268" s="24"/>
      <c r="AC268" s="24"/>
      <c r="AD268" s="24"/>
    </row>
    <row r="269" spans="1:30" ht="12.75">
      <c r="A269" s="313"/>
      <c r="B269" s="313"/>
      <c r="C269" s="314"/>
      <c r="D269" s="311"/>
      <c r="E269" s="311"/>
      <c r="F269" s="311"/>
      <c r="G269" s="311"/>
      <c r="H269" s="311"/>
      <c r="I269" s="311"/>
      <c r="J269" s="311"/>
      <c r="K269" s="311"/>
      <c r="L269" s="311"/>
      <c r="M269" s="311"/>
      <c r="N269" s="311"/>
      <c r="O269" s="311"/>
      <c r="P269" s="311"/>
      <c r="Q269" s="311"/>
      <c r="R269" s="311"/>
      <c r="S269" s="311"/>
      <c r="T269" s="311"/>
      <c r="U269" s="311"/>
      <c r="V269" s="311"/>
      <c r="W269" s="311"/>
      <c r="X269" s="311"/>
      <c r="Y269" s="24"/>
      <c r="Z269" s="24"/>
      <c r="AA269" s="24"/>
      <c r="AB269" s="24"/>
      <c r="AC269" s="24"/>
      <c r="AD269" s="24"/>
    </row>
    <row r="270" spans="1:30" ht="12.75">
      <c r="A270" s="313"/>
      <c r="B270" s="313"/>
      <c r="C270" s="314"/>
      <c r="D270" s="311"/>
      <c r="E270" s="311"/>
      <c r="F270" s="311"/>
      <c r="G270" s="311"/>
      <c r="H270" s="311"/>
      <c r="I270" s="311"/>
      <c r="J270" s="311"/>
      <c r="K270" s="311"/>
      <c r="L270" s="311"/>
      <c r="M270" s="311"/>
      <c r="N270" s="311"/>
      <c r="O270" s="311"/>
      <c r="P270" s="311"/>
      <c r="Q270" s="311"/>
      <c r="R270" s="311"/>
      <c r="S270" s="311"/>
      <c r="T270" s="311"/>
      <c r="U270" s="311"/>
      <c r="V270" s="311"/>
      <c r="W270" s="311"/>
      <c r="X270" s="311"/>
      <c r="Y270" s="24"/>
      <c r="Z270" s="24"/>
      <c r="AA270" s="24"/>
      <c r="AB270" s="24"/>
      <c r="AC270" s="24"/>
      <c r="AD270" s="24"/>
    </row>
    <row r="271" spans="1:30" ht="12.75">
      <c r="A271" s="313"/>
      <c r="B271" s="313"/>
      <c r="C271" s="314"/>
      <c r="D271" s="311"/>
      <c r="E271" s="311"/>
      <c r="F271" s="311"/>
      <c r="G271" s="311"/>
      <c r="H271" s="311"/>
      <c r="I271" s="311"/>
      <c r="J271" s="311"/>
      <c r="K271" s="311"/>
      <c r="L271" s="311"/>
      <c r="M271" s="311"/>
      <c r="N271" s="311"/>
      <c r="O271" s="311"/>
      <c r="P271" s="311"/>
      <c r="Q271" s="311"/>
      <c r="R271" s="311"/>
      <c r="S271" s="311"/>
      <c r="T271" s="311"/>
      <c r="U271" s="311"/>
      <c r="V271" s="311"/>
      <c r="W271" s="311"/>
      <c r="X271" s="311"/>
      <c r="Y271" s="24"/>
      <c r="Z271" s="24"/>
      <c r="AA271" s="24"/>
      <c r="AB271" s="24"/>
      <c r="AC271" s="24"/>
      <c r="AD271" s="24"/>
    </row>
    <row r="272" spans="1:30" ht="12.75">
      <c r="A272" s="313"/>
      <c r="B272" s="313"/>
      <c r="C272" s="314"/>
      <c r="D272" s="311"/>
      <c r="E272" s="311"/>
      <c r="F272" s="311"/>
      <c r="G272" s="311"/>
      <c r="H272" s="311"/>
      <c r="I272" s="311"/>
      <c r="J272" s="311"/>
      <c r="K272" s="311"/>
      <c r="L272" s="311"/>
      <c r="M272" s="311"/>
      <c r="N272" s="311"/>
      <c r="O272" s="311"/>
      <c r="P272" s="311"/>
      <c r="Q272" s="311"/>
      <c r="R272" s="311"/>
      <c r="S272" s="311"/>
      <c r="T272" s="311"/>
      <c r="U272" s="311"/>
      <c r="V272" s="311"/>
      <c r="W272" s="311"/>
      <c r="X272" s="311"/>
      <c r="Y272" s="24"/>
      <c r="Z272" s="24"/>
      <c r="AA272" s="24"/>
      <c r="AB272" s="24"/>
      <c r="AC272" s="24"/>
      <c r="AD272" s="24"/>
    </row>
    <row r="273" spans="1:30" ht="12.75">
      <c r="A273" s="313"/>
      <c r="B273" s="313"/>
      <c r="C273" s="314"/>
      <c r="D273" s="311"/>
      <c r="E273" s="311"/>
      <c r="F273" s="311"/>
      <c r="G273" s="311"/>
      <c r="H273" s="311"/>
      <c r="I273" s="311"/>
      <c r="J273" s="311"/>
      <c r="K273" s="311"/>
      <c r="L273" s="311"/>
      <c r="M273" s="311"/>
      <c r="N273" s="311"/>
      <c r="O273" s="311"/>
      <c r="P273" s="311"/>
      <c r="Q273" s="311"/>
      <c r="R273" s="311"/>
      <c r="S273" s="311"/>
      <c r="T273" s="311"/>
      <c r="U273" s="311"/>
      <c r="V273" s="311"/>
      <c r="W273" s="311"/>
      <c r="X273" s="311"/>
      <c r="Y273" s="24"/>
      <c r="Z273" s="24"/>
      <c r="AA273" s="24"/>
      <c r="AB273" s="24"/>
      <c r="AC273" s="24"/>
      <c r="AD273" s="24"/>
    </row>
    <row r="274" spans="1:30" ht="12.75">
      <c r="A274" s="313"/>
      <c r="B274" s="313"/>
      <c r="C274" s="314"/>
      <c r="D274" s="311"/>
      <c r="E274" s="311"/>
      <c r="F274" s="311"/>
      <c r="G274" s="311"/>
      <c r="H274" s="311"/>
      <c r="I274" s="311"/>
      <c r="J274" s="311"/>
      <c r="K274" s="311"/>
      <c r="L274" s="311"/>
      <c r="M274" s="311"/>
      <c r="N274" s="311"/>
      <c r="O274" s="311"/>
      <c r="P274" s="311"/>
      <c r="Q274" s="311"/>
      <c r="R274" s="311"/>
      <c r="S274" s="311"/>
      <c r="T274" s="311"/>
      <c r="U274" s="311"/>
      <c r="V274" s="311"/>
      <c r="W274" s="311"/>
      <c r="X274" s="311"/>
      <c r="Y274" s="24"/>
      <c r="Z274" s="24"/>
      <c r="AA274" s="24"/>
      <c r="AB274" s="24"/>
      <c r="AC274" s="24"/>
      <c r="AD274" s="24"/>
    </row>
    <row r="275" spans="1:30" ht="12.75">
      <c r="A275" s="313"/>
      <c r="B275" s="313"/>
      <c r="C275" s="314"/>
      <c r="D275" s="311"/>
      <c r="E275" s="311"/>
      <c r="F275" s="311"/>
      <c r="G275" s="311"/>
      <c r="H275" s="311"/>
      <c r="I275" s="311"/>
      <c r="J275" s="311"/>
      <c r="K275" s="311"/>
      <c r="L275" s="311"/>
      <c r="M275" s="311"/>
      <c r="N275" s="311"/>
      <c r="O275" s="311"/>
      <c r="P275" s="311"/>
      <c r="Q275" s="311"/>
      <c r="R275" s="311"/>
      <c r="S275" s="311"/>
      <c r="T275" s="311"/>
      <c r="U275" s="311"/>
      <c r="V275" s="311"/>
      <c r="W275" s="311"/>
      <c r="X275" s="311"/>
      <c r="Y275" s="24"/>
      <c r="Z275" s="24"/>
      <c r="AA275" s="24"/>
      <c r="AB275" s="24"/>
      <c r="AC275" s="24"/>
      <c r="AD275" s="24"/>
    </row>
    <row r="276" spans="1:30" ht="12.75">
      <c r="A276" s="313"/>
      <c r="B276" s="313"/>
      <c r="C276" s="314"/>
      <c r="D276" s="311"/>
      <c r="E276" s="311"/>
      <c r="F276" s="311"/>
      <c r="G276" s="311"/>
      <c r="H276" s="311"/>
      <c r="I276" s="311"/>
      <c r="J276" s="311"/>
      <c r="K276" s="311"/>
      <c r="L276" s="311"/>
      <c r="M276" s="311"/>
      <c r="N276" s="311"/>
      <c r="O276" s="311"/>
      <c r="P276" s="311"/>
      <c r="Q276" s="311"/>
      <c r="R276" s="311"/>
      <c r="S276" s="311"/>
      <c r="T276" s="311"/>
      <c r="U276" s="311"/>
      <c r="V276" s="311"/>
      <c r="W276" s="311"/>
      <c r="X276" s="311"/>
      <c r="Y276" s="24"/>
      <c r="Z276" s="24"/>
      <c r="AA276" s="24"/>
      <c r="AB276" s="24"/>
      <c r="AC276" s="24"/>
      <c r="AD276" s="24"/>
    </row>
    <row r="277" spans="1:30" ht="12.75">
      <c r="A277" s="313"/>
      <c r="B277" s="313"/>
      <c r="C277" s="314"/>
      <c r="D277" s="311"/>
      <c r="E277" s="311"/>
      <c r="F277" s="311"/>
      <c r="G277" s="311"/>
      <c r="H277" s="311"/>
      <c r="I277" s="311"/>
      <c r="J277" s="311"/>
      <c r="K277" s="311"/>
      <c r="L277" s="311"/>
      <c r="M277" s="311"/>
      <c r="N277" s="311"/>
      <c r="O277" s="311"/>
      <c r="P277" s="311"/>
      <c r="Q277" s="311"/>
      <c r="R277" s="311"/>
      <c r="S277" s="311"/>
      <c r="T277" s="311"/>
      <c r="U277" s="311"/>
      <c r="V277" s="311"/>
      <c r="W277" s="311"/>
      <c r="X277" s="311"/>
      <c r="Y277" s="24"/>
      <c r="Z277" s="24"/>
      <c r="AA277" s="24"/>
      <c r="AB277" s="24"/>
      <c r="AC277" s="24"/>
      <c r="AD277" s="24"/>
    </row>
    <row r="278" spans="1:30" ht="12.75">
      <c r="A278" s="313"/>
      <c r="B278" s="313"/>
      <c r="C278" s="314"/>
      <c r="D278" s="311"/>
      <c r="E278" s="311"/>
      <c r="F278" s="311"/>
      <c r="G278" s="311"/>
      <c r="H278" s="311"/>
      <c r="I278" s="311"/>
      <c r="J278" s="311"/>
      <c r="K278" s="311"/>
      <c r="L278" s="311"/>
      <c r="M278" s="311"/>
      <c r="N278" s="311"/>
      <c r="O278" s="311"/>
      <c r="P278" s="311"/>
      <c r="Q278" s="311"/>
      <c r="R278" s="311"/>
      <c r="S278" s="311"/>
      <c r="T278" s="311"/>
      <c r="U278" s="311"/>
      <c r="V278" s="311"/>
      <c r="W278" s="311"/>
      <c r="X278" s="311"/>
      <c r="Y278" s="24"/>
      <c r="Z278" s="24"/>
      <c r="AA278" s="24"/>
      <c r="AB278" s="24"/>
      <c r="AC278" s="24"/>
      <c r="AD278" s="24"/>
    </row>
    <row r="279" spans="1:30" ht="12.75">
      <c r="A279" s="313"/>
      <c r="B279" s="313"/>
      <c r="C279" s="314"/>
      <c r="D279" s="311"/>
      <c r="E279" s="311"/>
      <c r="F279" s="311"/>
      <c r="G279" s="311"/>
      <c r="H279" s="311"/>
      <c r="I279" s="311"/>
      <c r="J279" s="311"/>
      <c r="K279" s="311"/>
      <c r="L279" s="311"/>
      <c r="M279" s="311"/>
      <c r="N279" s="311"/>
      <c r="O279" s="311"/>
      <c r="P279" s="311"/>
      <c r="Q279" s="311"/>
      <c r="R279" s="311"/>
      <c r="S279" s="311"/>
      <c r="T279" s="311"/>
      <c r="U279" s="311"/>
      <c r="V279" s="311"/>
      <c r="W279" s="311"/>
      <c r="X279" s="311"/>
      <c r="Y279" s="24"/>
      <c r="Z279" s="24"/>
      <c r="AA279" s="24"/>
      <c r="AB279" s="24"/>
      <c r="AC279" s="24"/>
      <c r="AD279" s="24"/>
    </row>
    <row r="280" spans="1:30" ht="12.75">
      <c r="A280" s="313"/>
      <c r="B280" s="313"/>
      <c r="C280" s="314"/>
      <c r="D280" s="311"/>
      <c r="E280" s="311"/>
      <c r="F280" s="311"/>
      <c r="G280" s="311"/>
      <c r="H280" s="311"/>
      <c r="I280" s="311"/>
      <c r="J280" s="311"/>
      <c r="K280" s="311"/>
      <c r="L280" s="311"/>
      <c r="M280" s="311"/>
      <c r="N280" s="311"/>
      <c r="O280" s="311"/>
      <c r="P280" s="311"/>
      <c r="Q280" s="311"/>
      <c r="R280" s="311"/>
      <c r="S280" s="311"/>
      <c r="T280" s="311"/>
      <c r="U280" s="311"/>
      <c r="V280" s="311"/>
      <c r="W280" s="311"/>
      <c r="X280" s="311"/>
      <c r="Y280" s="24"/>
      <c r="Z280" s="24"/>
      <c r="AA280" s="24"/>
      <c r="AB280" s="24"/>
      <c r="AC280" s="24"/>
      <c r="AD280" s="24"/>
    </row>
    <row r="281" spans="1:30" ht="12.75">
      <c r="A281" s="313"/>
      <c r="B281" s="313"/>
      <c r="C281" s="314"/>
      <c r="D281" s="311"/>
      <c r="E281" s="311"/>
      <c r="F281" s="311"/>
      <c r="G281" s="311"/>
      <c r="H281" s="311"/>
      <c r="I281" s="311"/>
      <c r="J281" s="311"/>
      <c r="K281" s="311"/>
      <c r="L281" s="311"/>
      <c r="M281" s="311"/>
      <c r="N281" s="311"/>
      <c r="O281" s="311"/>
      <c r="P281" s="311"/>
      <c r="Q281" s="311"/>
      <c r="R281" s="311"/>
      <c r="S281" s="311"/>
      <c r="T281" s="311"/>
      <c r="U281" s="311"/>
      <c r="V281" s="311"/>
      <c r="W281" s="311"/>
      <c r="X281" s="311"/>
      <c r="Y281" s="24"/>
      <c r="Z281" s="24"/>
      <c r="AA281" s="24"/>
      <c r="AB281" s="24"/>
      <c r="AC281" s="24"/>
      <c r="AD281" s="24"/>
    </row>
    <row r="282" spans="1:30" ht="12.75">
      <c r="A282" s="313"/>
      <c r="B282" s="313"/>
      <c r="C282" s="314"/>
      <c r="D282" s="311"/>
      <c r="E282" s="311"/>
      <c r="F282" s="311"/>
      <c r="G282" s="311"/>
      <c r="H282" s="311"/>
      <c r="I282" s="311"/>
      <c r="J282" s="311"/>
      <c r="K282" s="311"/>
      <c r="L282" s="311"/>
      <c r="M282" s="311"/>
      <c r="N282" s="311"/>
      <c r="O282" s="311"/>
      <c r="P282" s="311"/>
      <c r="Q282" s="311"/>
      <c r="R282" s="311"/>
      <c r="S282" s="311"/>
      <c r="T282" s="311"/>
      <c r="U282" s="311"/>
      <c r="V282" s="311"/>
      <c r="W282" s="311"/>
      <c r="X282" s="311"/>
      <c r="Y282" s="24"/>
      <c r="Z282" s="24"/>
      <c r="AA282" s="24"/>
      <c r="AB282" s="24"/>
      <c r="AC282" s="24"/>
      <c r="AD282" s="24"/>
    </row>
    <row r="283" spans="1:30" ht="12.75">
      <c r="A283" s="313"/>
      <c r="B283" s="313"/>
      <c r="C283" s="314"/>
      <c r="D283" s="311"/>
      <c r="E283" s="311"/>
      <c r="F283" s="311"/>
      <c r="G283" s="311"/>
      <c r="H283" s="311"/>
      <c r="I283" s="311"/>
      <c r="J283" s="311"/>
      <c r="K283" s="311"/>
      <c r="L283" s="311"/>
      <c r="M283" s="311"/>
      <c r="N283" s="311"/>
      <c r="O283" s="311"/>
      <c r="P283" s="311"/>
      <c r="Q283" s="311"/>
      <c r="R283" s="311"/>
      <c r="S283" s="311"/>
      <c r="T283" s="311"/>
      <c r="U283" s="311"/>
      <c r="V283" s="311"/>
      <c r="W283" s="311"/>
      <c r="X283" s="311"/>
      <c r="Y283" s="24"/>
      <c r="Z283" s="24"/>
      <c r="AA283" s="24"/>
      <c r="AB283" s="24"/>
      <c r="AC283" s="24"/>
      <c r="AD283" s="24"/>
    </row>
    <row r="284" spans="1:30" ht="12.75">
      <c r="A284" s="313"/>
      <c r="B284" s="313"/>
      <c r="C284" s="314"/>
      <c r="D284" s="311"/>
      <c r="E284" s="311"/>
      <c r="F284" s="311"/>
      <c r="G284" s="311"/>
      <c r="H284" s="311"/>
      <c r="I284" s="311"/>
      <c r="J284" s="311"/>
      <c r="K284" s="311"/>
      <c r="L284" s="311"/>
      <c r="M284" s="311"/>
      <c r="N284" s="311"/>
      <c r="O284" s="311"/>
      <c r="P284" s="311"/>
      <c r="Q284" s="311"/>
      <c r="R284" s="311"/>
      <c r="S284" s="311"/>
      <c r="T284" s="311"/>
      <c r="U284" s="311"/>
      <c r="V284" s="311"/>
      <c r="W284" s="311"/>
      <c r="X284" s="311"/>
      <c r="Y284" s="24"/>
      <c r="Z284" s="24"/>
      <c r="AA284" s="24"/>
      <c r="AB284" s="24"/>
      <c r="AC284" s="24"/>
      <c r="AD284" s="24"/>
    </row>
    <row r="285" spans="1:30" ht="12.75">
      <c r="A285" s="313"/>
      <c r="B285" s="313"/>
      <c r="C285" s="314"/>
      <c r="D285" s="311"/>
      <c r="E285" s="311"/>
      <c r="F285" s="311"/>
      <c r="G285" s="311"/>
      <c r="H285" s="311"/>
      <c r="I285" s="311"/>
      <c r="J285" s="311"/>
      <c r="K285" s="311"/>
      <c r="L285" s="311"/>
      <c r="M285" s="311"/>
      <c r="N285" s="311"/>
      <c r="O285" s="311"/>
      <c r="P285" s="311"/>
      <c r="Q285" s="311"/>
      <c r="R285" s="311"/>
      <c r="S285" s="311"/>
      <c r="T285" s="311"/>
      <c r="U285" s="311"/>
      <c r="V285" s="311"/>
      <c r="W285" s="311"/>
      <c r="X285" s="311"/>
      <c r="Y285" s="24"/>
      <c r="Z285" s="24"/>
      <c r="AA285" s="24"/>
      <c r="AB285" s="24"/>
      <c r="AC285" s="24"/>
      <c r="AD285" s="24"/>
    </row>
    <row r="286" spans="1:30" ht="12.75">
      <c r="A286" s="313"/>
      <c r="B286" s="313"/>
      <c r="C286" s="314"/>
      <c r="D286" s="311"/>
      <c r="E286" s="311"/>
      <c r="F286" s="311"/>
      <c r="G286" s="311"/>
      <c r="H286" s="311"/>
      <c r="I286" s="311"/>
      <c r="J286" s="311"/>
      <c r="K286" s="311"/>
      <c r="L286" s="311"/>
      <c r="M286" s="311"/>
      <c r="N286" s="311"/>
      <c r="O286" s="311"/>
      <c r="P286" s="311"/>
      <c r="Q286" s="311"/>
      <c r="R286" s="311"/>
      <c r="S286" s="311"/>
      <c r="T286" s="311"/>
      <c r="U286" s="311"/>
      <c r="V286" s="311"/>
      <c r="W286" s="311"/>
      <c r="X286" s="311"/>
      <c r="Y286" s="24"/>
      <c r="Z286" s="24"/>
      <c r="AA286" s="24"/>
      <c r="AB286" s="24"/>
      <c r="AC286" s="24"/>
      <c r="AD286" s="24"/>
    </row>
    <row r="287" spans="1:30" ht="12.75">
      <c r="A287" s="313"/>
      <c r="B287" s="313"/>
      <c r="C287" s="314"/>
      <c r="D287" s="311"/>
      <c r="E287" s="311"/>
      <c r="F287" s="311"/>
      <c r="G287" s="311"/>
      <c r="H287" s="311"/>
      <c r="I287" s="311"/>
      <c r="J287" s="311"/>
      <c r="K287" s="311"/>
      <c r="L287" s="311"/>
      <c r="M287" s="311"/>
      <c r="N287" s="311"/>
      <c r="O287" s="311"/>
      <c r="P287" s="311"/>
      <c r="Q287" s="311"/>
      <c r="R287" s="311"/>
      <c r="S287" s="311"/>
      <c r="T287" s="311"/>
      <c r="U287" s="311"/>
      <c r="V287" s="311"/>
      <c r="W287" s="311"/>
      <c r="X287" s="311"/>
      <c r="Y287" s="24"/>
      <c r="Z287" s="24"/>
      <c r="AA287" s="24"/>
      <c r="AB287" s="24"/>
      <c r="AC287" s="24"/>
      <c r="AD287" s="24"/>
    </row>
    <row r="288" spans="1:30" ht="12.75">
      <c r="A288" s="313"/>
      <c r="B288" s="313"/>
      <c r="C288" s="314"/>
      <c r="D288" s="311"/>
      <c r="E288" s="311"/>
      <c r="F288" s="311"/>
      <c r="G288" s="311"/>
      <c r="H288" s="311"/>
      <c r="I288" s="311"/>
      <c r="J288" s="311"/>
      <c r="K288" s="311"/>
      <c r="L288" s="311"/>
      <c r="M288" s="311"/>
      <c r="N288" s="311"/>
      <c r="O288" s="311"/>
      <c r="P288" s="311"/>
      <c r="Q288" s="311"/>
      <c r="R288" s="311"/>
      <c r="S288" s="311"/>
      <c r="T288" s="311"/>
      <c r="U288" s="311"/>
      <c r="V288" s="311"/>
      <c r="W288" s="311"/>
      <c r="X288" s="311"/>
      <c r="Y288" s="24"/>
      <c r="Z288" s="24"/>
      <c r="AA288" s="24"/>
      <c r="AB288" s="24"/>
      <c r="AC288" s="24"/>
      <c r="AD288" s="24"/>
    </row>
    <row r="289" spans="1:30" ht="12.75">
      <c r="A289" s="313"/>
      <c r="B289" s="313"/>
      <c r="C289" s="314"/>
      <c r="D289" s="311"/>
      <c r="E289" s="311"/>
      <c r="F289" s="311"/>
      <c r="G289" s="311"/>
      <c r="H289" s="311"/>
      <c r="I289" s="311"/>
      <c r="J289" s="311"/>
      <c r="K289" s="311"/>
      <c r="L289" s="311"/>
      <c r="M289" s="311"/>
      <c r="N289" s="311"/>
      <c r="O289" s="311"/>
      <c r="P289" s="311"/>
      <c r="Q289" s="311"/>
      <c r="R289" s="311"/>
      <c r="S289" s="311"/>
      <c r="T289" s="311"/>
      <c r="U289" s="311"/>
      <c r="V289" s="311"/>
      <c r="W289" s="311"/>
      <c r="X289" s="311"/>
      <c r="Y289" s="24"/>
      <c r="Z289" s="24"/>
      <c r="AA289" s="24"/>
      <c r="AB289" s="24"/>
      <c r="AC289" s="24"/>
      <c r="AD289" s="24"/>
    </row>
    <row r="290" spans="1:30" ht="12.75">
      <c r="A290" s="313"/>
      <c r="B290" s="313"/>
      <c r="C290" s="314"/>
      <c r="D290" s="311"/>
      <c r="E290" s="311"/>
      <c r="F290" s="311"/>
      <c r="G290" s="311"/>
      <c r="H290" s="311"/>
      <c r="I290" s="311"/>
      <c r="J290" s="311"/>
      <c r="K290" s="311"/>
      <c r="L290" s="311"/>
      <c r="M290" s="311"/>
      <c r="N290" s="311"/>
      <c r="O290" s="311"/>
      <c r="P290" s="311"/>
      <c r="Q290" s="311"/>
      <c r="R290" s="311"/>
      <c r="S290" s="311"/>
      <c r="T290" s="311"/>
      <c r="U290" s="311"/>
      <c r="V290" s="311"/>
      <c r="W290" s="311"/>
      <c r="X290" s="311"/>
      <c r="Y290" s="24"/>
      <c r="Z290" s="24"/>
      <c r="AA290" s="24"/>
      <c r="AB290" s="24"/>
      <c r="AC290" s="24"/>
      <c r="AD290" s="24"/>
    </row>
    <row r="291" spans="1:30" ht="12.75">
      <c r="A291" s="313"/>
      <c r="B291" s="313"/>
      <c r="C291" s="314"/>
      <c r="D291" s="311"/>
      <c r="E291" s="311"/>
      <c r="F291" s="311"/>
      <c r="G291" s="311"/>
      <c r="H291" s="311"/>
      <c r="I291" s="311"/>
      <c r="J291" s="311"/>
      <c r="K291" s="311"/>
      <c r="L291" s="311"/>
      <c r="M291" s="311"/>
      <c r="N291" s="311"/>
      <c r="O291" s="311"/>
      <c r="P291" s="311"/>
      <c r="Q291" s="311"/>
      <c r="R291" s="311"/>
      <c r="S291" s="311"/>
      <c r="T291" s="311"/>
      <c r="U291" s="311"/>
      <c r="V291" s="311"/>
      <c r="W291" s="311"/>
      <c r="X291" s="311"/>
      <c r="Y291" s="24"/>
      <c r="Z291" s="24"/>
      <c r="AA291" s="24"/>
      <c r="AB291" s="24"/>
      <c r="AC291" s="24"/>
      <c r="AD291" s="24"/>
    </row>
    <row r="292" spans="1:30" ht="12.75">
      <c r="A292" s="313"/>
      <c r="B292" s="313"/>
      <c r="C292" s="314"/>
      <c r="D292" s="311"/>
      <c r="E292" s="311"/>
      <c r="F292" s="311"/>
      <c r="G292" s="311"/>
      <c r="H292" s="311"/>
      <c r="I292" s="311"/>
      <c r="J292" s="311"/>
      <c r="K292" s="311"/>
      <c r="L292" s="311"/>
      <c r="M292" s="311"/>
      <c r="N292" s="311"/>
      <c r="O292" s="311"/>
      <c r="P292" s="311"/>
      <c r="Q292" s="311"/>
      <c r="R292" s="311"/>
      <c r="S292" s="311"/>
      <c r="T292" s="311"/>
      <c r="U292" s="311"/>
      <c r="V292" s="311"/>
      <c r="W292" s="311"/>
      <c r="X292" s="311"/>
      <c r="Y292" s="24"/>
      <c r="Z292" s="24"/>
      <c r="AA292" s="24"/>
      <c r="AB292" s="24"/>
      <c r="AC292" s="24"/>
      <c r="AD292" s="24"/>
    </row>
    <row r="293" spans="1:30" ht="12.75">
      <c r="A293" s="313"/>
      <c r="B293" s="313"/>
      <c r="C293" s="314"/>
      <c r="D293" s="311"/>
      <c r="E293" s="311"/>
      <c r="F293" s="311"/>
      <c r="G293" s="311"/>
      <c r="H293" s="311"/>
      <c r="I293" s="311"/>
      <c r="J293" s="311"/>
      <c r="K293" s="311"/>
      <c r="L293" s="311"/>
      <c r="M293" s="311"/>
      <c r="N293" s="311"/>
      <c r="O293" s="311"/>
      <c r="P293" s="311"/>
      <c r="Q293" s="311"/>
      <c r="R293" s="311"/>
      <c r="S293" s="311"/>
      <c r="T293" s="311"/>
      <c r="U293" s="311"/>
      <c r="V293" s="311"/>
      <c r="W293" s="311"/>
      <c r="X293" s="311"/>
      <c r="Y293" s="24"/>
      <c r="Z293" s="24"/>
      <c r="AA293" s="24"/>
      <c r="AB293" s="24"/>
      <c r="AC293" s="24"/>
      <c r="AD293" s="24"/>
    </row>
    <row r="294" spans="1:30" ht="12.75">
      <c r="A294" s="313"/>
      <c r="B294" s="313"/>
      <c r="C294" s="314"/>
      <c r="D294" s="311"/>
      <c r="E294" s="311"/>
      <c r="F294" s="311"/>
      <c r="G294" s="311"/>
      <c r="H294" s="311"/>
      <c r="I294" s="311"/>
      <c r="J294" s="311"/>
      <c r="K294" s="311"/>
      <c r="L294" s="311"/>
      <c r="M294" s="311"/>
      <c r="N294" s="311"/>
      <c r="O294" s="311"/>
      <c r="P294" s="311"/>
      <c r="Q294" s="311"/>
      <c r="R294" s="311"/>
      <c r="S294" s="311"/>
      <c r="T294" s="311"/>
      <c r="U294" s="311"/>
      <c r="V294" s="311"/>
      <c r="W294" s="311"/>
      <c r="X294" s="311"/>
      <c r="Y294" s="24"/>
      <c r="Z294" s="24"/>
      <c r="AA294" s="24"/>
      <c r="AB294" s="24"/>
      <c r="AC294" s="24"/>
      <c r="AD294" s="24"/>
    </row>
    <row r="295" spans="1:30" ht="12.75">
      <c r="A295" s="313"/>
      <c r="B295" s="313"/>
      <c r="C295" s="314"/>
      <c r="D295" s="311"/>
      <c r="E295" s="311"/>
      <c r="F295" s="311"/>
      <c r="G295" s="311"/>
      <c r="H295" s="311"/>
      <c r="I295" s="311"/>
      <c r="J295" s="311"/>
      <c r="K295" s="311"/>
      <c r="L295" s="311"/>
      <c r="M295" s="311"/>
      <c r="N295" s="311"/>
      <c r="O295" s="311"/>
      <c r="P295" s="311"/>
      <c r="Q295" s="311"/>
      <c r="R295" s="311"/>
      <c r="S295" s="311"/>
      <c r="T295" s="311"/>
      <c r="U295" s="311"/>
      <c r="V295" s="311"/>
      <c r="W295" s="311"/>
      <c r="X295" s="311"/>
      <c r="Y295" s="24"/>
      <c r="Z295" s="24"/>
      <c r="AA295" s="24"/>
      <c r="AB295" s="24"/>
      <c r="AC295" s="24"/>
      <c r="AD295" s="24"/>
    </row>
    <row r="296" spans="1:30" ht="12.75">
      <c r="A296" s="313"/>
      <c r="B296" s="313"/>
      <c r="C296" s="314"/>
      <c r="D296" s="311"/>
      <c r="E296" s="311"/>
      <c r="F296" s="311"/>
      <c r="G296" s="311"/>
      <c r="H296" s="311"/>
      <c r="I296" s="311"/>
      <c r="J296" s="311"/>
      <c r="K296" s="311"/>
      <c r="L296" s="311"/>
      <c r="M296" s="311"/>
      <c r="N296" s="311"/>
      <c r="O296" s="311"/>
      <c r="P296" s="311"/>
      <c r="Q296" s="311"/>
      <c r="R296" s="311"/>
      <c r="S296" s="311"/>
      <c r="T296" s="311"/>
      <c r="U296" s="311"/>
      <c r="V296" s="311"/>
      <c r="W296" s="311"/>
      <c r="X296" s="311"/>
      <c r="Y296" s="24"/>
      <c r="Z296" s="24"/>
      <c r="AA296" s="24"/>
      <c r="AB296" s="24"/>
      <c r="AC296" s="24"/>
      <c r="AD296" s="24"/>
    </row>
    <row r="297" spans="1:30" ht="12.75">
      <c r="A297" s="313"/>
      <c r="B297" s="313"/>
      <c r="C297" s="314"/>
      <c r="D297" s="311"/>
      <c r="E297" s="311"/>
      <c r="F297" s="311"/>
      <c r="G297" s="311"/>
      <c r="H297" s="311"/>
      <c r="I297" s="311"/>
      <c r="J297" s="311"/>
      <c r="K297" s="311"/>
      <c r="L297" s="311"/>
      <c r="M297" s="311"/>
      <c r="N297" s="311"/>
      <c r="O297" s="311"/>
      <c r="P297" s="311"/>
      <c r="Q297" s="311"/>
      <c r="R297" s="311"/>
      <c r="S297" s="311"/>
      <c r="T297" s="311"/>
      <c r="U297" s="311"/>
      <c r="V297" s="311"/>
      <c r="W297" s="311"/>
      <c r="X297" s="311"/>
      <c r="Y297" s="24"/>
      <c r="Z297" s="24"/>
      <c r="AA297" s="24"/>
      <c r="AB297" s="24"/>
      <c r="AC297" s="24"/>
      <c r="AD297" s="24"/>
    </row>
    <row r="298" spans="1:30" ht="12.75">
      <c r="A298" s="313"/>
      <c r="B298" s="313"/>
      <c r="C298" s="314"/>
      <c r="D298" s="311"/>
      <c r="E298" s="311"/>
      <c r="F298" s="311"/>
      <c r="G298" s="311"/>
      <c r="H298" s="311"/>
      <c r="I298" s="311"/>
      <c r="J298" s="311"/>
      <c r="K298" s="311"/>
      <c r="L298" s="311"/>
      <c r="M298" s="311"/>
      <c r="N298" s="311"/>
      <c r="O298" s="311"/>
      <c r="P298" s="311"/>
      <c r="Q298" s="311"/>
      <c r="R298" s="311"/>
      <c r="S298" s="311"/>
      <c r="T298" s="311"/>
      <c r="U298" s="311"/>
      <c r="V298" s="311"/>
      <c r="W298" s="311"/>
      <c r="X298" s="311"/>
      <c r="Y298" s="24"/>
      <c r="Z298" s="24"/>
      <c r="AA298" s="24"/>
      <c r="AB298" s="24"/>
      <c r="AC298" s="24"/>
      <c r="AD298" s="24"/>
    </row>
    <row r="299" spans="1:30" ht="12.75">
      <c r="A299" s="313"/>
      <c r="B299" s="313"/>
      <c r="C299" s="314"/>
      <c r="D299" s="311"/>
      <c r="E299" s="311"/>
      <c r="F299" s="311"/>
      <c r="G299" s="311"/>
      <c r="H299" s="311"/>
      <c r="I299" s="311"/>
      <c r="J299" s="311"/>
      <c r="K299" s="311"/>
      <c r="L299" s="311"/>
      <c r="M299" s="311"/>
      <c r="N299" s="311"/>
      <c r="O299" s="311"/>
      <c r="P299" s="311"/>
      <c r="Q299" s="311"/>
      <c r="R299" s="311"/>
      <c r="S299" s="311"/>
      <c r="T299" s="311"/>
      <c r="U299" s="311"/>
      <c r="V299" s="311"/>
      <c r="W299" s="311"/>
      <c r="X299" s="311"/>
      <c r="Y299" s="24"/>
      <c r="Z299" s="24"/>
      <c r="AA299" s="24"/>
      <c r="AB299" s="24"/>
      <c r="AC299" s="24"/>
      <c r="AD299" s="24"/>
    </row>
    <row r="300" spans="1:30" ht="12.75">
      <c r="A300" s="313"/>
      <c r="B300" s="313"/>
      <c r="C300" s="314"/>
      <c r="D300" s="311"/>
      <c r="E300" s="311"/>
      <c r="F300" s="311"/>
      <c r="G300" s="311"/>
      <c r="H300" s="311"/>
      <c r="I300" s="311"/>
      <c r="J300" s="311"/>
      <c r="K300" s="311"/>
      <c r="L300" s="311"/>
      <c r="M300" s="311"/>
      <c r="N300" s="311"/>
      <c r="O300" s="311"/>
      <c r="P300" s="311"/>
      <c r="Q300" s="311"/>
      <c r="R300" s="311"/>
      <c r="S300" s="311"/>
      <c r="T300" s="311"/>
      <c r="U300" s="311"/>
      <c r="V300" s="311"/>
      <c r="W300" s="311"/>
      <c r="X300" s="311"/>
      <c r="Y300" s="24"/>
      <c r="Z300" s="24"/>
      <c r="AA300" s="24"/>
      <c r="AB300" s="24"/>
      <c r="AC300" s="24"/>
      <c r="AD300" s="24"/>
    </row>
    <row r="301" spans="1:30" ht="12.75">
      <c r="A301" s="313"/>
      <c r="B301" s="313"/>
      <c r="C301" s="314"/>
      <c r="D301" s="311"/>
      <c r="E301" s="311"/>
      <c r="F301" s="311"/>
      <c r="G301" s="311"/>
      <c r="H301" s="311"/>
      <c r="I301" s="311"/>
      <c r="J301" s="311"/>
      <c r="K301" s="311"/>
      <c r="L301" s="311"/>
      <c r="M301" s="311"/>
      <c r="N301" s="311"/>
      <c r="O301" s="311"/>
      <c r="P301" s="311"/>
      <c r="Q301" s="311"/>
      <c r="R301" s="311"/>
      <c r="S301" s="311"/>
      <c r="T301" s="311"/>
      <c r="U301" s="311"/>
      <c r="V301" s="311"/>
      <c r="W301" s="311"/>
      <c r="X301" s="311"/>
      <c r="Y301" s="24"/>
      <c r="Z301" s="24"/>
      <c r="AA301" s="24"/>
      <c r="AB301" s="24"/>
      <c r="AC301" s="24"/>
      <c r="AD301" s="24"/>
    </row>
    <row r="302" spans="1:30" ht="12.75">
      <c r="A302" s="313"/>
      <c r="B302" s="313"/>
      <c r="C302" s="314"/>
      <c r="D302" s="311"/>
      <c r="E302" s="311"/>
      <c r="F302" s="311"/>
      <c r="G302" s="311"/>
      <c r="H302" s="311"/>
      <c r="I302" s="311"/>
      <c r="J302" s="311"/>
      <c r="K302" s="311"/>
      <c r="L302" s="311"/>
      <c r="M302" s="311"/>
      <c r="N302" s="311"/>
      <c r="O302" s="311"/>
      <c r="P302" s="311"/>
      <c r="Q302" s="311"/>
      <c r="R302" s="311"/>
      <c r="S302" s="311"/>
      <c r="T302" s="311"/>
      <c r="U302" s="311"/>
      <c r="V302" s="311"/>
      <c r="W302" s="311"/>
      <c r="X302" s="311"/>
      <c r="Y302" s="24"/>
      <c r="Z302" s="24"/>
      <c r="AA302" s="24"/>
      <c r="AB302" s="24"/>
      <c r="AC302" s="24"/>
      <c r="AD302" s="24"/>
    </row>
    <row r="303" spans="1:30" ht="12.75">
      <c r="A303" s="313"/>
      <c r="B303" s="313"/>
      <c r="C303" s="314"/>
      <c r="D303" s="311"/>
      <c r="E303" s="311"/>
      <c r="F303" s="311"/>
      <c r="G303" s="311"/>
      <c r="H303" s="311"/>
      <c r="I303" s="311"/>
      <c r="J303" s="311"/>
      <c r="K303" s="311"/>
      <c r="L303" s="311"/>
      <c r="M303" s="311"/>
      <c r="N303" s="311"/>
      <c r="O303" s="311"/>
      <c r="P303" s="311"/>
      <c r="Q303" s="311"/>
      <c r="R303" s="311"/>
      <c r="S303" s="311"/>
      <c r="T303" s="311"/>
      <c r="U303" s="311"/>
      <c r="V303" s="311"/>
      <c r="W303" s="311"/>
      <c r="X303" s="311"/>
      <c r="Y303" s="24"/>
      <c r="Z303" s="24"/>
      <c r="AA303" s="24"/>
      <c r="AB303" s="24"/>
      <c r="AC303" s="24"/>
      <c r="AD303" s="24"/>
    </row>
    <row r="304" spans="1:30" ht="12.75">
      <c r="A304" s="313"/>
      <c r="B304" s="313"/>
      <c r="C304" s="314"/>
      <c r="D304" s="311"/>
      <c r="E304" s="311"/>
      <c r="F304" s="311"/>
      <c r="G304" s="311"/>
      <c r="H304" s="311"/>
      <c r="I304" s="311"/>
      <c r="J304" s="311"/>
      <c r="K304" s="311"/>
      <c r="L304" s="311"/>
      <c r="M304" s="311"/>
      <c r="N304" s="311"/>
      <c r="O304" s="311"/>
      <c r="P304" s="311"/>
      <c r="Q304" s="311"/>
      <c r="R304" s="311"/>
      <c r="S304" s="311"/>
      <c r="T304" s="311"/>
      <c r="U304" s="311"/>
      <c r="V304" s="311"/>
      <c r="W304" s="311"/>
      <c r="X304" s="311"/>
      <c r="Y304" s="24"/>
      <c r="Z304" s="24"/>
      <c r="AA304" s="24"/>
      <c r="AB304" s="24"/>
      <c r="AC304" s="24"/>
      <c r="AD304" s="24"/>
    </row>
    <row r="305" spans="1:30" ht="12.75">
      <c r="A305" s="313"/>
      <c r="B305" s="313"/>
      <c r="C305" s="314"/>
      <c r="D305" s="311"/>
      <c r="E305" s="311"/>
      <c r="F305" s="311"/>
      <c r="G305" s="311"/>
      <c r="H305" s="311"/>
      <c r="I305" s="311"/>
      <c r="J305" s="311"/>
      <c r="K305" s="311"/>
      <c r="L305" s="311"/>
      <c r="M305" s="311"/>
      <c r="N305" s="311"/>
      <c r="O305" s="311"/>
      <c r="P305" s="311"/>
      <c r="Q305" s="311"/>
      <c r="R305" s="311"/>
      <c r="S305" s="311"/>
      <c r="T305" s="311"/>
      <c r="U305" s="311"/>
      <c r="V305" s="311"/>
      <c r="W305" s="311"/>
      <c r="X305" s="311"/>
      <c r="Y305" s="24"/>
      <c r="Z305" s="24"/>
      <c r="AA305" s="24"/>
      <c r="AB305" s="24"/>
      <c r="AC305" s="24"/>
      <c r="AD305" s="24"/>
    </row>
    <row r="306" spans="1:30" ht="12.75">
      <c r="A306" s="313"/>
      <c r="B306" s="313"/>
      <c r="C306" s="314"/>
      <c r="D306" s="311"/>
      <c r="E306" s="311"/>
      <c r="F306" s="311"/>
      <c r="G306" s="311"/>
      <c r="H306" s="311"/>
      <c r="I306" s="311"/>
      <c r="J306" s="311"/>
      <c r="K306" s="311"/>
      <c r="L306" s="311"/>
      <c r="M306" s="311"/>
      <c r="N306" s="311"/>
      <c r="O306" s="311"/>
      <c r="P306" s="311"/>
      <c r="Q306" s="311"/>
      <c r="R306" s="311"/>
      <c r="S306" s="311"/>
      <c r="T306" s="311"/>
      <c r="U306" s="311"/>
      <c r="V306" s="311"/>
      <c r="W306" s="311"/>
      <c r="X306" s="311"/>
      <c r="Y306" s="24"/>
      <c r="Z306" s="24"/>
      <c r="AA306" s="24"/>
      <c r="AB306" s="24"/>
      <c r="AC306" s="24"/>
      <c r="AD306" s="24"/>
    </row>
    <row r="307" spans="1:30" ht="12.75">
      <c r="A307" s="313"/>
      <c r="B307" s="313"/>
      <c r="C307" s="314"/>
      <c r="D307" s="311"/>
      <c r="E307" s="311"/>
      <c r="F307" s="311"/>
      <c r="G307" s="311"/>
      <c r="H307" s="311"/>
      <c r="I307" s="311"/>
      <c r="J307" s="311"/>
      <c r="K307" s="311"/>
      <c r="L307" s="311"/>
      <c r="M307" s="311"/>
      <c r="N307" s="311"/>
      <c r="O307" s="311"/>
      <c r="P307" s="311"/>
      <c r="Q307" s="311"/>
      <c r="R307" s="311"/>
      <c r="S307" s="311"/>
      <c r="T307" s="311"/>
      <c r="U307" s="311"/>
      <c r="V307" s="311"/>
      <c r="W307" s="311"/>
      <c r="X307" s="311"/>
      <c r="Y307" s="24"/>
      <c r="Z307" s="24"/>
      <c r="AA307" s="24"/>
      <c r="AB307" s="24"/>
      <c r="AC307" s="24"/>
      <c r="AD307" s="24"/>
    </row>
    <row r="308" spans="1:30" ht="12.75">
      <c r="A308" s="313"/>
      <c r="B308" s="313"/>
      <c r="C308" s="314"/>
      <c r="D308" s="311"/>
      <c r="E308" s="311"/>
      <c r="F308" s="311"/>
      <c r="G308" s="311"/>
      <c r="H308" s="311"/>
      <c r="I308" s="311"/>
      <c r="J308" s="311"/>
      <c r="K308" s="311"/>
      <c r="L308" s="311"/>
      <c r="M308" s="311"/>
      <c r="N308" s="311"/>
      <c r="O308" s="311"/>
      <c r="P308" s="311"/>
      <c r="Q308" s="311"/>
      <c r="R308" s="311"/>
      <c r="S308" s="311"/>
      <c r="T308" s="311"/>
      <c r="U308" s="311"/>
      <c r="V308" s="311"/>
      <c r="W308" s="311"/>
      <c r="X308" s="311"/>
      <c r="Y308" s="24"/>
      <c r="Z308" s="24"/>
      <c r="AA308" s="24"/>
      <c r="AB308" s="24"/>
      <c r="AC308" s="24"/>
      <c r="AD308" s="24"/>
    </row>
    <row r="309" spans="1:30" ht="12.75">
      <c r="A309" s="313"/>
      <c r="B309" s="313"/>
      <c r="C309" s="314"/>
      <c r="D309" s="311"/>
      <c r="E309" s="311"/>
      <c r="F309" s="311"/>
      <c r="G309" s="311"/>
      <c r="H309" s="311"/>
      <c r="I309" s="311"/>
      <c r="J309" s="311"/>
      <c r="K309" s="311"/>
      <c r="L309" s="311"/>
      <c r="M309" s="311"/>
      <c r="N309" s="311"/>
      <c r="O309" s="311"/>
      <c r="P309" s="311"/>
      <c r="Q309" s="311"/>
      <c r="R309" s="311"/>
      <c r="S309" s="311"/>
      <c r="T309" s="311"/>
      <c r="U309" s="311"/>
      <c r="V309" s="311"/>
      <c r="W309" s="311"/>
      <c r="X309" s="311"/>
      <c r="Y309" s="24"/>
      <c r="Z309" s="24"/>
      <c r="AA309" s="24"/>
      <c r="AB309" s="24"/>
      <c r="AC309" s="24"/>
      <c r="AD309" s="24"/>
    </row>
    <row r="310" spans="1:30" ht="12.75">
      <c r="A310" s="313"/>
      <c r="B310" s="313"/>
      <c r="C310" s="314"/>
      <c r="D310" s="311"/>
      <c r="E310" s="311"/>
      <c r="F310" s="311"/>
      <c r="G310" s="311"/>
      <c r="H310" s="311"/>
      <c r="I310" s="311"/>
      <c r="J310" s="311"/>
      <c r="K310" s="311"/>
      <c r="L310" s="311"/>
      <c r="M310" s="311"/>
      <c r="N310" s="311"/>
      <c r="O310" s="311"/>
      <c r="P310" s="311"/>
      <c r="Q310" s="311"/>
      <c r="R310" s="311"/>
      <c r="S310" s="311"/>
      <c r="T310" s="311"/>
      <c r="U310" s="311"/>
      <c r="V310" s="311"/>
      <c r="W310" s="311"/>
      <c r="X310" s="311"/>
      <c r="Y310" s="24"/>
      <c r="Z310" s="24"/>
      <c r="AA310" s="24"/>
      <c r="AB310" s="24"/>
      <c r="AC310" s="24"/>
      <c r="AD310" s="24"/>
    </row>
    <row r="311" spans="1:30" ht="12.75">
      <c r="A311" s="313"/>
      <c r="B311" s="313"/>
      <c r="C311" s="314"/>
      <c r="D311" s="311"/>
      <c r="E311" s="311"/>
      <c r="F311" s="311"/>
      <c r="G311" s="311"/>
      <c r="H311" s="311"/>
      <c r="I311" s="311"/>
      <c r="J311" s="311"/>
      <c r="K311" s="311"/>
      <c r="L311" s="311"/>
      <c r="M311" s="311"/>
      <c r="N311" s="311"/>
      <c r="O311" s="311"/>
      <c r="P311" s="311"/>
      <c r="Q311" s="311"/>
      <c r="R311" s="311"/>
      <c r="S311" s="311"/>
      <c r="T311" s="311"/>
      <c r="U311" s="311"/>
      <c r="V311" s="311"/>
      <c r="W311" s="311"/>
      <c r="X311" s="311"/>
      <c r="Y311" s="24"/>
      <c r="Z311" s="24"/>
      <c r="AA311" s="24"/>
      <c r="AB311" s="24"/>
      <c r="AC311" s="24"/>
      <c r="AD311" s="24"/>
    </row>
    <row r="312" spans="1:30" ht="12.75">
      <c r="A312" s="313"/>
      <c r="B312" s="313"/>
      <c r="C312" s="314"/>
      <c r="D312" s="311"/>
      <c r="E312" s="311"/>
      <c r="F312" s="311"/>
      <c r="G312" s="311"/>
      <c r="H312" s="311"/>
      <c r="I312" s="311"/>
      <c r="J312" s="311"/>
      <c r="K312" s="311"/>
      <c r="L312" s="311"/>
      <c r="M312" s="311"/>
      <c r="N312" s="311"/>
      <c r="O312" s="311"/>
      <c r="P312" s="311"/>
      <c r="Q312" s="311"/>
      <c r="R312" s="311"/>
      <c r="S312" s="311"/>
      <c r="T312" s="311"/>
      <c r="U312" s="311"/>
      <c r="V312" s="311"/>
      <c r="W312" s="311"/>
      <c r="X312" s="311"/>
      <c r="Y312" s="24"/>
      <c r="Z312" s="24"/>
      <c r="AA312" s="24"/>
      <c r="AB312" s="24"/>
      <c r="AC312" s="24"/>
      <c r="AD312" s="24"/>
    </row>
    <row r="313" spans="1:30" ht="12.75">
      <c r="A313" s="313"/>
      <c r="B313" s="313"/>
      <c r="C313" s="314"/>
      <c r="D313" s="311"/>
      <c r="E313" s="311"/>
      <c r="F313" s="311"/>
      <c r="G313" s="311"/>
      <c r="H313" s="311"/>
      <c r="I313" s="311"/>
      <c r="J313" s="311"/>
      <c r="K313" s="311"/>
      <c r="L313" s="311"/>
      <c r="M313" s="311"/>
      <c r="N313" s="311"/>
      <c r="O313" s="311"/>
      <c r="P313" s="311"/>
      <c r="Q313" s="311"/>
      <c r="R313" s="311"/>
      <c r="S313" s="311"/>
      <c r="T313" s="311"/>
      <c r="U313" s="311"/>
      <c r="V313" s="311"/>
      <c r="W313" s="311"/>
      <c r="X313" s="311"/>
      <c r="Y313" s="24"/>
      <c r="Z313" s="24"/>
      <c r="AA313" s="24"/>
      <c r="AB313" s="24"/>
      <c r="AC313" s="24"/>
      <c r="AD313" s="24"/>
    </row>
    <row r="314" spans="1:30" ht="12.75">
      <c r="A314" s="313"/>
      <c r="B314" s="313"/>
      <c r="C314" s="314"/>
      <c r="D314" s="311"/>
      <c r="E314" s="311"/>
      <c r="F314" s="311"/>
      <c r="G314" s="311"/>
      <c r="H314" s="311"/>
      <c r="I314" s="311"/>
      <c r="J314" s="311"/>
      <c r="K314" s="311"/>
      <c r="L314" s="311"/>
      <c r="M314" s="311"/>
      <c r="N314" s="311"/>
      <c r="O314" s="311"/>
      <c r="P314" s="311"/>
      <c r="Q314" s="311"/>
      <c r="R314" s="311"/>
      <c r="S314" s="311"/>
      <c r="T314" s="311"/>
      <c r="U314" s="311"/>
      <c r="V314" s="311"/>
      <c r="W314" s="311"/>
      <c r="X314" s="311"/>
      <c r="Y314" s="24"/>
      <c r="Z314" s="24"/>
      <c r="AA314" s="24"/>
      <c r="AB314" s="24"/>
      <c r="AC314" s="24"/>
      <c r="AD314" s="24"/>
    </row>
    <row r="315" spans="1:30" ht="12.75">
      <c r="A315" s="313"/>
      <c r="B315" s="313"/>
      <c r="C315" s="314"/>
      <c r="D315" s="311"/>
      <c r="E315" s="311"/>
      <c r="F315" s="311"/>
      <c r="G315" s="311"/>
      <c r="H315" s="311"/>
      <c r="I315" s="311"/>
      <c r="J315" s="311"/>
      <c r="K315" s="311"/>
      <c r="L315" s="311"/>
      <c r="M315" s="311"/>
      <c r="N315" s="311"/>
      <c r="O315" s="311"/>
      <c r="P315" s="311"/>
      <c r="Q315" s="311"/>
      <c r="R315" s="311"/>
      <c r="S315" s="311"/>
      <c r="T315" s="311"/>
      <c r="U315" s="311"/>
      <c r="V315" s="311"/>
      <c r="W315" s="311"/>
      <c r="X315" s="311"/>
      <c r="Y315" s="24"/>
      <c r="Z315" s="24"/>
      <c r="AA315" s="24"/>
      <c r="AB315" s="24"/>
      <c r="AC315" s="24"/>
      <c r="AD315" s="24"/>
    </row>
    <row r="316" spans="1:30" ht="12.75">
      <c r="A316" s="313"/>
      <c r="B316" s="313"/>
      <c r="C316" s="314"/>
      <c r="D316" s="311"/>
      <c r="E316" s="311"/>
      <c r="F316" s="311"/>
      <c r="G316" s="311"/>
      <c r="H316" s="311"/>
      <c r="I316" s="311"/>
      <c r="J316" s="311"/>
      <c r="K316" s="311"/>
      <c r="L316" s="311"/>
      <c r="M316" s="311"/>
      <c r="N316" s="311"/>
      <c r="O316" s="311"/>
      <c r="P316" s="311"/>
      <c r="Q316" s="311"/>
      <c r="R316" s="311"/>
      <c r="S316" s="311"/>
      <c r="T316" s="311"/>
      <c r="U316" s="311"/>
      <c r="V316" s="311"/>
      <c r="W316" s="311"/>
      <c r="X316" s="311"/>
      <c r="Y316" s="24"/>
      <c r="Z316" s="24"/>
      <c r="AA316" s="24"/>
      <c r="AB316" s="24"/>
      <c r="AC316" s="24"/>
      <c r="AD316" s="24"/>
    </row>
    <row r="317" spans="1:30" ht="12.75">
      <c r="A317" s="313"/>
      <c r="B317" s="313"/>
      <c r="C317" s="314"/>
      <c r="D317" s="311"/>
      <c r="E317" s="311"/>
      <c r="F317" s="311"/>
      <c r="G317" s="311"/>
      <c r="H317" s="311"/>
      <c r="I317" s="311"/>
      <c r="J317" s="311"/>
      <c r="K317" s="311"/>
      <c r="L317" s="311"/>
      <c r="M317" s="311"/>
      <c r="N317" s="311"/>
      <c r="O317" s="311"/>
      <c r="P317" s="311"/>
      <c r="Q317" s="311"/>
      <c r="R317" s="311"/>
      <c r="S317" s="311"/>
      <c r="T317" s="311"/>
      <c r="U317" s="311"/>
      <c r="V317" s="311"/>
      <c r="W317" s="311"/>
      <c r="X317" s="311"/>
      <c r="Y317" s="24"/>
      <c r="Z317" s="24"/>
      <c r="AA317" s="24"/>
      <c r="AB317" s="24"/>
      <c r="AC317" s="24"/>
      <c r="AD317" s="24"/>
    </row>
    <row r="318" spans="1:30" ht="12.75">
      <c r="A318" s="313"/>
      <c r="B318" s="313"/>
      <c r="C318" s="314"/>
      <c r="D318" s="311"/>
      <c r="E318" s="311"/>
      <c r="F318" s="311"/>
      <c r="G318" s="311"/>
      <c r="H318" s="311"/>
      <c r="I318" s="311"/>
      <c r="J318" s="311"/>
      <c r="K318" s="311"/>
      <c r="L318" s="311"/>
      <c r="M318" s="311"/>
      <c r="N318" s="311"/>
      <c r="O318" s="311"/>
      <c r="P318" s="311"/>
      <c r="Q318" s="311"/>
      <c r="R318" s="311"/>
      <c r="S318" s="311"/>
      <c r="T318" s="311"/>
      <c r="U318" s="311"/>
      <c r="V318" s="311"/>
      <c r="W318" s="311"/>
      <c r="X318" s="311"/>
      <c r="Y318" s="24"/>
      <c r="Z318" s="24"/>
      <c r="AA318" s="24"/>
      <c r="AB318" s="24"/>
      <c r="AC318" s="24"/>
      <c r="AD318" s="24"/>
    </row>
    <row r="319" spans="1:30" ht="12.75">
      <c r="A319" s="313"/>
      <c r="B319" s="313"/>
      <c r="C319" s="314"/>
      <c r="D319" s="311"/>
      <c r="E319" s="311"/>
      <c r="F319" s="311"/>
      <c r="G319" s="311"/>
      <c r="H319" s="311"/>
      <c r="I319" s="311"/>
      <c r="J319" s="311"/>
      <c r="K319" s="311"/>
      <c r="L319" s="311"/>
      <c r="M319" s="311"/>
      <c r="N319" s="311"/>
      <c r="O319" s="311"/>
      <c r="P319" s="311"/>
      <c r="Q319" s="311"/>
      <c r="R319" s="311"/>
      <c r="S319" s="311"/>
      <c r="T319" s="311"/>
      <c r="U319" s="311"/>
      <c r="V319" s="311"/>
      <c r="W319" s="311"/>
      <c r="X319" s="311"/>
      <c r="Y319" s="24"/>
      <c r="Z319" s="24"/>
      <c r="AA319" s="24"/>
      <c r="AB319" s="24"/>
      <c r="AC319" s="24"/>
      <c r="AD319" s="24"/>
    </row>
    <row r="320" spans="1:30" ht="12.75">
      <c r="A320" s="313"/>
      <c r="B320" s="313"/>
      <c r="C320" s="314"/>
      <c r="D320" s="311"/>
      <c r="E320" s="311"/>
      <c r="F320" s="311"/>
      <c r="G320" s="311"/>
      <c r="H320" s="311"/>
      <c r="I320" s="311"/>
      <c r="J320" s="311"/>
      <c r="K320" s="311"/>
      <c r="L320" s="311"/>
      <c r="M320" s="311"/>
      <c r="N320" s="311"/>
      <c r="O320" s="311"/>
      <c r="P320" s="311"/>
      <c r="Q320" s="311"/>
      <c r="R320" s="311"/>
      <c r="S320" s="311"/>
      <c r="T320" s="311"/>
      <c r="U320" s="311"/>
      <c r="V320" s="311"/>
      <c r="W320" s="311"/>
      <c r="X320" s="311"/>
      <c r="Y320" s="24"/>
      <c r="Z320" s="24"/>
      <c r="AA320" s="24"/>
      <c r="AB320" s="24"/>
      <c r="AC320" s="24"/>
      <c r="AD320" s="24"/>
    </row>
    <row r="321" spans="1:30" ht="12.75">
      <c r="A321" s="313"/>
      <c r="B321" s="313"/>
      <c r="C321" s="314"/>
      <c r="D321" s="311"/>
      <c r="E321" s="311"/>
      <c r="F321" s="311"/>
      <c r="G321" s="311"/>
      <c r="H321" s="311"/>
      <c r="I321" s="311"/>
      <c r="J321" s="311"/>
      <c r="K321" s="311"/>
      <c r="L321" s="311"/>
      <c r="M321" s="311"/>
      <c r="N321" s="311"/>
      <c r="O321" s="311"/>
      <c r="P321" s="311"/>
      <c r="Q321" s="311"/>
      <c r="R321" s="311"/>
      <c r="S321" s="311"/>
      <c r="T321" s="311"/>
      <c r="U321" s="311"/>
      <c r="V321" s="311"/>
      <c r="W321" s="311"/>
      <c r="X321" s="311"/>
      <c r="Y321" s="24"/>
      <c r="Z321" s="24"/>
      <c r="AA321" s="24"/>
      <c r="AB321" s="24"/>
      <c r="AC321" s="24"/>
      <c r="AD321" s="24"/>
    </row>
    <row r="322" spans="1:30" ht="12.75">
      <c r="A322" s="313"/>
      <c r="B322" s="313"/>
      <c r="C322" s="314"/>
      <c r="D322" s="311"/>
      <c r="E322" s="311"/>
      <c r="F322" s="311"/>
      <c r="G322" s="311"/>
      <c r="H322" s="311"/>
      <c r="I322" s="311"/>
      <c r="J322" s="311"/>
      <c r="K322" s="311"/>
      <c r="L322" s="311"/>
      <c r="M322" s="311"/>
      <c r="N322" s="311"/>
      <c r="O322" s="311"/>
      <c r="P322" s="311"/>
      <c r="Q322" s="311"/>
      <c r="R322" s="311"/>
      <c r="S322" s="311"/>
      <c r="T322" s="311"/>
      <c r="U322" s="311"/>
      <c r="V322" s="311"/>
      <c r="W322" s="311"/>
      <c r="X322" s="311"/>
      <c r="Y322" s="24"/>
      <c r="Z322" s="24"/>
      <c r="AA322" s="24"/>
      <c r="AB322" s="24"/>
      <c r="AC322" s="24"/>
      <c r="AD322" s="24"/>
    </row>
    <row r="323" spans="1:30" ht="12.75">
      <c r="A323" s="313"/>
      <c r="B323" s="313"/>
      <c r="C323" s="314"/>
      <c r="D323" s="311"/>
      <c r="E323" s="311"/>
      <c r="F323" s="311"/>
      <c r="G323" s="311"/>
      <c r="H323" s="311"/>
      <c r="I323" s="311"/>
      <c r="J323" s="311"/>
      <c r="K323" s="311"/>
      <c r="L323" s="311"/>
      <c r="M323" s="311"/>
      <c r="N323" s="311"/>
      <c r="O323" s="311"/>
      <c r="P323" s="311"/>
      <c r="Q323" s="311"/>
      <c r="R323" s="311"/>
      <c r="S323" s="311"/>
      <c r="T323" s="311"/>
      <c r="U323" s="311"/>
      <c r="V323" s="311"/>
      <c r="W323" s="311"/>
      <c r="X323" s="311"/>
      <c r="Y323" s="24"/>
      <c r="Z323" s="24"/>
      <c r="AA323" s="24"/>
      <c r="AB323" s="24"/>
      <c r="AC323" s="24"/>
      <c r="AD323" s="24"/>
    </row>
    <row r="324" spans="1:30" ht="12.75">
      <c r="A324" s="313"/>
      <c r="B324" s="313"/>
      <c r="C324" s="314"/>
      <c r="D324" s="311"/>
      <c r="E324" s="311"/>
      <c r="F324" s="311"/>
      <c r="G324" s="311"/>
      <c r="H324" s="311"/>
      <c r="I324" s="311"/>
      <c r="J324" s="311"/>
      <c r="K324" s="311"/>
      <c r="L324" s="311"/>
      <c r="M324" s="311"/>
      <c r="N324" s="311"/>
      <c r="O324" s="311"/>
      <c r="P324" s="311"/>
      <c r="Q324" s="311"/>
      <c r="R324" s="311"/>
      <c r="S324" s="311"/>
      <c r="T324" s="311"/>
      <c r="U324" s="311"/>
      <c r="V324" s="311"/>
      <c r="W324" s="311"/>
      <c r="X324" s="311"/>
      <c r="Y324" s="24"/>
      <c r="Z324" s="24"/>
      <c r="AA324" s="24"/>
      <c r="AB324" s="24"/>
      <c r="AC324" s="24"/>
      <c r="AD324" s="24"/>
    </row>
    <row r="325" spans="1:30" ht="12.75">
      <c r="A325" s="313"/>
      <c r="B325" s="313"/>
      <c r="C325" s="314"/>
      <c r="D325" s="311"/>
      <c r="E325" s="311"/>
      <c r="F325" s="311"/>
      <c r="G325" s="311"/>
      <c r="H325" s="311"/>
      <c r="I325" s="311"/>
      <c r="J325" s="311"/>
      <c r="K325" s="311"/>
      <c r="L325" s="311"/>
      <c r="M325" s="311"/>
      <c r="N325" s="311"/>
      <c r="O325" s="311"/>
      <c r="P325" s="311"/>
      <c r="Q325" s="311"/>
      <c r="R325" s="311"/>
      <c r="S325" s="311"/>
      <c r="T325" s="311"/>
      <c r="U325" s="311"/>
      <c r="V325" s="311"/>
      <c r="W325" s="311"/>
      <c r="X325" s="311"/>
      <c r="Y325" s="24"/>
      <c r="Z325" s="24"/>
      <c r="AA325" s="24"/>
      <c r="AB325" s="24"/>
      <c r="AC325" s="24"/>
      <c r="AD325" s="24"/>
    </row>
    <row r="326" spans="1:30" ht="12.75">
      <c r="A326" s="313"/>
      <c r="B326" s="313"/>
      <c r="C326" s="314"/>
      <c r="D326" s="311"/>
      <c r="E326" s="311"/>
      <c r="F326" s="311"/>
      <c r="G326" s="311"/>
      <c r="H326" s="311"/>
      <c r="I326" s="311"/>
      <c r="J326" s="311"/>
      <c r="K326" s="311"/>
      <c r="L326" s="311"/>
      <c r="M326" s="311"/>
      <c r="N326" s="311"/>
      <c r="O326" s="311"/>
      <c r="P326" s="311"/>
      <c r="Q326" s="311"/>
      <c r="R326" s="311"/>
      <c r="S326" s="311"/>
      <c r="T326" s="311"/>
      <c r="U326" s="311"/>
      <c r="V326" s="311"/>
      <c r="W326" s="311"/>
      <c r="X326" s="311"/>
      <c r="Y326" s="24"/>
      <c r="Z326" s="24"/>
      <c r="AA326" s="24"/>
      <c r="AB326" s="24"/>
      <c r="AC326" s="24"/>
      <c r="AD326" s="24"/>
    </row>
    <row r="327" spans="1:30" ht="12.75">
      <c r="A327" s="313"/>
      <c r="B327" s="313"/>
      <c r="C327" s="314"/>
      <c r="D327" s="311"/>
      <c r="E327" s="311"/>
      <c r="F327" s="311"/>
      <c r="G327" s="311"/>
      <c r="H327" s="311"/>
      <c r="I327" s="311"/>
      <c r="J327" s="311"/>
      <c r="K327" s="311"/>
      <c r="L327" s="311"/>
      <c r="M327" s="311"/>
      <c r="N327" s="311"/>
      <c r="O327" s="311"/>
      <c r="P327" s="311"/>
      <c r="Q327" s="311"/>
      <c r="R327" s="311"/>
      <c r="S327" s="311"/>
      <c r="T327" s="311"/>
      <c r="U327" s="311"/>
      <c r="V327" s="311"/>
      <c r="W327" s="311"/>
      <c r="X327" s="311"/>
      <c r="Y327" s="24"/>
      <c r="Z327" s="24"/>
      <c r="AA327" s="24"/>
      <c r="AB327" s="24"/>
      <c r="AC327" s="24"/>
      <c r="AD327" s="24"/>
    </row>
    <row r="328" spans="1:30" ht="12.75">
      <c r="A328" s="313"/>
      <c r="B328" s="313"/>
      <c r="C328" s="314"/>
      <c r="D328" s="311"/>
      <c r="E328" s="311"/>
      <c r="F328" s="311"/>
      <c r="G328" s="311"/>
      <c r="H328" s="311"/>
      <c r="I328" s="311"/>
      <c r="J328" s="311"/>
      <c r="K328" s="311"/>
      <c r="L328" s="311"/>
      <c r="M328" s="311"/>
      <c r="N328" s="311"/>
      <c r="O328" s="311"/>
      <c r="P328" s="311"/>
      <c r="Q328" s="311"/>
      <c r="R328" s="311"/>
      <c r="S328" s="311"/>
      <c r="T328" s="311"/>
      <c r="U328" s="311"/>
      <c r="V328" s="311"/>
      <c r="W328" s="311"/>
      <c r="X328" s="311"/>
      <c r="Y328" s="24"/>
      <c r="Z328" s="24"/>
      <c r="AA328" s="24"/>
      <c r="AB328" s="24"/>
      <c r="AC328" s="24"/>
      <c r="AD328" s="24"/>
    </row>
    <row r="329" spans="1:30" ht="12.75">
      <c r="A329" s="313"/>
      <c r="B329" s="313"/>
      <c r="C329" s="314"/>
      <c r="D329" s="311"/>
      <c r="E329" s="311"/>
      <c r="F329" s="311"/>
      <c r="G329" s="311"/>
      <c r="H329" s="311"/>
      <c r="I329" s="311"/>
      <c r="J329" s="311"/>
      <c r="K329" s="311"/>
      <c r="L329" s="311"/>
      <c r="M329" s="311"/>
      <c r="N329" s="311"/>
      <c r="O329" s="311"/>
      <c r="P329" s="311"/>
      <c r="Q329" s="311"/>
      <c r="R329" s="311"/>
      <c r="S329" s="311"/>
      <c r="T329" s="311"/>
      <c r="U329" s="311"/>
      <c r="V329" s="311"/>
      <c r="W329" s="311"/>
      <c r="X329" s="311"/>
      <c r="Y329" s="24"/>
      <c r="Z329" s="24"/>
      <c r="AA329" s="24"/>
      <c r="AB329" s="24"/>
      <c r="AC329" s="24"/>
      <c r="AD329" s="24"/>
    </row>
    <row r="330" spans="1:30" ht="12.75">
      <c r="A330" s="313"/>
      <c r="B330" s="313"/>
      <c r="C330" s="314"/>
      <c r="D330" s="311"/>
      <c r="E330" s="311"/>
      <c r="F330" s="311"/>
      <c r="G330" s="311"/>
      <c r="H330" s="311"/>
      <c r="I330" s="311"/>
      <c r="J330" s="311"/>
      <c r="K330" s="311"/>
      <c r="L330" s="311"/>
      <c r="M330" s="311"/>
      <c r="N330" s="311"/>
      <c r="O330" s="311"/>
      <c r="P330" s="311"/>
      <c r="Q330" s="311"/>
      <c r="R330" s="311"/>
      <c r="S330" s="311"/>
      <c r="T330" s="311"/>
      <c r="U330" s="311"/>
      <c r="V330" s="311"/>
      <c r="W330" s="311"/>
      <c r="X330" s="311"/>
      <c r="Y330" s="24"/>
      <c r="Z330" s="24"/>
      <c r="AA330" s="24"/>
      <c r="AB330" s="24"/>
      <c r="AC330" s="24"/>
      <c r="AD330" s="24"/>
    </row>
    <row r="331" spans="1:30" ht="12.75">
      <c r="A331" s="313"/>
      <c r="B331" s="313"/>
      <c r="C331" s="314"/>
      <c r="D331" s="311"/>
      <c r="E331" s="311"/>
      <c r="F331" s="311"/>
      <c r="G331" s="311"/>
      <c r="H331" s="311"/>
      <c r="I331" s="311"/>
      <c r="J331" s="311"/>
      <c r="K331" s="311"/>
      <c r="L331" s="311"/>
      <c r="M331" s="311"/>
      <c r="N331" s="311"/>
      <c r="O331" s="311"/>
      <c r="P331" s="311"/>
      <c r="Q331" s="311"/>
      <c r="R331" s="311"/>
      <c r="S331" s="311"/>
      <c r="T331" s="311"/>
      <c r="U331" s="311"/>
      <c r="V331" s="311"/>
      <c r="W331" s="311"/>
      <c r="X331" s="311"/>
      <c r="Y331" s="24"/>
      <c r="Z331" s="24"/>
      <c r="AA331" s="24"/>
      <c r="AB331" s="24"/>
      <c r="AC331" s="24"/>
      <c r="AD331" s="24"/>
    </row>
    <row r="332" spans="1:30" ht="12.75">
      <c r="A332" s="313"/>
      <c r="B332" s="313"/>
      <c r="C332" s="314"/>
      <c r="D332" s="311"/>
      <c r="E332" s="311"/>
      <c r="F332" s="311"/>
      <c r="G332" s="311"/>
      <c r="H332" s="311"/>
      <c r="I332" s="311"/>
      <c r="J332" s="311"/>
      <c r="K332" s="311"/>
      <c r="L332" s="311"/>
      <c r="M332" s="311"/>
      <c r="N332" s="311"/>
      <c r="O332" s="311"/>
      <c r="P332" s="311"/>
      <c r="Q332" s="311"/>
      <c r="R332" s="311"/>
      <c r="S332" s="311"/>
      <c r="T332" s="311"/>
      <c r="U332" s="311"/>
      <c r="V332" s="311"/>
      <c r="W332" s="311"/>
      <c r="X332" s="311"/>
      <c r="Y332" s="24"/>
      <c r="Z332" s="24"/>
      <c r="AA332" s="24"/>
      <c r="AB332" s="24"/>
      <c r="AC332" s="24"/>
      <c r="AD332" s="24"/>
    </row>
    <row r="333" spans="1:30" ht="12.75">
      <c r="A333" s="313"/>
      <c r="B333" s="313"/>
      <c r="C333" s="314"/>
      <c r="D333" s="311"/>
      <c r="E333" s="311"/>
      <c r="F333" s="311"/>
      <c r="G333" s="311"/>
      <c r="H333" s="311"/>
      <c r="I333" s="311"/>
      <c r="J333" s="311"/>
      <c r="K333" s="311"/>
      <c r="L333" s="311"/>
      <c r="M333" s="311"/>
      <c r="N333" s="311"/>
      <c r="O333" s="311"/>
      <c r="P333" s="311"/>
      <c r="Q333" s="311"/>
      <c r="R333" s="311"/>
      <c r="S333" s="311"/>
      <c r="T333" s="311"/>
      <c r="U333" s="311"/>
      <c r="V333" s="311"/>
      <c r="W333" s="311"/>
      <c r="X333" s="311"/>
      <c r="Y333" s="24"/>
      <c r="Z333" s="24"/>
      <c r="AA333" s="24"/>
      <c r="AB333" s="24"/>
      <c r="AC333" s="24"/>
      <c r="AD333" s="24"/>
    </row>
    <row r="334" spans="1:30" ht="12.75">
      <c r="A334" s="313"/>
      <c r="B334" s="313"/>
      <c r="C334" s="314"/>
      <c r="D334" s="311"/>
      <c r="E334" s="311"/>
      <c r="F334" s="311"/>
      <c r="G334" s="311"/>
      <c r="H334" s="311"/>
      <c r="I334" s="311"/>
      <c r="J334" s="311"/>
      <c r="K334" s="311"/>
      <c r="L334" s="311"/>
      <c r="M334" s="311"/>
      <c r="N334" s="311"/>
      <c r="O334" s="311"/>
      <c r="P334" s="311"/>
      <c r="Q334" s="311"/>
      <c r="R334" s="311"/>
      <c r="S334" s="311"/>
      <c r="T334" s="311"/>
      <c r="U334" s="311"/>
      <c r="V334" s="311"/>
      <c r="W334" s="311"/>
      <c r="X334" s="311"/>
      <c r="Y334" s="24"/>
      <c r="Z334" s="24"/>
      <c r="AA334" s="24"/>
      <c r="AB334" s="24"/>
      <c r="AC334" s="24"/>
      <c r="AD334" s="24"/>
    </row>
    <row r="335" spans="1:30" ht="12.75">
      <c r="A335" s="313"/>
      <c r="B335" s="313"/>
      <c r="C335" s="314"/>
      <c r="D335" s="311"/>
      <c r="E335" s="311"/>
      <c r="F335" s="311"/>
      <c r="G335" s="311"/>
      <c r="H335" s="311"/>
      <c r="I335" s="311"/>
      <c r="J335" s="311"/>
      <c r="K335" s="311"/>
      <c r="L335" s="311"/>
      <c r="M335" s="311"/>
      <c r="N335" s="311"/>
      <c r="O335" s="311"/>
      <c r="P335" s="311"/>
      <c r="Q335" s="311"/>
      <c r="R335" s="311"/>
      <c r="S335" s="311"/>
      <c r="T335" s="311"/>
      <c r="U335" s="311"/>
      <c r="V335" s="311"/>
      <c r="W335" s="311"/>
      <c r="X335" s="311"/>
      <c r="Y335" s="24"/>
      <c r="Z335" s="24"/>
      <c r="AA335" s="24"/>
      <c r="AB335" s="24"/>
      <c r="AC335" s="24"/>
      <c r="AD335" s="24"/>
    </row>
    <row r="336" spans="1:30" ht="12.75">
      <c r="A336" s="313"/>
      <c r="B336" s="313"/>
      <c r="C336" s="314"/>
      <c r="D336" s="311"/>
      <c r="E336" s="311"/>
      <c r="F336" s="311"/>
      <c r="G336" s="311"/>
      <c r="H336" s="311"/>
      <c r="I336" s="311"/>
      <c r="J336" s="311"/>
      <c r="K336" s="311"/>
      <c r="L336" s="311"/>
      <c r="M336" s="311"/>
      <c r="N336" s="311"/>
      <c r="O336" s="311"/>
      <c r="P336" s="311"/>
      <c r="Q336" s="311"/>
      <c r="R336" s="311"/>
      <c r="S336" s="311"/>
      <c r="T336" s="311"/>
      <c r="U336" s="311"/>
      <c r="V336" s="311"/>
      <c r="W336" s="311"/>
      <c r="X336" s="311"/>
      <c r="Y336" s="24"/>
      <c r="Z336" s="24"/>
      <c r="AA336" s="24"/>
      <c r="AB336" s="24"/>
      <c r="AC336" s="24"/>
      <c r="AD336" s="24"/>
    </row>
    <row r="337" spans="1:30" ht="12.75">
      <c r="A337" s="313"/>
      <c r="B337" s="313"/>
      <c r="C337" s="314"/>
      <c r="D337" s="311"/>
      <c r="E337" s="311"/>
      <c r="F337" s="311"/>
      <c r="G337" s="311"/>
      <c r="H337" s="311"/>
      <c r="I337" s="311"/>
      <c r="J337" s="311"/>
      <c r="K337" s="311"/>
      <c r="L337" s="311"/>
      <c r="M337" s="311"/>
      <c r="N337" s="311"/>
      <c r="O337" s="311"/>
      <c r="P337" s="311"/>
      <c r="Q337" s="311"/>
      <c r="R337" s="311"/>
      <c r="S337" s="311"/>
      <c r="T337" s="311"/>
      <c r="U337" s="311"/>
      <c r="V337" s="311"/>
      <c r="W337" s="311"/>
      <c r="X337" s="311"/>
      <c r="Y337" s="24"/>
      <c r="Z337" s="24"/>
      <c r="AA337" s="24"/>
      <c r="AB337" s="24"/>
      <c r="AC337" s="24"/>
      <c r="AD337" s="24"/>
    </row>
    <row r="338" spans="1:30" ht="12.75">
      <c r="A338" s="313"/>
      <c r="B338" s="313"/>
      <c r="C338" s="314"/>
      <c r="D338" s="311"/>
      <c r="E338" s="311"/>
      <c r="F338" s="311"/>
      <c r="G338" s="311"/>
      <c r="H338" s="311"/>
      <c r="I338" s="311"/>
      <c r="J338" s="311"/>
      <c r="K338" s="311"/>
      <c r="L338" s="311"/>
      <c r="M338" s="311"/>
      <c r="N338" s="311"/>
      <c r="O338" s="311"/>
      <c r="P338" s="311"/>
      <c r="Q338" s="311"/>
      <c r="R338" s="311"/>
      <c r="S338" s="311"/>
      <c r="T338" s="311"/>
      <c r="U338" s="311"/>
      <c r="V338" s="311"/>
      <c r="W338" s="311"/>
      <c r="X338" s="311"/>
      <c r="Y338" s="24"/>
      <c r="Z338" s="24"/>
      <c r="AA338" s="24"/>
      <c r="AB338" s="24"/>
      <c r="AC338" s="24"/>
      <c r="AD338" s="24"/>
    </row>
    <row r="339" spans="1:30" ht="12.75">
      <c r="A339" s="313"/>
      <c r="B339" s="313"/>
      <c r="C339" s="314"/>
      <c r="D339" s="311"/>
      <c r="E339" s="311"/>
      <c r="F339" s="311"/>
      <c r="G339" s="311"/>
      <c r="H339" s="311"/>
      <c r="I339" s="311"/>
      <c r="J339" s="311"/>
      <c r="K339" s="311"/>
      <c r="L339" s="311"/>
      <c r="M339" s="311"/>
      <c r="N339" s="311"/>
      <c r="O339" s="311"/>
      <c r="P339" s="311"/>
      <c r="Q339" s="311"/>
      <c r="R339" s="311"/>
      <c r="S339" s="311"/>
      <c r="T339" s="311"/>
      <c r="U339" s="311"/>
      <c r="V339" s="311"/>
      <c r="W339" s="311"/>
      <c r="X339" s="311"/>
      <c r="Y339" s="24"/>
      <c r="Z339" s="24"/>
      <c r="AA339" s="24"/>
      <c r="AB339" s="24"/>
      <c r="AC339" s="24"/>
      <c r="AD339" s="24"/>
    </row>
    <row r="340" spans="1:30" ht="12.75">
      <c r="A340" s="313"/>
      <c r="B340" s="313"/>
      <c r="C340" s="314"/>
      <c r="D340" s="311"/>
      <c r="E340" s="311"/>
      <c r="F340" s="311"/>
      <c r="G340" s="311"/>
      <c r="H340" s="311"/>
      <c r="I340" s="311"/>
      <c r="J340" s="311"/>
      <c r="K340" s="311"/>
      <c r="L340" s="311"/>
      <c r="M340" s="311"/>
      <c r="N340" s="311"/>
      <c r="O340" s="311"/>
      <c r="P340" s="311"/>
      <c r="Q340" s="311"/>
      <c r="R340" s="311"/>
      <c r="S340" s="311"/>
      <c r="T340" s="311"/>
      <c r="U340" s="311"/>
      <c r="V340" s="311"/>
      <c r="W340" s="311"/>
      <c r="X340" s="311"/>
      <c r="Y340" s="24"/>
      <c r="Z340" s="24"/>
      <c r="AA340" s="24"/>
      <c r="AB340" s="24"/>
      <c r="AC340" s="24"/>
      <c r="AD340" s="24"/>
    </row>
    <row r="341" spans="1:30" ht="12.75">
      <c r="A341" s="313"/>
      <c r="B341" s="313"/>
      <c r="C341" s="314"/>
      <c r="D341" s="311"/>
      <c r="E341" s="311"/>
      <c r="F341" s="311"/>
      <c r="G341" s="311"/>
      <c r="H341" s="311"/>
      <c r="I341" s="311"/>
      <c r="J341" s="311"/>
      <c r="K341" s="311"/>
      <c r="L341" s="311"/>
      <c r="M341" s="311"/>
      <c r="N341" s="311"/>
      <c r="O341" s="311"/>
      <c r="P341" s="311"/>
      <c r="Q341" s="311"/>
      <c r="R341" s="311"/>
      <c r="S341" s="311"/>
      <c r="T341" s="311"/>
      <c r="U341" s="311"/>
      <c r="V341" s="311"/>
      <c r="W341" s="311"/>
      <c r="X341" s="311"/>
      <c r="Y341" s="24"/>
      <c r="Z341" s="24"/>
      <c r="AA341" s="24"/>
      <c r="AB341" s="24"/>
      <c r="AC341" s="24"/>
      <c r="AD341" s="24"/>
    </row>
    <row r="342" spans="1:30" ht="12.75">
      <c r="A342" s="313"/>
      <c r="B342" s="313"/>
      <c r="C342" s="314"/>
      <c r="D342" s="311"/>
      <c r="E342" s="311"/>
      <c r="F342" s="311"/>
      <c r="G342" s="311"/>
      <c r="H342" s="311"/>
      <c r="I342" s="311"/>
      <c r="J342" s="311"/>
      <c r="K342" s="311"/>
      <c r="L342" s="311"/>
      <c r="M342" s="311"/>
      <c r="N342" s="311"/>
      <c r="O342" s="311"/>
      <c r="P342" s="311"/>
      <c r="Q342" s="311"/>
      <c r="R342" s="311"/>
      <c r="S342" s="311"/>
      <c r="T342" s="311"/>
      <c r="U342" s="311"/>
      <c r="V342" s="311"/>
      <c r="W342" s="311"/>
      <c r="X342" s="311"/>
      <c r="Y342" s="24"/>
      <c r="Z342" s="24"/>
      <c r="AA342" s="24"/>
      <c r="AB342" s="24"/>
      <c r="AC342" s="24"/>
      <c r="AD342" s="24"/>
    </row>
    <row r="343" spans="1:30" ht="12.75">
      <c r="A343" s="313"/>
      <c r="B343" s="313"/>
      <c r="C343" s="314"/>
      <c r="D343" s="311"/>
      <c r="E343" s="311"/>
      <c r="F343" s="311"/>
      <c r="G343" s="311"/>
      <c r="H343" s="311"/>
      <c r="I343" s="311"/>
      <c r="J343" s="311"/>
      <c r="K343" s="311"/>
      <c r="L343" s="311"/>
      <c r="M343" s="311"/>
      <c r="N343" s="311"/>
      <c r="O343" s="311"/>
      <c r="P343" s="311"/>
      <c r="Q343" s="311"/>
      <c r="R343" s="311"/>
      <c r="S343" s="311"/>
      <c r="T343" s="311"/>
      <c r="U343" s="311"/>
      <c r="V343" s="311"/>
      <c r="W343" s="311"/>
      <c r="X343" s="311"/>
      <c r="Y343" s="24"/>
      <c r="Z343" s="24"/>
      <c r="AA343" s="24"/>
      <c r="AB343" s="24"/>
      <c r="AC343" s="24"/>
      <c r="AD343" s="24"/>
    </row>
    <row r="344" spans="1:30" ht="12.75">
      <c r="A344" s="313"/>
      <c r="B344" s="313"/>
      <c r="C344" s="314"/>
      <c r="D344" s="311"/>
      <c r="E344" s="311"/>
      <c r="F344" s="311"/>
      <c r="G344" s="311"/>
      <c r="H344" s="311"/>
      <c r="I344" s="311"/>
      <c r="J344" s="311"/>
      <c r="K344" s="311"/>
      <c r="L344" s="311"/>
      <c r="M344" s="311"/>
      <c r="N344" s="311"/>
      <c r="O344" s="311"/>
      <c r="P344" s="311"/>
      <c r="Q344" s="311"/>
      <c r="R344" s="311"/>
      <c r="S344" s="311"/>
      <c r="T344" s="311"/>
      <c r="U344" s="311"/>
      <c r="V344" s="311"/>
      <c r="W344" s="311"/>
      <c r="X344" s="311"/>
      <c r="Y344" s="24"/>
      <c r="Z344" s="24"/>
      <c r="AA344" s="24"/>
      <c r="AB344" s="24"/>
      <c r="AC344" s="24"/>
      <c r="AD344" s="24"/>
    </row>
    <row r="345" spans="1:30" ht="12.75">
      <c r="A345" s="313"/>
      <c r="B345" s="313"/>
      <c r="C345" s="314"/>
      <c r="D345" s="311"/>
      <c r="E345" s="311"/>
      <c r="F345" s="311"/>
      <c r="G345" s="311"/>
      <c r="H345" s="311"/>
      <c r="I345" s="311"/>
      <c r="J345" s="311"/>
      <c r="K345" s="311"/>
      <c r="L345" s="311"/>
      <c r="M345" s="311"/>
      <c r="N345" s="311"/>
      <c r="O345" s="311"/>
      <c r="P345" s="311"/>
      <c r="Q345" s="311"/>
      <c r="R345" s="311"/>
      <c r="S345" s="311"/>
      <c r="T345" s="311"/>
      <c r="U345" s="311"/>
      <c r="V345" s="311"/>
      <c r="W345" s="311"/>
      <c r="X345" s="311"/>
      <c r="Y345" s="24"/>
      <c r="Z345" s="24"/>
      <c r="AA345" s="24"/>
      <c r="AB345" s="24"/>
      <c r="AC345" s="24"/>
      <c r="AD345" s="24"/>
    </row>
    <row r="346" spans="1:30" ht="12.75">
      <c r="A346" s="313"/>
      <c r="B346" s="313"/>
      <c r="C346" s="314"/>
      <c r="D346" s="311"/>
      <c r="E346" s="311"/>
      <c r="F346" s="311"/>
      <c r="G346" s="311"/>
      <c r="H346" s="311"/>
      <c r="I346" s="311"/>
      <c r="J346" s="311"/>
      <c r="K346" s="311"/>
      <c r="L346" s="311"/>
      <c r="M346" s="311"/>
      <c r="N346" s="311"/>
      <c r="O346" s="311"/>
      <c r="P346" s="311"/>
      <c r="Q346" s="311"/>
      <c r="R346" s="311"/>
      <c r="S346" s="311"/>
      <c r="T346" s="311"/>
      <c r="U346" s="311"/>
      <c r="V346" s="311"/>
      <c r="W346" s="311"/>
      <c r="X346" s="311"/>
      <c r="Y346" s="24"/>
      <c r="Z346" s="24"/>
      <c r="AA346" s="24"/>
      <c r="AB346" s="24"/>
      <c r="AC346" s="24"/>
      <c r="AD346" s="24"/>
    </row>
    <row r="347" spans="1:30" ht="12.75">
      <c r="A347" s="313"/>
      <c r="B347" s="313"/>
      <c r="C347" s="314"/>
      <c r="D347" s="311"/>
      <c r="E347" s="311"/>
      <c r="F347" s="311"/>
      <c r="G347" s="311"/>
      <c r="H347" s="311"/>
      <c r="I347" s="311"/>
      <c r="J347" s="311"/>
      <c r="K347" s="311"/>
      <c r="L347" s="311"/>
      <c r="M347" s="311"/>
      <c r="N347" s="311"/>
      <c r="O347" s="311"/>
      <c r="P347" s="311"/>
      <c r="Q347" s="311"/>
      <c r="R347" s="311"/>
      <c r="S347" s="311"/>
      <c r="T347" s="311"/>
      <c r="U347" s="311"/>
      <c r="V347" s="311"/>
      <c r="W347" s="311"/>
      <c r="X347" s="311"/>
      <c r="Y347" s="24"/>
      <c r="Z347" s="24"/>
      <c r="AA347" s="24"/>
      <c r="AB347" s="24"/>
      <c r="AC347" s="24"/>
      <c r="AD347" s="24"/>
    </row>
    <row r="348" spans="1:30" ht="12.75">
      <c r="A348" s="313"/>
      <c r="B348" s="313"/>
      <c r="C348" s="314"/>
      <c r="D348" s="311"/>
      <c r="E348" s="311"/>
      <c r="F348" s="311"/>
      <c r="G348" s="311"/>
      <c r="H348" s="311"/>
      <c r="I348" s="311"/>
      <c r="J348" s="311"/>
      <c r="K348" s="311"/>
      <c r="L348" s="311"/>
      <c r="M348" s="311"/>
      <c r="N348" s="311"/>
      <c r="O348" s="311"/>
      <c r="P348" s="311"/>
      <c r="Q348" s="311"/>
      <c r="R348" s="311"/>
      <c r="S348" s="311"/>
      <c r="T348" s="311"/>
      <c r="U348" s="311"/>
      <c r="V348" s="311"/>
      <c r="W348" s="311"/>
      <c r="X348" s="311"/>
      <c r="Y348" s="24"/>
      <c r="Z348" s="24"/>
      <c r="AA348" s="24"/>
      <c r="AB348" s="24"/>
      <c r="AC348" s="24"/>
      <c r="AD348" s="24"/>
    </row>
    <row r="349" spans="1:30" ht="12.75">
      <c r="A349" s="313"/>
      <c r="B349" s="313"/>
      <c r="C349" s="314"/>
      <c r="D349" s="311"/>
      <c r="E349" s="311"/>
      <c r="F349" s="311"/>
      <c r="G349" s="311"/>
      <c r="H349" s="311"/>
      <c r="I349" s="311"/>
      <c r="J349" s="311"/>
      <c r="K349" s="311"/>
      <c r="L349" s="311"/>
      <c r="M349" s="311"/>
      <c r="N349" s="311"/>
      <c r="O349" s="311"/>
      <c r="P349" s="311"/>
      <c r="Q349" s="311"/>
      <c r="R349" s="311"/>
      <c r="S349" s="311"/>
      <c r="T349" s="311"/>
      <c r="U349" s="311"/>
      <c r="V349" s="311"/>
      <c r="W349" s="311"/>
      <c r="X349" s="311"/>
      <c r="Y349" s="24"/>
      <c r="Z349" s="24"/>
      <c r="AA349" s="24"/>
      <c r="AB349" s="24"/>
      <c r="AC349" s="24"/>
      <c r="AD349" s="24"/>
    </row>
    <row r="350" spans="1:30" ht="12.75">
      <c r="A350" s="313"/>
      <c r="B350" s="313"/>
      <c r="C350" s="314"/>
      <c r="D350" s="311"/>
      <c r="E350" s="311"/>
      <c r="F350" s="311"/>
      <c r="G350" s="311"/>
      <c r="H350" s="311"/>
      <c r="I350" s="311"/>
      <c r="J350" s="311"/>
      <c r="K350" s="311"/>
      <c r="L350" s="311"/>
      <c r="M350" s="311"/>
      <c r="N350" s="311"/>
      <c r="O350" s="311"/>
      <c r="P350" s="311"/>
      <c r="Q350" s="311"/>
      <c r="R350" s="311"/>
      <c r="S350" s="311"/>
      <c r="T350" s="311"/>
      <c r="U350" s="311"/>
      <c r="V350" s="311"/>
      <c r="W350" s="311"/>
      <c r="X350" s="311"/>
      <c r="Y350" s="24"/>
      <c r="Z350" s="24"/>
      <c r="AA350" s="24"/>
      <c r="AB350" s="24"/>
      <c r="AC350" s="24"/>
      <c r="AD350" s="24"/>
    </row>
    <row r="351" spans="1:30" ht="12.75">
      <c r="A351" s="313"/>
      <c r="B351" s="313"/>
      <c r="C351" s="314"/>
      <c r="D351" s="311"/>
      <c r="E351" s="311"/>
      <c r="F351" s="311"/>
      <c r="G351" s="311"/>
      <c r="H351" s="311"/>
      <c r="I351" s="311"/>
      <c r="J351" s="311"/>
      <c r="K351" s="311"/>
      <c r="L351" s="311"/>
      <c r="M351" s="311"/>
      <c r="N351" s="311"/>
      <c r="O351" s="311"/>
      <c r="P351" s="311"/>
      <c r="Q351" s="311"/>
      <c r="R351" s="311"/>
      <c r="S351" s="311"/>
      <c r="T351" s="311"/>
      <c r="U351" s="311"/>
      <c r="V351" s="311"/>
      <c r="W351" s="311"/>
      <c r="X351" s="311"/>
      <c r="Y351" s="24"/>
      <c r="Z351" s="24"/>
      <c r="AA351" s="24"/>
      <c r="AB351" s="24"/>
      <c r="AC351" s="24"/>
      <c r="AD351" s="24"/>
    </row>
    <row r="352" spans="1:30" ht="12.75">
      <c r="A352" s="313"/>
      <c r="B352" s="313"/>
      <c r="C352" s="314"/>
      <c r="D352" s="311"/>
      <c r="E352" s="311"/>
      <c r="F352" s="311"/>
      <c r="G352" s="311"/>
      <c r="H352" s="311"/>
      <c r="I352" s="311"/>
      <c r="J352" s="311"/>
      <c r="K352" s="311"/>
      <c r="L352" s="311"/>
      <c r="M352" s="311"/>
      <c r="N352" s="311"/>
      <c r="O352" s="311"/>
      <c r="P352" s="311"/>
      <c r="Q352" s="311"/>
      <c r="R352" s="311"/>
      <c r="S352" s="311"/>
      <c r="T352" s="311"/>
      <c r="U352" s="311"/>
      <c r="V352" s="311"/>
      <c r="W352" s="311"/>
      <c r="X352" s="311"/>
      <c r="Y352" s="24"/>
      <c r="Z352" s="24"/>
      <c r="AA352" s="24"/>
      <c r="AB352" s="24"/>
      <c r="AC352" s="24"/>
      <c r="AD352" s="24"/>
    </row>
    <row r="353" spans="1:30" ht="12.75">
      <c r="A353" s="313"/>
      <c r="B353" s="313"/>
      <c r="C353" s="314"/>
      <c r="D353" s="311"/>
      <c r="E353" s="311"/>
      <c r="F353" s="311"/>
      <c r="G353" s="311"/>
      <c r="H353" s="311"/>
      <c r="I353" s="311"/>
      <c r="J353" s="311"/>
      <c r="K353" s="311"/>
      <c r="L353" s="311"/>
      <c r="M353" s="311"/>
      <c r="N353" s="311"/>
      <c r="O353" s="311"/>
      <c r="P353" s="311"/>
      <c r="Q353" s="311"/>
      <c r="R353" s="311"/>
      <c r="S353" s="311"/>
      <c r="T353" s="311"/>
      <c r="U353" s="311"/>
      <c r="V353" s="311"/>
      <c r="W353" s="311"/>
      <c r="X353" s="311"/>
      <c r="Y353" s="24"/>
      <c r="Z353" s="24"/>
      <c r="AA353" s="24"/>
      <c r="AB353" s="24"/>
      <c r="AC353" s="24"/>
      <c r="AD353" s="24"/>
    </row>
    <row r="354" spans="1:30" ht="12.75">
      <c r="A354" s="313"/>
      <c r="B354" s="313"/>
      <c r="C354" s="314"/>
      <c r="D354" s="311"/>
      <c r="E354" s="311"/>
      <c r="F354" s="311"/>
      <c r="G354" s="311"/>
      <c r="H354" s="311"/>
      <c r="I354" s="311"/>
      <c r="J354" s="311"/>
      <c r="K354" s="311"/>
      <c r="L354" s="311"/>
      <c r="M354" s="311"/>
      <c r="N354" s="311"/>
      <c r="O354" s="311"/>
      <c r="P354" s="311"/>
      <c r="Q354" s="311"/>
      <c r="R354" s="311"/>
      <c r="S354" s="311"/>
      <c r="T354" s="311"/>
      <c r="U354" s="311"/>
      <c r="V354" s="311"/>
      <c r="W354" s="311"/>
      <c r="X354" s="311"/>
      <c r="Y354" s="24"/>
      <c r="Z354" s="24"/>
      <c r="AA354" s="24"/>
      <c r="AB354" s="24"/>
      <c r="AC354" s="24"/>
      <c r="AD354" s="24"/>
    </row>
    <row r="355" spans="1:30" ht="12.75">
      <c r="A355" s="313"/>
      <c r="B355" s="313"/>
      <c r="C355" s="314"/>
      <c r="D355" s="311"/>
      <c r="E355" s="311"/>
      <c r="F355" s="311"/>
      <c r="G355" s="311"/>
      <c r="H355" s="311"/>
      <c r="I355" s="311"/>
      <c r="J355" s="311"/>
      <c r="K355" s="311"/>
      <c r="L355" s="311"/>
      <c r="M355" s="311"/>
      <c r="N355" s="311"/>
      <c r="O355" s="311"/>
      <c r="P355" s="311"/>
      <c r="Q355" s="311"/>
      <c r="R355" s="311"/>
      <c r="S355" s="311"/>
      <c r="T355" s="311"/>
      <c r="U355" s="311"/>
      <c r="V355" s="311"/>
      <c r="W355" s="311"/>
      <c r="X355" s="311"/>
      <c r="Y355" s="24"/>
      <c r="Z355" s="24"/>
      <c r="AA355" s="24"/>
      <c r="AB355" s="24"/>
      <c r="AC355" s="24"/>
      <c r="AD355" s="24"/>
    </row>
    <row r="356" spans="1:30" ht="12.75">
      <c r="A356" s="313"/>
      <c r="B356" s="313"/>
      <c r="C356" s="314"/>
      <c r="D356" s="311"/>
      <c r="E356" s="311"/>
      <c r="F356" s="311"/>
      <c r="G356" s="311"/>
      <c r="H356" s="311"/>
      <c r="I356" s="311"/>
      <c r="J356" s="311"/>
      <c r="K356" s="311"/>
      <c r="L356" s="311"/>
      <c r="M356" s="311"/>
      <c r="N356" s="311"/>
      <c r="O356" s="311"/>
      <c r="P356" s="311"/>
      <c r="Q356" s="311"/>
      <c r="R356" s="311"/>
      <c r="S356" s="311"/>
      <c r="T356" s="311"/>
      <c r="U356" s="311"/>
      <c r="V356" s="311"/>
      <c r="W356" s="311"/>
      <c r="X356" s="311"/>
      <c r="Y356" s="24"/>
      <c r="Z356" s="24"/>
      <c r="AA356" s="24"/>
      <c r="AB356" s="24"/>
      <c r="AC356" s="24"/>
      <c r="AD356" s="24"/>
    </row>
    <row r="357" spans="1:30" ht="12.75">
      <c r="A357" s="313"/>
      <c r="B357" s="313"/>
      <c r="C357" s="314"/>
      <c r="D357" s="311"/>
      <c r="E357" s="311"/>
      <c r="F357" s="311"/>
      <c r="G357" s="311"/>
      <c r="H357" s="311"/>
      <c r="I357" s="311"/>
      <c r="J357" s="311"/>
      <c r="K357" s="311"/>
      <c r="L357" s="311"/>
      <c r="M357" s="311"/>
      <c r="N357" s="311"/>
      <c r="O357" s="311"/>
      <c r="P357" s="311"/>
      <c r="Q357" s="311"/>
      <c r="R357" s="311"/>
      <c r="S357" s="311"/>
      <c r="T357" s="311"/>
      <c r="U357" s="311"/>
      <c r="V357" s="311"/>
      <c r="W357" s="311"/>
      <c r="X357" s="311"/>
      <c r="Y357" s="24"/>
      <c r="Z357" s="24"/>
      <c r="AA357" s="24"/>
      <c r="AB357" s="24"/>
      <c r="AC357" s="24"/>
      <c r="AD357" s="24"/>
    </row>
    <row r="358" spans="1:30" ht="12.75">
      <c r="A358" s="313"/>
      <c r="B358" s="313"/>
      <c r="C358" s="314"/>
      <c r="D358" s="311"/>
      <c r="E358" s="311"/>
      <c r="F358" s="311"/>
      <c r="G358" s="311"/>
      <c r="H358" s="311"/>
      <c r="I358" s="311"/>
      <c r="J358" s="311"/>
      <c r="K358" s="311"/>
      <c r="L358" s="311"/>
      <c r="M358" s="311"/>
      <c r="N358" s="311"/>
      <c r="O358" s="311"/>
      <c r="P358" s="311"/>
      <c r="Q358" s="311"/>
      <c r="R358" s="311"/>
      <c r="S358" s="311"/>
      <c r="T358" s="311"/>
      <c r="U358" s="311"/>
      <c r="V358" s="311"/>
      <c r="W358" s="311"/>
      <c r="X358" s="311"/>
      <c r="Y358" s="24"/>
      <c r="Z358" s="24"/>
      <c r="AA358" s="24"/>
      <c r="AB358" s="24"/>
      <c r="AC358" s="24"/>
      <c r="AD358" s="24"/>
    </row>
    <row r="359" spans="1:30" ht="12.75">
      <c r="A359" s="313"/>
      <c r="B359" s="313"/>
      <c r="C359" s="314"/>
      <c r="D359" s="311"/>
      <c r="E359" s="311"/>
      <c r="F359" s="311"/>
      <c r="G359" s="311"/>
      <c r="H359" s="311"/>
      <c r="I359" s="311"/>
      <c r="J359" s="311"/>
      <c r="K359" s="311"/>
      <c r="L359" s="311"/>
      <c r="M359" s="311"/>
      <c r="N359" s="311"/>
      <c r="O359" s="311"/>
      <c r="P359" s="311"/>
      <c r="Q359" s="311"/>
      <c r="R359" s="311"/>
      <c r="S359" s="311"/>
      <c r="T359" s="311"/>
      <c r="U359" s="311"/>
      <c r="V359" s="311"/>
      <c r="W359" s="311"/>
      <c r="X359" s="311"/>
      <c r="Y359" s="24"/>
      <c r="Z359" s="24"/>
      <c r="AA359" s="24"/>
      <c r="AB359" s="24"/>
      <c r="AC359" s="24"/>
      <c r="AD359" s="24"/>
    </row>
    <row r="360" spans="1:30" ht="12.75">
      <c r="A360" s="313"/>
      <c r="B360" s="313"/>
      <c r="C360" s="314"/>
      <c r="D360" s="311"/>
      <c r="E360" s="311"/>
      <c r="F360" s="311"/>
      <c r="G360" s="311"/>
      <c r="H360" s="311"/>
      <c r="I360" s="311"/>
      <c r="J360" s="311"/>
      <c r="K360" s="311"/>
      <c r="L360" s="311"/>
      <c r="M360" s="311"/>
      <c r="N360" s="311"/>
      <c r="O360" s="311"/>
      <c r="P360" s="311"/>
      <c r="Q360" s="311"/>
      <c r="R360" s="311"/>
      <c r="S360" s="311"/>
      <c r="T360" s="311"/>
      <c r="U360" s="311"/>
      <c r="V360" s="311"/>
      <c r="W360" s="311"/>
      <c r="X360" s="311"/>
      <c r="Y360" s="24"/>
      <c r="Z360" s="24"/>
      <c r="AA360" s="24"/>
      <c r="AB360" s="24"/>
      <c r="AC360" s="24"/>
      <c r="AD360" s="24"/>
    </row>
    <row r="361" spans="1:30" ht="12.75">
      <c r="A361" s="313"/>
      <c r="B361" s="313"/>
      <c r="C361" s="314"/>
      <c r="D361" s="311"/>
      <c r="E361" s="311"/>
      <c r="F361" s="311"/>
      <c r="G361" s="311"/>
      <c r="H361" s="311"/>
      <c r="I361" s="311"/>
      <c r="J361" s="311"/>
      <c r="K361" s="311"/>
      <c r="L361" s="311"/>
      <c r="M361" s="311"/>
      <c r="N361" s="311"/>
      <c r="O361" s="311"/>
      <c r="P361" s="311"/>
      <c r="Q361" s="311"/>
      <c r="R361" s="311"/>
      <c r="S361" s="311"/>
      <c r="T361" s="311"/>
      <c r="U361" s="311"/>
      <c r="V361" s="311"/>
      <c r="W361" s="311"/>
      <c r="X361" s="311"/>
      <c r="Y361" s="24"/>
      <c r="Z361" s="24"/>
      <c r="AA361" s="24"/>
      <c r="AB361" s="24"/>
      <c r="AC361" s="24"/>
      <c r="AD361" s="24"/>
    </row>
    <row r="362" spans="1:30" ht="12.75">
      <c r="A362" s="313"/>
      <c r="B362" s="313"/>
      <c r="C362" s="314"/>
      <c r="D362" s="311"/>
      <c r="E362" s="311"/>
      <c r="F362" s="311"/>
      <c r="G362" s="311"/>
      <c r="H362" s="311"/>
      <c r="I362" s="311"/>
      <c r="J362" s="311"/>
      <c r="K362" s="311"/>
      <c r="L362" s="311"/>
      <c r="M362" s="311"/>
      <c r="N362" s="311"/>
      <c r="O362" s="311"/>
      <c r="P362" s="311"/>
      <c r="Q362" s="311"/>
      <c r="R362" s="311"/>
      <c r="S362" s="311"/>
      <c r="T362" s="311"/>
      <c r="U362" s="311"/>
      <c r="V362" s="311"/>
      <c r="W362" s="311"/>
      <c r="X362" s="311"/>
      <c r="Y362" s="24"/>
      <c r="Z362" s="24"/>
      <c r="AA362" s="24"/>
      <c r="AB362" s="24"/>
      <c r="AC362" s="24"/>
      <c r="AD362" s="24"/>
    </row>
    <row r="363" spans="1:30" ht="12.75">
      <c r="A363" s="313"/>
      <c r="B363" s="313"/>
      <c r="C363" s="314"/>
      <c r="D363" s="311"/>
      <c r="E363" s="311"/>
      <c r="F363" s="311"/>
      <c r="G363" s="311"/>
      <c r="H363" s="311"/>
      <c r="I363" s="311"/>
      <c r="J363" s="311"/>
      <c r="K363" s="311"/>
      <c r="L363" s="311"/>
      <c r="M363" s="311"/>
      <c r="N363" s="311"/>
      <c r="O363" s="311"/>
      <c r="P363" s="311"/>
      <c r="Q363" s="311"/>
      <c r="R363" s="311"/>
      <c r="S363" s="311"/>
      <c r="T363" s="311"/>
      <c r="U363" s="311"/>
      <c r="V363" s="311"/>
      <c r="W363" s="311"/>
      <c r="X363" s="311"/>
      <c r="Y363" s="24"/>
      <c r="Z363" s="24"/>
      <c r="AA363" s="24"/>
      <c r="AB363" s="24"/>
      <c r="AC363" s="24"/>
      <c r="AD363" s="24"/>
    </row>
    <row r="364" spans="1:30" ht="12.75">
      <c r="A364" s="313"/>
      <c r="B364" s="313"/>
      <c r="C364" s="314"/>
      <c r="D364" s="311"/>
      <c r="E364" s="311"/>
      <c r="F364" s="311"/>
      <c r="G364" s="311"/>
      <c r="H364" s="311"/>
      <c r="I364" s="311"/>
      <c r="J364" s="311"/>
      <c r="K364" s="311"/>
      <c r="L364" s="311"/>
      <c r="M364" s="311"/>
      <c r="N364" s="311"/>
      <c r="O364" s="311"/>
      <c r="P364" s="311"/>
      <c r="Q364" s="311"/>
      <c r="R364" s="311"/>
      <c r="S364" s="311"/>
      <c r="T364" s="311"/>
      <c r="U364" s="311"/>
      <c r="V364" s="311"/>
      <c r="W364" s="311"/>
      <c r="X364" s="311"/>
      <c r="Y364" s="24"/>
      <c r="Z364" s="24"/>
      <c r="AA364" s="24"/>
      <c r="AB364" s="24"/>
      <c r="AC364" s="24"/>
      <c r="AD364" s="24"/>
    </row>
    <row r="365" spans="1:30" ht="12.75">
      <c r="A365" s="313"/>
      <c r="B365" s="313"/>
      <c r="C365" s="314"/>
      <c r="D365" s="311"/>
      <c r="E365" s="311"/>
      <c r="F365" s="311"/>
      <c r="G365" s="311"/>
      <c r="H365" s="311"/>
      <c r="I365" s="311"/>
      <c r="J365" s="311"/>
      <c r="K365" s="311"/>
      <c r="L365" s="311"/>
      <c r="M365" s="311"/>
      <c r="N365" s="311"/>
      <c r="O365" s="311"/>
      <c r="P365" s="311"/>
      <c r="Q365" s="311"/>
      <c r="R365" s="311"/>
      <c r="S365" s="311"/>
      <c r="T365" s="311"/>
      <c r="U365" s="311"/>
      <c r="V365" s="311"/>
      <c r="W365" s="311"/>
      <c r="X365" s="311"/>
      <c r="Y365" s="24"/>
      <c r="Z365" s="24"/>
      <c r="AA365" s="24"/>
      <c r="AB365" s="24"/>
      <c r="AC365" s="24"/>
      <c r="AD365" s="24"/>
    </row>
    <row r="366" spans="1:30" ht="12.75">
      <c r="A366" s="313"/>
      <c r="B366" s="313"/>
      <c r="C366" s="314"/>
      <c r="D366" s="311"/>
      <c r="E366" s="311"/>
      <c r="F366" s="311"/>
      <c r="G366" s="311"/>
      <c r="H366" s="311"/>
      <c r="I366" s="311"/>
      <c r="J366" s="311"/>
      <c r="K366" s="311"/>
      <c r="L366" s="311"/>
      <c r="M366" s="311"/>
      <c r="N366" s="311"/>
      <c r="O366" s="311"/>
      <c r="P366" s="311"/>
      <c r="Q366" s="311"/>
      <c r="R366" s="311"/>
      <c r="S366" s="311"/>
      <c r="T366" s="311"/>
      <c r="U366" s="311"/>
      <c r="V366" s="311"/>
      <c r="W366" s="311"/>
      <c r="X366" s="311"/>
      <c r="Y366" s="24"/>
      <c r="Z366" s="24"/>
      <c r="AA366" s="24"/>
      <c r="AB366" s="24"/>
      <c r="AC366" s="24"/>
      <c r="AD366" s="24"/>
    </row>
    <row r="367" spans="1:30" ht="12.75">
      <c r="A367" s="313"/>
      <c r="B367" s="313"/>
      <c r="C367" s="314"/>
      <c r="D367" s="311"/>
      <c r="E367" s="311"/>
      <c r="F367" s="311"/>
      <c r="G367" s="311"/>
      <c r="H367" s="311"/>
      <c r="I367" s="311"/>
      <c r="J367" s="311"/>
      <c r="K367" s="311"/>
      <c r="L367" s="311"/>
      <c r="M367" s="311"/>
      <c r="N367" s="311"/>
      <c r="O367" s="311"/>
      <c r="P367" s="311"/>
      <c r="Q367" s="311"/>
      <c r="R367" s="311"/>
      <c r="S367" s="311"/>
      <c r="T367" s="311"/>
      <c r="U367" s="311"/>
      <c r="V367" s="311"/>
      <c r="W367" s="311"/>
      <c r="X367" s="311"/>
      <c r="Y367" s="24"/>
      <c r="Z367" s="24"/>
      <c r="AA367" s="24"/>
      <c r="AB367" s="24"/>
      <c r="AC367" s="24"/>
      <c r="AD367" s="24"/>
    </row>
    <row r="368" spans="1:30" ht="12.75">
      <c r="A368" s="313"/>
      <c r="B368" s="313"/>
      <c r="C368" s="314"/>
      <c r="D368" s="311"/>
      <c r="E368" s="311"/>
      <c r="F368" s="311"/>
      <c r="G368" s="311"/>
      <c r="H368" s="311"/>
      <c r="I368" s="311"/>
      <c r="J368" s="311"/>
      <c r="K368" s="311"/>
      <c r="L368" s="311"/>
      <c r="M368" s="311"/>
      <c r="N368" s="311"/>
      <c r="O368" s="311"/>
      <c r="P368" s="311"/>
      <c r="Q368" s="311"/>
      <c r="R368" s="311"/>
      <c r="S368" s="311"/>
      <c r="T368" s="311"/>
      <c r="U368" s="311"/>
      <c r="V368" s="311"/>
      <c r="W368" s="311"/>
      <c r="X368" s="311"/>
      <c r="Y368" s="24"/>
      <c r="Z368" s="24"/>
      <c r="AA368" s="24"/>
      <c r="AB368" s="24"/>
      <c r="AC368" s="24"/>
      <c r="AD368" s="24"/>
    </row>
    <row r="369" spans="1:30" ht="12.75">
      <c r="A369" s="313"/>
      <c r="B369" s="313"/>
      <c r="C369" s="314"/>
      <c r="D369" s="311"/>
      <c r="E369" s="311"/>
      <c r="F369" s="311"/>
      <c r="G369" s="311"/>
      <c r="H369" s="311"/>
      <c r="I369" s="311"/>
      <c r="J369" s="311"/>
      <c r="K369" s="311"/>
      <c r="L369" s="311"/>
      <c r="M369" s="311"/>
      <c r="N369" s="311"/>
      <c r="O369" s="311"/>
      <c r="P369" s="311"/>
      <c r="Q369" s="311"/>
      <c r="R369" s="311"/>
      <c r="S369" s="311"/>
      <c r="T369" s="311"/>
      <c r="U369" s="311"/>
      <c r="V369" s="311"/>
      <c r="W369" s="311"/>
      <c r="X369" s="311"/>
      <c r="Y369" s="24"/>
      <c r="Z369" s="24"/>
      <c r="AA369" s="24"/>
      <c r="AB369" s="24"/>
      <c r="AC369" s="24"/>
      <c r="AD369" s="24"/>
    </row>
    <row r="370" spans="1:30" ht="12.75">
      <c r="A370" s="313"/>
      <c r="B370" s="313"/>
      <c r="C370" s="314"/>
      <c r="D370" s="311"/>
      <c r="E370" s="311"/>
      <c r="F370" s="311"/>
      <c r="G370" s="311"/>
      <c r="H370" s="311"/>
      <c r="I370" s="311"/>
      <c r="J370" s="311"/>
      <c r="K370" s="311"/>
      <c r="L370" s="311"/>
      <c r="M370" s="311"/>
      <c r="N370" s="311"/>
      <c r="O370" s="311"/>
      <c r="P370" s="311"/>
      <c r="Q370" s="311"/>
      <c r="R370" s="311"/>
      <c r="S370" s="311"/>
      <c r="T370" s="311"/>
      <c r="U370" s="311"/>
      <c r="V370" s="311"/>
      <c r="W370" s="311"/>
      <c r="X370" s="311"/>
      <c r="Y370" s="24"/>
      <c r="Z370" s="24"/>
      <c r="AA370" s="24"/>
      <c r="AB370" s="24"/>
      <c r="AC370" s="24"/>
      <c r="AD370" s="24"/>
    </row>
    <row r="371" spans="1:30" ht="12.75">
      <c r="A371" s="313"/>
      <c r="B371" s="313"/>
      <c r="C371" s="314"/>
      <c r="D371" s="311"/>
      <c r="E371" s="311"/>
      <c r="F371" s="311"/>
      <c r="G371" s="311"/>
      <c r="H371" s="311"/>
      <c r="I371" s="311"/>
      <c r="J371" s="311"/>
      <c r="K371" s="311"/>
      <c r="L371" s="311"/>
      <c r="M371" s="311"/>
      <c r="N371" s="311"/>
      <c r="O371" s="311"/>
      <c r="P371" s="311"/>
      <c r="Q371" s="311"/>
      <c r="R371" s="311"/>
      <c r="S371" s="311"/>
      <c r="T371" s="311"/>
      <c r="U371" s="311"/>
      <c r="V371" s="311"/>
      <c r="W371" s="311"/>
      <c r="X371" s="311"/>
      <c r="Y371" s="24"/>
      <c r="Z371" s="24"/>
      <c r="AA371" s="24"/>
      <c r="AB371" s="24"/>
      <c r="AC371" s="24"/>
      <c r="AD371" s="24"/>
    </row>
    <row r="372" spans="1:30" ht="12.75">
      <c r="A372" s="313"/>
      <c r="B372" s="313"/>
      <c r="C372" s="314"/>
      <c r="D372" s="311"/>
      <c r="E372" s="311"/>
      <c r="F372" s="311"/>
      <c r="G372" s="311"/>
      <c r="H372" s="311"/>
      <c r="I372" s="311"/>
      <c r="J372" s="311"/>
      <c r="K372" s="311"/>
      <c r="L372" s="311"/>
      <c r="M372" s="311"/>
      <c r="N372" s="311"/>
      <c r="O372" s="311"/>
      <c r="P372" s="311"/>
      <c r="Q372" s="311"/>
      <c r="R372" s="311"/>
      <c r="S372" s="311"/>
      <c r="T372" s="311"/>
      <c r="U372" s="311"/>
      <c r="V372" s="311"/>
      <c r="W372" s="311"/>
      <c r="X372" s="311"/>
      <c r="Y372" s="24"/>
      <c r="Z372" s="24"/>
      <c r="AA372" s="24"/>
      <c r="AB372" s="24"/>
      <c r="AC372" s="24"/>
      <c r="AD372" s="24"/>
    </row>
    <row r="373" spans="1:30" ht="12.75">
      <c r="A373" s="313"/>
      <c r="B373" s="313"/>
      <c r="C373" s="314"/>
      <c r="D373" s="311"/>
      <c r="E373" s="311"/>
      <c r="F373" s="311"/>
      <c r="G373" s="311"/>
      <c r="H373" s="311"/>
      <c r="I373" s="311"/>
      <c r="J373" s="311"/>
      <c r="K373" s="311"/>
      <c r="L373" s="311"/>
      <c r="M373" s="311"/>
      <c r="N373" s="311"/>
      <c r="O373" s="311"/>
      <c r="P373" s="311"/>
      <c r="Q373" s="311"/>
      <c r="R373" s="311"/>
      <c r="S373" s="311"/>
      <c r="T373" s="311"/>
      <c r="U373" s="311"/>
      <c r="V373" s="311"/>
      <c r="W373" s="311"/>
      <c r="X373" s="311"/>
      <c r="Y373" s="24"/>
      <c r="Z373" s="24"/>
      <c r="AA373" s="24"/>
      <c r="AB373" s="24"/>
      <c r="AC373" s="24"/>
      <c r="AD373" s="24"/>
    </row>
    <row r="374" spans="1:30" ht="12.75">
      <c r="A374" s="313"/>
      <c r="B374" s="313"/>
      <c r="C374" s="314"/>
      <c r="D374" s="311"/>
      <c r="E374" s="311"/>
      <c r="F374" s="311"/>
      <c r="G374" s="311"/>
      <c r="H374" s="311"/>
      <c r="I374" s="311"/>
      <c r="J374" s="311"/>
      <c r="K374" s="311"/>
      <c r="L374" s="311"/>
      <c r="M374" s="311"/>
      <c r="N374" s="311"/>
      <c r="O374" s="311"/>
      <c r="P374" s="311"/>
      <c r="Q374" s="311"/>
      <c r="R374" s="311"/>
      <c r="S374" s="311"/>
      <c r="T374" s="311"/>
      <c r="U374" s="311"/>
      <c r="V374" s="311"/>
      <c r="W374" s="311"/>
      <c r="X374" s="311"/>
      <c r="Y374" s="24"/>
      <c r="Z374" s="24"/>
      <c r="AA374" s="24"/>
      <c r="AB374" s="24"/>
      <c r="AC374" s="24"/>
      <c r="AD374" s="24"/>
    </row>
    <row r="375" spans="1:30" ht="12.75">
      <c r="A375" s="313"/>
      <c r="B375" s="313"/>
      <c r="C375" s="314"/>
      <c r="D375" s="311"/>
      <c r="E375" s="311"/>
      <c r="F375" s="311"/>
      <c r="G375" s="311"/>
      <c r="H375" s="311"/>
      <c r="I375" s="311"/>
      <c r="J375" s="311"/>
      <c r="K375" s="311"/>
      <c r="L375" s="311"/>
      <c r="M375" s="311"/>
      <c r="N375" s="311"/>
      <c r="O375" s="311"/>
      <c r="P375" s="311"/>
      <c r="Q375" s="311"/>
      <c r="R375" s="311"/>
      <c r="S375" s="311"/>
      <c r="T375" s="311"/>
      <c r="U375" s="311"/>
      <c r="V375" s="311"/>
      <c r="W375" s="311"/>
      <c r="X375" s="311"/>
      <c r="Y375" s="24"/>
      <c r="Z375" s="24"/>
      <c r="AA375" s="24"/>
      <c r="AB375" s="24"/>
      <c r="AC375" s="24"/>
      <c r="AD375" s="24"/>
    </row>
    <row r="376" spans="1:30" ht="12.75">
      <c r="A376" s="313"/>
      <c r="B376" s="313"/>
      <c r="C376" s="314"/>
      <c r="D376" s="311"/>
      <c r="E376" s="311"/>
      <c r="F376" s="311"/>
      <c r="G376" s="311"/>
      <c r="H376" s="311"/>
      <c r="I376" s="311"/>
      <c r="J376" s="311"/>
      <c r="K376" s="311"/>
      <c r="L376" s="311"/>
      <c r="M376" s="311"/>
      <c r="N376" s="311"/>
      <c r="O376" s="311"/>
      <c r="P376" s="311"/>
      <c r="Q376" s="311"/>
      <c r="R376" s="311"/>
      <c r="S376" s="311"/>
      <c r="T376" s="311"/>
      <c r="U376" s="311"/>
      <c r="V376" s="311"/>
      <c r="W376" s="311"/>
      <c r="X376" s="311"/>
      <c r="Y376" s="24"/>
      <c r="Z376" s="24"/>
      <c r="AA376" s="24"/>
      <c r="AB376" s="24"/>
      <c r="AC376" s="24"/>
      <c r="AD376" s="24"/>
    </row>
    <row r="377" spans="1:30" ht="12.75">
      <c r="A377" s="313"/>
      <c r="B377" s="313"/>
      <c r="C377" s="314"/>
      <c r="D377" s="311"/>
      <c r="E377" s="311"/>
      <c r="F377" s="311"/>
      <c r="G377" s="311"/>
      <c r="H377" s="311"/>
      <c r="I377" s="311"/>
      <c r="J377" s="311"/>
      <c r="K377" s="311"/>
      <c r="L377" s="311"/>
      <c r="M377" s="311"/>
      <c r="N377" s="311"/>
      <c r="O377" s="311"/>
      <c r="P377" s="311"/>
      <c r="Q377" s="311"/>
      <c r="R377" s="311"/>
      <c r="S377" s="311"/>
      <c r="T377" s="311"/>
      <c r="U377" s="311"/>
      <c r="V377" s="311"/>
      <c r="W377" s="311"/>
      <c r="X377" s="311"/>
      <c r="Y377" s="24"/>
      <c r="Z377" s="24"/>
      <c r="AA377" s="24"/>
      <c r="AB377" s="24"/>
      <c r="AC377" s="24"/>
      <c r="AD377" s="24"/>
    </row>
    <row r="378" spans="1:30" ht="12.75">
      <c r="A378" s="313"/>
      <c r="B378" s="313"/>
      <c r="C378" s="314"/>
      <c r="D378" s="311"/>
      <c r="E378" s="311"/>
      <c r="F378" s="311"/>
      <c r="G378" s="311"/>
      <c r="H378" s="311"/>
      <c r="I378" s="311"/>
      <c r="J378" s="311"/>
      <c r="K378" s="311"/>
      <c r="L378" s="311"/>
      <c r="M378" s="311"/>
      <c r="N378" s="311"/>
      <c r="O378" s="311"/>
      <c r="P378" s="311"/>
      <c r="Q378" s="311"/>
      <c r="R378" s="311"/>
      <c r="S378" s="311"/>
      <c r="T378" s="311"/>
      <c r="U378" s="311"/>
      <c r="V378" s="311"/>
      <c r="W378" s="311"/>
      <c r="X378" s="311"/>
      <c r="Y378" s="24"/>
      <c r="Z378" s="24"/>
      <c r="AA378" s="24"/>
      <c r="AB378" s="24"/>
      <c r="AC378" s="24"/>
      <c r="AD378" s="24"/>
    </row>
    <row r="379" spans="1:30" ht="12.75">
      <c r="A379" s="313"/>
      <c r="B379" s="313"/>
      <c r="C379" s="314"/>
      <c r="D379" s="311"/>
      <c r="E379" s="311"/>
      <c r="F379" s="311"/>
      <c r="G379" s="311"/>
      <c r="H379" s="311"/>
      <c r="I379" s="311"/>
      <c r="J379" s="311"/>
      <c r="K379" s="311"/>
      <c r="L379" s="311"/>
      <c r="M379" s="311"/>
      <c r="N379" s="311"/>
      <c r="O379" s="311"/>
      <c r="P379" s="311"/>
      <c r="Q379" s="311"/>
      <c r="R379" s="311"/>
      <c r="S379" s="311"/>
      <c r="T379" s="311"/>
      <c r="U379" s="311"/>
      <c r="V379" s="311"/>
      <c r="W379" s="311"/>
      <c r="X379" s="311"/>
      <c r="Y379" s="24"/>
      <c r="Z379" s="24"/>
      <c r="AA379" s="24"/>
      <c r="AB379" s="24"/>
      <c r="AC379" s="24"/>
      <c r="AD379" s="24"/>
    </row>
    <row r="380" spans="1:30" ht="12.75">
      <c r="A380" s="313"/>
      <c r="B380" s="313"/>
      <c r="C380" s="314"/>
      <c r="D380" s="311"/>
      <c r="E380" s="311"/>
      <c r="F380" s="311"/>
      <c r="G380" s="311"/>
      <c r="H380" s="311"/>
      <c r="I380" s="311"/>
      <c r="J380" s="311"/>
      <c r="K380" s="311"/>
      <c r="L380" s="311"/>
      <c r="M380" s="311"/>
      <c r="N380" s="311"/>
      <c r="O380" s="311"/>
      <c r="P380" s="311"/>
      <c r="Q380" s="311"/>
      <c r="R380" s="311"/>
      <c r="S380" s="311"/>
      <c r="T380" s="311"/>
      <c r="U380" s="311"/>
      <c r="V380" s="311"/>
      <c r="W380" s="311"/>
      <c r="X380" s="311"/>
      <c r="Y380" s="24"/>
      <c r="Z380" s="24"/>
      <c r="AA380" s="24"/>
      <c r="AB380" s="24"/>
      <c r="AC380" s="24"/>
      <c r="AD380" s="24"/>
    </row>
    <row r="381" spans="1:30" ht="12.75">
      <c r="A381" s="313"/>
      <c r="B381" s="313"/>
      <c r="C381" s="314"/>
      <c r="D381" s="311"/>
      <c r="E381" s="311"/>
      <c r="F381" s="311"/>
      <c r="G381" s="311"/>
      <c r="H381" s="311"/>
      <c r="I381" s="311"/>
      <c r="J381" s="311"/>
      <c r="K381" s="311"/>
      <c r="L381" s="311"/>
      <c r="M381" s="311"/>
      <c r="N381" s="311"/>
      <c r="O381" s="311"/>
      <c r="P381" s="311"/>
      <c r="Q381" s="311"/>
      <c r="R381" s="311"/>
      <c r="S381" s="311"/>
      <c r="T381" s="311"/>
      <c r="U381" s="311"/>
      <c r="V381" s="311"/>
      <c r="W381" s="311"/>
      <c r="X381" s="311"/>
      <c r="Y381" s="24"/>
      <c r="Z381" s="24"/>
      <c r="AA381" s="24"/>
      <c r="AB381" s="24"/>
      <c r="AC381" s="24"/>
      <c r="AD381" s="24"/>
    </row>
    <row r="382" spans="1:30" ht="12.75">
      <c r="A382" s="313"/>
      <c r="B382" s="313"/>
      <c r="C382" s="314"/>
      <c r="D382" s="311"/>
      <c r="E382" s="311"/>
      <c r="F382" s="311"/>
      <c r="G382" s="311"/>
      <c r="H382" s="311"/>
      <c r="I382" s="311"/>
      <c r="J382" s="311"/>
      <c r="K382" s="311"/>
      <c r="L382" s="311"/>
      <c r="M382" s="311"/>
      <c r="N382" s="311"/>
      <c r="O382" s="311"/>
      <c r="P382" s="311"/>
      <c r="Q382" s="311"/>
      <c r="R382" s="311"/>
      <c r="S382" s="311"/>
      <c r="T382" s="311"/>
      <c r="U382" s="311"/>
      <c r="V382" s="311"/>
      <c r="W382" s="311"/>
      <c r="X382" s="311"/>
      <c r="Y382" s="24"/>
      <c r="Z382" s="24"/>
      <c r="AA382" s="24"/>
      <c r="AB382" s="24"/>
      <c r="AC382" s="24"/>
      <c r="AD382" s="24"/>
    </row>
    <row r="383" spans="1:30" ht="12.75">
      <c r="A383" s="313"/>
      <c r="B383" s="313"/>
      <c r="C383" s="314"/>
      <c r="D383" s="311"/>
      <c r="E383" s="311"/>
      <c r="F383" s="311"/>
      <c r="G383" s="311"/>
      <c r="H383" s="311"/>
      <c r="I383" s="311"/>
      <c r="J383" s="311"/>
      <c r="K383" s="311"/>
      <c r="L383" s="311"/>
      <c r="M383" s="311"/>
      <c r="N383" s="311"/>
      <c r="O383" s="311"/>
      <c r="P383" s="311"/>
      <c r="Q383" s="311"/>
      <c r="R383" s="311"/>
      <c r="S383" s="311"/>
      <c r="T383" s="311"/>
      <c r="U383" s="311"/>
      <c r="V383" s="311"/>
      <c r="W383" s="311"/>
      <c r="X383" s="311"/>
      <c r="Y383" s="24"/>
      <c r="Z383" s="24"/>
      <c r="AA383" s="24"/>
      <c r="AB383" s="24"/>
      <c r="AC383" s="24"/>
      <c r="AD383" s="24"/>
    </row>
    <row r="384" spans="1:30" ht="12.75">
      <c r="A384" s="313"/>
      <c r="B384" s="313"/>
      <c r="C384" s="314"/>
      <c r="D384" s="311"/>
      <c r="E384" s="311"/>
      <c r="F384" s="311"/>
      <c r="G384" s="311"/>
      <c r="H384" s="311"/>
      <c r="I384" s="311"/>
      <c r="J384" s="311"/>
      <c r="K384" s="311"/>
      <c r="L384" s="311"/>
      <c r="M384" s="311"/>
      <c r="N384" s="311"/>
      <c r="O384" s="311"/>
      <c r="P384" s="311"/>
      <c r="Q384" s="311"/>
      <c r="R384" s="311"/>
      <c r="S384" s="311"/>
      <c r="T384" s="311"/>
      <c r="U384" s="311"/>
      <c r="V384" s="311"/>
      <c r="W384" s="311"/>
      <c r="X384" s="311"/>
      <c r="Y384" s="24"/>
      <c r="Z384" s="24"/>
      <c r="AA384" s="24"/>
      <c r="AB384" s="24"/>
      <c r="AC384" s="24"/>
      <c r="AD384" s="24"/>
    </row>
    <row r="385" spans="1:30" ht="12.75">
      <c r="A385" s="313"/>
      <c r="B385" s="313"/>
      <c r="C385" s="314"/>
      <c r="D385" s="311"/>
      <c r="E385" s="311"/>
      <c r="F385" s="311"/>
      <c r="G385" s="311"/>
      <c r="H385" s="311"/>
      <c r="I385" s="311"/>
      <c r="J385" s="311"/>
      <c r="K385" s="311"/>
      <c r="L385" s="311"/>
      <c r="M385" s="311"/>
      <c r="N385" s="311"/>
      <c r="O385" s="311"/>
      <c r="P385" s="311"/>
      <c r="Q385" s="311"/>
      <c r="R385" s="311"/>
      <c r="S385" s="311"/>
      <c r="T385" s="311"/>
      <c r="U385" s="311"/>
      <c r="V385" s="311"/>
      <c r="W385" s="311"/>
      <c r="X385" s="311"/>
      <c r="Y385" s="24"/>
      <c r="Z385" s="24"/>
      <c r="AA385" s="24"/>
      <c r="AB385" s="24"/>
      <c r="AC385" s="24"/>
      <c r="AD385" s="24"/>
    </row>
    <row r="386" spans="1:30" ht="12.75">
      <c r="A386" s="313"/>
      <c r="B386" s="313"/>
      <c r="C386" s="314"/>
      <c r="D386" s="311"/>
      <c r="E386" s="311"/>
      <c r="F386" s="311"/>
      <c r="G386" s="311"/>
      <c r="H386" s="311"/>
      <c r="I386" s="311"/>
      <c r="J386" s="311"/>
      <c r="K386" s="311"/>
      <c r="L386" s="311"/>
      <c r="M386" s="311"/>
      <c r="N386" s="311"/>
      <c r="O386" s="311"/>
      <c r="P386" s="311"/>
      <c r="Q386" s="311"/>
      <c r="R386" s="311"/>
      <c r="S386" s="311"/>
      <c r="T386" s="311"/>
      <c r="U386" s="311"/>
      <c r="V386" s="311"/>
      <c r="W386" s="311"/>
      <c r="X386" s="311"/>
      <c r="Y386" s="24"/>
      <c r="Z386" s="24"/>
      <c r="AA386" s="24"/>
      <c r="AB386" s="24"/>
      <c r="AC386" s="24"/>
      <c r="AD386" s="24"/>
    </row>
    <row r="387" spans="1:30" ht="12.75">
      <c r="A387" s="313"/>
      <c r="B387" s="313"/>
      <c r="C387" s="314"/>
      <c r="D387" s="311"/>
      <c r="E387" s="311"/>
      <c r="F387" s="311"/>
      <c r="G387" s="311"/>
      <c r="H387" s="311"/>
      <c r="I387" s="311"/>
      <c r="J387" s="311"/>
      <c r="K387" s="311"/>
      <c r="L387" s="311"/>
      <c r="M387" s="311"/>
      <c r="N387" s="311"/>
      <c r="O387" s="311"/>
      <c r="P387" s="311"/>
      <c r="Q387" s="311"/>
      <c r="R387" s="311"/>
      <c r="S387" s="311"/>
      <c r="T387" s="311"/>
      <c r="U387" s="311"/>
      <c r="V387" s="311"/>
      <c r="W387" s="311"/>
      <c r="X387" s="311"/>
      <c r="Y387" s="24"/>
      <c r="Z387" s="24"/>
      <c r="AA387" s="24"/>
      <c r="AB387" s="24"/>
      <c r="AC387" s="24"/>
      <c r="AD387" s="24"/>
    </row>
    <row r="388" spans="1:30" ht="12.75">
      <c r="A388" s="313"/>
      <c r="B388" s="313"/>
      <c r="C388" s="314"/>
      <c r="D388" s="311"/>
      <c r="E388" s="311"/>
      <c r="F388" s="311"/>
      <c r="G388" s="311"/>
      <c r="H388" s="311"/>
      <c r="I388" s="311"/>
      <c r="J388" s="311"/>
      <c r="K388" s="311"/>
      <c r="L388" s="311"/>
      <c r="M388" s="311"/>
      <c r="N388" s="311"/>
      <c r="O388" s="311"/>
      <c r="P388" s="311"/>
      <c r="Q388" s="311"/>
      <c r="R388" s="311"/>
      <c r="S388" s="311"/>
      <c r="T388" s="311"/>
      <c r="U388" s="311"/>
      <c r="V388" s="311"/>
      <c r="W388" s="311"/>
      <c r="X388" s="311"/>
      <c r="Y388" s="24"/>
      <c r="Z388" s="24"/>
      <c r="AA388" s="24"/>
      <c r="AB388" s="24"/>
      <c r="AC388" s="24"/>
      <c r="AD388" s="24"/>
    </row>
    <row r="389" spans="1:30" ht="12.75">
      <c r="A389" s="313"/>
      <c r="B389" s="313"/>
      <c r="C389" s="314"/>
      <c r="D389" s="311"/>
      <c r="E389" s="311"/>
      <c r="F389" s="311"/>
      <c r="G389" s="311"/>
      <c r="H389" s="311"/>
      <c r="I389" s="311"/>
      <c r="J389" s="311"/>
      <c r="K389" s="311"/>
      <c r="L389" s="311"/>
      <c r="M389" s="311"/>
      <c r="N389" s="311"/>
      <c r="O389" s="311"/>
      <c r="P389" s="311"/>
      <c r="Q389" s="311"/>
      <c r="R389" s="311"/>
      <c r="S389" s="311"/>
      <c r="T389" s="311"/>
      <c r="U389" s="311"/>
      <c r="V389" s="311"/>
      <c r="W389" s="311"/>
      <c r="X389" s="311"/>
      <c r="Y389" s="24"/>
      <c r="Z389" s="24"/>
      <c r="AA389" s="24"/>
      <c r="AB389" s="24"/>
      <c r="AC389" s="24"/>
      <c r="AD389" s="24"/>
    </row>
    <row r="390" spans="1:30" ht="12.75">
      <c r="A390" s="313"/>
      <c r="B390" s="313"/>
      <c r="C390" s="314"/>
      <c r="D390" s="311"/>
      <c r="E390" s="311"/>
      <c r="F390" s="311"/>
      <c r="G390" s="311"/>
      <c r="H390" s="311"/>
      <c r="I390" s="311"/>
      <c r="J390" s="311"/>
      <c r="K390" s="311"/>
      <c r="L390" s="311"/>
      <c r="M390" s="311"/>
      <c r="N390" s="311"/>
      <c r="O390" s="311"/>
      <c r="P390" s="311"/>
      <c r="Q390" s="311"/>
      <c r="R390" s="311"/>
      <c r="S390" s="311"/>
      <c r="T390" s="311"/>
      <c r="U390" s="311"/>
      <c r="V390" s="311"/>
      <c r="W390" s="311"/>
      <c r="X390" s="311"/>
      <c r="Y390" s="24"/>
      <c r="Z390" s="24"/>
      <c r="AA390" s="24"/>
      <c r="AB390" s="24"/>
      <c r="AC390" s="24"/>
      <c r="AD390" s="24"/>
    </row>
    <row r="391" spans="1:30" ht="12.75">
      <c r="A391" s="313"/>
      <c r="B391" s="313"/>
      <c r="C391" s="314"/>
      <c r="D391" s="311"/>
      <c r="E391" s="311"/>
      <c r="F391" s="311"/>
      <c r="G391" s="311"/>
      <c r="H391" s="311"/>
      <c r="I391" s="311"/>
      <c r="J391" s="311"/>
      <c r="K391" s="311"/>
      <c r="L391" s="311"/>
      <c r="M391" s="311"/>
      <c r="N391" s="311"/>
      <c r="O391" s="311"/>
      <c r="P391" s="311"/>
      <c r="Q391" s="311"/>
      <c r="R391" s="311"/>
      <c r="S391" s="311"/>
      <c r="T391" s="311"/>
      <c r="U391" s="311"/>
      <c r="V391" s="311"/>
      <c r="W391" s="311"/>
      <c r="X391" s="311"/>
      <c r="Y391" s="24"/>
      <c r="Z391" s="24"/>
      <c r="AA391" s="24"/>
      <c r="AB391" s="24"/>
      <c r="AC391" s="24"/>
      <c r="AD391" s="24"/>
    </row>
    <row r="392" spans="1:30" ht="12.75">
      <c r="A392" s="313"/>
      <c r="B392" s="313"/>
      <c r="C392" s="314"/>
      <c r="D392" s="311"/>
      <c r="E392" s="311"/>
      <c r="F392" s="311"/>
      <c r="G392" s="311"/>
      <c r="H392" s="311"/>
      <c r="I392" s="311"/>
      <c r="J392" s="311"/>
      <c r="K392" s="311"/>
      <c r="L392" s="311"/>
      <c r="M392" s="311"/>
      <c r="N392" s="311"/>
      <c r="O392" s="311"/>
      <c r="P392" s="311"/>
      <c r="Q392" s="311"/>
      <c r="R392" s="311"/>
      <c r="S392" s="311"/>
      <c r="T392" s="311"/>
      <c r="U392" s="311"/>
      <c r="V392" s="311"/>
      <c r="W392" s="311"/>
      <c r="X392" s="311"/>
      <c r="Y392" s="24"/>
      <c r="Z392" s="24"/>
      <c r="AA392" s="24"/>
      <c r="AB392" s="24"/>
      <c r="AC392" s="24"/>
      <c r="AD392" s="24"/>
    </row>
    <row r="393" spans="1:30" ht="12.75">
      <c r="A393" s="313"/>
      <c r="B393" s="313"/>
      <c r="C393" s="314"/>
      <c r="D393" s="311"/>
      <c r="E393" s="311"/>
      <c r="F393" s="311"/>
      <c r="G393" s="311"/>
      <c r="H393" s="311"/>
      <c r="I393" s="311"/>
      <c r="J393" s="311"/>
      <c r="K393" s="311"/>
      <c r="L393" s="311"/>
      <c r="M393" s="311"/>
      <c r="N393" s="311"/>
      <c r="O393" s="311"/>
      <c r="P393" s="311"/>
      <c r="Q393" s="311"/>
      <c r="R393" s="311"/>
      <c r="S393" s="311"/>
      <c r="T393" s="311"/>
      <c r="U393" s="311"/>
      <c r="V393" s="311"/>
      <c r="W393" s="311"/>
      <c r="X393" s="311"/>
      <c r="Y393" s="24"/>
      <c r="Z393" s="24"/>
      <c r="AA393" s="24"/>
      <c r="AB393" s="24"/>
      <c r="AC393" s="24"/>
      <c r="AD393" s="24"/>
    </row>
    <row r="394" spans="1:30" ht="12.75">
      <c r="A394" s="313"/>
      <c r="B394" s="313"/>
      <c r="C394" s="314"/>
      <c r="D394" s="311"/>
      <c r="E394" s="311"/>
      <c r="F394" s="311"/>
      <c r="G394" s="311"/>
      <c r="H394" s="311"/>
      <c r="I394" s="311"/>
      <c r="J394" s="311"/>
      <c r="K394" s="311"/>
      <c r="L394" s="311"/>
      <c r="M394" s="311"/>
      <c r="N394" s="311"/>
      <c r="O394" s="311"/>
      <c r="P394" s="311"/>
      <c r="Q394" s="311"/>
      <c r="R394" s="311"/>
      <c r="S394" s="311"/>
      <c r="T394" s="311"/>
      <c r="U394" s="311"/>
      <c r="V394" s="311"/>
      <c r="W394" s="311"/>
      <c r="X394" s="311"/>
      <c r="Y394" s="24"/>
      <c r="Z394" s="24"/>
      <c r="AA394" s="24"/>
      <c r="AB394" s="24"/>
      <c r="AC394" s="24"/>
      <c r="AD394" s="24"/>
    </row>
    <row r="395" spans="1:30" ht="12.75">
      <c r="A395" s="313"/>
      <c r="B395" s="313"/>
      <c r="C395" s="314"/>
      <c r="D395" s="311"/>
      <c r="E395" s="311"/>
      <c r="F395" s="311"/>
      <c r="G395" s="311"/>
      <c r="H395" s="311"/>
      <c r="I395" s="311"/>
      <c r="J395" s="311"/>
      <c r="K395" s="311"/>
      <c r="L395" s="311"/>
      <c r="M395" s="311"/>
      <c r="N395" s="311"/>
      <c r="O395" s="311"/>
      <c r="P395" s="311"/>
      <c r="Q395" s="311"/>
      <c r="R395" s="311"/>
      <c r="S395" s="311"/>
      <c r="T395" s="311"/>
      <c r="U395" s="311"/>
      <c r="V395" s="311"/>
      <c r="W395" s="311"/>
      <c r="X395" s="311"/>
      <c r="Y395" s="24"/>
      <c r="Z395" s="24"/>
      <c r="AA395" s="24"/>
      <c r="AB395" s="24"/>
      <c r="AC395" s="24"/>
      <c r="AD395" s="24"/>
    </row>
    <row r="396" spans="1:30" ht="12.75">
      <c r="A396" s="313"/>
      <c r="B396" s="313"/>
      <c r="C396" s="314"/>
      <c r="D396" s="311"/>
      <c r="E396" s="311"/>
      <c r="F396" s="311"/>
      <c r="G396" s="311"/>
      <c r="H396" s="311"/>
      <c r="I396" s="311"/>
      <c r="J396" s="311"/>
      <c r="K396" s="311"/>
      <c r="L396" s="311"/>
      <c r="M396" s="311"/>
      <c r="N396" s="311"/>
      <c r="O396" s="311"/>
      <c r="P396" s="311"/>
      <c r="Q396" s="311"/>
      <c r="R396" s="311"/>
      <c r="S396" s="311"/>
      <c r="T396" s="311"/>
      <c r="U396" s="311"/>
      <c r="V396" s="311"/>
      <c r="W396" s="311"/>
      <c r="X396" s="311"/>
      <c r="Y396" s="24"/>
      <c r="Z396" s="24"/>
      <c r="AA396" s="24"/>
      <c r="AB396" s="24"/>
      <c r="AC396" s="24"/>
      <c r="AD396" s="24"/>
    </row>
    <row r="397" spans="1:30" ht="12.75">
      <c r="A397" s="313"/>
      <c r="B397" s="313"/>
      <c r="C397" s="314"/>
      <c r="D397" s="311"/>
      <c r="E397" s="311"/>
      <c r="F397" s="311"/>
      <c r="G397" s="311"/>
      <c r="H397" s="311"/>
      <c r="I397" s="311"/>
      <c r="J397" s="311"/>
      <c r="K397" s="311"/>
      <c r="L397" s="311"/>
      <c r="M397" s="311"/>
      <c r="N397" s="311"/>
      <c r="O397" s="311"/>
      <c r="P397" s="311"/>
      <c r="Q397" s="311"/>
      <c r="R397" s="311"/>
      <c r="S397" s="311"/>
      <c r="T397" s="311"/>
      <c r="U397" s="311"/>
      <c r="V397" s="311"/>
      <c r="W397" s="311"/>
      <c r="X397" s="311"/>
      <c r="Y397" s="24"/>
      <c r="Z397" s="24"/>
      <c r="AA397" s="24"/>
      <c r="AB397" s="24"/>
      <c r="AC397" s="24"/>
      <c r="AD397" s="24"/>
    </row>
    <row r="398" spans="1:30" ht="12.75">
      <c r="A398" s="313"/>
      <c r="B398" s="313"/>
      <c r="C398" s="314"/>
      <c r="D398" s="311"/>
      <c r="E398" s="311"/>
      <c r="F398" s="311"/>
      <c r="G398" s="311"/>
      <c r="H398" s="311"/>
      <c r="I398" s="311"/>
      <c r="J398" s="311"/>
      <c r="K398" s="311"/>
      <c r="L398" s="311"/>
      <c r="M398" s="311"/>
      <c r="N398" s="311"/>
      <c r="O398" s="311"/>
      <c r="P398" s="311"/>
      <c r="Q398" s="311"/>
      <c r="R398" s="311"/>
      <c r="S398" s="311"/>
      <c r="T398" s="311"/>
      <c r="U398" s="311"/>
      <c r="V398" s="311"/>
      <c r="W398" s="311"/>
      <c r="X398" s="311"/>
      <c r="Y398" s="24"/>
      <c r="Z398" s="24"/>
      <c r="AA398" s="24"/>
      <c r="AB398" s="24"/>
      <c r="AC398" s="24"/>
      <c r="AD398" s="24"/>
    </row>
    <row r="399" spans="1:30" ht="12.75">
      <c r="A399" s="313"/>
      <c r="B399" s="313"/>
      <c r="C399" s="314"/>
      <c r="D399" s="311"/>
      <c r="E399" s="311"/>
      <c r="F399" s="311"/>
      <c r="G399" s="311"/>
      <c r="H399" s="311"/>
      <c r="I399" s="311"/>
      <c r="J399" s="311"/>
      <c r="K399" s="311"/>
      <c r="L399" s="311"/>
      <c r="M399" s="311"/>
      <c r="N399" s="311"/>
      <c r="O399" s="311"/>
      <c r="P399" s="311"/>
      <c r="Q399" s="311"/>
      <c r="R399" s="311"/>
      <c r="S399" s="311"/>
      <c r="T399" s="311"/>
      <c r="U399" s="311"/>
      <c r="V399" s="311"/>
      <c r="W399" s="311"/>
      <c r="X399" s="311"/>
      <c r="Y399" s="24"/>
      <c r="Z399" s="24"/>
      <c r="AA399" s="24"/>
      <c r="AB399" s="24"/>
      <c r="AC399" s="24"/>
      <c r="AD399" s="24"/>
    </row>
    <row r="400" spans="1:30" ht="12.75">
      <c r="A400" s="313"/>
      <c r="B400" s="313"/>
      <c r="C400" s="314"/>
      <c r="D400" s="311"/>
      <c r="E400" s="311"/>
      <c r="F400" s="311"/>
      <c r="G400" s="311"/>
      <c r="H400" s="311"/>
      <c r="I400" s="311"/>
      <c r="J400" s="311"/>
      <c r="K400" s="311"/>
      <c r="L400" s="311"/>
      <c r="M400" s="311"/>
      <c r="N400" s="311"/>
      <c r="O400" s="311"/>
      <c r="P400" s="311"/>
      <c r="Q400" s="311"/>
      <c r="R400" s="311"/>
      <c r="S400" s="311"/>
      <c r="T400" s="311"/>
      <c r="U400" s="311"/>
      <c r="V400" s="311"/>
      <c r="W400" s="311"/>
      <c r="X400" s="311"/>
      <c r="Y400" s="24"/>
      <c r="Z400" s="24"/>
      <c r="AA400" s="24"/>
      <c r="AB400" s="24"/>
      <c r="AC400" s="24"/>
      <c r="AD400" s="24"/>
    </row>
    <row r="401" spans="1:30" ht="12.75">
      <c r="A401" s="313"/>
      <c r="B401" s="313"/>
      <c r="C401" s="314"/>
      <c r="D401" s="311"/>
      <c r="E401" s="311"/>
      <c r="F401" s="311"/>
      <c r="G401" s="311"/>
      <c r="H401" s="311"/>
      <c r="I401" s="311"/>
      <c r="J401" s="311"/>
      <c r="K401" s="311"/>
      <c r="L401" s="311"/>
      <c r="M401" s="311"/>
      <c r="N401" s="311"/>
      <c r="O401" s="311"/>
      <c r="P401" s="311"/>
      <c r="Q401" s="311"/>
      <c r="R401" s="311"/>
      <c r="S401" s="311"/>
      <c r="T401" s="311"/>
      <c r="U401" s="311"/>
      <c r="V401" s="311"/>
      <c r="W401" s="311"/>
      <c r="X401" s="311"/>
      <c r="Y401" s="24"/>
      <c r="Z401" s="24"/>
      <c r="AA401" s="24"/>
      <c r="AB401" s="24"/>
      <c r="AC401" s="24"/>
      <c r="AD401" s="24"/>
    </row>
    <row r="402" spans="1:30" ht="12.75">
      <c r="A402" s="313"/>
      <c r="B402" s="313"/>
      <c r="C402" s="314"/>
      <c r="D402" s="311"/>
      <c r="E402" s="311"/>
      <c r="F402" s="311"/>
      <c r="G402" s="311"/>
      <c r="H402" s="311"/>
      <c r="I402" s="311"/>
      <c r="J402" s="311"/>
      <c r="K402" s="311"/>
      <c r="L402" s="311"/>
      <c r="M402" s="311"/>
      <c r="N402" s="311"/>
      <c r="O402" s="311"/>
      <c r="P402" s="311"/>
      <c r="Q402" s="311"/>
      <c r="R402" s="311"/>
      <c r="S402" s="311"/>
      <c r="T402" s="311"/>
      <c r="U402" s="311"/>
      <c r="V402" s="311"/>
      <c r="W402" s="311"/>
      <c r="X402" s="311"/>
      <c r="Y402" s="24"/>
      <c r="Z402" s="24"/>
      <c r="AA402" s="24"/>
      <c r="AB402" s="24"/>
      <c r="AC402" s="24"/>
      <c r="AD402" s="24"/>
    </row>
    <row r="403" spans="1:30" ht="12.75">
      <c r="A403" s="313"/>
      <c r="B403" s="313"/>
      <c r="C403" s="314"/>
      <c r="D403" s="311"/>
      <c r="E403" s="311"/>
      <c r="F403" s="311"/>
      <c r="G403" s="311"/>
      <c r="H403" s="311"/>
      <c r="I403" s="311"/>
      <c r="J403" s="311"/>
      <c r="K403" s="311"/>
      <c r="L403" s="311"/>
      <c r="M403" s="311"/>
      <c r="N403" s="311"/>
      <c r="O403" s="311"/>
      <c r="P403" s="311"/>
      <c r="Q403" s="311"/>
      <c r="R403" s="311"/>
      <c r="S403" s="311"/>
      <c r="T403" s="311"/>
      <c r="U403" s="311"/>
      <c r="V403" s="311"/>
      <c r="W403" s="311"/>
      <c r="X403" s="311"/>
      <c r="Y403" s="24"/>
      <c r="Z403" s="24"/>
      <c r="AA403" s="24"/>
      <c r="AB403" s="24"/>
      <c r="AC403" s="24"/>
      <c r="AD403" s="24"/>
    </row>
    <row r="404" spans="1:30" ht="12.75">
      <c r="A404" s="313"/>
      <c r="B404" s="313"/>
      <c r="C404" s="314"/>
      <c r="D404" s="311"/>
      <c r="E404" s="311"/>
      <c r="F404" s="311"/>
      <c r="G404" s="311"/>
      <c r="H404" s="311"/>
      <c r="I404" s="311"/>
      <c r="J404" s="311"/>
      <c r="K404" s="311"/>
      <c r="L404" s="311"/>
      <c r="M404" s="311"/>
      <c r="N404" s="311"/>
      <c r="O404" s="311"/>
      <c r="P404" s="311"/>
      <c r="Q404" s="311"/>
      <c r="R404" s="311"/>
      <c r="S404" s="311"/>
      <c r="T404" s="311"/>
      <c r="U404" s="311"/>
      <c r="V404" s="311"/>
      <c r="W404" s="311"/>
      <c r="X404" s="311"/>
      <c r="Y404" s="24"/>
      <c r="Z404" s="24"/>
      <c r="AA404" s="24"/>
      <c r="AB404" s="24"/>
      <c r="AC404" s="24"/>
      <c r="AD404" s="24"/>
    </row>
    <row r="405" spans="1:30" ht="12.75">
      <c r="A405" s="313"/>
      <c r="B405" s="313"/>
      <c r="C405" s="314"/>
      <c r="D405" s="311"/>
      <c r="E405" s="311"/>
      <c r="F405" s="311"/>
      <c r="G405" s="311"/>
      <c r="H405" s="311"/>
      <c r="I405" s="311"/>
      <c r="J405" s="311"/>
      <c r="K405" s="311"/>
      <c r="L405" s="311"/>
      <c r="M405" s="311"/>
      <c r="N405" s="311"/>
      <c r="O405" s="311"/>
      <c r="P405" s="311"/>
      <c r="Q405" s="311"/>
      <c r="R405" s="311"/>
      <c r="S405" s="311"/>
      <c r="T405" s="311"/>
      <c r="U405" s="311"/>
      <c r="V405" s="311"/>
      <c r="W405" s="311"/>
      <c r="X405" s="311"/>
      <c r="Y405" s="24"/>
      <c r="Z405" s="24"/>
      <c r="AA405" s="24"/>
      <c r="AB405" s="24"/>
      <c r="AC405" s="24"/>
      <c r="AD405" s="24"/>
    </row>
    <row r="406" spans="1:30" ht="12.75">
      <c r="A406" s="313"/>
      <c r="B406" s="313"/>
      <c r="C406" s="314"/>
      <c r="D406" s="311"/>
      <c r="E406" s="311"/>
      <c r="F406" s="311"/>
      <c r="G406" s="311"/>
      <c r="H406" s="311"/>
      <c r="I406" s="311"/>
      <c r="J406" s="311"/>
      <c r="K406" s="311"/>
      <c r="L406" s="311"/>
      <c r="M406" s="311"/>
      <c r="N406" s="311"/>
      <c r="O406" s="311"/>
      <c r="P406" s="311"/>
      <c r="Q406" s="311"/>
      <c r="R406" s="311"/>
      <c r="S406" s="311"/>
      <c r="T406" s="311"/>
      <c r="U406" s="311"/>
      <c r="V406" s="311"/>
      <c r="W406" s="311"/>
      <c r="X406" s="311"/>
      <c r="Y406" s="24"/>
      <c r="Z406" s="24"/>
      <c r="AA406" s="24"/>
      <c r="AB406" s="24"/>
      <c r="AC406" s="24"/>
      <c r="AD406" s="24"/>
    </row>
    <row r="407" spans="1:30" ht="12.75">
      <c r="A407" s="313"/>
      <c r="B407" s="313"/>
      <c r="C407" s="314"/>
      <c r="D407" s="311"/>
      <c r="E407" s="311"/>
      <c r="F407" s="311"/>
      <c r="G407" s="311"/>
      <c r="H407" s="311"/>
      <c r="I407" s="311"/>
      <c r="J407" s="311"/>
      <c r="K407" s="311"/>
      <c r="L407" s="311"/>
      <c r="M407" s="311"/>
      <c r="N407" s="311"/>
      <c r="O407" s="311"/>
      <c r="P407" s="311"/>
      <c r="Q407" s="311"/>
      <c r="R407" s="311"/>
      <c r="S407" s="311"/>
      <c r="T407" s="311"/>
      <c r="U407" s="311"/>
      <c r="V407" s="311"/>
      <c r="W407" s="311"/>
      <c r="X407" s="311"/>
      <c r="Y407" s="24"/>
      <c r="Z407" s="24"/>
      <c r="AA407" s="24"/>
      <c r="AB407" s="24"/>
      <c r="AC407" s="24"/>
      <c r="AD407" s="24"/>
    </row>
    <row r="408" spans="1:30" ht="12.75">
      <c r="A408" s="313"/>
      <c r="B408" s="313"/>
      <c r="C408" s="314"/>
      <c r="D408" s="311"/>
      <c r="E408" s="311"/>
      <c r="F408" s="311"/>
      <c r="G408" s="311"/>
      <c r="H408" s="311"/>
      <c r="I408" s="311"/>
      <c r="J408" s="311"/>
      <c r="K408" s="311"/>
      <c r="L408" s="311"/>
      <c r="M408" s="311"/>
      <c r="N408" s="311"/>
      <c r="O408" s="311"/>
      <c r="P408" s="311"/>
      <c r="Q408" s="311"/>
      <c r="R408" s="311"/>
      <c r="S408" s="311"/>
      <c r="T408" s="311"/>
      <c r="U408" s="311"/>
      <c r="V408" s="311"/>
      <c r="W408" s="311"/>
      <c r="X408" s="311"/>
      <c r="Y408" s="24"/>
      <c r="Z408" s="24"/>
      <c r="AA408" s="24"/>
      <c r="AB408" s="24"/>
      <c r="AC408" s="24"/>
      <c r="AD408" s="24"/>
    </row>
    <row r="409" spans="1:30" ht="12.75">
      <c r="A409" s="313"/>
      <c r="B409" s="313"/>
      <c r="C409" s="314"/>
      <c r="D409" s="311"/>
      <c r="E409" s="311"/>
      <c r="F409" s="311"/>
      <c r="G409" s="311"/>
      <c r="H409" s="311"/>
      <c r="I409" s="311"/>
      <c r="J409" s="311"/>
      <c r="K409" s="311"/>
      <c r="L409" s="311"/>
      <c r="M409" s="311"/>
      <c r="N409" s="311"/>
      <c r="O409" s="311"/>
      <c r="P409" s="311"/>
      <c r="Q409" s="311"/>
      <c r="R409" s="311"/>
      <c r="S409" s="311"/>
      <c r="T409" s="311"/>
      <c r="U409" s="311"/>
      <c r="V409" s="311"/>
      <c r="W409" s="311"/>
      <c r="X409" s="311"/>
      <c r="Y409" s="24"/>
      <c r="Z409" s="24"/>
      <c r="AA409" s="24"/>
      <c r="AB409" s="24"/>
      <c r="AC409" s="24"/>
      <c r="AD409" s="24"/>
    </row>
    <row r="410" spans="1:30" ht="12.75">
      <c r="A410" s="313"/>
      <c r="B410" s="313"/>
      <c r="C410" s="314"/>
      <c r="D410" s="311"/>
      <c r="E410" s="311"/>
      <c r="F410" s="311"/>
      <c r="G410" s="311"/>
      <c r="H410" s="311"/>
      <c r="I410" s="311"/>
      <c r="J410" s="311"/>
      <c r="K410" s="311"/>
      <c r="L410" s="311"/>
      <c r="M410" s="311"/>
      <c r="N410" s="311"/>
      <c r="O410" s="311"/>
      <c r="P410" s="311"/>
      <c r="Q410" s="311"/>
      <c r="R410" s="311"/>
      <c r="S410" s="311"/>
      <c r="T410" s="311"/>
      <c r="U410" s="311"/>
      <c r="V410" s="311"/>
      <c r="W410" s="311"/>
      <c r="X410" s="311"/>
      <c r="Y410" s="24"/>
      <c r="Z410" s="24"/>
      <c r="AA410" s="24"/>
      <c r="AB410" s="24"/>
      <c r="AC410" s="24"/>
      <c r="AD410" s="24"/>
    </row>
    <row r="411" spans="1:30" ht="12.75">
      <c r="A411" s="313"/>
      <c r="B411" s="313"/>
      <c r="C411" s="314"/>
      <c r="D411" s="311"/>
      <c r="E411" s="311"/>
      <c r="F411" s="311"/>
      <c r="G411" s="311"/>
      <c r="H411" s="311"/>
      <c r="I411" s="311"/>
      <c r="J411" s="311"/>
      <c r="K411" s="311"/>
      <c r="L411" s="311"/>
      <c r="M411" s="311"/>
      <c r="N411" s="311"/>
      <c r="O411" s="311"/>
      <c r="P411" s="311"/>
      <c r="Q411" s="311"/>
      <c r="R411" s="311"/>
      <c r="S411" s="311"/>
      <c r="T411" s="311"/>
      <c r="U411" s="311"/>
      <c r="V411" s="311"/>
      <c r="W411" s="311"/>
      <c r="X411" s="311"/>
      <c r="Y411" s="24"/>
      <c r="Z411" s="24"/>
      <c r="AA411" s="24"/>
      <c r="AB411" s="24"/>
      <c r="AC411" s="24"/>
      <c r="AD411" s="24"/>
    </row>
    <row r="412" spans="1:30" ht="12.75">
      <c r="A412" s="313"/>
      <c r="B412" s="313"/>
      <c r="C412" s="314"/>
      <c r="D412" s="311"/>
      <c r="E412" s="311"/>
      <c r="F412" s="311"/>
      <c r="G412" s="311"/>
      <c r="H412" s="311"/>
      <c r="I412" s="311"/>
      <c r="J412" s="311"/>
      <c r="K412" s="311"/>
      <c r="L412" s="311"/>
      <c r="M412" s="311"/>
      <c r="N412" s="311"/>
      <c r="O412" s="311"/>
      <c r="P412" s="311"/>
      <c r="Q412" s="311"/>
      <c r="R412" s="311"/>
      <c r="S412" s="311"/>
      <c r="T412" s="311"/>
      <c r="U412" s="311"/>
      <c r="V412" s="311"/>
      <c r="W412" s="311"/>
      <c r="X412" s="311"/>
      <c r="Y412" s="24"/>
      <c r="Z412" s="24"/>
      <c r="AA412" s="24"/>
      <c r="AB412" s="24"/>
      <c r="AC412" s="24"/>
      <c r="AD412" s="24"/>
    </row>
    <row r="413" spans="1:30" ht="12.75">
      <c r="A413" s="313"/>
      <c r="B413" s="313"/>
      <c r="C413" s="314"/>
      <c r="D413" s="311"/>
      <c r="E413" s="311"/>
      <c r="F413" s="311"/>
      <c r="G413" s="311"/>
      <c r="H413" s="311"/>
      <c r="I413" s="311"/>
      <c r="J413" s="311"/>
      <c r="K413" s="311"/>
      <c r="L413" s="311"/>
      <c r="M413" s="311"/>
      <c r="N413" s="311"/>
      <c r="O413" s="311"/>
      <c r="P413" s="311"/>
      <c r="Q413" s="311"/>
      <c r="R413" s="311"/>
      <c r="S413" s="311"/>
      <c r="T413" s="311"/>
      <c r="U413" s="311"/>
      <c r="V413" s="311"/>
      <c r="W413" s="311"/>
      <c r="X413" s="311"/>
      <c r="Y413" s="24"/>
      <c r="Z413" s="24"/>
      <c r="AA413" s="24"/>
      <c r="AB413" s="24"/>
      <c r="AC413" s="24"/>
      <c r="AD413" s="24"/>
    </row>
    <row r="414" spans="1:30" ht="12.75">
      <c r="A414" s="313"/>
      <c r="B414" s="313"/>
      <c r="C414" s="314"/>
      <c r="D414" s="311"/>
      <c r="E414" s="311"/>
      <c r="F414" s="311"/>
      <c r="G414" s="311"/>
      <c r="H414" s="311"/>
      <c r="I414" s="311"/>
      <c r="J414" s="311"/>
      <c r="K414" s="311"/>
      <c r="L414" s="311"/>
      <c r="M414" s="311"/>
      <c r="N414" s="311"/>
      <c r="O414" s="311"/>
      <c r="P414" s="311"/>
      <c r="Q414" s="311"/>
      <c r="R414" s="311"/>
      <c r="S414" s="311"/>
      <c r="T414" s="311"/>
      <c r="U414" s="311"/>
      <c r="V414" s="311"/>
      <c r="W414" s="311"/>
      <c r="X414" s="311"/>
      <c r="Y414" s="24"/>
      <c r="Z414" s="24"/>
      <c r="AA414" s="24"/>
      <c r="AB414" s="24"/>
      <c r="AC414" s="24"/>
      <c r="AD414" s="24"/>
    </row>
    <row r="415" spans="1:30" ht="12.75">
      <c r="A415" s="313"/>
      <c r="B415" s="313"/>
      <c r="C415" s="314"/>
      <c r="D415" s="311"/>
      <c r="E415" s="311"/>
      <c r="F415" s="311"/>
      <c r="G415" s="311"/>
      <c r="H415" s="311"/>
      <c r="I415" s="311"/>
      <c r="J415" s="311"/>
      <c r="K415" s="311"/>
      <c r="L415" s="311"/>
      <c r="M415" s="311"/>
      <c r="N415" s="311"/>
      <c r="O415" s="311"/>
      <c r="P415" s="311"/>
      <c r="Q415" s="311"/>
      <c r="R415" s="311"/>
      <c r="S415" s="311"/>
      <c r="T415" s="311"/>
      <c r="U415" s="311"/>
      <c r="V415" s="311"/>
      <c r="W415" s="311"/>
      <c r="X415" s="311"/>
      <c r="Y415" s="24"/>
      <c r="Z415" s="24"/>
      <c r="AA415" s="24"/>
      <c r="AB415" s="24"/>
      <c r="AC415" s="24"/>
      <c r="AD415" s="24"/>
    </row>
    <row r="416" spans="1:30" ht="12.75">
      <c r="A416" s="313"/>
      <c r="B416" s="313"/>
      <c r="C416" s="314"/>
      <c r="D416" s="311"/>
      <c r="E416" s="311"/>
      <c r="F416" s="311"/>
      <c r="G416" s="311"/>
      <c r="H416" s="311"/>
      <c r="I416" s="311"/>
      <c r="J416" s="311"/>
      <c r="K416" s="311"/>
      <c r="L416" s="311"/>
      <c r="M416" s="311"/>
      <c r="N416" s="311"/>
      <c r="O416" s="311"/>
      <c r="P416" s="311"/>
      <c r="Q416" s="311"/>
      <c r="R416" s="311"/>
      <c r="S416" s="311"/>
      <c r="T416" s="311"/>
      <c r="U416" s="311"/>
      <c r="V416" s="311"/>
      <c r="W416" s="311"/>
      <c r="X416" s="311"/>
      <c r="Y416" s="24"/>
      <c r="Z416" s="24"/>
      <c r="AA416" s="24"/>
      <c r="AB416" s="24"/>
      <c r="AC416" s="24"/>
      <c r="AD416" s="24"/>
    </row>
    <row r="417" spans="1:30" ht="12.75">
      <c r="A417" s="313"/>
      <c r="B417" s="313"/>
      <c r="C417" s="314"/>
      <c r="D417" s="311"/>
      <c r="E417" s="311"/>
      <c r="F417" s="311"/>
      <c r="G417" s="311"/>
      <c r="H417" s="311"/>
      <c r="I417" s="311"/>
      <c r="J417" s="311"/>
      <c r="K417" s="311"/>
      <c r="L417" s="311"/>
      <c r="M417" s="311"/>
      <c r="N417" s="311"/>
      <c r="O417" s="311"/>
      <c r="P417" s="311"/>
      <c r="Q417" s="311"/>
      <c r="R417" s="311"/>
      <c r="S417" s="311"/>
      <c r="T417" s="311"/>
      <c r="U417" s="311"/>
      <c r="V417" s="311"/>
      <c r="W417" s="311"/>
      <c r="X417" s="311"/>
      <c r="Y417" s="24"/>
      <c r="Z417" s="24"/>
      <c r="AA417" s="24"/>
      <c r="AB417" s="24"/>
      <c r="AC417" s="24"/>
      <c r="AD417" s="24"/>
    </row>
    <row r="418" spans="1:30" ht="12.75">
      <c r="A418" s="313"/>
      <c r="B418" s="313"/>
      <c r="C418" s="314"/>
      <c r="D418" s="311"/>
      <c r="E418" s="311"/>
      <c r="F418" s="311"/>
      <c r="G418" s="311"/>
      <c r="H418" s="311"/>
      <c r="I418" s="311"/>
      <c r="J418" s="311"/>
      <c r="K418" s="311"/>
      <c r="L418" s="311"/>
      <c r="M418" s="311"/>
      <c r="N418" s="311"/>
      <c r="O418" s="311"/>
      <c r="P418" s="311"/>
      <c r="Q418" s="311"/>
      <c r="R418" s="311"/>
      <c r="S418" s="311"/>
      <c r="T418" s="311"/>
      <c r="U418" s="311"/>
      <c r="V418" s="311"/>
      <c r="W418" s="311"/>
      <c r="X418" s="311"/>
      <c r="Y418" s="24"/>
      <c r="Z418" s="24"/>
      <c r="AA418" s="24"/>
      <c r="AB418" s="24"/>
      <c r="AC418" s="24"/>
      <c r="AD418" s="24"/>
    </row>
    <row r="419" spans="1:30" ht="12.75">
      <c r="A419" s="313"/>
      <c r="B419" s="313"/>
      <c r="C419" s="314"/>
      <c r="D419" s="311"/>
      <c r="E419" s="311"/>
      <c r="F419" s="311"/>
      <c r="G419" s="311"/>
      <c r="H419" s="311"/>
      <c r="I419" s="311"/>
      <c r="J419" s="311"/>
      <c r="K419" s="311"/>
      <c r="L419" s="311"/>
      <c r="M419" s="311"/>
      <c r="N419" s="311"/>
      <c r="O419" s="311"/>
      <c r="P419" s="311"/>
      <c r="Q419" s="311"/>
      <c r="R419" s="311"/>
      <c r="S419" s="311"/>
      <c r="T419" s="311"/>
      <c r="U419" s="311"/>
      <c r="V419" s="311"/>
      <c r="W419" s="311"/>
      <c r="X419" s="311"/>
      <c r="Y419" s="24"/>
      <c r="Z419" s="24"/>
      <c r="AA419" s="24"/>
      <c r="AB419" s="24"/>
      <c r="AC419" s="24"/>
      <c r="AD419" s="24"/>
    </row>
    <row r="420" spans="1:30" ht="12.75">
      <c r="A420" s="313"/>
      <c r="B420" s="313"/>
      <c r="C420" s="314"/>
      <c r="D420" s="311"/>
      <c r="E420" s="311"/>
      <c r="F420" s="311"/>
      <c r="G420" s="311"/>
      <c r="H420" s="311"/>
      <c r="I420" s="311"/>
      <c r="J420" s="311"/>
      <c r="K420" s="311"/>
      <c r="L420" s="311"/>
      <c r="M420" s="311"/>
      <c r="N420" s="311"/>
      <c r="O420" s="311"/>
      <c r="P420" s="311"/>
      <c r="Q420" s="311"/>
      <c r="R420" s="311"/>
      <c r="S420" s="311"/>
      <c r="T420" s="311"/>
      <c r="U420" s="311"/>
      <c r="V420" s="311"/>
      <c r="W420" s="311"/>
      <c r="X420" s="311"/>
      <c r="Y420" s="24"/>
      <c r="Z420" s="24"/>
      <c r="AA420" s="24"/>
      <c r="AB420" s="24"/>
      <c r="AC420" s="24"/>
      <c r="AD420" s="24"/>
    </row>
    <row r="421" spans="1:30" ht="12.75">
      <c r="A421" s="313"/>
      <c r="B421" s="313"/>
      <c r="C421" s="314"/>
      <c r="D421" s="311"/>
      <c r="E421" s="311"/>
      <c r="F421" s="311"/>
      <c r="G421" s="311"/>
      <c r="H421" s="311"/>
      <c r="I421" s="311"/>
      <c r="J421" s="311"/>
      <c r="K421" s="311"/>
      <c r="L421" s="311"/>
      <c r="M421" s="311"/>
      <c r="N421" s="311"/>
      <c r="O421" s="311"/>
      <c r="P421" s="311"/>
      <c r="Q421" s="311"/>
      <c r="R421" s="311"/>
      <c r="S421" s="311"/>
      <c r="T421" s="311"/>
      <c r="U421" s="311"/>
      <c r="V421" s="311"/>
      <c r="W421" s="311"/>
      <c r="X421" s="311"/>
      <c r="Y421" s="24"/>
      <c r="Z421" s="24"/>
      <c r="AA421" s="24"/>
      <c r="AB421" s="24"/>
      <c r="AC421" s="24"/>
      <c r="AD421" s="24"/>
    </row>
    <row r="422" spans="1:30" ht="12.75">
      <c r="A422" s="313"/>
      <c r="B422" s="313"/>
      <c r="C422" s="314"/>
      <c r="D422" s="311"/>
      <c r="E422" s="311"/>
      <c r="F422" s="311"/>
      <c r="G422" s="311"/>
      <c r="H422" s="311"/>
      <c r="I422" s="311"/>
      <c r="J422" s="311"/>
      <c r="K422" s="311"/>
      <c r="L422" s="311"/>
      <c r="M422" s="311"/>
      <c r="N422" s="311"/>
      <c r="O422" s="311"/>
      <c r="P422" s="311"/>
      <c r="Q422" s="311"/>
      <c r="R422" s="311"/>
      <c r="S422" s="311"/>
      <c r="T422" s="311"/>
      <c r="U422" s="311"/>
      <c r="V422" s="311"/>
      <c r="W422" s="311"/>
      <c r="X422" s="311"/>
      <c r="Y422" s="24"/>
      <c r="Z422" s="24"/>
      <c r="AA422" s="24"/>
      <c r="AB422" s="24"/>
      <c r="AC422" s="24"/>
      <c r="AD422" s="24"/>
    </row>
    <row r="423" spans="1:30" ht="12.75">
      <c r="A423" s="313"/>
      <c r="B423" s="313"/>
      <c r="C423" s="314"/>
      <c r="D423" s="311"/>
      <c r="E423" s="311"/>
      <c r="F423" s="311"/>
      <c r="G423" s="311"/>
      <c r="H423" s="311"/>
      <c r="I423" s="311"/>
      <c r="J423" s="311"/>
      <c r="K423" s="311"/>
      <c r="L423" s="311"/>
      <c r="M423" s="311"/>
      <c r="N423" s="311"/>
      <c r="O423" s="311"/>
      <c r="P423" s="311"/>
      <c r="Q423" s="311"/>
      <c r="R423" s="311"/>
      <c r="S423" s="311"/>
      <c r="T423" s="311"/>
      <c r="U423" s="311"/>
      <c r="V423" s="311"/>
      <c r="W423" s="311"/>
      <c r="X423" s="311"/>
      <c r="Y423" s="24"/>
      <c r="Z423" s="24"/>
      <c r="AA423" s="24"/>
      <c r="AB423" s="24"/>
      <c r="AC423" s="24"/>
      <c r="AD423" s="24"/>
    </row>
    <row r="424" spans="1:30" ht="12.75">
      <c r="A424" s="313"/>
      <c r="B424" s="313"/>
      <c r="C424" s="314"/>
      <c r="D424" s="311"/>
      <c r="E424" s="311"/>
      <c r="F424" s="311"/>
      <c r="G424" s="311"/>
      <c r="H424" s="311"/>
      <c r="I424" s="311"/>
      <c r="J424" s="311"/>
      <c r="K424" s="311"/>
      <c r="L424" s="311"/>
      <c r="M424" s="311"/>
      <c r="N424" s="311"/>
      <c r="O424" s="311"/>
      <c r="P424" s="311"/>
      <c r="Q424" s="311"/>
      <c r="R424" s="311"/>
      <c r="S424" s="311"/>
      <c r="T424" s="311"/>
      <c r="U424" s="311"/>
      <c r="V424" s="311"/>
      <c r="W424" s="311"/>
      <c r="X424" s="311"/>
      <c r="Y424" s="24"/>
      <c r="Z424" s="24"/>
      <c r="AA424" s="24"/>
      <c r="AB424" s="24"/>
      <c r="AC424" s="24"/>
      <c r="AD424" s="24"/>
    </row>
    <row r="425" spans="1:30" ht="12.75">
      <c r="A425" s="313"/>
      <c r="B425" s="313"/>
      <c r="C425" s="314"/>
      <c r="D425" s="311"/>
      <c r="E425" s="311"/>
      <c r="F425" s="311"/>
      <c r="G425" s="311"/>
      <c r="H425" s="311"/>
      <c r="I425" s="311"/>
      <c r="J425" s="311"/>
      <c r="K425" s="311"/>
      <c r="L425" s="311"/>
      <c r="M425" s="311"/>
      <c r="N425" s="311"/>
      <c r="O425" s="311"/>
      <c r="P425" s="311"/>
      <c r="Q425" s="311"/>
      <c r="R425" s="311"/>
      <c r="S425" s="311"/>
      <c r="T425" s="311"/>
      <c r="U425" s="311"/>
      <c r="V425" s="311"/>
      <c r="W425" s="311"/>
      <c r="X425" s="311"/>
      <c r="Y425" s="24"/>
      <c r="Z425" s="24"/>
      <c r="AA425" s="24"/>
      <c r="AB425" s="24"/>
      <c r="AC425" s="24"/>
      <c r="AD425" s="24"/>
    </row>
    <row r="426" spans="1:30" ht="12.75">
      <c r="A426" s="313"/>
      <c r="B426" s="313"/>
      <c r="C426" s="314"/>
      <c r="D426" s="311"/>
      <c r="E426" s="311"/>
      <c r="F426" s="311"/>
      <c r="G426" s="311"/>
      <c r="H426" s="311"/>
      <c r="I426" s="311"/>
      <c r="J426" s="311"/>
      <c r="K426" s="311"/>
      <c r="L426" s="311"/>
      <c r="M426" s="311"/>
      <c r="N426" s="311"/>
      <c r="O426" s="311"/>
      <c r="P426" s="311"/>
      <c r="Q426" s="311"/>
      <c r="R426" s="311"/>
      <c r="S426" s="311"/>
      <c r="T426" s="311"/>
      <c r="U426" s="311"/>
      <c r="V426" s="311"/>
      <c r="W426" s="311"/>
      <c r="X426" s="311"/>
      <c r="Y426" s="24"/>
      <c r="Z426" s="24"/>
      <c r="AA426" s="24"/>
      <c r="AB426" s="24"/>
      <c r="AC426" s="24"/>
      <c r="AD426" s="24"/>
    </row>
    <row r="427" spans="1:30" ht="12.75">
      <c r="A427" s="313"/>
      <c r="B427" s="313"/>
      <c r="C427" s="314"/>
      <c r="D427" s="311"/>
      <c r="E427" s="311"/>
      <c r="F427" s="311"/>
      <c r="G427" s="311"/>
      <c r="H427" s="311"/>
      <c r="I427" s="311"/>
      <c r="J427" s="311"/>
      <c r="K427" s="311"/>
      <c r="L427" s="311"/>
      <c r="M427" s="311"/>
      <c r="N427" s="311"/>
      <c r="O427" s="311"/>
      <c r="P427" s="311"/>
      <c r="Q427" s="311"/>
      <c r="R427" s="311"/>
      <c r="S427" s="311"/>
      <c r="T427" s="311"/>
      <c r="U427" s="311"/>
      <c r="V427" s="311"/>
      <c r="W427" s="311"/>
      <c r="X427" s="311"/>
      <c r="Y427" s="24"/>
      <c r="Z427" s="24"/>
      <c r="AA427" s="24"/>
      <c r="AB427" s="24"/>
      <c r="AC427" s="24"/>
      <c r="AD427" s="24"/>
    </row>
    <row r="428" spans="1:30" ht="12.75">
      <c r="A428" s="313"/>
      <c r="B428" s="313"/>
      <c r="C428" s="314"/>
      <c r="D428" s="311"/>
      <c r="E428" s="311"/>
      <c r="F428" s="311"/>
      <c r="G428" s="311"/>
      <c r="H428" s="311"/>
      <c r="I428" s="311"/>
      <c r="J428" s="311"/>
      <c r="K428" s="311"/>
      <c r="L428" s="311"/>
      <c r="M428" s="311"/>
      <c r="N428" s="311"/>
      <c r="O428" s="311"/>
      <c r="P428" s="311"/>
      <c r="Q428" s="311"/>
      <c r="R428" s="311"/>
      <c r="S428" s="311"/>
      <c r="T428" s="311"/>
      <c r="U428" s="311"/>
      <c r="V428" s="311"/>
      <c r="W428" s="311"/>
      <c r="X428" s="311"/>
      <c r="Y428" s="24"/>
      <c r="Z428" s="24"/>
      <c r="AA428" s="24"/>
      <c r="AB428" s="24"/>
      <c r="AC428" s="24"/>
      <c r="AD428" s="24"/>
    </row>
    <row r="429" spans="1:30" ht="12.75">
      <c r="A429" s="313"/>
      <c r="B429" s="313"/>
      <c r="C429" s="314"/>
      <c r="D429" s="311"/>
      <c r="E429" s="311"/>
      <c r="F429" s="311"/>
      <c r="G429" s="311"/>
      <c r="H429" s="311"/>
      <c r="I429" s="311"/>
      <c r="J429" s="311"/>
      <c r="K429" s="311"/>
      <c r="L429" s="311"/>
      <c r="M429" s="311"/>
      <c r="N429" s="311"/>
      <c r="O429" s="311"/>
      <c r="P429" s="311"/>
      <c r="Q429" s="311"/>
      <c r="R429" s="311"/>
      <c r="S429" s="311"/>
      <c r="T429" s="311"/>
      <c r="U429" s="311"/>
      <c r="V429" s="311"/>
      <c r="W429" s="311"/>
      <c r="X429" s="311"/>
      <c r="Y429" s="24"/>
      <c r="Z429" s="24"/>
      <c r="AA429" s="24"/>
      <c r="AB429" s="24"/>
      <c r="AC429" s="24"/>
      <c r="AD429" s="24"/>
    </row>
    <row r="430" spans="1:30" ht="12.75">
      <c r="A430" s="313"/>
      <c r="B430" s="313"/>
      <c r="C430" s="314"/>
      <c r="D430" s="311"/>
      <c r="E430" s="311"/>
      <c r="F430" s="311"/>
      <c r="G430" s="311"/>
      <c r="H430" s="311"/>
      <c r="I430" s="311"/>
      <c r="J430" s="311"/>
      <c r="K430" s="311"/>
      <c r="L430" s="311"/>
      <c r="M430" s="311"/>
      <c r="N430" s="311"/>
      <c r="O430" s="311"/>
      <c r="P430" s="311"/>
      <c r="Q430" s="311"/>
      <c r="R430" s="311"/>
      <c r="S430" s="311"/>
      <c r="T430" s="311"/>
      <c r="U430" s="311"/>
      <c r="V430" s="311"/>
      <c r="W430" s="311"/>
      <c r="X430" s="311"/>
      <c r="Y430" s="24"/>
      <c r="Z430" s="24"/>
      <c r="AA430" s="24"/>
      <c r="AB430" s="24"/>
      <c r="AC430" s="24"/>
      <c r="AD430" s="24"/>
    </row>
    <row r="431" spans="1:30" ht="12.75">
      <c r="A431" s="313"/>
      <c r="B431" s="313"/>
      <c r="C431" s="314"/>
      <c r="D431" s="311"/>
      <c r="E431" s="311"/>
      <c r="F431" s="311"/>
      <c r="G431" s="311"/>
      <c r="H431" s="311"/>
      <c r="I431" s="311"/>
      <c r="J431" s="311"/>
      <c r="K431" s="311"/>
      <c r="L431" s="311"/>
      <c r="M431" s="311"/>
      <c r="N431" s="311"/>
      <c r="O431" s="311"/>
      <c r="P431" s="311"/>
      <c r="Q431" s="311"/>
      <c r="R431" s="311"/>
      <c r="S431" s="311"/>
      <c r="T431" s="311"/>
      <c r="U431" s="311"/>
      <c r="V431" s="311"/>
      <c r="W431" s="311"/>
      <c r="X431" s="311"/>
      <c r="Y431" s="24"/>
      <c r="Z431" s="24"/>
      <c r="AA431" s="24"/>
      <c r="AB431" s="24"/>
      <c r="AC431" s="24"/>
      <c r="AD431" s="24"/>
    </row>
    <row r="432" spans="1:30" ht="12.75">
      <c r="A432" s="313"/>
      <c r="B432" s="313"/>
      <c r="C432" s="314"/>
      <c r="D432" s="311"/>
      <c r="E432" s="311"/>
      <c r="F432" s="311"/>
      <c r="G432" s="311"/>
      <c r="H432" s="311"/>
      <c r="I432" s="311"/>
      <c r="J432" s="311"/>
      <c r="K432" s="311"/>
      <c r="L432" s="311"/>
      <c r="M432" s="311"/>
      <c r="N432" s="311"/>
      <c r="O432" s="311"/>
      <c r="P432" s="311"/>
      <c r="Q432" s="311"/>
      <c r="R432" s="311"/>
      <c r="S432" s="311"/>
      <c r="T432" s="311"/>
      <c r="U432" s="311"/>
      <c r="V432" s="311"/>
      <c r="W432" s="311"/>
      <c r="X432" s="311"/>
      <c r="Y432" s="24"/>
      <c r="Z432" s="24"/>
      <c r="AA432" s="24"/>
      <c r="AB432" s="24"/>
      <c r="AC432" s="24"/>
      <c r="AD432" s="24"/>
    </row>
    <row r="433" spans="1:30" ht="12.75">
      <c r="A433" s="313"/>
      <c r="B433" s="313"/>
      <c r="C433" s="314"/>
      <c r="D433" s="311"/>
      <c r="E433" s="311"/>
      <c r="F433" s="311"/>
      <c r="G433" s="311"/>
      <c r="H433" s="311"/>
      <c r="I433" s="311"/>
      <c r="J433" s="311"/>
      <c r="K433" s="311"/>
      <c r="L433" s="311"/>
      <c r="M433" s="311"/>
      <c r="N433" s="311"/>
      <c r="O433" s="311"/>
      <c r="P433" s="311"/>
      <c r="Q433" s="311"/>
      <c r="R433" s="311"/>
      <c r="S433" s="311"/>
      <c r="T433" s="311"/>
      <c r="U433" s="311"/>
      <c r="V433" s="311"/>
      <c r="W433" s="311"/>
      <c r="X433" s="311"/>
      <c r="Y433" s="24"/>
      <c r="Z433" s="24"/>
      <c r="AA433" s="24"/>
      <c r="AB433" s="24"/>
      <c r="AC433" s="24"/>
      <c r="AD433" s="24"/>
    </row>
    <row r="434" spans="1:30" ht="12.75">
      <c r="A434" s="313"/>
      <c r="B434" s="313"/>
      <c r="C434" s="314"/>
      <c r="D434" s="311"/>
      <c r="E434" s="311"/>
      <c r="F434" s="311"/>
      <c r="G434" s="311"/>
      <c r="H434" s="311"/>
      <c r="I434" s="311"/>
      <c r="J434" s="311"/>
      <c r="K434" s="311"/>
      <c r="L434" s="311"/>
      <c r="M434" s="311"/>
      <c r="N434" s="311"/>
      <c r="O434" s="311"/>
      <c r="P434" s="311"/>
      <c r="Q434" s="311"/>
      <c r="R434" s="311"/>
      <c r="S434" s="311"/>
      <c r="T434" s="311"/>
      <c r="U434" s="311"/>
      <c r="V434" s="311"/>
      <c r="W434" s="311"/>
      <c r="X434" s="311"/>
      <c r="Y434" s="24"/>
      <c r="Z434" s="24"/>
      <c r="AA434" s="24"/>
      <c r="AB434" s="24"/>
      <c r="AC434" s="24"/>
      <c r="AD434" s="24"/>
    </row>
    <row r="435" spans="1:30" ht="12.75">
      <c r="A435" s="313"/>
      <c r="B435" s="313"/>
      <c r="C435" s="314"/>
      <c r="D435" s="311"/>
      <c r="E435" s="311"/>
      <c r="F435" s="311"/>
      <c r="G435" s="311"/>
      <c r="H435" s="311"/>
      <c r="I435" s="311"/>
      <c r="J435" s="311"/>
      <c r="K435" s="311"/>
      <c r="L435" s="311"/>
      <c r="M435" s="311"/>
      <c r="N435" s="311"/>
      <c r="O435" s="311"/>
      <c r="P435" s="311"/>
      <c r="Q435" s="311"/>
      <c r="R435" s="311"/>
      <c r="S435" s="311"/>
      <c r="T435" s="311"/>
      <c r="U435" s="311"/>
      <c r="V435" s="311"/>
      <c r="W435" s="311"/>
      <c r="X435" s="311"/>
      <c r="Y435" s="24"/>
      <c r="Z435" s="24"/>
      <c r="AA435" s="24"/>
      <c r="AB435" s="24"/>
      <c r="AC435" s="24"/>
      <c r="AD435" s="24"/>
    </row>
    <row r="436" spans="1:30" ht="12.75">
      <c r="A436" s="313"/>
      <c r="B436" s="313"/>
      <c r="C436" s="314"/>
      <c r="D436" s="311"/>
      <c r="E436" s="311"/>
      <c r="F436" s="311"/>
      <c r="G436" s="311"/>
      <c r="H436" s="311"/>
      <c r="I436" s="311"/>
      <c r="J436" s="311"/>
      <c r="K436" s="311"/>
      <c r="L436" s="311"/>
      <c r="M436" s="311"/>
      <c r="N436" s="311"/>
      <c r="O436" s="311"/>
      <c r="P436" s="311"/>
      <c r="Q436" s="311"/>
      <c r="R436" s="311"/>
      <c r="S436" s="311"/>
      <c r="T436" s="311"/>
      <c r="U436" s="311"/>
      <c r="V436" s="311"/>
      <c r="W436" s="311"/>
      <c r="X436" s="311"/>
      <c r="Y436" s="24"/>
      <c r="Z436" s="24"/>
      <c r="AA436" s="24"/>
      <c r="AB436" s="24"/>
      <c r="AC436" s="24"/>
      <c r="AD436" s="24"/>
    </row>
    <row r="437" spans="1:30" ht="12.75">
      <c r="A437" s="313"/>
      <c r="B437" s="313"/>
      <c r="C437" s="314"/>
      <c r="D437" s="311"/>
      <c r="E437" s="311"/>
      <c r="F437" s="311"/>
      <c r="G437" s="311"/>
      <c r="H437" s="311"/>
      <c r="I437" s="311"/>
      <c r="J437" s="311"/>
      <c r="K437" s="311"/>
      <c r="L437" s="311"/>
      <c r="M437" s="311"/>
      <c r="N437" s="311"/>
      <c r="O437" s="311"/>
      <c r="P437" s="311"/>
      <c r="Q437" s="311"/>
      <c r="R437" s="311"/>
      <c r="S437" s="311"/>
      <c r="T437" s="311"/>
      <c r="U437" s="311"/>
      <c r="V437" s="311"/>
      <c r="W437" s="311"/>
      <c r="X437" s="311"/>
      <c r="Y437" s="24"/>
      <c r="Z437" s="24"/>
      <c r="AA437" s="24"/>
      <c r="AB437" s="24"/>
      <c r="AC437" s="24"/>
      <c r="AD437" s="24"/>
    </row>
    <row r="438" spans="1:30" ht="12.75">
      <c r="A438" s="313"/>
      <c r="B438" s="313"/>
      <c r="C438" s="314"/>
      <c r="D438" s="311"/>
      <c r="E438" s="311"/>
      <c r="F438" s="311"/>
      <c r="G438" s="311"/>
      <c r="H438" s="311"/>
      <c r="I438" s="311"/>
      <c r="J438" s="311"/>
      <c r="K438" s="311"/>
      <c r="L438" s="311"/>
      <c r="M438" s="311"/>
      <c r="N438" s="311"/>
      <c r="O438" s="311"/>
      <c r="P438" s="311"/>
      <c r="Q438" s="311"/>
      <c r="R438" s="311"/>
      <c r="S438" s="311"/>
      <c r="T438" s="311"/>
      <c r="U438" s="311"/>
      <c r="V438" s="311"/>
      <c r="W438" s="311"/>
      <c r="X438" s="311"/>
      <c r="Y438" s="24"/>
      <c r="Z438" s="24"/>
      <c r="AA438" s="24"/>
      <c r="AB438" s="24"/>
      <c r="AC438" s="24"/>
      <c r="AD438" s="24"/>
    </row>
    <row r="439" spans="1:30" ht="12.75">
      <c r="A439" s="313"/>
      <c r="B439" s="313"/>
      <c r="C439" s="314"/>
      <c r="D439" s="311"/>
      <c r="E439" s="311"/>
      <c r="F439" s="311"/>
      <c r="G439" s="311"/>
      <c r="H439" s="311"/>
      <c r="I439" s="311"/>
      <c r="J439" s="311"/>
      <c r="K439" s="311"/>
      <c r="L439" s="311"/>
      <c r="M439" s="311"/>
      <c r="N439" s="311"/>
      <c r="O439" s="311"/>
      <c r="P439" s="311"/>
      <c r="Q439" s="311"/>
      <c r="R439" s="311"/>
      <c r="S439" s="311"/>
      <c r="T439" s="311"/>
      <c r="U439" s="311"/>
      <c r="V439" s="311"/>
      <c r="W439" s="311"/>
      <c r="X439" s="311"/>
      <c r="Y439" s="24"/>
      <c r="Z439" s="24"/>
      <c r="AA439" s="24"/>
      <c r="AB439" s="24"/>
      <c r="AC439" s="24"/>
      <c r="AD439" s="24"/>
    </row>
    <row r="440" spans="1:30" ht="12.75">
      <c r="A440" s="313"/>
      <c r="B440" s="313"/>
      <c r="C440" s="314"/>
      <c r="D440" s="311"/>
      <c r="E440" s="311"/>
      <c r="F440" s="311"/>
      <c r="G440" s="311"/>
      <c r="H440" s="311"/>
      <c r="I440" s="311"/>
      <c r="J440" s="311"/>
      <c r="K440" s="311"/>
      <c r="L440" s="311"/>
      <c r="M440" s="311"/>
      <c r="N440" s="311"/>
      <c r="O440" s="311"/>
      <c r="P440" s="311"/>
      <c r="Q440" s="311"/>
      <c r="R440" s="311"/>
      <c r="S440" s="311"/>
      <c r="T440" s="311"/>
      <c r="U440" s="311"/>
      <c r="V440" s="311"/>
      <c r="W440" s="311"/>
      <c r="X440" s="311"/>
      <c r="Y440" s="24"/>
      <c r="Z440" s="24"/>
      <c r="AA440" s="24"/>
      <c r="AB440" s="24"/>
      <c r="AC440" s="24"/>
      <c r="AD440" s="24"/>
    </row>
    <row r="441" spans="1:30" ht="12.75">
      <c r="A441" s="313"/>
      <c r="B441" s="313"/>
      <c r="C441" s="314"/>
      <c r="D441" s="311"/>
      <c r="E441" s="311"/>
      <c r="F441" s="311"/>
      <c r="G441" s="311"/>
      <c r="H441" s="311"/>
      <c r="I441" s="311"/>
      <c r="J441" s="311"/>
      <c r="K441" s="311"/>
      <c r="L441" s="311"/>
      <c r="M441" s="311"/>
      <c r="N441" s="311"/>
      <c r="O441" s="311"/>
      <c r="P441" s="311"/>
      <c r="Q441" s="311"/>
      <c r="R441" s="311"/>
      <c r="S441" s="311"/>
      <c r="T441" s="311"/>
      <c r="U441" s="311"/>
      <c r="V441" s="311"/>
      <c r="W441" s="311"/>
      <c r="X441" s="311"/>
      <c r="Y441" s="24"/>
      <c r="Z441" s="24"/>
      <c r="AA441" s="24"/>
      <c r="AB441" s="24"/>
      <c r="AC441" s="24"/>
      <c r="AD441" s="24"/>
    </row>
    <row r="442" spans="1:30" ht="12.75">
      <c r="A442" s="313"/>
      <c r="B442" s="313"/>
      <c r="C442" s="314"/>
      <c r="D442" s="311"/>
      <c r="E442" s="311"/>
      <c r="F442" s="311"/>
      <c r="G442" s="311"/>
      <c r="H442" s="311"/>
      <c r="I442" s="311"/>
      <c r="J442" s="311"/>
      <c r="K442" s="311"/>
      <c r="L442" s="311"/>
      <c r="M442" s="311"/>
      <c r="N442" s="311"/>
      <c r="O442" s="311"/>
      <c r="P442" s="311"/>
      <c r="Q442" s="311"/>
      <c r="R442" s="311"/>
      <c r="S442" s="311"/>
      <c r="T442" s="311"/>
      <c r="U442" s="311"/>
      <c r="V442" s="311"/>
      <c r="W442" s="311"/>
      <c r="X442" s="311"/>
      <c r="Y442" s="24"/>
      <c r="Z442" s="24"/>
      <c r="AA442" s="24"/>
      <c r="AB442" s="24"/>
      <c r="AC442" s="24"/>
      <c r="AD442" s="24"/>
    </row>
    <row r="443" spans="1:30" ht="12.75">
      <c r="A443" s="313"/>
      <c r="B443" s="313"/>
      <c r="C443" s="314"/>
      <c r="D443" s="311"/>
      <c r="E443" s="311"/>
      <c r="F443" s="311"/>
      <c r="G443" s="311"/>
      <c r="H443" s="311"/>
      <c r="I443" s="311"/>
      <c r="J443" s="311"/>
      <c r="K443" s="311"/>
      <c r="L443" s="311"/>
      <c r="M443" s="311"/>
      <c r="N443" s="311"/>
      <c r="O443" s="311"/>
      <c r="P443" s="311"/>
      <c r="Q443" s="311"/>
      <c r="R443" s="311"/>
      <c r="S443" s="311"/>
      <c r="T443" s="311"/>
      <c r="U443" s="311"/>
      <c r="V443" s="311"/>
      <c r="W443" s="311"/>
      <c r="X443" s="311"/>
      <c r="Y443" s="24"/>
      <c r="Z443" s="24"/>
      <c r="AA443" s="24"/>
      <c r="AB443" s="24"/>
      <c r="AC443" s="24"/>
      <c r="AD443" s="24"/>
    </row>
    <row r="444" spans="1:30" ht="12.75">
      <c r="A444" s="313"/>
      <c r="B444" s="313"/>
      <c r="C444" s="314"/>
      <c r="D444" s="311"/>
      <c r="E444" s="311"/>
      <c r="F444" s="311"/>
      <c r="G444" s="311"/>
      <c r="H444" s="311"/>
      <c r="I444" s="311"/>
      <c r="J444" s="311"/>
      <c r="K444" s="311"/>
      <c r="L444" s="311"/>
      <c r="M444" s="311"/>
      <c r="N444" s="311"/>
      <c r="O444" s="311"/>
      <c r="P444" s="311"/>
      <c r="Q444" s="311"/>
      <c r="R444" s="311"/>
      <c r="S444" s="311"/>
      <c r="T444" s="311"/>
      <c r="U444" s="311"/>
      <c r="V444" s="311"/>
      <c r="W444" s="311"/>
      <c r="X444" s="311"/>
      <c r="Y444" s="24"/>
      <c r="Z444" s="24"/>
      <c r="AA444" s="24"/>
      <c r="AB444" s="24"/>
      <c r="AC444" s="24"/>
      <c r="AD444" s="24"/>
    </row>
    <row r="445" spans="1:30" ht="12.75">
      <c r="A445" s="313"/>
      <c r="B445" s="313"/>
      <c r="C445" s="314"/>
      <c r="D445" s="311"/>
      <c r="E445" s="311"/>
      <c r="F445" s="311"/>
      <c r="G445" s="311"/>
      <c r="H445" s="311"/>
      <c r="I445" s="311"/>
      <c r="J445" s="311"/>
      <c r="K445" s="311"/>
      <c r="L445" s="311"/>
      <c r="M445" s="311"/>
      <c r="N445" s="311"/>
      <c r="O445" s="311"/>
      <c r="P445" s="311"/>
      <c r="Q445" s="311"/>
      <c r="R445" s="311"/>
      <c r="S445" s="311"/>
      <c r="T445" s="311"/>
      <c r="U445" s="311"/>
      <c r="V445" s="311"/>
      <c r="W445" s="311"/>
      <c r="X445" s="311"/>
      <c r="Y445" s="24"/>
      <c r="Z445" s="24"/>
      <c r="AA445" s="24"/>
      <c r="AB445" s="24"/>
      <c r="AC445" s="24"/>
      <c r="AD445" s="24"/>
    </row>
    <row r="446" spans="1:30" ht="12.75">
      <c r="A446" s="313"/>
      <c r="B446" s="313"/>
      <c r="C446" s="314"/>
      <c r="D446" s="311"/>
      <c r="E446" s="311"/>
      <c r="F446" s="311"/>
      <c r="G446" s="311"/>
      <c r="H446" s="311"/>
      <c r="I446" s="311"/>
      <c r="J446" s="311"/>
      <c r="K446" s="311"/>
      <c r="L446" s="311"/>
      <c r="M446" s="311"/>
      <c r="N446" s="311"/>
      <c r="O446" s="311"/>
      <c r="P446" s="311"/>
      <c r="Q446" s="311"/>
      <c r="R446" s="311"/>
      <c r="S446" s="311"/>
      <c r="T446" s="311"/>
      <c r="U446" s="311"/>
      <c r="V446" s="311"/>
      <c r="W446" s="311"/>
      <c r="X446" s="311"/>
      <c r="Y446" s="24"/>
      <c r="Z446" s="24"/>
      <c r="AA446" s="24"/>
      <c r="AB446" s="24"/>
      <c r="AC446" s="24"/>
      <c r="AD446" s="24"/>
    </row>
    <row r="447" spans="1:30" ht="12.75">
      <c r="A447" s="313"/>
      <c r="B447" s="313"/>
      <c r="C447" s="314"/>
      <c r="D447" s="311"/>
      <c r="E447" s="311"/>
      <c r="F447" s="311"/>
      <c r="G447" s="311"/>
      <c r="H447" s="311"/>
      <c r="I447" s="311"/>
      <c r="J447" s="311"/>
      <c r="K447" s="311"/>
      <c r="L447" s="311"/>
      <c r="M447" s="311"/>
      <c r="N447" s="311"/>
      <c r="O447" s="311"/>
      <c r="P447" s="311"/>
      <c r="Q447" s="311"/>
      <c r="R447" s="311"/>
      <c r="S447" s="311"/>
      <c r="T447" s="311"/>
      <c r="U447" s="311"/>
      <c r="V447" s="311"/>
      <c r="W447" s="311"/>
      <c r="X447" s="311"/>
      <c r="Y447" s="24"/>
      <c r="Z447" s="24"/>
      <c r="AA447" s="24"/>
      <c r="AB447" s="24"/>
      <c r="AC447" s="24"/>
      <c r="AD447" s="24"/>
    </row>
    <row r="448" spans="1:30" ht="12.75">
      <c r="A448" s="313"/>
      <c r="B448" s="313"/>
      <c r="C448" s="314"/>
      <c r="D448" s="311"/>
      <c r="E448" s="311"/>
      <c r="F448" s="311"/>
      <c r="G448" s="311"/>
      <c r="H448" s="311"/>
      <c r="I448" s="311"/>
      <c r="J448" s="311"/>
      <c r="K448" s="311"/>
      <c r="L448" s="311"/>
      <c r="M448" s="311"/>
      <c r="N448" s="311"/>
      <c r="O448" s="311"/>
      <c r="P448" s="311"/>
      <c r="Q448" s="311"/>
      <c r="R448" s="311"/>
      <c r="S448" s="311"/>
      <c r="T448" s="311"/>
      <c r="U448" s="311"/>
      <c r="V448" s="311"/>
      <c r="W448" s="311"/>
      <c r="X448" s="311"/>
      <c r="Y448" s="24"/>
      <c r="Z448" s="24"/>
      <c r="AA448" s="24"/>
      <c r="AB448" s="24"/>
      <c r="AC448" s="24"/>
      <c r="AD448" s="24"/>
    </row>
    <row r="449" spans="1:30" ht="12.75">
      <c r="A449" s="313"/>
      <c r="B449" s="313"/>
      <c r="C449" s="314"/>
      <c r="D449" s="311"/>
      <c r="E449" s="311"/>
      <c r="F449" s="311"/>
      <c r="G449" s="311"/>
      <c r="H449" s="311"/>
      <c r="I449" s="311"/>
      <c r="J449" s="311"/>
      <c r="K449" s="311"/>
      <c r="L449" s="311"/>
      <c r="M449" s="311"/>
      <c r="N449" s="311"/>
      <c r="O449" s="311"/>
      <c r="P449" s="311"/>
      <c r="Q449" s="311"/>
      <c r="R449" s="311"/>
      <c r="S449" s="311"/>
      <c r="T449" s="311"/>
      <c r="U449" s="311"/>
      <c r="V449" s="311"/>
      <c r="W449" s="311"/>
      <c r="X449" s="311"/>
      <c r="Y449" s="24"/>
      <c r="Z449" s="24"/>
      <c r="AA449" s="24"/>
      <c r="AB449" s="24"/>
      <c r="AC449" s="24"/>
      <c r="AD449" s="24"/>
    </row>
    <row r="450" spans="1:30" ht="12.75">
      <c r="A450" s="313"/>
      <c r="B450" s="313"/>
      <c r="C450" s="314"/>
      <c r="D450" s="311"/>
      <c r="E450" s="311"/>
      <c r="F450" s="311"/>
      <c r="G450" s="311"/>
      <c r="H450" s="311"/>
      <c r="I450" s="311"/>
      <c r="J450" s="311"/>
      <c r="K450" s="311"/>
      <c r="L450" s="311"/>
      <c r="M450" s="311"/>
      <c r="N450" s="311"/>
      <c r="O450" s="311"/>
      <c r="P450" s="311"/>
      <c r="Q450" s="311"/>
      <c r="R450" s="311"/>
      <c r="S450" s="311"/>
      <c r="T450" s="311"/>
      <c r="U450" s="311"/>
      <c r="V450" s="311"/>
      <c r="W450" s="311"/>
      <c r="X450" s="311"/>
      <c r="Y450" s="24"/>
      <c r="Z450" s="24"/>
      <c r="AA450" s="24"/>
      <c r="AB450" s="24"/>
      <c r="AC450" s="24"/>
      <c r="AD450" s="24"/>
    </row>
    <row r="451" spans="1:30" ht="12.75">
      <c r="A451" s="313"/>
      <c r="B451" s="313"/>
      <c r="C451" s="314"/>
      <c r="D451" s="311"/>
      <c r="E451" s="311"/>
      <c r="F451" s="311"/>
      <c r="G451" s="311"/>
      <c r="H451" s="311"/>
      <c r="I451" s="311"/>
      <c r="J451" s="311"/>
      <c r="K451" s="311"/>
      <c r="L451" s="311"/>
      <c r="M451" s="311"/>
      <c r="N451" s="311"/>
      <c r="O451" s="311"/>
      <c r="P451" s="311"/>
      <c r="Q451" s="311"/>
      <c r="R451" s="311"/>
      <c r="S451" s="311"/>
      <c r="T451" s="311"/>
      <c r="U451" s="311"/>
      <c r="V451" s="311"/>
      <c r="W451" s="311"/>
      <c r="X451" s="311"/>
      <c r="Y451" s="24"/>
      <c r="Z451" s="24"/>
      <c r="AA451" s="24"/>
      <c r="AB451" s="24"/>
      <c r="AC451" s="24"/>
      <c r="AD451" s="24"/>
    </row>
    <row r="452" spans="1:30" ht="12.75">
      <c r="A452" s="313"/>
      <c r="B452" s="313"/>
      <c r="C452" s="314"/>
      <c r="D452" s="311"/>
      <c r="E452" s="311"/>
      <c r="F452" s="311"/>
      <c r="G452" s="311"/>
      <c r="H452" s="311"/>
      <c r="I452" s="311"/>
      <c r="J452" s="311"/>
      <c r="K452" s="311"/>
      <c r="L452" s="311"/>
      <c r="M452" s="311"/>
      <c r="N452" s="311"/>
      <c r="O452" s="311"/>
      <c r="P452" s="311"/>
      <c r="Q452" s="311"/>
      <c r="R452" s="311"/>
      <c r="S452" s="311"/>
      <c r="T452" s="311"/>
      <c r="U452" s="311"/>
      <c r="V452" s="311"/>
      <c r="W452" s="311"/>
      <c r="X452" s="311"/>
      <c r="Y452" s="24"/>
      <c r="Z452" s="24"/>
      <c r="AA452" s="24"/>
      <c r="AB452" s="24"/>
      <c r="AC452" s="24"/>
      <c r="AD452" s="24"/>
    </row>
    <row r="453" spans="1:30" ht="12.75">
      <c r="A453" s="313"/>
      <c r="B453" s="313"/>
      <c r="C453" s="314"/>
      <c r="D453" s="311"/>
      <c r="E453" s="311"/>
      <c r="F453" s="311"/>
      <c r="G453" s="311"/>
      <c r="H453" s="311"/>
      <c r="I453" s="311"/>
      <c r="J453" s="311"/>
      <c r="K453" s="311"/>
      <c r="L453" s="311"/>
      <c r="M453" s="311"/>
      <c r="N453" s="311"/>
      <c r="O453" s="311"/>
      <c r="P453" s="311"/>
      <c r="Q453" s="311"/>
      <c r="R453" s="311"/>
      <c r="S453" s="311"/>
      <c r="T453" s="311"/>
      <c r="U453" s="311"/>
      <c r="V453" s="311"/>
      <c r="W453" s="311"/>
      <c r="X453" s="311"/>
      <c r="Y453" s="24"/>
      <c r="Z453" s="24"/>
      <c r="AA453" s="24"/>
      <c r="AB453" s="24"/>
      <c r="AC453" s="24"/>
      <c r="AD453" s="24"/>
    </row>
    <row r="454" spans="1:30" ht="12.75">
      <c r="A454" s="313"/>
      <c r="B454" s="313"/>
      <c r="C454" s="314"/>
      <c r="D454" s="311"/>
      <c r="E454" s="311"/>
      <c r="F454" s="311"/>
      <c r="G454" s="311"/>
      <c r="H454" s="311"/>
      <c r="I454" s="311"/>
      <c r="J454" s="311"/>
      <c r="K454" s="311"/>
      <c r="L454" s="311"/>
      <c r="M454" s="311"/>
      <c r="N454" s="311"/>
      <c r="O454" s="311"/>
      <c r="P454" s="311"/>
      <c r="Q454" s="311"/>
      <c r="R454" s="311"/>
      <c r="S454" s="311"/>
      <c r="T454" s="311"/>
      <c r="U454" s="311"/>
      <c r="V454" s="311"/>
      <c r="W454" s="311"/>
      <c r="X454" s="311"/>
      <c r="Y454" s="24"/>
      <c r="Z454" s="24"/>
      <c r="AA454" s="24"/>
      <c r="AB454" s="24"/>
      <c r="AC454" s="24"/>
      <c r="AD454" s="24"/>
    </row>
    <row r="455" spans="1:30" ht="12.75">
      <c r="A455" s="313"/>
      <c r="B455" s="313"/>
      <c r="C455" s="314"/>
      <c r="D455" s="311"/>
      <c r="E455" s="311"/>
      <c r="F455" s="311"/>
      <c r="G455" s="311"/>
      <c r="H455" s="311"/>
      <c r="I455" s="311"/>
      <c r="J455" s="311"/>
      <c r="K455" s="311"/>
      <c r="L455" s="311"/>
      <c r="M455" s="311"/>
      <c r="N455" s="311"/>
      <c r="O455" s="311"/>
      <c r="P455" s="311"/>
      <c r="Q455" s="311"/>
      <c r="R455" s="311"/>
      <c r="S455" s="311"/>
      <c r="T455" s="311"/>
      <c r="U455" s="311"/>
      <c r="V455" s="311"/>
      <c r="W455" s="311"/>
      <c r="X455" s="311"/>
      <c r="Y455" s="24"/>
      <c r="Z455" s="24"/>
      <c r="AA455" s="24"/>
      <c r="AB455" s="24"/>
      <c r="AC455" s="24"/>
      <c r="AD455" s="24"/>
    </row>
    <row r="456" spans="1:30" ht="12.75">
      <c r="A456" s="313"/>
      <c r="B456" s="313"/>
      <c r="C456" s="314"/>
      <c r="D456" s="311"/>
      <c r="E456" s="311"/>
      <c r="F456" s="311"/>
      <c r="G456" s="311"/>
      <c r="H456" s="311"/>
      <c r="I456" s="311"/>
      <c r="J456" s="311"/>
      <c r="K456" s="311"/>
      <c r="L456" s="311"/>
      <c r="M456" s="311"/>
      <c r="N456" s="311"/>
      <c r="O456" s="311"/>
      <c r="P456" s="311"/>
      <c r="Q456" s="311"/>
      <c r="R456" s="311"/>
      <c r="S456" s="311"/>
      <c r="T456" s="311"/>
      <c r="U456" s="311"/>
      <c r="V456" s="311"/>
      <c r="W456" s="311"/>
      <c r="X456" s="311"/>
      <c r="Y456" s="24"/>
      <c r="Z456" s="24"/>
      <c r="AA456" s="24"/>
      <c r="AB456" s="24"/>
      <c r="AC456" s="24"/>
      <c r="AD456" s="24"/>
    </row>
    <row r="457" spans="1:30" ht="12.75">
      <c r="A457" s="313"/>
      <c r="B457" s="313"/>
      <c r="C457" s="314"/>
      <c r="D457" s="311"/>
      <c r="E457" s="311"/>
      <c r="F457" s="311"/>
      <c r="G457" s="311"/>
      <c r="H457" s="311"/>
      <c r="I457" s="311"/>
      <c r="J457" s="311"/>
      <c r="K457" s="311"/>
      <c r="L457" s="311"/>
      <c r="M457" s="311"/>
      <c r="N457" s="311"/>
      <c r="O457" s="311"/>
      <c r="P457" s="311"/>
      <c r="Q457" s="311"/>
      <c r="R457" s="311"/>
      <c r="S457" s="311"/>
      <c r="T457" s="311"/>
      <c r="U457" s="311"/>
      <c r="V457" s="311"/>
      <c r="W457" s="311"/>
      <c r="X457" s="311"/>
      <c r="Y457" s="24"/>
      <c r="Z457" s="24"/>
      <c r="AA457" s="24"/>
      <c r="AB457" s="24"/>
      <c r="AC457" s="24"/>
      <c r="AD457" s="24"/>
    </row>
    <row r="458" spans="1:30" ht="12.75">
      <c r="A458" s="313"/>
      <c r="B458" s="313"/>
      <c r="C458" s="314"/>
      <c r="D458" s="311"/>
      <c r="E458" s="311"/>
      <c r="F458" s="311"/>
      <c r="G458" s="311"/>
      <c r="H458" s="311"/>
      <c r="I458" s="311"/>
      <c r="J458" s="311"/>
      <c r="K458" s="311"/>
      <c r="L458" s="311"/>
      <c r="M458" s="311"/>
      <c r="N458" s="311"/>
      <c r="O458" s="311"/>
      <c r="P458" s="311"/>
      <c r="Q458" s="311"/>
      <c r="R458" s="311"/>
      <c r="S458" s="311"/>
      <c r="T458" s="311"/>
      <c r="U458" s="311"/>
      <c r="V458" s="311"/>
      <c r="W458" s="311"/>
      <c r="X458" s="311"/>
      <c r="Y458" s="24"/>
      <c r="Z458" s="24"/>
      <c r="AA458" s="24"/>
      <c r="AB458" s="24"/>
      <c r="AC458" s="24"/>
      <c r="AD458" s="24"/>
    </row>
    <row r="459" spans="1:30" ht="12.75">
      <c r="A459" s="313"/>
      <c r="B459" s="313"/>
      <c r="C459" s="314"/>
      <c r="D459" s="311"/>
      <c r="E459" s="311"/>
      <c r="F459" s="311"/>
      <c r="G459" s="311"/>
      <c r="H459" s="311"/>
      <c r="I459" s="311"/>
      <c r="J459" s="311"/>
      <c r="K459" s="311"/>
      <c r="L459" s="311"/>
      <c r="M459" s="311"/>
      <c r="N459" s="311"/>
      <c r="O459" s="311"/>
      <c r="P459" s="311"/>
      <c r="Q459" s="311"/>
      <c r="R459" s="311"/>
      <c r="S459" s="311"/>
      <c r="T459" s="311"/>
      <c r="U459" s="311"/>
      <c r="V459" s="311"/>
      <c r="W459" s="311"/>
      <c r="X459" s="311"/>
      <c r="Y459" s="24"/>
      <c r="Z459" s="24"/>
      <c r="AA459" s="24"/>
      <c r="AB459" s="24"/>
      <c r="AC459" s="24"/>
      <c r="AD459" s="24"/>
    </row>
    <row r="460" spans="1:30" ht="12.75">
      <c r="A460" s="313"/>
      <c r="B460" s="313"/>
      <c r="C460" s="314"/>
      <c r="D460" s="311"/>
      <c r="E460" s="311"/>
      <c r="F460" s="311"/>
      <c r="G460" s="311"/>
      <c r="H460" s="311"/>
      <c r="I460" s="311"/>
      <c r="J460" s="311"/>
      <c r="K460" s="311"/>
      <c r="L460" s="311"/>
      <c r="M460" s="311"/>
      <c r="N460" s="311"/>
      <c r="O460" s="311"/>
      <c r="P460" s="311"/>
      <c r="Q460" s="311"/>
      <c r="R460" s="311"/>
      <c r="S460" s="311"/>
      <c r="T460" s="311"/>
      <c r="U460" s="311"/>
      <c r="V460" s="311"/>
      <c r="W460" s="311"/>
      <c r="X460" s="311"/>
      <c r="Y460" s="24"/>
      <c r="Z460" s="24"/>
      <c r="AA460" s="24"/>
      <c r="AB460" s="24"/>
      <c r="AC460" s="24"/>
      <c r="AD460" s="24"/>
    </row>
    <row r="461" spans="1:30" ht="12.75">
      <c r="A461" s="313"/>
      <c r="B461" s="313"/>
      <c r="C461" s="314"/>
      <c r="D461" s="311"/>
      <c r="E461" s="311"/>
      <c r="F461" s="311"/>
      <c r="G461" s="311"/>
      <c r="H461" s="311"/>
      <c r="I461" s="311"/>
      <c r="J461" s="311"/>
      <c r="K461" s="311"/>
      <c r="L461" s="311"/>
      <c r="M461" s="311"/>
      <c r="N461" s="311"/>
      <c r="O461" s="311"/>
      <c r="P461" s="311"/>
      <c r="Q461" s="311"/>
      <c r="R461" s="311"/>
      <c r="S461" s="311"/>
      <c r="T461" s="311"/>
      <c r="U461" s="311"/>
      <c r="V461" s="311"/>
      <c r="W461" s="311"/>
      <c r="X461" s="311"/>
      <c r="Y461" s="24"/>
      <c r="Z461" s="24"/>
      <c r="AA461" s="24"/>
      <c r="AB461" s="24"/>
      <c r="AC461" s="24"/>
      <c r="AD461" s="24"/>
    </row>
    <row r="462" spans="1:30" ht="12.75">
      <c r="A462" s="313"/>
      <c r="B462" s="313"/>
      <c r="C462" s="314"/>
      <c r="D462" s="311"/>
      <c r="E462" s="311"/>
      <c r="F462" s="311"/>
      <c r="G462" s="311"/>
      <c r="H462" s="311"/>
      <c r="I462" s="311"/>
      <c r="J462" s="311"/>
      <c r="K462" s="311"/>
      <c r="L462" s="311"/>
      <c r="M462" s="311"/>
      <c r="N462" s="311"/>
      <c r="O462" s="311"/>
      <c r="P462" s="311"/>
      <c r="Q462" s="311"/>
      <c r="R462" s="311"/>
      <c r="S462" s="311"/>
      <c r="T462" s="311"/>
      <c r="U462" s="311"/>
      <c r="V462" s="311"/>
      <c r="W462" s="311"/>
      <c r="X462" s="311"/>
      <c r="Y462" s="24"/>
      <c r="Z462" s="24"/>
      <c r="AA462" s="24"/>
      <c r="AB462" s="24"/>
      <c r="AC462" s="24"/>
      <c r="AD462" s="24"/>
    </row>
    <row r="463" spans="1:30" ht="12.75">
      <c r="A463" s="313"/>
      <c r="B463" s="313"/>
      <c r="C463" s="314"/>
      <c r="D463" s="311"/>
      <c r="E463" s="311"/>
      <c r="F463" s="311"/>
      <c r="G463" s="311"/>
      <c r="H463" s="311"/>
      <c r="I463" s="311"/>
      <c r="J463" s="311"/>
      <c r="K463" s="311"/>
      <c r="L463" s="311"/>
      <c r="M463" s="311"/>
      <c r="N463" s="311"/>
      <c r="O463" s="311"/>
      <c r="P463" s="311"/>
      <c r="Q463" s="311"/>
      <c r="R463" s="311"/>
      <c r="S463" s="311"/>
      <c r="T463" s="311"/>
      <c r="U463" s="311"/>
      <c r="V463" s="311"/>
      <c r="W463" s="311"/>
      <c r="X463" s="311"/>
      <c r="Y463" s="24"/>
      <c r="Z463" s="24"/>
      <c r="AA463" s="24"/>
      <c r="AB463" s="24"/>
      <c r="AC463" s="24"/>
      <c r="AD463" s="24"/>
    </row>
    <row r="464" spans="1:30" ht="12.75">
      <c r="A464" s="313"/>
      <c r="B464" s="313"/>
      <c r="C464" s="314"/>
      <c r="D464" s="311"/>
      <c r="E464" s="311"/>
      <c r="F464" s="311"/>
      <c r="G464" s="311"/>
      <c r="H464" s="311"/>
      <c r="I464" s="311"/>
      <c r="J464" s="311"/>
      <c r="K464" s="311"/>
      <c r="L464" s="311"/>
      <c r="M464" s="311"/>
      <c r="N464" s="311"/>
      <c r="O464" s="311"/>
      <c r="P464" s="311"/>
      <c r="Q464" s="311"/>
      <c r="R464" s="311"/>
      <c r="S464" s="311"/>
      <c r="T464" s="311"/>
      <c r="U464" s="311"/>
      <c r="V464" s="311"/>
      <c r="W464" s="311"/>
      <c r="X464" s="311"/>
      <c r="Y464" s="24"/>
      <c r="Z464" s="24"/>
      <c r="AA464" s="24"/>
      <c r="AB464" s="24"/>
      <c r="AC464" s="24"/>
      <c r="AD464" s="24"/>
    </row>
    <row r="465" spans="1:30" ht="12.75">
      <c r="A465" s="313"/>
      <c r="B465" s="313"/>
      <c r="C465" s="314"/>
      <c r="D465" s="311"/>
      <c r="E465" s="311"/>
      <c r="F465" s="311"/>
      <c r="G465" s="311"/>
      <c r="H465" s="311"/>
      <c r="I465" s="311"/>
      <c r="J465" s="311"/>
      <c r="K465" s="311"/>
      <c r="L465" s="311"/>
      <c r="M465" s="311"/>
      <c r="N465" s="311"/>
      <c r="O465" s="311"/>
      <c r="P465" s="311"/>
      <c r="Q465" s="311"/>
      <c r="R465" s="311"/>
      <c r="S465" s="311"/>
      <c r="T465" s="311"/>
      <c r="U465" s="311"/>
      <c r="V465" s="311"/>
      <c r="W465" s="311"/>
      <c r="X465" s="311"/>
      <c r="Y465" s="24"/>
      <c r="Z465" s="24"/>
      <c r="AA465" s="24"/>
      <c r="AB465" s="24"/>
      <c r="AC465" s="24"/>
      <c r="AD465" s="24"/>
    </row>
    <row r="466" spans="1:30" ht="12.75">
      <c r="A466" s="313"/>
      <c r="B466" s="313"/>
      <c r="C466" s="314"/>
      <c r="D466" s="311"/>
      <c r="E466" s="311"/>
      <c r="F466" s="311"/>
      <c r="G466" s="311"/>
      <c r="H466" s="311"/>
      <c r="I466" s="311"/>
      <c r="J466" s="311"/>
      <c r="K466" s="311"/>
      <c r="L466" s="311"/>
      <c r="M466" s="311"/>
      <c r="N466" s="311"/>
      <c r="O466" s="311"/>
      <c r="P466" s="311"/>
      <c r="Q466" s="311"/>
      <c r="R466" s="311"/>
      <c r="S466" s="311"/>
      <c r="T466" s="311"/>
      <c r="U466" s="311"/>
      <c r="V466" s="311"/>
      <c r="W466" s="311"/>
      <c r="X466" s="311"/>
      <c r="Y466" s="24"/>
      <c r="Z466" s="24"/>
      <c r="AA466" s="24"/>
      <c r="AB466" s="24"/>
      <c r="AC466" s="24"/>
      <c r="AD466" s="24"/>
    </row>
    <row r="467" spans="1:30" ht="12.75">
      <c r="A467" s="313"/>
      <c r="B467" s="313"/>
      <c r="C467" s="314"/>
      <c r="D467" s="311"/>
      <c r="E467" s="311"/>
      <c r="F467" s="311"/>
      <c r="G467" s="311"/>
      <c r="H467" s="311"/>
      <c r="I467" s="311"/>
      <c r="J467" s="311"/>
      <c r="K467" s="311"/>
      <c r="L467" s="311"/>
      <c r="M467" s="311"/>
      <c r="N467" s="311"/>
      <c r="O467" s="311"/>
      <c r="P467" s="311"/>
      <c r="Q467" s="311"/>
      <c r="R467" s="311"/>
      <c r="S467" s="311"/>
      <c r="T467" s="311"/>
      <c r="U467" s="311"/>
      <c r="V467" s="311"/>
      <c r="W467" s="311"/>
      <c r="X467" s="311"/>
      <c r="Y467" s="24"/>
      <c r="Z467" s="24"/>
      <c r="AA467" s="24"/>
      <c r="AB467" s="24"/>
      <c r="AC467" s="24"/>
      <c r="AD467" s="24"/>
    </row>
    <row r="468" spans="1:30" ht="12.75">
      <c r="A468" s="313"/>
      <c r="B468" s="313"/>
      <c r="C468" s="314"/>
      <c r="D468" s="311"/>
      <c r="E468" s="311"/>
      <c r="F468" s="311"/>
      <c r="G468" s="311"/>
      <c r="H468" s="311"/>
      <c r="I468" s="311"/>
      <c r="J468" s="311"/>
      <c r="K468" s="311"/>
      <c r="L468" s="311"/>
      <c r="M468" s="311"/>
      <c r="N468" s="311"/>
      <c r="O468" s="311"/>
      <c r="P468" s="311"/>
      <c r="Q468" s="311"/>
      <c r="R468" s="311"/>
      <c r="S468" s="311"/>
      <c r="T468" s="311"/>
      <c r="U468" s="311"/>
      <c r="V468" s="311"/>
      <c r="W468" s="311"/>
      <c r="X468" s="311"/>
      <c r="Y468" s="24"/>
      <c r="Z468" s="24"/>
      <c r="AA468" s="24"/>
      <c r="AB468" s="24"/>
      <c r="AC468" s="24"/>
      <c r="AD468" s="24"/>
    </row>
    <row r="469" spans="1:30" ht="12.75">
      <c r="A469" s="313"/>
      <c r="B469" s="313"/>
      <c r="C469" s="314"/>
      <c r="D469" s="311"/>
      <c r="E469" s="311"/>
      <c r="F469" s="311"/>
      <c r="G469" s="311"/>
      <c r="H469" s="311"/>
      <c r="I469" s="311"/>
      <c r="J469" s="311"/>
      <c r="K469" s="311"/>
      <c r="L469" s="311"/>
      <c r="M469" s="311"/>
      <c r="N469" s="311"/>
      <c r="O469" s="311"/>
      <c r="P469" s="311"/>
      <c r="Q469" s="311"/>
      <c r="R469" s="311"/>
      <c r="S469" s="311"/>
      <c r="T469" s="311"/>
      <c r="U469" s="311"/>
      <c r="V469" s="311"/>
      <c r="W469" s="311"/>
      <c r="X469" s="311"/>
      <c r="Y469" s="24"/>
      <c r="Z469" s="24"/>
      <c r="AA469" s="24"/>
      <c r="AB469" s="24"/>
      <c r="AC469" s="24"/>
      <c r="AD469" s="24"/>
    </row>
    <row r="470" spans="1:30" ht="12.75">
      <c r="A470" s="313"/>
      <c r="B470" s="313"/>
      <c r="C470" s="314"/>
      <c r="D470" s="311"/>
      <c r="E470" s="311"/>
      <c r="F470" s="311"/>
      <c r="G470" s="311"/>
      <c r="H470" s="311"/>
      <c r="I470" s="311"/>
      <c r="J470" s="311"/>
      <c r="K470" s="311"/>
      <c r="L470" s="311"/>
      <c r="M470" s="311"/>
      <c r="N470" s="311"/>
      <c r="O470" s="311"/>
      <c r="P470" s="311"/>
      <c r="Q470" s="311"/>
      <c r="R470" s="311"/>
      <c r="S470" s="311"/>
      <c r="T470" s="311"/>
      <c r="U470" s="311"/>
      <c r="V470" s="311"/>
      <c r="W470" s="311"/>
      <c r="X470" s="311"/>
      <c r="Y470" s="24"/>
      <c r="Z470" s="24"/>
      <c r="AA470" s="24"/>
      <c r="AB470" s="24"/>
      <c r="AC470" s="24"/>
      <c r="AD470" s="24"/>
    </row>
    <row r="471" spans="1:30" ht="12.75">
      <c r="A471" s="313"/>
      <c r="B471" s="313"/>
      <c r="C471" s="314"/>
      <c r="D471" s="311"/>
      <c r="E471" s="311"/>
      <c r="F471" s="311"/>
      <c r="G471" s="311"/>
      <c r="H471" s="311"/>
      <c r="I471" s="311"/>
      <c r="J471" s="311"/>
      <c r="K471" s="311"/>
      <c r="L471" s="311"/>
      <c r="M471" s="311"/>
      <c r="N471" s="311"/>
      <c r="O471" s="311"/>
      <c r="P471" s="311"/>
      <c r="Q471" s="311"/>
      <c r="R471" s="311"/>
      <c r="S471" s="311"/>
      <c r="T471" s="311"/>
      <c r="U471" s="311"/>
      <c r="V471" s="311"/>
      <c r="W471" s="311"/>
      <c r="X471" s="311"/>
      <c r="Y471" s="24"/>
      <c r="Z471" s="24"/>
      <c r="AA471" s="24"/>
      <c r="AB471" s="24"/>
      <c r="AC471" s="24"/>
      <c r="AD471" s="24"/>
    </row>
    <row r="472" spans="1:30" ht="12.75">
      <c r="A472" s="313"/>
      <c r="B472" s="313"/>
      <c r="C472" s="314"/>
      <c r="D472" s="311"/>
      <c r="E472" s="311"/>
      <c r="F472" s="311"/>
      <c r="G472" s="311"/>
      <c r="H472" s="311"/>
      <c r="I472" s="311"/>
      <c r="J472" s="311"/>
      <c r="K472" s="311"/>
      <c r="L472" s="311"/>
      <c r="M472" s="311"/>
      <c r="N472" s="311"/>
      <c r="O472" s="311"/>
      <c r="P472" s="311"/>
      <c r="Q472" s="311"/>
      <c r="R472" s="311"/>
      <c r="S472" s="311"/>
      <c r="T472" s="311"/>
      <c r="U472" s="311"/>
      <c r="V472" s="311"/>
      <c r="W472" s="311"/>
      <c r="X472" s="311"/>
      <c r="Y472" s="24"/>
      <c r="Z472" s="24"/>
      <c r="AA472" s="24"/>
      <c r="AB472" s="24"/>
      <c r="AC472" s="24"/>
      <c r="AD472" s="24"/>
    </row>
    <row r="473" spans="1:30" ht="12.75">
      <c r="A473" s="313"/>
      <c r="B473" s="313"/>
      <c r="C473" s="314"/>
      <c r="D473" s="311"/>
      <c r="E473" s="311"/>
      <c r="F473" s="311"/>
      <c r="G473" s="311"/>
      <c r="H473" s="311"/>
      <c r="I473" s="311"/>
      <c r="J473" s="311"/>
      <c r="K473" s="311"/>
      <c r="L473" s="311"/>
      <c r="M473" s="311"/>
      <c r="N473" s="311"/>
      <c r="O473" s="311"/>
      <c r="P473" s="311"/>
      <c r="Q473" s="311"/>
      <c r="R473" s="311"/>
      <c r="S473" s="311"/>
      <c r="T473" s="311"/>
      <c r="U473" s="311"/>
      <c r="V473" s="311"/>
      <c r="W473" s="311"/>
      <c r="X473" s="311"/>
      <c r="Y473" s="24"/>
      <c r="Z473" s="24"/>
      <c r="AA473" s="24"/>
      <c r="AB473" s="24"/>
      <c r="AC473" s="24"/>
      <c r="AD473" s="24"/>
    </row>
    <row r="474" spans="1:30" ht="12.75">
      <c r="A474" s="313"/>
      <c r="B474" s="313"/>
      <c r="C474" s="314"/>
      <c r="D474" s="311"/>
      <c r="E474" s="311"/>
      <c r="F474" s="311"/>
      <c r="G474" s="311"/>
      <c r="H474" s="311"/>
      <c r="I474" s="311"/>
      <c r="J474" s="311"/>
      <c r="K474" s="311"/>
      <c r="L474" s="311"/>
      <c r="M474" s="311"/>
      <c r="N474" s="311"/>
      <c r="O474" s="311"/>
      <c r="P474" s="311"/>
      <c r="Q474" s="311"/>
      <c r="R474" s="311"/>
      <c r="S474" s="311"/>
      <c r="T474" s="311"/>
      <c r="U474" s="311"/>
      <c r="V474" s="311"/>
      <c r="W474" s="311"/>
      <c r="X474" s="311"/>
      <c r="Y474" s="24"/>
      <c r="Z474" s="24"/>
      <c r="AA474" s="24"/>
      <c r="AB474" s="24"/>
      <c r="AC474" s="24"/>
      <c r="AD474" s="24"/>
    </row>
    <row r="475" spans="1:30" ht="12.75">
      <c r="A475" s="313"/>
      <c r="B475" s="313"/>
      <c r="C475" s="314"/>
      <c r="D475" s="311"/>
      <c r="E475" s="311"/>
      <c r="F475" s="311"/>
      <c r="G475" s="311"/>
      <c r="H475" s="311"/>
      <c r="I475" s="311"/>
      <c r="J475" s="311"/>
      <c r="K475" s="311"/>
      <c r="L475" s="311"/>
      <c r="M475" s="311"/>
      <c r="N475" s="311"/>
      <c r="O475" s="311"/>
      <c r="P475" s="311"/>
      <c r="Q475" s="311"/>
      <c r="R475" s="311"/>
      <c r="S475" s="311"/>
      <c r="T475" s="311"/>
      <c r="U475" s="311"/>
      <c r="V475" s="311"/>
      <c r="W475" s="311"/>
      <c r="X475" s="311"/>
      <c r="Y475" s="24"/>
      <c r="Z475" s="24"/>
      <c r="AA475" s="24"/>
      <c r="AB475" s="24"/>
      <c r="AC475" s="24"/>
      <c r="AD475" s="24"/>
    </row>
    <row r="476" spans="1:30" ht="12.75">
      <c r="A476" s="313"/>
      <c r="B476" s="313"/>
      <c r="C476" s="314"/>
      <c r="D476" s="311"/>
      <c r="E476" s="311"/>
      <c r="F476" s="311"/>
      <c r="G476" s="311"/>
      <c r="H476" s="311"/>
      <c r="I476" s="311"/>
      <c r="J476" s="311"/>
      <c r="K476" s="311"/>
      <c r="L476" s="311"/>
      <c r="M476" s="311"/>
      <c r="N476" s="311"/>
      <c r="O476" s="311"/>
      <c r="P476" s="311"/>
      <c r="Q476" s="311"/>
      <c r="R476" s="311"/>
      <c r="S476" s="311"/>
      <c r="T476" s="311"/>
      <c r="U476" s="311"/>
      <c r="V476" s="311"/>
      <c r="W476" s="311"/>
      <c r="X476" s="311"/>
      <c r="Y476" s="24"/>
      <c r="Z476" s="24"/>
      <c r="AA476" s="24"/>
      <c r="AB476" s="24"/>
      <c r="AC476" s="24"/>
      <c r="AD476" s="24"/>
    </row>
    <row r="477" spans="1:30" ht="12.75">
      <c r="A477" s="313"/>
      <c r="B477" s="313"/>
      <c r="C477" s="314"/>
      <c r="D477" s="311"/>
      <c r="E477" s="311"/>
      <c r="F477" s="311"/>
      <c r="G477" s="311"/>
      <c r="H477" s="311"/>
      <c r="I477" s="311"/>
      <c r="J477" s="311"/>
      <c r="K477" s="311"/>
      <c r="L477" s="311"/>
      <c r="M477" s="311"/>
      <c r="N477" s="311"/>
      <c r="O477" s="311"/>
      <c r="P477" s="311"/>
      <c r="Q477" s="311"/>
      <c r="R477" s="311"/>
      <c r="S477" s="311"/>
      <c r="T477" s="311"/>
      <c r="U477" s="311"/>
      <c r="V477" s="311"/>
      <c r="W477" s="311"/>
      <c r="X477" s="311"/>
      <c r="Y477" s="24"/>
      <c r="Z477" s="24"/>
      <c r="AA477" s="24"/>
      <c r="AB477" s="24"/>
      <c r="AC477" s="24"/>
      <c r="AD477" s="24"/>
    </row>
    <row r="478" spans="1:30" ht="12.75">
      <c r="A478" s="313"/>
      <c r="B478" s="313"/>
      <c r="C478" s="314"/>
      <c r="D478" s="311"/>
      <c r="E478" s="311"/>
      <c r="F478" s="311"/>
      <c r="G478" s="311"/>
      <c r="H478" s="311"/>
      <c r="I478" s="311"/>
      <c r="J478" s="311"/>
      <c r="K478" s="311"/>
      <c r="L478" s="311"/>
      <c r="M478" s="311"/>
      <c r="N478" s="311"/>
      <c r="O478" s="311"/>
      <c r="P478" s="311"/>
      <c r="Q478" s="311"/>
      <c r="R478" s="311"/>
      <c r="S478" s="311"/>
      <c r="T478" s="311"/>
      <c r="U478" s="311"/>
      <c r="V478" s="311"/>
      <c r="W478" s="311"/>
      <c r="X478" s="311"/>
      <c r="Y478" s="24"/>
      <c r="Z478" s="24"/>
      <c r="AA478" s="24"/>
      <c r="AB478" s="24"/>
      <c r="AC478" s="24"/>
      <c r="AD478" s="24"/>
    </row>
    <row r="479" spans="1:30" ht="12.75">
      <c r="A479" s="313"/>
      <c r="B479" s="313"/>
      <c r="C479" s="314"/>
      <c r="D479" s="311"/>
      <c r="E479" s="311"/>
      <c r="F479" s="311"/>
      <c r="G479" s="311"/>
      <c r="H479" s="311"/>
      <c r="I479" s="311"/>
      <c r="J479" s="311"/>
      <c r="K479" s="311"/>
      <c r="L479" s="311"/>
      <c r="M479" s="311"/>
      <c r="N479" s="311"/>
      <c r="O479" s="311"/>
      <c r="P479" s="311"/>
      <c r="Q479" s="311"/>
      <c r="R479" s="311"/>
      <c r="S479" s="311"/>
      <c r="T479" s="311"/>
      <c r="U479" s="311"/>
      <c r="V479" s="311"/>
      <c r="W479" s="311"/>
      <c r="X479" s="311"/>
      <c r="Y479" s="24"/>
      <c r="Z479" s="24"/>
      <c r="AA479" s="24"/>
      <c r="AB479" s="24"/>
      <c r="AC479" s="24"/>
      <c r="AD479" s="24"/>
    </row>
    <row r="480" spans="1:30" ht="12.75">
      <c r="A480" s="313"/>
      <c r="B480" s="313"/>
      <c r="C480" s="314"/>
      <c r="D480" s="311"/>
      <c r="E480" s="311"/>
      <c r="F480" s="311"/>
      <c r="G480" s="311"/>
      <c r="H480" s="311"/>
      <c r="I480" s="311"/>
      <c r="J480" s="311"/>
      <c r="K480" s="311"/>
      <c r="L480" s="311"/>
      <c r="M480" s="311"/>
      <c r="N480" s="311"/>
      <c r="O480" s="311"/>
      <c r="P480" s="311"/>
      <c r="Q480" s="311"/>
      <c r="R480" s="311"/>
      <c r="S480" s="311"/>
      <c r="T480" s="311"/>
      <c r="U480" s="311"/>
      <c r="V480" s="311"/>
      <c r="W480" s="311"/>
      <c r="X480" s="311"/>
      <c r="Y480" s="24"/>
      <c r="Z480" s="24"/>
      <c r="AA480" s="24"/>
      <c r="AB480" s="24"/>
      <c r="AC480" s="24"/>
      <c r="AD480" s="24"/>
    </row>
    <row r="481" spans="1:30" ht="12.75">
      <c r="A481" s="313"/>
      <c r="B481" s="313"/>
      <c r="C481" s="314"/>
      <c r="D481" s="311"/>
      <c r="E481" s="311"/>
      <c r="F481" s="311"/>
      <c r="G481" s="311"/>
      <c r="H481" s="311"/>
      <c r="I481" s="311"/>
      <c r="J481" s="311"/>
      <c r="K481" s="311"/>
      <c r="L481" s="311"/>
      <c r="M481" s="311"/>
      <c r="N481" s="311"/>
      <c r="O481" s="311"/>
      <c r="P481" s="311"/>
      <c r="Q481" s="311"/>
      <c r="R481" s="311"/>
      <c r="S481" s="311"/>
      <c r="T481" s="311"/>
      <c r="U481" s="311"/>
      <c r="V481" s="311"/>
      <c r="W481" s="311"/>
      <c r="X481" s="311"/>
      <c r="Y481" s="24"/>
      <c r="Z481" s="24"/>
      <c r="AA481" s="24"/>
      <c r="AB481" s="24"/>
      <c r="AC481" s="24"/>
      <c r="AD481" s="24"/>
    </row>
    <row r="482" spans="1:30" ht="12.75">
      <c r="A482" s="313"/>
      <c r="B482" s="313"/>
      <c r="C482" s="314"/>
      <c r="D482" s="311"/>
      <c r="E482" s="311"/>
      <c r="F482" s="311"/>
      <c r="G482" s="311"/>
      <c r="H482" s="311"/>
      <c r="I482" s="311"/>
      <c r="J482" s="311"/>
      <c r="K482" s="311"/>
      <c r="L482" s="311"/>
      <c r="M482" s="311"/>
      <c r="N482" s="311"/>
      <c r="O482" s="311"/>
      <c r="P482" s="311"/>
      <c r="Q482" s="311"/>
      <c r="R482" s="311"/>
      <c r="S482" s="311"/>
      <c r="T482" s="311"/>
      <c r="U482" s="311"/>
      <c r="V482" s="311"/>
      <c r="W482" s="311"/>
      <c r="X482" s="311"/>
      <c r="Y482" s="24"/>
      <c r="Z482" s="24"/>
      <c r="AA482" s="24"/>
      <c r="AB482" s="24"/>
      <c r="AC482" s="24"/>
      <c r="AD482" s="24"/>
    </row>
    <row r="483" spans="1:30" ht="12.75">
      <c r="A483" s="313"/>
      <c r="B483" s="313"/>
      <c r="C483" s="314"/>
      <c r="D483" s="311"/>
      <c r="E483" s="311"/>
      <c r="F483" s="311"/>
      <c r="G483" s="311"/>
      <c r="H483" s="311"/>
      <c r="I483" s="311"/>
      <c r="J483" s="311"/>
      <c r="K483" s="311"/>
      <c r="L483" s="311"/>
      <c r="M483" s="311"/>
      <c r="N483" s="311"/>
      <c r="O483" s="311"/>
      <c r="P483" s="311"/>
      <c r="Q483" s="311"/>
      <c r="R483" s="311"/>
      <c r="S483" s="311"/>
      <c r="T483" s="311"/>
      <c r="U483" s="311"/>
      <c r="V483" s="311"/>
      <c r="W483" s="311"/>
      <c r="X483" s="311"/>
      <c r="Y483" s="24"/>
      <c r="Z483" s="24"/>
      <c r="AA483" s="24"/>
      <c r="AB483" s="24"/>
      <c r="AC483" s="24"/>
      <c r="AD483" s="24"/>
    </row>
    <row r="484" spans="1:30" ht="12.75">
      <c r="A484" s="313"/>
      <c r="B484" s="313"/>
      <c r="C484" s="314"/>
      <c r="D484" s="311"/>
      <c r="E484" s="311"/>
      <c r="F484" s="311"/>
      <c r="G484" s="311"/>
      <c r="H484" s="311"/>
      <c r="I484" s="311"/>
      <c r="J484" s="311"/>
      <c r="K484" s="311"/>
      <c r="L484" s="311"/>
      <c r="M484" s="311"/>
      <c r="N484" s="311"/>
      <c r="O484" s="311"/>
      <c r="P484" s="311"/>
      <c r="Q484" s="311"/>
      <c r="R484" s="311"/>
      <c r="S484" s="311"/>
      <c r="T484" s="311"/>
      <c r="U484" s="311"/>
      <c r="V484" s="311"/>
      <c r="W484" s="311"/>
      <c r="X484" s="311"/>
      <c r="Y484" s="24"/>
      <c r="Z484" s="24"/>
      <c r="AA484" s="24"/>
      <c r="AB484" s="24"/>
      <c r="AC484" s="24"/>
      <c r="AD484" s="24"/>
    </row>
    <row r="485" spans="1:30" ht="12.75">
      <c r="A485" s="313"/>
      <c r="B485" s="313"/>
      <c r="C485" s="314"/>
      <c r="D485" s="311"/>
      <c r="E485" s="311"/>
      <c r="F485" s="311"/>
      <c r="G485" s="311"/>
      <c r="H485" s="311"/>
      <c r="I485" s="311"/>
      <c r="J485" s="311"/>
      <c r="K485" s="311"/>
      <c r="L485" s="311"/>
      <c r="M485" s="311"/>
      <c r="N485" s="311"/>
      <c r="O485" s="311"/>
      <c r="P485" s="311"/>
      <c r="Q485" s="311"/>
      <c r="R485" s="311"/>
      <c r="S485" s="311"/>
      <c r="T485" s="311"/>
      <c r="U485" s="311"/>
      <c r="V485" s="311"/>
      <c r="W485" s="311"/>
      <c r="X485" s="311"/>
      <c r="Y485" s="24"/>
      <c r="Z485" s="24"/>
      <c r="AA485" s="24"/>
      <c r="AB485" s="24"/>
      <c r="AC485" s="24"/>
      <c r="AD485" s="24"/>
    </row>
    <row r="486" spans="1:30" ht="12.75">
      <c r="A486" s="313"/>
      <c r="B486" s="313"/>
      <c r="C486" s="314"/>
      <c r="D486" s="311"/>
      <c r="E486" s="311"/>
      <c r="F486" s="311"/>
      <c r="G486" s="311"/>
      <c r="H486" s="311"/>
      <c r="I486" s="311"/>
      <c r="J486" s="311"/>
      <c r="K486" s="311"/>
      <c r="L486" s="311"/>
      <c r="M486" s="311"/>
      <c r="N486" s="311"/>
      <c r="O486" s="311"/>
      <c r="P486" s="311"/>
      <c r="Q486" s="311"/>
      <c r="R486" s="311"/>
      <c r="S486" s="311"/>
      <c r="T486" s="311"/>
      <c r="U486" s="311"/>
      <c r="V486" s="311"/>
      <c r="W486" s="311"/>
      <c r="X486" s="311"/>
      <c r="Y486" s="24"/>
      <c r="Z486" s="24"/>
      <c r="AA486" s="24"/>
      <c r="AB486" s="24"/>
      <c r="AC486" s="24"/>
      <c r="AD486" s="24"/>
    </row>
    <row r="487" spans="1:30" ht="12.75">
      <c r="A487" s="313"/>
      <c r="B487" s="313"/>
      <c r="C487" s="314"/>
      <c r="D487" s="311"/>
      <c r="E487" s="311"/>
      <c r="F487" s="311"/>
      <c r="G487" s="311"/>
      <c r="H487" s="311"/>
      <c r="I487" s="311"/>
      <c r="J487" s="311"/>
      <c r="K487" s="311"/>
      <c r="L487" s="311"/>
      <c r="M487" s="311"/>
      <c r="N487" s="311"/>
      <c r="O487" s="311"/>
      <c r="P487" s="311"/>
      <c r="Q487" s="311"/>
      <c r="R487" s="311"/>
      <c r="S487" s="311"/>
      <c r="T487" s="311"/>
      <c r="U487" s="311"/>
      <c r="V487" s="311"/>
      <c r="W487" s="311"/>
      <c r="X487" s="311"/>
      <c r="Y487" s="24"/>
      <c r="Z487" s="24"/>
      <c r="AA487" s="24"/>
      <c r="AB487" s="24"/>
      <c r="AC487" s="24"/>
      <c r="AD487" s="24"/>
    </row>
    <row r="488" spans="1:30" ht="12.75">
      <c r="A488" s="313"/>
      <c r="B488" s="313"/>
      <c r="C488" s="314"/>
      <c r="D488" s="311"/>
      <c r="E488" s="311"/>
      <c r="F488" s="311"/>
      <c r="G488" s="311"/>
      <c r="H488" s="311"/>
      <c r="I488" s="311"/>
      <c r="J488" s="311"/>
      <c r="K488" s="311"/>
      <c r="L488" s="311"/>
      <c r="M488" s="311"/>
      <c r="N488" s="311"/>
      <c r="O488" s="311"/>
      <c r="P488" s="311"/>
      <c r="Q488" s="311"/>
      <c r="R488" s="311"/>
      <c r="S488" s="311"/>
      <c r="T488" s="311"/>
      <c r="U488" s="311"/>
      <c r="V488" s="311"/>
      <c r="W488" s="311"/>
      <c r="X488" s="311"/>
      <c r="Y488" s="24"/>
      <c r="Z488" s="24"/>
      <c r="AA488" s="24"/>
      <c r="AB488" s="24"/>
      <c r="AC488" s="24"/>
      <c r="AD488" s="24"/>
    </row>
    <row r="489" spans="1:30" ht="12.75">
      <c r="A489" s="313"/>
      <c r="B489" s="313"/>
      <c r="C489" s="314"/>
      <c r="D489" s="311"/>
      <c r="E489" s="311"/>
      <c r="F489" s="311"/>
      <c r="G489" s="311"/>
      <c r="H489" s="311"/>
      <c r="I489" s="311"/>
      <c r="J489" s="311"/>
      <c r="K489" s="311"/>
      <c r="L489" s="311"/>
      <c r="M489" s="311"/>
      <c r="N489" s="311"/>
      <c r="O489" s="311"/>
      <c r="P489" s="311"/>
      <c r="Q489" s="311"/>
      <c r="R489" s="311"/>
      <c r="S489" s="311"/>
      <c r="T489" s="311"/>
      <c r="U489" s="311"/>
      <c r="V489" s="311"/>
      <c r="W489" s="311"/>
      <c r="X489" s="311"/>
      <c r="Y489" s="24"/>
      <c r="Z489" s="24"/>
      <c r="AA489" s="24"/>
      <c r="AB489" s="24"/>
      <c r="AC489" s="24"/>
      <c r="AD489" s="24"/>
    </row>
    <row r="490" spans="1:30" ht="12.75">
      <c r="A490" s="313"/>
      <c r="B490" s="313"/>
      <c r="C490" s="314"/>
      <c r="D490" s="311"/>
      <c r="E490" s="311"/>
      <c r="F490" s="311"/>
      <c r="G490" s="311"/>
      <c r="H490" s="311"/>
      <c r="I490" s="311"/>
      <c r="J490" s="311"/>
      <c r="K490" s="311"/>
      <c r="L490" s="311"/>
      <c r="M490" s="311"/>
      <c r="N490" s="311"/>
      <c r="O490" s="311"/>
      <c r="P490" s="311"/>
      <c r="Q490" s="311"/>
      <c r="R490" s="311"/>
      <c r="S490" s="311"/>
      <c r="T490" s="311"/>
      <c r="U490" s="311"/>
      <c r="V490" s="311"/>
      <c r="W490" s="311"/>
      <c r="X490" s="311"/>
      <c r="Y490" s="24"/>
      <c r="Z490" s="24"/>
      <c r="AA490" s="24"/>
      <c r="AB490" s="24"/>
      <c r="AC490" s="24"/>
      <c r="AD490" s="24"/>
    </row>
    <row r="491" spans="1:30" ht="12.75">
      <c r="A491" s="313"/>
      <c r="B491" s="313"/>
      <c r="C491" s="314"/>
      <c r="D491" s="311"/>
      <c r="E491" s="311"/>
      <c r="F491" s="311"/>
      <c r="G491" s="311"/>
      <c r="H491" s="311"/>
      <c r="I491" s="311"/>
      <c r="J491" s="311"/>
      <c r="K491" s="311"/>
      <c r="L491" s="311"/>
      <c r="M491" s="311"/>
      <c r="N491" s="311"/>
      <c r="O491" s="311"/>
      <c r="P491" s="311"/>
      <c r="Q491" s="311"/>
      <c r="R491" s="311"/>
      <c r="S491" s="311"/>
      <c r="T491" s="311"/>
      <c r="U491" s="311"/>
      <c r="V491" s="311"/>
      <c r="W491" s="311"/>
      <c r="X491" s="311"/>
      <c r="Y491" s="24"/>
      <c r="Z491" s="24"/>
      <c r="AA491" s="24"/>
      <c r="AB491" s="24"/>
      <c r="AC491" s="24"/>
      <c r="AD491" s="24"/>
    </row>
    <row r="492" spans="1:30" ht="12.75">
      <c r="A492" s="313"/>
      <c r="B492" s="313"/>
      <c r="C492" s="314"/>
      <c r="D492" s="311"/>
      <c r="E492" s="311"/>
      <c r="F492" s="311"/>
      <c r="G492" s="311"/>
      <c r="H492" s="311"/>
      <c r="I492" s="311"/>
      <c r="J492" s="311"/>
      <c r="K492" s="311"/>
      <c r="L492" s="311"/>
      <c r="M492" s="311"/>
      <c r="N492" s="311"/>
      <c r="O492" s="311"/>
      <c r="P492" s="311"/>
      <c r="Q492" s="311"/>
      <c r="R492" s="311"/>
      <c r="S492" s="311"/>
      <c r="T492" s="311"/>
      <c r="U492" s="311"/>
      <c r="V492" s="311"/>
      <c r="W492" s="311"/>
      <c r="X492" s="311"/>
      <c r="Y492" s="24"/>
      <c r="Z492" s="24"/>
      <c r="AA492" s="24"/>
      <c r="AB492" s="24"/>
      <c r="AC492" s="24"/>
      <c r="AD492" s="24"/>
    </row>
    <row r="493" spans="1:30" ht="12.75">
      <c r="A493" s="313"/>
      <c r="B493" s="313"/>
      <c r="C493" s="314"/>
      <c r="D493" s="311"/>
      <c r="E493" s="311"/>
      <c r="F493" s="311"/>
      <c r="G493" s="311"/>
      <c r="H493" s="311"/>
      <c r="I493" s="311"/>
      <c r="J493" s="311"/>
      <c r="K493" s="311"/>
      <c r="L493" s="311"/>
      <c r="M493" s="311"/>
      <c r="N493" s="311"/>
      <c r="O493" s="311"/>
      <c r="P493" s="311"/>
      <c r="Q493" s="311"/>
      <c r="R493" s="311"/>
      <c r="S493" s="311"/>
      <c r="T493" s="311"/>
      <c r="U493" s="311"/>
      <c r="V493" s="311"/>
      <c r="W493" s="311"/>
      <c r="X493" s="311"/>
      <c r="Y493" s="24"/>
      <c r="Z493" s="24"/>
      <c r="AA493" s="24"/>
      <c r="AB493" s="24"/>
      <c r="AC493" s="24"/>
      <c r="AD493" s="24"/>
    </row>
    <row r="494" spans="1:30" ht="12.75">
      <c r="A494" s="313"/>
      <c r="B494" s="313"/>
      <c r="C494" s="314"/>
      <c r="D494" s="311"/>
      <c r="E494" s="311"/>
      <c r="F494" s="311"/>
      <c r="G494" s="311"/>
      <c r="H494" s="311"/>
      <c r="I494" s="311"/>
      <c r="J494" s="311"/>
      <c r="K494" s="311"/>
      <c r="L494" s="311"/>
      <c r="M494" s="311"/>
      <c r="N494" s="311"/>
      <c r="O494" s="311"/>
      <c r="P494" s="311"/>
      <c r="Q494" s="311"/>
      <c r="R494" s="311"/>
      <c r="S494" s="311"/>
      <c r="T494" s="311"/>
      <c r="U494" s="311"/>
      <c r="V494" s="311"/>
      <c r="W494" s="311"/>
      <c r="X494" s="311"/>
      <c r="Y494" s="24"/>
      <c r="Z494" s="24"/>
      <c r="AA494" s="24"/>
      <c r="AB494" s="24"/>
      <c r="AC494" s="24"/>
      <c r="AD494" s="24"/>
    </row>
    <row r="495" spans="1:30" ht="12.75">
      <c r="A495" s="313"/>
      <c r="B495" s="313"/>
      <c r="C495" s="314"/>
      <c r="D495" s="311"/>
      <c r="E495" s="311"/>
      <c r="F495" s="311"/>
      <c r="G495" s="311"/>
      <c r="H495" s="311"/>
      <c r="I495" s="311"/>
      <c r="J495" s="311"/>
      <c r="K495" s="311"/>
      <c r="L495" s="311"/>
      <c r="M495" s="311"/>
      <c r="N495" s="311"/>
      <c r="O495" s="311"/>
      <c r="P495" s="311"/>
      <c r="Q495" s="311"/>
      <c r="R495" s="311"/>
      <c r="S495" s="311"/>
      <c r="T495" s="311"/>
      <c r="U495" s="311"/>
      <c r="V495" s="311"/>
      <c r="W495" s="311"/>
      <c r="X495" s="311"/>
      <c r="Y495" s="24"/>
      <c r="Z495" s="24"/>
      <c r="AA495" s="24"/>
      <c r="AB495" s="24"/>
      <c r="AC495" s="24"/>
      <c r="AD495" s="24"/>
    </row>
    <row r="496" spans="1:30" ht="12.75">
      <c r="A496" s="313"/>
      <c r="B496" s="313"/>
      <c r="C496" s="314"/>
      <c r="D496" s="311"/>
      <c r="E496" s="311"/>
      <c r="F496" s="311"/>
      <c r="G496" s="311"/>
      <c r="H496" s="311"/>
      <c r="I496" s="311"/>
      <c r="J496" s="311"/>
      <c r="K496" s="311"/>
      <c r="L496" s="311"/>
      <c r="M496" s="311"/>
      <c r="N496" s="311"/>
      <c r="O496" s="311"/>
      <c r="P496" s="311"/>
      <c r="Q496" s="311"/>
      <c r="R496" s="311"/>
      <c r="S496" s="311"/>
      <c r="T496" s="311"/>
      <c r="U496" s="311"/>
      <c r="V496" s="311"/>
      <c r="W496" s="311"/>
      <c r="X496" s="311"/>
      <c r="Y496" s="24"/>
      <c r="Z496" s="24"/>
      <c r="AA496" s="24"/>
      <c r="AB496" s="24"/>
      <c r="AC496" s="24"/>
      <c r="AD496" s="24"/>
    </row>
    <row r="497" spans="1:30" ht="12.75">
      <c r="A497" s="313"/>
      <c r="B497" s="313"/>
      <c r="C497" s="314"/>
      <c r="D497" s="311"/>
      <c r="E497" s="311"/>
      <c r="F497" s="311"/>
      <c r="G497" s="311"/>
      <c r="H497" s="311"/>
      <c r="I497" s="311"/>
      <c r="J497" s="311"/>
      <c r="K497" s="311"/>
      <c r="L497" s="311"/>
      <c r="M497" s="311"/>
      <c r="N497" s="311"/>
      <c r="O497" s="311"/>
      <c r="P497" s="311"/>
      <c r="Q497" s="311"/>
      <c r="R497" s="311"/>
      <c r="S497" s="311"/>
      <c r="T497" s="311"/>
      <c r="U497" s="311"/>
      <c r="V497" s="311"/>
      <c r="W497" s="311"/>
      <c r="X497" s="311"/>
      <c r="Y497" s="24"/>
      <c r="Z497" s="24"/>
      <c r="AA497" s="24"/>
      <c r="AB497" s="24"/>
      <c r="AC497" s="24"/>
      <c r="AD497" s="24"/>
    </row>
    <row r="498" spans="1:30" ht="12.75">
      <c r="A498" s="313"/>
      <c r="B498" s="313"/>
      <c r="C498" s="314"/>
      <c r="D498" s="311"/>
      <c r="E498" s="311"/>
      <c r="F498" s="311"/>
      <c r="G498" s="311"/>
      <c r="H498" s="311"/>
      <c r="I498" s="311"/>
      <c r="J498" s="311"/>
      <c r="K498" s="311"/>
      <c r="L498" s="311"/>
      <c r="M498" s="311"/>
      <c r="N498" s="311"/>
      <c r="O498" s="311"/>
      <c r="P498" s="311"/>
      <c r="Q498" s="311"/>
      <c r="R498" s="311"/>
      <c r="S498" s="311"/>
      <c r="T498" s="311"/>
      <c r="U498" s="311"/>
      <c r="V498" s="311"/>
      <c r="W498" s="311"/>
      <c r="X498" s="311"/>
      <c r="Y498" s="24"/>
      <c r="Z498" s="24"/>
      <c r="AA498" s="24"/>
      <c r="AB498" s="24"/>
      <c r="AC498" s="24"/>
      <c r="AD498" s="24"/>
    </row>
    <row r="499" spans="1:30" ht="12.75">
      <c r="A499" s="313"/>
      <c r="B499" s="313"/>
      <c r="C499" s="314"/>
      <c r="D499" s="311"/>
      <c r="E499" s="311"/>
      <c r="F499" s="311"/>
      <c r="G499" s="311"/>
      <c r="H499" s="311"/>
      <c r="I499" s="311"/>
      <c r="J499" s="311"/>
      <c r="K499" s="311"/>
      <c r="L499" s="311"/>
      <c r="M499" s="311"/>
      <c r="N499" s="311"/>
      <c r="O499" s="311"/>
      <c r="P499" s="311"/>
      <c r="Q499" s="311"/>
      <c r="R499" s="311"/>
      <c r="S499" s="311"/>
      <c r="T499" s="311"/>
      <c r="U499" s="311"/>
      <c r="V499" s="311"/>
      <c r="W499" s="311"/>
      <c r="X499" s="311"/>
      <c r="Y499" s="24"/>
      <c r="Z499" s="24"/>
      <c r="AA499" s="24"/>
      <c r="AB499" s="24"/>
      <c r="AC499" s="24"/>
      <c r="AD499" s="24"/>
    </row>
    <row r="500" spans="1:30" ht="12.75">
      <c r="A500" s="313"/>
      <c r="B500" s="313"/>
      <c r="C500" s="314"/>
      <c r="D500" s="311"/>
      <c r="E500" s="311"/>
      <c r="F500" s="311"/>
      <c r="G500" s="311"/>
      <c r="H500" s="311"/>
      <c r="I500" s="311"/>
      <c r="J500" s="311"/>
      <c r="K500" s="311"/>
      <c r="L500" s="311"/>
      <c r="M500" s="311"/>
      <c r="N500" s="311"/>
      <c r="O500" s="311"/>
      <c r="P500" s="311"/>
      <c r="Q500" s="311"/>
      <c r="R500" s="311"/>
      <c r="S500" s="311"/>
      <c r="T500" s="311"/>
      <c r="U500" s="311"/>
      <c r="V500" s="311"/>
      <c r="W500" s="311"/>
      <c r="X500" s="311"/>
      <c r="Y500" s="24"/>
      <c r="Z500" s="24"/>
      <c r="AA500" s="24"/>
      <c r="AB500" s="24"/>
      <c r="AC500" s="24"/>
      <c r="AD500" s="24"/>
    </row>
    <row r="501" spans="1:30" ht="12.75">
      <c r="A501" s="313"/>
      <c r="B501" s="313"/>
      <c r="C501" s="314"/>
      <c r="D501" s="311"/>
      <c r="E501" s="311"/>
      <c r="F501" s="311"/>
      <c r="G501" s="311"/>
      <c r="H501" s="311"/>
      <c r="I501" s="311"/>
      <c r="J501" s="311"/>
      <c r="K501" s="311"/>
      <c r="L501" s="311"/>
      <c r="M501" s="311"/>
      <c r="N501" s="311"/>
      <c r="O501" s="311"/>
      <c r="P501" s="311"/>
      <c r="Q501" s="311"/>
      <c r="R501" s="311"/>
      <c r="S501" s="311"/>
      <c r="T501" s="311"/>
      <c r="U501" s="311"/>
      <c r="V501" s="311"/>
      <c r="W501" s="311"/>
      <c r="X501" s="311"/>
      <c r="Y501" s="24"/>
      <c r="Z501" s="24"/>
      <c r="AA501" s="24"/>
      <c r="AB501" s="24"/>
      <c r="AC501" s="24"/>
      <c r="AD501" s="24"/>
    </row>
    <row r="502" spans="1:30" ht="12.75">
      <c r="A502" s="313"/>
      <c r="B502" s="313"/>
      <c r="C502" s="314"/>
      <c r="D502" s="311"/>
      <c r="E502" s="311"/>
      <c r="F502" s="311"/>
      <c r="G502" s="311"/>
      <c r="H502" s="311"/>
      <c r="I502" s="311"/>
      <c r="J502" s="311"/>
      <c r="K502" s="311"/>
      <c r="L502" s="311"/>
      <c r="M502" s="311"/>
      <c r="N502" s="311"/>
      <c r="O502" s="311"/>
      <c r="P502" s="311"/>
      <c r="Q502" s="311"/>
      <c r="R502" s="311"/>
      <c r="S502" s="311"/>
      <c r="T502" s="311"/>
      <c r="U502" s="311"/>
      <c r="V502" s="311"/>
      <c r="W502" s="311"/>
      <c r="X502" s="311"/>
      <c r="Y502" s="24"/>
      <c r="Z502" s="24"/>
      <c r="AA502" s="24"/>
      <c r="AB502" s="24"/>
      <c r="AC502" s="24"/>
      <c r="AD502" s="24"/>
    </row>
    <row r="503" spans="1:30" ht="12.75">
      <c r="A503" s="313"/>
      <c r="B503" s="313"/>
      <c r="C503" s="314"/>
      <c r="D503" s="311"/>
      <c r="E503" s="311"/>
      <c r="F503" s="311"/>
      <c r="G503" s="311"/>
      <c r="H503" s="311"/>
      <c r="I503" s="311"/>
      <c r="J503" s="311"/>
      <c r="K503" s="311"/>
      <c r="L503" s="311"/>
      <c r="M503" s="311"/>
      <c r="N503" s="311"/>
      <c r="O503" s="311"/>
      <c r="P503" s="311"/>
      <c r="Q503" s="311"/>
      <c r="R503" s="311"/>
      <c r="S503" s="311"/>
      <c r="T503" s="311"/>
      <c r="U503" s="311"/>
      <c r="V503" s="311"/>
      <c r="W503" s="311"/>
      <c r="X503" s="311"/>
      <c r="Y503" s="24"/>
      <c r="Z503" s="24"/>
      <c r="AA503" s="24"/>
      <c r="AB503" s="24"/>
      <c r="AC503" s="24"/>
      <c r="AD503" s="24"/>
    </row>
    <row r="504" spans="1:30" ht="12.75">
      <c r="A504" s="313"/>
      <c r="B504" s="313"/>
      <c r="C504" s="314"/>
      <c r="D504" s="311"/>
      <c r="E504" s="311"/>
      <c r="F504" s="311"/>
      <c r="G504" s="311"/>
      <c r="H504" s="311"/>
      <c r="I504" s="311"/>
      <c r="J504" s="311"/>
      <c r="K504" s="311"/>
      <c r="L504" s="311"/>
      <c r="M504" s="311"/>
      <c r="N504" s="311"/>
      <c r="O504" s="311"/>
      <c r="P504" s="311"/>
      <c r="Q504" s="311"/>
      <c r="R504" s="311"/>
      <c r="S504" s="311"/>
      <c r="T504" s="311"/>
      <c r="U504" s="311"/>
      <c r="V504" s="311"/>
      <c r="W504" s="311"/>
      <c r="X504" s="311"/>
      <c r="Y504" s="24"/>
      <c r="Z504" s="24"/>
      <c r="AA504" s="24"/>
      <c r="AB504" s="24"/>
      <c r="AC504" s="24"/>
      <c r="AD504" s="24"/>
    </row>
    <row r="505" spans="1:30" ht="12.75">
      <c r="A505" s="313"/>
      <c r="B505" s="313"/>
      <c r="C505" s="314"/>
      <c r="D505" s="311"/>
      <c r="E505" s="311"/>
      <c r="F505" s="311"/>
      <c r="G505" s="311"/>
      <c r="H505" s="311"/>
      <c r="I505" s="311"/>
      <c r="J505" s="311"/>
      <c r="K505" s="311"/>
      <c r="L505" s="311"/>
      <c r="M505" s="311"/>
      <c r="N505" s="311"/>
      <c r="O505" s="311"/>
      <c r="P505" s="311"/>
      <c r="Q505" s="311"/>
      <c r="R505" s="311"/>
      <c r="S505" s="311"/>
      <c r="T505" s="311"/>
      <c r="U505" s="311"/>
      <c r="V505" s="311"/>
      <c r="W505" s="311"/>
      <c r="X505" s="311"/>
      <c r="Y505" s="24"/>
      <c r="Z505" s="24"/>
      <c r="AA505" s="24"/>
      <c r="AB505" s="24"/>
      <c r="AC505" s="24"/>
      <c r="AD505" s="24"/>
    </row>
    <row r="506" spans="1:30" ht="12.75">
      <c r="A506" s="313"/>
      <c r="B506" s="313"/>
      <c r="C506" s="314"/>
      <c r="D506" s="311"/>
      <c r="E506" s="311"/>
      <c r="F506" s="311"/>
      <c r="G506" s="311"/>
      <c r="H506" s="311"/>
      <c r="I506" s="311"/>
      <c r="J506" s="311"/>
      <c r="K506" s="311"/>
      <c r="L506" s="311"/>
      <c r="M506" s="311"/>
      <c r="N506" s="311"/>
      <c r="O506" s="311"/>
      <c r="P506" s="311"/>
      <c r="Q506" s="311"/>
      <c r="R506" s="311"/>
      <c r="S506" s="311"/>
      <c r="T506" s="311"/>
      <c r="U506" s="311"/>
      <c r="V506" s="311"/>
      <c r="W506" s="311"/>
      <c r="X506" s="311"/>
      <c r="Y506" s="24"/>
      <c r="Z506" s="24"/>
      <c r="AA506" s="24"/>
      <c r="AB506" s="24"/>
      <c r="AC506" s="24"/>
      <c r="AD506" s="24"/>
    </row>
    <row r="507" spans="1:30" ht="12.75">
      <c r="A507" s="313"/>
      <c r="B507" s="313"/>
      <c r="C507" s="314"/>
      <c r="D507" s="311"/>
      <c r="E507" s="311"/>
      <c r="F507" s="311"/>
      <c r="G507" s="311"/>
      <c r="H507" s="311"/>
      <c r="I507" s="311"/>
      <c r="J507" s="311"/>
      <c r="K507" s="311"/>
      <c r="L507" s="311"/>
      <c r="M507" s="311"/>
      <c r="N507" s="311"/>
      <c r="O507" s="311"/>
      <c r="P507" s="311"/>
      <c r="Q507" s="311"/>
      <c r="R507" s="311"/>
      <c r="S507" s="311"/>
      <c r="T507" s="311"/>
      <c r="U507" s="311"/>
      <c r="V507" s="311"/>
      <c r="W507" s="311"/>
      <c r="X507" s="311"/>
      <c r="Y507" s="24"/>
      <c r="Z507" s="24"/>
      <c r="AA507" s="24"/>
      <c r="AB507" s="24"/>
      <c r="AC507" s="24"/>
      <c r="AD507" s="24"/>
    </row>
    <row r="508" spans="1:30" ht="12.75">
      <c r="A508" s="313"/>
      <c r="B508" s="313"/>
      <c r="C508" s="314"/>
      <c r="D508" s="311"/>
      <c r="E508" s="311"/>
      <c r="F508" s="311"/>
      <c r="G508" s="311"/>
      <c r="H508" s="311"/>
      <c r="I508" s="311"/>
      <c r="J508" s="311"/>
      <c r="K508" s="311"/>
      <c r="L508" s="311"/>
      <c r="M508" s="311"/>
      <c r="N508" s="311"/>
      <c r="O508" s="311"/>
      <c r="P508" s="311"/>
      <c r="Q508" s="311"/>
      <c r="R508" s="311"/>
      <c r="S508" s="311"/>
      <c r="T508" s="311"/>
      <c r="U508" s="311"/>
      <c r="V508" s="311"/>
      <c r="W508" s="311"/>
      <c r="X508" s="311"/>
      <c r="Y508" s="24"/>
      <c r="Z508" s="24"/>
      <c r="AA508" s="24"/>
      <c r="AB508" s="24"/>
      <c r="AC508" s="24"/>
      <c r="AD508" s="24"/>
    </row>
    <row r="509" spans="1:30" ht="12.75">
      <c r="A509" s="313"/>
      <c r="B509" s="313"/>
      <c r="C509" s="314"/>
      <c r="D509" s="311"/>
      <c r="E509" s="311"/>
      <c r="F509" s="311"/>
      <c r="G509" s="311"/>
      <c r="H509" s="311"/>
      <c r="I509" s="311"/>
      <c r="J509" s="311"/>
      <c r="K509" s="311"/>
      <c r="L509" s="311"/>
      <c r="M509" s="311"/>
      <c r="N509" s="311"/>
      <c r="O509" s="311"/>
      <c r="P509" s="311"/>
      <c r="Q509" s="311"/>
      <c r="R509" s="311"/>
      <c r="S509" s="311"/>
      <c r="T509" s="311"/>
      <c r="U509" s="311"/>
      <c r="V509" s="311"/>
      <c r="W509" s="311"/>
      <c r="X509" s="311"/>
      <c r="Y509" s="24"/>
      <c r="Z509" s="24"/>
      <c r="AA509" s="24"/>
      <c r="AB509" s="24"/>
      <c r="AC509" s="24"/>
      <c r="AD509" s="24"/>
    </row>
    <row r="510" spans="1:30" ht="12.75">
      <c r="A510" s="313"/>
      <c r="B510" s="313"/>
      <c r="C510" s="314"/>
      <c r="D510" s="311"/>
      <c r="E510" s="311"/>
      <c r="F510" s="311"/>
      <c r="G510" s="311"/>
      <c r="H510" s="311"/>
      <c r="I510" s="311"/>
      <c r="J510" s="311"/>
      <c r="K510" s="311"/>
      <c r="L510" s="311"/>
      <c r="M510" s="311"/>
      <c r="N510" s="311"/>
      <c r="O510" s="311"/>
      <c r="P510" s="311"/>
      <c r="Q510" s="311"/>
      <c r="R510" s="311"/>
      <c r="S510" s="311"/>
      <c r="T510" s="311"/>
      <c r="U510" s="311"/>
      <c r="V510" s="311"/>
      <c r="W510" s="311"/>
      <c r="X510" s="311"/>
      <c r="Y510" s="24"/>
      <c r="Z510" s="24"/>
      <c r="AA510" s="24"/>
      <c r="AB510" s="24"/>
      <c r="AC510" s="24"/>
      <c r="AD510" s="24"/>
    </row>
    <row r="511" spans="1:30" ht="12.75">
      <c r="A511" s="313"/>
      <c r="B511" s="313"/>
      <c r="C511" s="314"/>
      <c r="D511" s="311"/>
      <c r="E511" s="311"/>
      <c r="F511" s="311"/>
      <c r="G511" s="311"/>
      <c r="H511" s="311"/>
      <c r="I511" s="311"/>
      <c r="J511" s="311"/>
      <c r="K511" s="311"/>
      <c r="L511" s="311"/>
      <c r="M511" s="311"/>
      <c r="N511" s="311"/>
      <c r="O511" s="311"/>
      <c r="P511" s="311"/>
      <c r="Q511" s="311"/>
      <c r="R511" s="311"/>
      <c r="S511" s="311"/>
      <c r="T511" s="311"/>
      <c r="U511" s="311"/>
      <c r="V511" s="311"/>
      <c r="W511" s="311"/>
      <c r="X511" s="311"/>
      <c r="Y511" s="24"/>
      <c r="Z511" s="24"/>
      <c r="AA511" s="24"/>
      <c r="AB511" s="24"/>
      <c r="AC511" s="24"/>
      <c r="AD511" s="24"/>
    </row>
    <row r="512" spans="1:30" ht="12.75">
      <c r="A512" s="313"/>
      <c r="B512" s="313"/>
      <c r="C512" s="314"/>
      <c r="D512" s="311"/>
      <c r="E512" s="311"/>
      <c r="F512" s="311"/>
      <c r="G512" s="311"/>
      <c r="H512" s="311"/>
      <c r="I512" s="311"/>
      <c r="J512" s="311"/>
      <c r="K512" s="311"/>
      <c r="L512" s="311"/>
      <c r="M512" s="311"/>
      <c r="N512" s="311"/>
      <c r="O512" s="311"/>
      <c r="P512" s="311"/>
      <c r="Q512" s="311"/>
      <c r="R512" s="311"/>
      <c r="S512" s="311"/>
      <c r="T512" s="311"/>
      <c r="U512" s="311"/>
      <c r="V512" s="311"/>
      <c r="W512" s="311"/>
      <c r="X512" s="311"/>
      <c r="Y512" s="24"/>
      <c r="Z512" s="24"/>
      <c r="AA512" s="24"/>
      <c r="AB512" s="24"/>
      <c r="AC512" s="24"/>
      <c r="AD512" s="24"/>
    </row>
    <row r="513" spans="1:30" ht="12.75">
      <c r="A513" s="313"/>
      <c r="B513" s="313"/>
      <c r="C513" s="314"/>
      <c r="D513" s="311"/>
      <c r="E513" s="311"/>
      <c r="F513" s="311"/>
      <c r="G513" s="311"/>
      <c r="H513" s="311"/>
      <c r="I513" s="311"/>
      <c r="J513" s="311"/>
      <c r="K513" s="311"/>
      <c r="L513" s="311"/>
      <c r="M513" s="311"/>
      <c r="N513" s="311"/>
      <c r="O513" s="311"/>
      <c r="P513" s="311"/>
      <c r="Q513" s="311"/>
      <c r="R513" s="311"/>
      <c r="S513" s="311"/>
      <c r="T513" s="311"/>
      <c r="U513" s="311"/>
      <c r="V513" s="311"/>
      <c r="W513" s="311"/>
      <c r="X513" s="311"/>
      <c r="Y513" s="24"/>
      <c r="Z513" s="24"/>
      <c r="AA513" s="24"/>
      <c r="AB513" s="24"/>
      <c r="AC513" s="24"/>
      <c r="AD513" s="24"/>
    </row>
    <row r="514" spans="1:30" ht="12.75">
      <c r="A514" s="313"/>
      <c r="B514" s="313"/>
      <c r="C514" s="314"/>
      <c r="D514" s="311"/>
      <c r="E514" s="311"/>
      <c r="F514" s="311"/>
      <c r="G514" s="311"/>
      <c r="H514" s="311"/>
      <c r="I514" s="311"/>
      <c r="J514" s="311"/>
      <c r="K514" s="311"/>
      <c r="L514" s="311"/>
      <c r="M514" s="311"/>
      <c r="N514" s="311"/>
      <c r="O514" s="311"/>
      <c r="P514" s="311"/>
      <c r="Q514" s="311"/>
      <c r="R514" s="311"/>
      <c r="S514" s="311"/>
      <c r="T514" s="311"/>
      <c r="U514" s="311"/>
      <c r="V514" s="311"/>
      <c r="W514" s="311"/>
      <c r="X514" s="311"/>
      <c r="Y514" s="24"/>
      <c r="Z514" s="24"/>
      <c r="AA514" s="24"/>
      <c r="AB514" s="24"/>
      <c r="AC514" s="24"/>
      <c r="AD514" s="24"/>
    </row>
    <row r="515" spans="1:30" ht="12.75">
      <c r="A515" s="313"/>
      <c r="B515" s="313"/>
      <c r="C515" s="314"/>
      <c r="D515" s="311"/>
      <c r="E515" s="311"/>
      <c r="F515" s="311"/>
      <c r="G515" s="311"/>
      <c r="H515" s="311"/>
      <c r="I515" s="311"/>
      <c r="J515" s="311"/>
      <c r="K515" s="311"/>
      <c r="L515" s="311"/>
      <c r="M515" s="311"/>
      <c r="N515" s="311"/>
      <c r="O515" s="311"/>
      <c r="P515" s="311"/>
      <c r="Q515" s="311"/>
      <c r="R515" s="311"/>
      <c r="S515" s="311"/>
      <c r="T515" s="311"/>
      <c r="U515" s="311"/>
      <c r="V515" s="311"/>
      <c r="W515" s="311"/>
      <c r="X515" s="311"/>
      <c r="Y515" s="24"/>
      <c r="Z515" s="24"/>
      <c r="AA515" s="24"/>
      <c r="AB515" s="24"/>
      <c r="AC515" s="24"/>
      <c r="AD515" s="24"/>
    </row>
    <row r="516" spans="1:30" ht="12.75">
      <c r="A516" s="313"/>
      <c r="B516" s="313"/>
      <c r="C516" s="314"/>
      <c r="D516" s="311"/>
      <c r="E516" s="311"/>
      <c r="F516" s="311"/>
      <c r="G516" s="311"/>
      <c r="H516" s="311"/>
      <c r="I516" s="311"/>
      <c r="J516" s="311"/>
      <c r="K516" s="311"/>
      <c r="L516" s="311"/>
      <c r="M516" s="311"/>
      <c r="N516" s="311"/>
      <c r="O516" s="311"/>
      <c r="P516" s="311"/>
      <c r="Q516" s="311"/>
      <c r="R516" s="311"/>
      <c r="S516" s="311"/>
      <c r="T516" s="311"/>
      <c r="U516" s="311"/>
      <c r="V516" s="311"/>
      <c r="W516" s="311"/>
      <c r="X516" s="311"/>
      <c r="Y516" s="24"/>
      <c r="Z516" s="24"/>
      <c r="AA516" s="24"/>
      <c r="AB516" s="24"/>
      <c r="AC516" s="24"/>
      <c r="AD516" s="24"/>
    </row>
    <row r="517" spans="1:30" ht="12.75">
      <c r="A517" s="313"/>
      <c r="B517" s="313"/>
      <c r="C517" s="314"/>
      <c r="D517" s="311"/>
      <c r="E517" s="311"/>
      <c r="F517" s="311"/>
      <c r="G517" s="311"/>
      <c r="H517" s="311"/>
      <c r="I517" s="311"/>
      <c r="J517" s="311"/>
      <c r="K517" s="311"/>
      <c r="L517" s="311"/>
      <c r="M517" s="311"/>
      <c r="N517" s="311"/>
      <c r="O517" s="311"/>
      <c r="P517" s="311"/>
      <c r="Q517" s="311"/>
      <c r="R517" s="311"/>
      <c r="S517" s="311"/>
      <c r="T517" s="311"/>
      <c r="U517" s="311"/>
      <c r="V517" s="311"/>
      <c r="W517" s="311"/>
      <c r="X517" s="311"/>
      <c r="Y517" s="24"/>
      <c r="Z517" s="24"/>
      <c r="AA517" s="24"/>
      <c r="AB517" s="24"/>
      <c r="AC517" s="24"/>
      <c r="AD517" s="24"/>
    </row>
    <row r="518" spans="1:30" ht="12.75">
      <c r="A518" s="313"/>
      <c r="B518" s="313"/>
      <c r="C518" s="314"/>
      <c r="D518" s="311"/>
      <c r="E518" s="311"/>
      <c r="F518" s="311"/>
      <c r="G518" s="311"/>
      <c r="H518" s="311"/>
      <c r="I518" s="311"/>
      <c r="J518" s="311"/>
      <c r="K518" s="311"/>
      <c r="L518" s="311"/>
      <c r="M518" s="311"/>
      <c r="N518" s="311"/>
      <c r="O518" s="311"/>
      <c r="P518" s="311"/>
      <c r="Q518" s="311"/>
      <c r="R518" s="311"/>
      <c r="S518" s="311"/>
      <c r="T518" s="311"/>
      <c r="U518" s="311"/>
      <c r="V518" s="311"/>
      <c r="W518" s="311"/>
      <c r="X518" s="311"/>
      <c r="Y518" s="24"/>
      <c r="Z518" s="24"/>
      <c r="AA518" s="24"/>
      <c r="AB518" s="24"/>
      <c r="AC518" s="24"/>
      <c r="AD518" s="24"/>
    </row>
    <row r="519" spans="1:30" ht="12.75">
      <c r="A519" s="313"/>
      <c r="B519" s="313"/>
      <c r="C519" s="314"/>
      <c r="D519" s="311"/>
      <c r="E519" s="311"/>
      <c r="F519" s="311"/>
      <c r="G519" s="311"/>
      <c r="H519" s="311"/>
      <c r="I519" s="311"/>
      <c r="J519" s="311"/>
      <c r="K519" s="311"/>
      <c r="L519" s="311"/>
      <c r="M519" s="311"/>
      <c r="N519" s="311"/>
      <c r="O519" s="311"/>
      <c r="P519" s="311"/>
      <c r="Q519" s="311"/>
      <c r="R519" s="311"/>
      <c r="S519" s="311"/>
      <c r="T519" s="311"/>
      <c r="U519" s="311"/>
      <c r="V519" s="311"/>
      <c r="W519" s="311"/>
      <c r="X519" s="311"/>
      <c r="Y519" s="24"/>
      <c r="Z519" s="24"/>
      <c r="AA519" s="24"/>
      <c r="AB519" s="24"/>
      <c r="AC519" s="24"/>
      <c r="AD519" s="24"/>
    </row>
    <row r="520" spans="1:30" ht="12.75">
      <c r="A520" s="313"/>
      <c r="B520" s="313"/>
      <c r="C520" s="314"/>
      <c r="D520" s="311"/>
      <c r="E520" s="311"/>
      <c r="F520" s="311"/>
      <c r="G520" s="311"/>
      <c r="H520" s="311"/>
      <c r="I520" s="311"/>
      <c r="J520" s="311"/>
      <c r="K520" s="311"/>
      <c r="L520" s="311"/>
      <c r="M520" s="311"/>
      <c r="N520" s="311"/>
      <c r="O520" s="311"/>
      <c r="P520" s="311"/>
      <c r="Q520" s="311"/>
      <c r="R520" s="311"/>
      <c r="S520" s="311"/>
      <c r="T520" s="311"/>
      <c r="U520" s="311"/>
      <c r="V520" s="311"/>
      <c r="W520" s="311"/>
      <c r="X520" s="311"/>
      <c r="Y520" s="24"/>
      <c r="Z520" s="24"/>
      <c r="AA520" s="24"/>
      <c r="AB520" s="24"/>
      <c r="AC520" s="24"/>
      <c r="AD520" s="24"/>
    </row>
    <row r="521" spans="1:30" ht="12.75">
      <c r="A521" s="313"/>
      <c r="B521" s="313"/>
      <c r="C521" s="314"/>
      <c r="D521" s="311"/>
      <c r="E521" s="311"/>
      <c r="F521" s="311"/>
      <c r="G521" s="311"/>
      <c r="H521" s="311"/>
      <c r="I521" s="311"/>
      <c r="J521" s="311"/>
      <c r="K521" s="311"/>
      <c r="L521" s="311"/>
      <c r="M521" s="311"/>
      <c r="N521" s="311"/>
      <c r="O521" s="311"/>
      <c r="P521" s="311"/>
      <c r="Q521" s="311"/>
      <c r="R521" s="311"/>
      <c r="S521" s="311"/>
      <c r="T521" s="311"/>
      <c r="U521" s="311"/>
      <c r="V521" s="311"/>
      <c r="W521" s="311"/>
      <c r="X521" s="311"/>
      <c r="Y521" s="24"/>
      <c r="Z521" s="24"/>
      <c r="AA521" s="24"/>
      <c r="AB521" s="24"/>
      <c r="AC521" s="24"/>
      <c r="AD521" s="24"/>
    </row>
    <row r="522" spans="1:30" ht="12.75">
      <c r="A522" s="313"/>
      <c r="B522" s="313"/>
      <c r="C522" s="314"/>
      <c r="D522" s="311"/>
      <c r="E522" s="311"/>
      <c r="F522" s="311"/>
      <c r="G522" s="311"/>
      <c r="H522" s="311"/>
      <c r="I522" s="311"/>
      <c r="J522" s="311"/>
      <c r="K522" s="311"/>
      <c r="L522" s="311"/>
      <c r="M522" s="311"/>
      <c r="N522" s="311"/>
      <c r="O522" s="311"/>
      <c r="P522" s="311"/>
      <c r="Q522" s="311"/>
      <c r="R522" s="311"/>
      <c r="S522" s="311"/>
      <c r="T522" s="311"/>
      <c r="U522" s="311"/>
      <c r="V522" s="311"/>
      <c r="W522" s="311"/>
      <c r="X522" s="311"/>
      <c r="Y522" s="24"/>
      <c r="Z522" s="24"/>
      <c r="AA522" s="24"/>
      <c r="AB522" s="24"/>
      <c r="AC522" s="24"/>
      <c r="AD522" s="24"/>
    </row>
    <row r="523" spans="1:30" ht="12.75">
      <c r="A523" s="313"/>
      <c r="B523" s="313"/>
      <c r="C523" s="314"/>
      <c r="D523" s="311"/>
      <c r="E523" s="311"/>
      <c r="F523" s="311"/>
      <c r="G523" s="311"/>
      <c r="H523" s="311"/>
      <c r="I523" s="311"/>
      <c r="J523" s="311"/>
      <c r="K523" s="311"/>
      <c r="L523" s="311"/>
      <c r="M523" s="311"/>
      <c r="N523" s="311"/>
      <c r="O523" s="311"/>
      <c r="P523" s="311"/>
      <c r="Q523" s="311"/>
      <c r="R523" s="311"/>
      <c r="S523" s="311"/>
      <c r="T523" s="311"/>
      <c r="U523" s="311"/>
      <c r="V523" s="311"/>
      <c r="W523" s="311"/>
      <c r="X523" s="311"/>
      <c r="Y523" s="24"/>
      <c r="Z523" s="24"/>
      <c r="AA523" s="24"/>
      <c r="AB523" s="24"/>
      <c r="AC523" s="24"/>
      <c r="AD523" s="24"/>
    </row>
    <row r="524" spans="1:30" ht="12.75">
      <c r="A524" s="313"/>
      <c r="B524" s="313"/>
      <c r="C524" s="314"/>
      <c r="D524" s="311"/>
      <c r="E524" s="311"/>
      <c r="F524" s="311"/>
      <c r="G524" s="311"/>
      <c r="H524" s="311"/>
      <c r="I524" s="311"/>
      <c r="J524" s="311"/>
      <c r="K524" s="311"/>
      <c r="L524" s="311"/>
      <c r="M524" s="311"/>
      <c r="N524" s="311"/>
      <c r="O524" s="311"/>
      <c r="P524" s="311"/>
      <c r="Q524" s="311"/>
      <c r="R524" s="311"/>
      <c r="S524" s="311"/>
      <c r="T524" s="311"/>
      <c r="U524" s="311"/>
      <c r="V524" s="311"/>
      <c r="W524" s="311"/>
      <c r="X524" s="311"/>
      <c r="Y524" s="24"/>
      <c r="Z524" s="24"/>
      <c r="AA524" s="24"/>
      <c r="AB524" s="24"/>
      <c r="AC524" s="24"/>
      <c r="AD524" s="24"/>
    </row>
    <row r="525" spans="1:30" ht="12.75">
      <c r="A525" s="313"/>
      <c r="B525" s="313"/>
      <c r="C525" s="314"/>
      <c r="D525" s="311"/>
      <c r="E525" s="311"/>
      <c r="F525" s="311"/>
      <c r="G525" s="311"/>
      <c r="H525" s="311"/>
      <c r="I525" s="311"/>
      <c r="J525" s="311"/>
      <c r="K525" s="311"/>
      <c r="L525" s="311"/>
      <c r="M525" s="311"/>
      <c r="N525" s="311"/>
      <c r="O525" s="311"/>
      <c r="P525" s="311"/>
      <c r="Q525" s="311"/>
      <c r="R525" s="311"/>
      <c r="S525" s="311"/>
      <c r="T525" s="311"/>
      <c r="U525" s="311"/>
      <c r="V525" s="311"/>
      <c r="W525" s="311"/>
      <c r="X525" s="311"/>
      <c r="Y525" s="24"/>
      <c r="Z525" s="24"/>
      <c r="AA525" s="24"/>
      <c r="AB525" s="24"/>
      <c r="AC525" s="24"/>
      <c r="AD525" s="24"/>
    </row>
    <row r="526" spans="1:30" ht="12.75">
      <c r="A526" s="313"/>
      <c r="B526" s="313"/>
      <c r="C526" s="314"/>
      <c r="D526" s="311"/>
      <c r="E526" s="311"/>
      <c r="F526" s="311"/>
      <c r="G526" s="311"/>
      <c r="H526" s="311"/>
      <c r="I526" s="311"/>
      <c r="J526" s="311"/>
      <c r="K526" s="311"/>
      <c r="L526" s="311"/>
      <c r="M526" s="311"/>
      <c r="N526" s="311"/>
      <c r="O526" s="311"/>
      <c r="P526" s="311"/>
      <c r="Q526" s="311"/>
      <c r="R526" s="311"/>
      <c r="S526" s="311"/>
      <c r="T526" s="311"/>
      <c r="U526" s="311"/>
      <c r="V526" s="311"/>
      <c r="W526" s="311"/>
      <c r="X526" s="311"/>
      <c r="Y526" s="24"/>
      <c r="Z526" s="24"/>
      <c r="AA526" s="24"/>
      <c r="AB526" s="24"/>
      <c r="AC526" s="24"/>
      <c r="AD526" s="24"/>
    </row>
    <row r="527" spans="1:30" ht="12.75">
      <c r="A527" s="313"/>
      <c r="B527" s="313"/>
      <c r="C527" s="314"/>
      <c r="D527" s="311"/>
      <c r="E527" s="311"/>
      <c r="F527" s="311"/>
      <c r="G527" s="311"/>
      <c r="H527" s="311"/>
      <c r="I527" s="311"/>
      <c r="J527" s="311"/>
      <c r="K527" s="311"/>
      <c r="L527" s="311"/>
      <c r="M527" s="311"/>
      <c r="N527" s="311"/>
      <c r="O527" s="311"/>
      <c r="P527" s="311"/>
      <c r="Q527" s="311"/>
      <c r="R527" s="311"/>
      <c r="S527" s="311"/>
      <c r="T527" s="311"/>
      <c r="U527" s="311"/>
      <c r="V527" s="311"/>
      <c r="W527" s="311"/>
      <c r="X527" s="311"/>
      <c r="Y527" s="24"/>
      <c r="Z527" s="24"/>
      <c r="AA527" s="24"/>
      <c r="AB527" s="24"/>
      <c r="AC527" s="24"/>
      <c r="AD527" s="24"/>
    </row>
    <row r="528" spans="1:30" ht="12.75">
      <c r="A528" s="313"/>
      <c r="B528" s="313"/>
      <c r="C528" s="314"/>
      <c r="D528" s="311"/>
      <c r="E528" s="311"/>
      <c r="F528" s="311"/>
      <c r="G528" s="311"/>
      <c r="H528" s="311"/>
      <c r="I528" s="311"/>
      <c r="J528" s="311"/>
      <c r="K528" s="311"/>
      <c r="L528" s="311"/>
      <c r="M528" s="311"/>
      <c r="N528" s="311"/>
      <c r="O528" s="311"/>
      <c r="P528" s="311"/>
      <c r="Q528" s="311"/>
      <c r="R528" s="311"/>
      <c r="S528" s="311"/>
      <c r="T528" s="311"/>
      <c r="U528" s="311"/>
      <c r="V528" s="311"/>
      <c r="W528" s="311"/>
      <c r="X528" s="311"/>
      <c r="Y528" s="24"/>
      <c r="Z528" s="24"/>
      <c r="AA528" s="24"/>
      <c r="AB528" s="24"/>
      <c r="AC528" s="24"/>
      <c r="AD528" s="24"/>
    </row>
    <row r="529" spans="1:30" ht="12.75">
      <c r="A529" s="313"/>
      <c r="B529" s="313"/>
      <c r="C529" s="314"/>
      <c r="D529" s="311"/>
      <c r="E529" s="311"/>
      <c r="F529" s="311"/>
      <c r="G529" s="311"/>
      <c r="H529" s="311"/>
      <c r="I529" s="311"/>
      <c r="J529" s="311"/>
      <c r="K529" s="311"/>
      <c r="L529" s="311"/>
      <c r="M529" s="311"/>
      <c r="N529" s="311"/>
      <c r="O529" s="311"/>
      <c r="P529" s="311"/>
      <c r="Q529" s="311"/>
      <c r="R529" s="311"/>
      <c r="S529" s="311"/>
      <c r="T529" s="311"/>
      <c r="U529" s="311"/>
      <c r="V529" s="311"/>
      <c r="W529" s="311"/>
      <c r="X529" s="311"/>
      <c r="Y529" s="24"/>
      <c r="Z529" s="24"/>
      <c r="AA529" s="24"/>
      <c r="AB529" s="24"/>
      <c r="AC529" s="24"/>
      <c r="AD529" s="24"/>
    </row>
    <row r="530" spans="1:30" ht="12.75">
      <c r="A530" s="313"/>
      <c r="B530" s="313"/>
      <c r="C530" s="314"/>
      <c r="D530" s="311"/>
      <c r="E530" s="311"/>
      <c r="F530" s="311"/>
      <c r="G530" s="311"/>
      <c r="H530" s="311"/>
      <c r="I530" s="311"/>
      <c r="J530" s="311"/>
      <c r="K530" s="311"/>
      <c r="L530" s="311"/>
      <c r="M530" s="311"/>
      <c r="N530" s="311"/>
      <c r="O530" s="311"/>
      <c r="P530" s="311"/>
      <c r="Q530" s="311"/>
      <c r="R530" s="311"/>
      <c r="S530" s="311"/>
      <c r="T530" s="311"/>
      <c r="U530" s="311"/>
      <c r="V530" s="311"/>
      <c r="W530" s="311"/>
      <c r="X530" s="311"/>
      <c r="Y530" s="24"/>
      <c r="Z530" s="24"/>
      <c r="AA530" s="24"/>
      <c r="AB530" s="24"/>
      <c r="AC530" s="24"/>
      <c r="AD530" s="24"/>
    </row>
    <row r="531" spans="1:30" ht="12.75">
      <c r="A531" s="313"/>
      <c r="B531" s="313"/>
      <c r="C531" s="314"/>
      <c r="D531" s="311"/>
      <c r="E531" s="311"/>
      <c r="F531" s="311"/>
      <c r="G531" s="311"/>
      <c r="H531" s="311"/>
      <c r="I531" s="311"/>
      <c r="J531" s="311"/>
      <c r="K531" s="311"/>
      <c r="L531" s="311"/>
      <c r="M531" s="311"/>
      <c r="N531" s="311"/>
      <c r="O531" s="311"/>
      <c r="P531" s="311"/>
      <c r="Q531" s="311"/>
      <c r="R531" s="311"/>
      <c r="S531" s="311"/>
      <c r="T531" s="311"/>
      <c r="U531" s="311"/>
      <c r="V531" s="311"/>
      <c r="W531" s="311"/>
      <c r="X531" s="311"/>
      <c r="Y531" s="24"/>
      <c r="Z531" s="24"/>
      <c r="AA531" s="24"/>
      <c r="AB531" s="24"/>
      <c r="AC531" s="24"/>
      <c r="AD531" s="24"/>
    </row>
    <row r="532" spans="1:30" ht="12.75">
      <c r="A532" s="313"/>
      <c r="B532" s="313"/>
      <c r="C532" s="314"/>
      <c r="D532" s="311"/>
      <c r="E532" s="311"/>
      <c r="F532" s="311"/>
      <c r="G532" s="311"/>
      <c r="H532" s="311"/>
      <c r="I532" s="311"/>
      <c r="J532" s="311"/>
      <c r="K532" s="311"/>
      <c r="L532" s="311"/>
      <c r="M532" s="311"/>
      <c r="N532" s="311"/>
      <c r="O532" s="311"/>
      <c r="P532" s="311"/>
      <c r="Q532" s="311"/>
      <c r="R532" s="311"/>
      <c r="S532" s="311"/>
      <c r="T532" s="311"/>
      <c r="U532" s="311"/>
      <c r="V532" s="311"/>
      <c r="W532" s="311"/>
      <c r="X532" s="311"/>
      <c r="Y532" s="24"/>
      <c r="Z532" s="24"/>
      <c r="AA532" s="24"/>
      <c r="AB532" s="24"/>
      <c r="AC532" s="24"/>
      <c r="AD532" s="24"/>
    </row>
    <row r="533" spans="1:30" ht="12.75">
      <c r="A533" s="313"/>
      <c r="B533" s="313"/>
      <c r="C533" s="314"/>
      <c r="D533" s="311"/>
      <c r="E533" s="311"/>
      <c r="F533" s="311"/>
      <c r="G533" s="311"/>
      <c r="H533" s="311"/>
      <c r="I533" s="311"/>
      <c r="J533" s="311"/>
      <c r="K533" s="311"/>
      <c r="L533" s="311"/>
      <c r="M533" s="311"/>
      <c r="N533" s="311"/>
      <c r="O533" s="311"/>
      <c r="P533" s="311"/>
      <c r="Q533" s="311"/>
      <c r="R533" s="311"/>
      <c r="S533" s="311"/>
      <c r="T533" s="311"/>
      <c r="U533" s="311"/>
      <c r="V533" s="311"/>
      <c r="W533" s="311"/>
      <c r="X533" s="311"/>
      <c r="Y533" s="24"/>
      <c r="Z533" s="24"/>
      <c r="AA533" s="24"/>
      <c r="AB533" s="24"/>
      <c r="AC533" s="24"/>
      <c r="AD533" s="24"/>
    </row>
    <row r="534" spans="1:30" ht="12.75">
      <c r="A534" s="313"/>
      <c r="B534" s="313"/>
      <c r="C534" s="314"/>
      <c r="D534" s="311"/>
      <c r="E534" s="311"/>
      <c r="F534" s="311"/>
      <c r="G534" s="311"/>
      <c r="H534" s="311"/>
      <c r="I534" s="311"/>
      <c r="J534" s="311"/>
      <c r="K534" s="311"/>
      <c r="L534" s="311"/>
      <c r="M534" s="311"/>
      <c r="N534" s="311"/>
      <c r="O534" s="311"/>
      <c r="P534" s="311"/>
      <c r="Q534" s="311"/>
      <c r="R534" s="311"/>
      <c r="S534" s="311"/>
      <c r="T534" s="311"/>
      <c r="U534" s="311"/>
      <c r="V534" s="311"/>
      <c r="W534" s="311"/>
      <c r="X534" s="311"/>
      <c r="Y534" s="24"/>
      <c r="Z534" s="24"/>
      <c r="AA534" s="24"/>
      <c r="AB534" s="24"/>
      <c r="AC534" s="24"/>
      <c r="AD534" s="24"/>
    </row>
    <row r="535" spans="1:30" ht="12.75">
      <c r="A535" s="313"/>
      <c r="B535" s="313"/>
      <c r="C535" s="314"/>
      <c r="D535" s="311"/>
      <c r="E535" s="311"/>
      <c r="F535" s="311"/>
      <c r="G535" s="311"/>
      <c r="H535" s="311"/>
      <c r="I535" s="311"/>
      <c r="J535" s="311"/>
      <c r="K535" s="311"/>
      <c r="L535" s="311"/>
      <c r="M535" s="311"/>
      <c r="N535" s="311"/>
      <c r="O535" s="311"/>
      <c r="P535" s="311"/>
      <c r="Q535" s="311"/>
      <c r="R535" s="311"/>
      <c r="S535" s="311"/>
      <c r="T535" s="311"/>
      <c r="U535" s="311"/>
      <c r="V535" s="311"/>
      <c r="W535" s="311"/>
      <c r="X535" s="311"/>
      <c r="Y535" s="24"/>
      <c r="Z535" s="24"/>
      <c r="AA535" s="24"/>
      <c r="AB535" s="24"/>
      <c r="AC535" s="24"/>
      <c r="AD535" s="24"/>
    </row>
    <row r="536" spans="1:30" ht="12.75">
      <c r="A536" s="313"/>
      <c r="B536" s="313"/>
      <c r="C536" s="314"/>
      <c r="D536" s="311"/>
      <c r="E536" s="311"/>
      <c r="F536" s="311"/>
      <c r="G536" s="311"/>
      <c r="H536" s="311"/>
      <c r="I536" s="311"/>
      <c r="J536" s="311"/>
      <c r="K536" s="311"/>
      <c r="L536" s="311"/>
      <c r="M536" s="311"/>
      <c r="N536" s="311"/>
      <c r="O536" s="311"/>
      <c r="P536" s="311"/>
      <c r="Q536" s="311"/>
      <c r="R536" s="311"/>
      <c r="S536" s="311"/>
      <c r="T536" s="311"/>
      <c r="U536" s="311"/>
      <c r="V536" s="311"/>
      <c r="W536" s="311"/>
      <c r="X536" s="311"/>
      <c r="Y536" s="24"/>
      <c r="Z536" s="24"/>
      <c r="AA536" s="24"/>
      <c r="AB536" s="24"/>
      <c r="AC536" s="24"/>
      <c r="AD536" s="24"/>
    </row>
    <row r="537" spans="1:30" ht="12.75">
      <c r="A537" s="313"/>
      <c r="B537" s="313"/>
      <c r="C537" s="314"/>
      <c r="D537" s="311"/>
      <c r="E537" s="311"/>
      <c r="F537" s="311"/>
      <c r="G537" s="311"/>
      <c r="H537" s="311"/>
      <c r="I537" s="311"/>
      <c r="J537" s="311"/>
      <c r="K537" s="311"/>
      <c r="L537" s="311"/>
      <c r="M537" s="311"/>
      <c r="N537" s="311"/>
      <c r="O537" s="311"/>
      <c r="P537" s="311"/>
      <c r="Q537" s="311"/>
      <c r="R537" s="311"/>
      <c r="S537" s="311"/>
      <c r="T537" s="311"/>
      <c r="U537" s="311"/>
      <c r="V537" s="311"/>
      <c r="W537" s="311"/>
      <c r="X537" s="311"/>
      <c r="Y537" s="24"/>
      <c r="Z537" s="24"/>
      <c r="AA537" s="24"/>
      <c r="AB537" s="24"/>
      <c r="AC537" s="24"/>
      <c r="AD537" s="24"/>
    </row>
    <row r="538" spans="1:30" ht="12.75">
      <c r="A538" s="313"/>
      <c r="B538" s="313"/>
      <c r="C538" s="314"/>
      <c r="D538" s="311"/>
      <c r="E538" s="311"/>
      <c r="F538" s="311"/>
      <c r="G538" s="311"/>
      <c r="H538" s="311"/>
      <c r="I538" s="311"/>
      <c r="J538" s="311"/>
      <c r="K538" s="311"/>
      <c r="L538" s="311"/>
      <c r="M538" s="311"/>
      <c r="N538" s="311"/>
      <c r="O538" s="311"/>
      <c r="P538" s="311"/>
      <c r="Q538" s="311"/>
      <c r="R538" s="311"/>
      <c r="S538" s="311"/>
      <c r="T538" s="311"/>
      <c r="U538" s="311"/>
      <c r="V538" s="311"/>
      <c r="W538" s="311"/>
      <c r="X538" s="311"/>
      <c r="Y538" s="24"/>
      <c r="Z538" s="24"/>
      <c r="AA538" s="24"/>
      <c r="AB538" s="24"/>
      <c r="AC538" s="24"/>
      <c r="AD538" s="24"/>
    </row>
    <row r="539" spans="1:30" ht="12.75">
      <c r="A539" s="313"/>
      <c r="B539" s="313"/>
      <c r="C539" s="314"/>
      <c r="D539" s="311"/>
      <c r="E539" s="311"/>
      <c r="F539" s="311"/>
      <c r="G539" s="311"/>
      <c r="H539" s="311"/>
      <c r="I539" s="311"/>
      <c r="J539" s="311"/>
      <c r="K539" s="311"/>
      <c r="L539" s="311"/>
      <c r="M539" s="311"/>
      <c r="N539" s="311"/>
      <c r="O539" s="311"/>
      <c r="P539" s="311"/>
      <c r="Q539" s="311"/>
      <c r="R539" s="311"/>
      <c r="S539" s="311"/>
      <c r="T539" s="311"/>
      <c r="U539" s="311"/>
      <c r="V539" s="311"/>
      <c r="W539" s="311"/>
      <c r="X539" s="311"/>
      <c r="Y539" s="24"/>
      <c r="Z539" s="24"/>
      <c r="AA539" s="24"/>
      <c r="AB539" s="24"/>
      <c r="AC539" s="24"/>
      <c r="AD539" s="24"/>
    </row>
    <row r="540" spans="1:30" ht="12.75">
      <c r="A540" s="313"/>
      <c r="B540" s="313"/>
      <c r="C540" s="314"/>
      <c r="D540" s="311"/>
      <c r="E540" s="311"/>
      <c r="F540" s="311"/>
      <c r="G540" s="311"/>
      <c r="H540" s="311"/>
      <c r="I540" s="311"/>
      <c r="J540" s="311"/>
      <c r="K540" s="311"/>
      <c r="L540" s="311"/>
      <c r="M540" s="311"/>
      <c r="N540" s="311"/>
      <c r="O540" s="311"/>
      <c r="P540" s="311"/>
      <c r="Q540" s="311"/>
      <c r="R540" s="311"/>
      <c r="S540" s="311"/>
      <c r="T540" s="311"/>
      <c r="U540" s="311"/>
      <c r="V540" s="311"/>
      <c r="W540" s="311"/>
      <c r="X540" s="311"/>
      <c r="Y540" s="24"/>
      <c r="Z540" s="24"/>
      <c r="AA540" s="24"/>
      <c r="AB540" s="24"/>
      <c r="AC540" s="24"/>
      <c r="AD540" s="24"/>
    </row>
    <row r="541" spans="1:30" ht="12.75">
      <c r="A541" s="313"/>
      <c r="B541" s="313"/>
      <c r="C541" s="314"/>
      <c r="D541" s="311"/>
      <c r="E541" s="311"/>
      <c r="F541" s="311"/>
      <c r="G541" s="311"/>
      <c r="H541" s="311"/>
      <c r="I541" s="311"/>
      <c r="J541" s="311"/>
      <c r="K541" s="311"/>
      <c r="L541" s="311"/>
      <c r="M541" s="311"/>
      <c r="N541" s="311"/>
      <c r="O541" s="311"/>
      <c r="P541" s="311"/>
      <c r="Q541" s="311"/>
      <c r="R541" s="311"/>
      <c r="S541" s="311"/>
      <c r="T541" s="311"/>
      <c r="U541" s="311"/>
      <c r="V541" s="311"/>
      <c r="W541" s="311"/>
      <c r="X541" s="311"/>
      <c r="Y541" s="24"/>
      <c r="Z541" s="24"/>
      <c r="AA541" s="24"/>
      <c r="AB541" s="24"/>
      <c r="AC541" s="24"/>
      <c r="AD541" s="24"/>
    </row>
    <row r="542" spans="1:30" ht="12.75">
      <c r="A542" s="313"/>
      <c r="B542" s="313"/>
      <c r="C542" s="314"/>
      <c r="D542" s="311"/>
      <c r="E542" s="311"/>
      <c r="F542" s="311"/>
      <c r="G542" s="311"/>
      <c r="H542" s="311"/>
      <c r="I542" s="311"/>
      <c r="J542" s="311"/>
      <c r="K542" s="311"/>
      <c r="L542" s="311"/>
      <c r="M542" s="311"/>
      <c r="N542" s="311"/>
      <c r="O542" s="311"/>
      <c r="P542" s="311"/>
      <c r="Q542" s="311"/>
      <c r="R542" s="311"/>
      <c r="S542" s="311"/>
      <c r="T542" s="311"/>
      <c r="U542" s="311"/>
      <c r="V542" s="311"/>
      <c r="W542" s="311"/>
      <c r="X542" s="311"/>
      <c r="Y542" s="24"/>
      <c r="Z542" s="24"/>
      <c r="AA542" s="24"/>
      <c r="AB542" s="24"/>
      <c r="AC542" s="24"/>
      <c r="AD542" s="24"/>
    </row>
    <row r="543" spans="1:30" ht="12.75">
      <c r="A543" s="313"/>
      <c r="B543" s="313"/>
      <c r="C543" s="314"/>
      <c r="D543" s="311"/>
      <c r="E543" s="311"/>
      <c r="F543" s="311"/>
      <c r="G543" s="311"/>
      <c r="H543" s="311"/>
      <c r="I543" s="311"/>
      <c r="J543" s="311"/>
      <c r="K543" s="311"/>
      <c r="L543" s="311"/>
      <c r="M543" s="311"/>
      <c r="N543" s="311"/>
      <c r="O543" s="311"/>
      <c r="P543" s="311"/>
      <c r="Q543" s="311"/>
      <c r="R543" s="311"/>
      <c r="S543" s="311"/>
      <c r="T543" s="311"/>
      <c r="U543" s="311"/>
      <c r="V543" s="311"/>
      <c r="W543" s="311"/>
      <c r="X543" s="311"/>
      <c r="Y543" s="24"/>
      <c r="Z543" s="24"/>
      <c r="AA543" s="24"/>
      <c r="AB543" s="24"/>
      <c r="AC543" s="24"/>
      <c r="AD543" s="24"/>
    </row>
    <row r="544" spans="1:30" ht="12.75">
      <c r="A544" s="313"/>
      <c r="B544" s="313"/>
      <c r="C544" s="314"/>
      <c r="D544" s="311"/>
      <c r="E544" s="311"/>
      <c r="F544" s="311"/>
      <c r="G544" s="311"/>
      <c r="H544" s="311"/>
      <c r="I544" s="311"/>
      <c r="J544" s="311"/>
      <c r="K544" s="311"/>
      <c r="L544" s="311"/>
      <c r="M544" s="311"/>
      <c r="N544" s="311"/>
      <c r="O544" s="311"/>
      <c r="P544" s="311"/>
      <c r="Q544" s="311"/>
      <c r="R544" s="311"/>
      <c r="S544" s="311"/>
      <c r="T544" s="311"/>
      <c r="U544" s="311"/>
      <c r="V544" s="311"/>
      <c r="W544" s="311"/>
      <c r="X544" s="311"/>
      <c r="Y544" s="24"/>
      <c r="Z544" s="24"/>
      <c r="AA544" s="24"/>
      <c r="AB544" s="24"/>
      <c r="AC544" s="24"/>
      <c r="AD544" s="24"/>
    </row>
    <row r="545" spans="1:30" ht="12.75">
      <c r="A545" s="313"/>
      <c r="B545" s="313"/>
      <c r="C545" s="314"/>
      <c r="D545" s="311"/>
      <c r="E545" s="311"/>
      <c r="F545" s="311"/>
      <c r="G545" s="311"/>
      <c r="H545" s="311"/>
      <c r="I545" s="311"/>
      <c r="J545" s="311"/>
      <c r="K545" s="311"/>
      <c r="L545" s="311"/>
      <c r="M545" s="311"/>
      <c r="N545" s="311"/>
      <c r="O545" s="311"/>
      <c r="P545" s="311"/>
      <c r="Q545" s="311"/>
      <c r="R545" s="311"/>
      <c r="S545" s="311"/>
      <c r="T545" s="311"/>
      <c r="U545" s="311"/>
      <c r="V545" s="311"/>
      <c r="W545" s="311"/>
      <c r="X545" s="311"/>
      <c r="Y545" s="24"/>
      <c r="Z545" s="24"/>
      <c r="AA545" s="24"/>
      <c r="AB545" s="24"/>
      <c r="AC545" s="24"/>
      <c r="AD545" s="24"/>
    </row>
    <row r="546" spans="1:30" ht="12.75">
      <c r="A546" s="313"/>
      <c r="B546" s="313"/>
      <c r="C546" s="314"/>
      <c r="D546" s="311"/>
      <c r="E546" s="311"/>
      <c r="F546" s="311"/>
      <c r="G546" s="311"/>
      <c r="H546" s="311"/>
      <c r="I546" s="311"/>
      <c r="J546" s="311"/>
      <c r="K546" s="311"/>
      <c r="L546" s="311"/>
      <c r="M546" s="311"/>
      <c r="N546" s="311"/>
      <c r="O546" s="311"/>
      <c r="P546" s="311"/>
      <c r="Q546" s="311"/>
      <c r="R546" s="311"/>
      <c r="S546" s="311"/>
      <c r="T546" s="311"/>
      <c r="U546" s="311"/>
      <c r="V546" s="311"/>
      <c r="W546" s="311"/>
      <c r="X546" s="311"/>
      <c r="Y546" s="24"/>
      <c r="Z546" s="24"/>
      <c r="AA546" s="24"/>
      <c r="AB546" s="24"/>
      <c r="AC546" s="24"/>
      <c r="AD546" s="24"/>
    </row>
    <row r="547" spans="1:30" ht="12.75">
      <c r="A547" s="313"/>
      <c r="B547" s="313"/>
      <c r="C547" s="314"/>
      <c r="D547" s="311"/>
      <c r="E547" s="311"/>
      <c r="F547" s="311"/>
      <c r="G547" s="311"/>
      <c r="H547" s="311"/>
      <c r="I547" s="311"/>
      <c r="J547" s="311"/>
      <c r="K547" s="311"/>
      <c r="L547" s="311"/>
      <c r="M547" s="311"/>
      <c r="N547" s="311"/>
      <c r="O547" s="311"/>
      <c r="P547" s="311"/>
      <c r="Q547" s="311"/>
      <c r="R547" s="311"/>
      <c r="S547" s="311"/>
      <c r="T547" s="311"/>
      <c r="U547" s="311"/>
      <c r="V547" s="311"/>
      <c r="W547" s="311"/>
      <c r="X547" s="311"/>
      <c r="Y547" s="24"/>
      <c r="Z547" s="24"/>
      <c r="AA547" s="24"/>
      <c r="AB547" s="24"/>
      <c r="AC547" s="24"/>
      <c r="AD547" s="24"/>
    </row>
    <row r="548" spans="1:30" ht="12.75">
      <c r="A548" s="313"/>
      <c r="B548" s="313"/>
      <c r="C548" s="314"/>
      <c r="D548" s="311"/>
      <c r="E548" s="311"/>
      <c r="F548" s="311"/>
      <c r="G548" s="311"/>
      <c r="H548" s="311"/>
      <c r="I548" s="311"/>
      <c r="J548" s="311"/>
      <c r="K548" s="311"/>
      <c r="L548" s="311"/>
      <c r="M548" s="311"/>
      <c r="N548" s="311"/>
      <c r="O548" s="311"/>
      <c r="P548" s="311"/>
      <c r="Q548" s="311"/>
      <c r="R548" s="311"/>
      <c r="S548" s="311"/>
      <c r="T548" s="311"/>
      <c r="U548" s="311"/>
      <c r="V548" s="311"/>
      <c r="W548" s="311"/>
      <c r="X548" s="311"/>
      <c r="Y548" s="24"/>
      <c r="Z548" s="24"/>
      <c r="AA548" s="24"/>
      <c r="AB548" s="24"/>
      <c r="AC548" s="24"/>
      <c r="AD548" s="24"/>
    </row>
    <row r="549" spans="1:30" ht="12.75">
      <c r="A549" s="313"/>
      <c r="B549" s="313"/>
      <c r="C549" s="314"/>
      <c r="D549" s="311"/>
      <c r="E549" s="311"/>
      <c r="F549" s="311"/>
      <c r="G549" s="311"/>
      <c r="H549" s="311"/>
      <c r="I549" s="311"/>
      <c r="J549" s="311"/>
      <c r="K549" s="311"/>
      <c r="L549" s="311"/>
      <c r="M549" s="311"/>
      <c r="N549" s="311"/>
      <c r="O549" s="311"/>
      <c r="P549" s="311"/>
      <c r="Q549" s="311"/>
      <c r="R549" s="311"/>
      <c r="S549" s="311"/>
      <c r="T549" s="311"/>
      <c r="U549" s="311"/>
      <c r="V549" s="311"/>
      <c r="W549" s="311"/>
      <c r="X549" s="311"/>
      <c r="Y549" s="24"/>
      <c r="Z549" s="24"/>
      <c r="AA549" s="24"/>
      <c r="AB549" s="24"/>
      <c r="AC549" s="24"/>
      <c r="AD549" s="24"/>
    </row>
    <row r="550" spans="1:30" ht="12.75">
      <c r="A550" s="313"/>
      <c r="B550" s="313"/>
      <c r="C550" s="314"/>
      <c r="D550" s="311"/>
      <c r="E550" s="311"/>
      <c r="F550" s="311"/>
      <c r="G550" s="311"/>
      <c r="H550" s="311"/>
      <c r="I550" s="311"/>
      <c r="J550" s="311"/>
      <c r="K550" s="311"/>
      <c r="L550" s="311"/>
      <c r="M550" s="311"/>
      <c r="N550" s="311"/>
      <c r="O550" s="311"/>
      <c r="P550" s="311"/>
      <c r="Q550" s="311"/>
      <c r="R550" s="311"/>
      <c r="S550" s="311"/>
      <c r="T550" s="311"/>
      <c r="U550" s="311"/>
      <c r="V550" s="311"/>
      <c r="W550" s="311"/>
      <c r="X550" s="311"/>
      <c r="Y550" s="24"/>
      <c r="Z550" s="24"/>
      <c r="AA550" s="24"/>
      <c r="AB550" s="24"/>
      <c r="AC550" s="24"/>
      <c r="AD550" s="24"/>
    </row>
    <row r="551" spans="1:30" ht="12.75">
      <c r="A551" s="313"/>
      <c r="B551" s="313"/>
      <c r="C551" s="314"/>
      <c r="D551" s="311"/>
      <c r="E551" s="311"/>
      <c r="F551" s="311"/>
      <c r="G551" s="311"/>
      <c r="H551" s="311"/>
      <c r="I551" s="311"/>
      <c r="J551" s="311"/>
      <c r="K551" s="311"/>
      <c r="L551" s="311"/>
      <c r="M551" s="311"/>
      <c r="N551" s="311"/>
      <c r="O551" s="311"/>
      <c r="P551" s="311"/>
      <c r="Q551" s="311"/>
      <c r="R551" s="311"/>
      <c r="S551" s="311"/>
      <c r="T551" s="311"/>
      <c r="U551" s="311"/>
      <c r="V551" s="311"/>
      <c r="W551" s="311"/>
      <c r="X551" s="311"/>
      <c r="Y551" s="24"/>
      <c r="Z551" s="24"/>
      <c r="AA551" s="24"/>
      <c r="AB551" s="24"/>
      <c r="AC551" s="24"/>
      <c r="AD551" s="24"/>
    </row>
    <row r="552" spans="1:30" ht="12.75">
      <c r="A552" s="313"/>
      <c r="B552" s="313"/>
      <c r="C552" s="314"/>
      <c r="D552" s="311"/>
      <c r="E552" s="311"/>
      <c r="F552" s="311"/>
      <c r="G552" s="311"/>
      <c r="H552" s="311"/>
      <c r="I552" s="311"/>
      <c r="J552" s="311"/>
      <c r="K552" s="311"/>
      <c r="L552" s="311"/>
      <c r="M552" s="311"/>
      <c r="N552" s="311"/>
      <c r="O552" s="311"/>
      <c r="P552" s="311"/>
      <c r="Q552" s="311"/>
      <c r="R552" s="311"/>
      <c r="S552" s="311"/>
      <c r="T552" s="311"/>
      <c r="U552" s="311"/>
      <c r="V552" s="311"/>
      <c r="W552" s="311"/>
      <c r="X552" s="311"/>
      <c r="Y552" s="24"/>
      <c r="Z552" s="24"/>
      <c r="AA552" s="24"/>
      <c r="AB552" s="24"/>
      <c r="AC552" s="24"/>
      <c r="AD552" s="24"/>
    </row>
    <row r="553" spans="1:30" ht="12.75">
      <c r="A553" s="313"/>
      <c r="B553" s="313"/>
      <c r="C553" s="314"/>
      <c r="D553" s="311"/>
      <c r="E553" s="311"/>
      <c r="F553" s="311"/>
      <c r="G553" s="311"/>
      <c r="H553" s="311"/>
      <c r="I553" s="311"/>
      <c r="J553" s="311"/>
      <c r="K553" s="311"/>
      <c r="L553" s="311"/>
      <c r="M553" s="311"/>
      <c r="N553" s="311"/>
      <c r="O553" s="311"/>
      <c r="P553" s="311"/>
      <c r="Q553" s="311"/>
      <c r="R553" s="311"/>
      <c r="S553" s="311"/>
      <c r="T553" s="311"/>
      <c r="U553" s="311"/>
      <c r="V553" s="311"/>
      <c r="W553" s="311"/>
      <c r="X553" s="311"/>
      <c r="Y553" s="24"/>
      <c r="Z553" s="24"/>
      <c r="AA553" s="24"/>
      <c r="AB553" s="24"/>
      <c r="AC553" s="24"/>
      <c r="AD553" s="24"/>
    </row>
    <row r="554" spans="1:30" ht="12.75">
      <c r="A554" s="313"/>
      <c r="B554" s="313"/>
      <c r="C554" s="314"/>
      <c r="D554" s="311"/>
      <c r="E554" s="311"/>
      <c r="F554" s="311"/>
      <c r="G554" s="311"/>
      <c r="H554" s="311"/>
      <c r="I554" s="311"/>
      <c r="J554" s="311"/>
      <c r="K554" s="311"/>
      <c r="L554" s="311"/>
      <c r="M554" s="311"/>
      <c r="N554" s="311"/>
      <c r="O554" s="311"/>
      <c r="P554" s="311"/>
      <c r="Q554" s="311"/>
      <c r="R554" s="311"/>
      <c r="S554" s="311"/>
      <c r="T554" s="311"/>
      <c r="U554" s="311"/>
      <c r="V554" s="311"/>
      <c r="W554" s="311"/>
      <c r="X554" s="311"/>
      <c r="Y554" s="24"/>
      <c r="Z554" s="24"/>
      <c r="AA554" s="24"/>
      <c r="AB554" s="24"/>
      <c r="AC554" s="24"/>
      <c r="AD554" s="24"/>
    </row>
    <row r="555" spans="1:30" ht="12.75">
      <c r="A555" s="313"/>
      <c r="B555" s="313"/>
      <c r="C555" s="314"/>
      <c r="D555" s="311"/>
      <c r="E555" s="311"/>
      <c r="F555" s="311"/>
      <c r="G555" s="311"/>
      <c r="H555" s="311"/>
      <c r="I555" s="311"/>
      <c r="J555" s="311"/>
      <c r="K555" s="311"/>
      <c r="L555" s="311"/>
      <c r="M555" s="311"/>
      <c r="N555" s="311"/>
      <c r="O555" s="311"/>
      <c r="P555" s="311"/>
      <c r="Q555" s="311"/>
      <c r="R555" s="311"/>
      <c r="S555" s="311"/>
      <c r="T555" s="311"/>
      <c r="U555" s="311"/>
      <c r="V555" s="311"/>
      <c r="W555" s="311"/>
      <c r="X555" s="311"/>
      <c r="Y555" s="24"/>
      <c r="Z555" s="24"/>
      <c r="AA555" s="24"/>
      <c r="AB555" s="24"/>
      <c r="AC555" s="24"/>
      <c r="AD555" s="24"/>
    </row>
    <row r="556" spans="1:30" ht="12.75">
      <c r="A556" s="313"/>
      <c r="B556" s="313"/>
      <c r="C556" s="314"/>
      <c r="D556" s="311"/>
      <c r="E556" s="311"/>
      <c r="F556" s="311"/>
      <c r="G556" s="311"/>
      <c r="H556" s="311"/>
      <c r="I556" s="311"/>
      <c r="J556" s="311"/>
      <c r="K556" s="311"/>
      <c r="L556" s="311"/>
      <c r="M556" s="311"/>
      <c r="N556" s="311"/>
      <c r="O556" s="311"/>
      <c r="P556" s="311"/>
      <c r="Q556" s="311"/>
      <c r="R556" s="311"/>
      <c r="S556" s="311"/>
      <c r="T556" s="311"/>
      <c r="U556" s="311"/>
      <c r="V556" s="311"/>
      <c r="W556" s="311"/>
      <c r="X556" s="311"/>
      <c r="Y556" s="24"/>
      <c r="Z556" s="24"/>
      <c r="AA556" s="24"/>
      <c r="AB556" s="24"/>
      <c r="AC556" s="24"/>
      <c r="AD556" s="24"/>
    </row>
    <row r="557" spans="1:30" ht="12.75">
      <c r="A557" s="313"/>
      <c r="B557" s="313"/>
      <c r="C557" s="314"/>
      <c r="D557" s="311"/>
      <c r="E557" s="311"/>
      <c r="F557" s="311"/>
      <c r="G557" s="311"/>
      <c r="H557" s="311"/>
      <c r="I557" s="311"/>
      <c r="J557" s="311"/>
      <c r="K557" s="311"/>
      <c r="L557" s="311"/>
      <c r="M557" s="311"/>
      <c r="N557" s="311"/>
      <c r="O557" s="311"/>
      <c r="P557" s="311"/>
      <c r="Q557" s="311"/>
      <c r="R557" s="311"/>
      <c r="S557" s="311"/>
      <c r="T557" s="311"/>
      <c r="U557" s="311"/>
      <c r="V557" s="311"/>
      <c r="W557" s="311"/>
      <c r="X557" s="311"/>
      <c r="Y557" s="24"/>
      <c r="Z557" s="24"/>
      <c r="AA557" s="24"/>
      <c r="AB557" s="24"/>
      <c r="AC557" s="24"/>
      <c r="AD557" s="24"/>
    </row>
    <row r="558" spans="1:30" ht="12.75">
      <c r="A558" s="313"/>
      <c r="B558" s="313"/>
      <c r="C558" s="314"/>
      <c r="D558" s="311"/>
      <c r="E558" s="311"/>
      <c r="F558" s="311"/>
      <c r="G558" s="311"/>
      <c r="H558" s="311"/>
      <c r="I558" s="311"/>
      <c r="J558" s="311"/>
      <c r="K558" s="311"/>
      <c r="L558" s="311"/>
      <c r="M558" s="311"/>
      <c r="N558" s="311"/>
      <c r="O558" s="311"/>
      <c r="P558" s="311"/>
      <c r="Q558" s="311"/>
      <c r="R558" s="311"/>
      <c r="S558" s="311"/>
      <c r="T558" s="311"/>
      <c r="U558" s="311"/>
      <c r="V558" s="311"/>
      <c r="W558" s="311"/>
      <c r="X558" s="311"/>
      <c r="Y558" s="24"/>
      <c r="Z558" s="24"/>
      <c r="AA558" s="24"/>
      <c r="AB558" s="24"/>
      <c r="AC558" s="24"/>
      <c r="AD558" s="24"/>
    </row>
    <row r="559" spans="1:30" ht="12.75">
      <c r="A559" s="313"/>
      <c r="B559" s="313"/>
      <c r="C559" s="314"/>
      <c r="D559" s="311"/>
      <c r="E559" s="311"/>
      <c r="F559" s="311"/>
      <c r="G559" s="311"/>
      <c r="H559" s="311"/>
      <c r="I559" s="311"/>
      <c r="J559" s="311"/>
      <c r="K559" s="311"/>
      <c r="L559" s="311"/>
      <c r="M559" s="311"/>
      <c r="N559" s="311"/>
      <c r="O559" s="311"/>
      <c r="P559" s="311"/>
      <c r="Q559" s="311"/>
      <c r="R559" s="311"/>
      <c r="S559" s="311"/>
      <c r="T559" s="311"/>
      <c r="U559" s="311"/>
      <c r="V559" s="311"/>
      <c r="W559" s="311"/>
      <c r="X559" s="311"/>
      <c r="Y559" s="24"/>
      <c r="Z559" s="24"/>
      <c r="AA559" s="24"/>
      <c r="AB559" s="24"/>
      <c r="AC559" s="24"/>
      <c r="AD559" s="24"/>
    </row>
    <row r="560" spans="1:30" ht="12.75">
      <c r="A560" s="313"/>
      <c r="B560" s="313"/>
      <c r="C560" s="314"/>
      <c r="D560" s="311"/>
      <c r="E560" s="311"/>
      <c r="F560" s="311"/>
      <c r="G560" s="311"/>
      <c r="H560" s="311"/>
      <c r="I560" s="311"/>
      <c r="J560" s="311"/>
      <c r="K560" s="311"/>
      <c r="L560" s="311"/>
      <c r="M560" s="311"/>
      <c r="N560" s="311"/>
      <c r="O560" s="311"/>
      <c r="P560" s="311"/>
      <c r="Q560" s="311"/>
      <c r="R560" s="311"/>
      <c r="S560" s="311"/>
      <c r="T560" s="311"/>
      <c r="U560" s="311"/>
      <c r="V560" s="311"/>
      <c r="W560" s="311"/>
      <c r="X560" s="311"/>
      <c r="Y560" s="24"/>
      <c r="Z560" s="24"/>
      <c r="AA560" s="24"/>
      <c r="AB560" s="24"/>
      <c r="AC560" s="24"/>
      <c r="AD560" s="24"/>
    </row>
    <row r="561" spans="1:30" ht="12.75">
      <c r="A561" s="313"/>
      <c r="B561" s="313"/>
      <c r="C561" s="314"/>
      <c r="D561" s="311"/>
      <c r="E561" s="311"/>
      <c r="F561" s="311"/>
      <c r="G561" s="311"/>
      <c r="H561" s="311"/>
      <c r="I561" s="311"/>
      <c r="J561" s="311"/>
      <c r="K561" s="311"/>
      <c r="L561" s="311"/>
      <c r="M561" s="311"/>
      <c r="N561" s="311"/>
      <c r="O561" s="311"/>
      <c r="P561" s="311"/>
      <c r="Q561" s="311"/>
      <c r="R561" s="311"/>
      <c r="S561" s="311"/>
      <c r="T561" s="311"/>
      <c r="U561" s="311"/>
      <c r="V561" s="311"/>
      <c r="W561" s="311"/>
      <c r="X561" s="311"/>
      <c r="Y561" s="24"/>
      <c r="Z561" s="24"/>
      <c r="AA561" s="24"/>
      <c r="AB561" s="24"/>
      <c r="AC561" s="24"/>
      <c r="AD561" s="24"/>
    </row>
    <row r="562" spans="1:30" ht="12.75">
      <c r="A562" s="313"/>
      <c r="B562" s="313"/>
      <c r="C562" s="314"/>
      <c r="D562" s="311"/>
      <c r="E562" s="311"/>
      <c r="F562" s="311"/>
      <c r="G562" s="311"/>
      <c r="H562" s="311"/>
      <c r="I562" s="311"/>
      <c r="J562" s="311"/>
      <c r="K562" s="311"/>
      <c r="L562" s="311"/>
      <c r="M562" s="311"/>
      <c r="N562" s="311"/>
      <c r="O562" s="311"/>
      <c r="P562" s="311"/>
      <c r="Q562" s="311"/>
      <c r="R562" s="311"/>
      <c r="S562" s="311"/>
      <c r="T562" s="311"/>
      <c r="U562" s="311"/>
      <c r="V562" s="311"/>
      <c r="W562" s="311"/>
      <c r="X562" s="311"/>
      <c r="Y562" s="24"/>
      <c r="Z562" s="24"/>
      <c r="AA562" s="24"/>
      <c r="AB562" s="24"/>
      <c r="AC562" s="24"/>
      <c r="AD562" s="24"/>
    </row>
    <row r="563" spans="1:30" ht="12.75">
      <c r="A563" s="313"/>
      <c r="B563" s="313"/>
      <c r="C563" s="314"/>
      <c r="D563" s="311"/>
      <c r="E563" s="311"/>
      <c r="F563" s="311"/>
      <c r="G563" s="311"/>
      <c r="H563" s="311"/>
      <c r="I563" s="311"/>
      <c r="J563" s="311"/>
      <c r="K563" s="311"/>
      <c r="L563" s="311"/>
      <c r="M563" s="311"/>
      <c r="N563" s="311"/>
      <c r="O563" s="311"/>
      <c r="P563" s="311"/>
      <c r="Q563" s="311"/>
      <c r="R563" s="311"/>
      <c r="S563" s="311"/>
      <c r="T563" s="311"/>
      <c r="U563" s="311"/>
      <c r="V563" s="311"/>
      <c r="W563" s="311"/>
      <c r="X563" s="311"/>
      <c r="Y563" s="24"/>
      <c r="Z563" s="24"/>
      <c r="AA563" s="24"/>
      <c r="AB563" s="24"/>
      <c r="AC563" s="24"/>
      <c r="AD563" s="24"/>
    </row>
    <row r="564" spans="1:30" ht="12.75">
      <c r="A564" s="313"/>
      <c r="B564" s="313"/>
      <c r="C564" s="314"/>
      <c r="D564" s="311"/>
      <c r="E564" s="311"/>
      <c r="F564" s="311"/>
      <c r="G564" s="311"/>
      <c r="H564" s="311"/>
      <c r="I564" s="311"/>
      <c r="J564" s="311"/>
      <c r="K564" s="311"/>
      <c r="L564" s="311"/>
      <c r="M564" s="311"/>
      <c r="N564" s="311"/>
      <c r="O564" s="311"/>
      <c r="P564" s="311"/>
      <c r="Q564" s="311"/>
      <c r="R564" s="311"/>
      <c r="S564" s="311"/>
      <c r="T564" s="311"/>
      <c r="U564" s="311"/>
      <c r="V564" s="311"/>
      <c r="W564" s="311"/>
      <c r="X564" s="311"/>
      <c r="Y564" s="24"/>
      <c r="Z564" s="24"/>
      <c r="AA564" s="24"/>
      <c r="AB564" s="24"/>
      <c r="AC564" s="24"/>
      <c r="AD564" s="24"/>
    </row>
    <row r="565" spans="1:30" ht="12.75">
      <c r="A565" s="313"/>
      <c r="B565" s="313"/>
      <c r="C565" s="314"/>
      <c r="D565" s="311"/>
      <c r="E565" s="311"/>
      <c r="F565" s="311"/>
      <c r="G565" s="311"/>
      <c r="H565" s="311"/>
      <c r="I565" s="311"/>
      <c r="J565" s="311"/>
      <c r="K565" s="311"/>
      <c r="L565" s="311"/>
      <c r="M565" s="311"/>
      <c r="N565" s="311"/>
      <c r="O565" s="311"/>
      <c r="P565" s="311"/>
      <c r="Q565" s="311"/>
      <c r="R565" s="311"/>
      <c r="S565" s="311"/>
      <c r="T565" s="311"/>
      <c r="U565" s="311"/>
      <c r="V565" s="311"/>
      <c r="W565" s="311"/>
      <c r="X565" s="311"/>
      <c r="Y565" s="24"/>
      <c r="Z565" s="24"/>
      <c r="AA565" s="24"/>
      <c r="AB565" s="24"/>
      <c r="AC565" s="24"/>
      <c r="AD565" s="24"/>
    </row>
    <row r="566" spans="1:30" ht="12.75">
      <c r="A566" s="313"/>
      <c r="B566" s="313"/>
      <c r="C566" s="314"/>
      <c r="D566" s="311"/>
      <c r="E566" s="311"/>
      <c r="F566" s="311"/>
      <c r="G566" s="311"/>
      <c r="H566" s="311"/>
      <c r="I566" s="311"/>
      <c r="J566" s="311"/>
      <c r="K566" s="311"/>
      <c r="L566" s="311"/>
      <c r="M566" s="311"/>
      <c r="N566" s="311"/>
      <c r="O566" s="311"/>
      <c r="P566" s="311"/>
      <c r="Q566" s="311"/>
      <c r="R566" s="311"/>
      <c r="S566" s="311"/>
      <c r="T566" s="311"/>
      <c r="U566" s="311"/>
      <c r="V566" s="311"/>
      <c r="W566" s="311"/>
      <c r="X566" s="311"/>
      <c r="Y566" s="24"/>
      <c r="Z566" s="24"/>
      <c r="AA566" s="24"/>
      <c r="AB566" s="24"/>
      <c r="AC566" s="24"/>
      <c r="AD566" s="24"/>
    </row>
    <row r="567" spans="1:30" ht="12.75">
      <c r="A567" s="313"/>
      <c r="B567" s="313"/>
      <c r="C567" s="314"/>
      <c r="D567" s="311"/>
      <c r="E567" s="311"/>
      <c r="F567" s="311"/>
      <c r="G567" s="311"/>
      <c r="H567" s="311"/>
      <c r="I567" s="311"/>
      <c r="J567" s="311"/>
      <c r="K567" s="311"/>
      <c r="L567" s="311"/>
      <c r="M567" s="311"/>
      <c r="N567" s="311"/>
      <c r="O567" s="311"/>
      <c r="P567" s="311"/>
      <c r="Q567" s="311"/>
      <c r="R567" s="311"/>
      <c r="S567" s="311"/>
      <c r="T567" s="311"/>
      <c r="U567" s="311"/>
      <c r="V567" s="311"/>
      <c r="W567" s="311"/>
      <c r="X567" s="311"/>
      <c r="Y567" s="24"/>
      <c r="Z567" s="24"/>
      <c r="AA567" s="24"/>
      <c r="AB567" s="24"/>
      <c r="AC567" s="24"/>
      <c r="AD567" s="24"/>
    </row>
    <row r="568" spans="1:30" ht="12.75">
      <c r="A568" s="313"/>
      <c r="B568" s="313"/>
      <c r="C568" s="314"/>
      <c r="D568" s="311"/>
      <c r="E568" s="311"/>
      <c r="F568" s="311"/>
      <c r="G568" s="311"/>
      <c r="H568" s="311"/>
      <c r="I568" s="311"/>
      <c r="J568" s="311"/>
      <c r="K568" s="311"/>
      <c r="L568" s="311"/>
      <c r="M568" s="311"/>
      <c r="N568" s="311"/>
      <c r="O568" s="311"/>
      <c r="P568" s="311"/>
      <c r="Q568" s="311"/>
      <c r="R568" s="311"/>
      <c r="S568" s="311"/>
      <c r="T568" s="311"/>
      <c r="U568" s="311"/>
      <c r="V568" s="311"/>
      <c r="W568" s="311"/>
      <c r="X568" s="311"/>
      <c r="Y568" s="24"/>
      <c r="Z568" s="24"/>
      <c r="AA568" s="24"/>
      <c r="AB568" s="24"/>
      <c r="AC568" s="24"/>
      <c r="AD568" s="24"/>
    </row>
    <row r="569" spans="1:30" ht="12.75">
      <c r="A569" s="313"/>
      <c r="B569" s="313"/>
      <c r="C569" s="314"/>
      <c r="D569" s="311"/>
      <c r="E569" s="311"/>
      <c r="F569" s="311"/>
      <c r="G569" s="311"/>
      <c r="H569" s="311"/>
      <c r="I569" s="311"/>
      <c r="J569" s="311"/>
      <c r="K569" s="311"/>
      <c r="L569" s="311"/>
      <c r="M569" s="311"/>
      <c r="N569" s="311"/>
      <c r="O569" s="311"/>
      <c r="P569" s="311"/>
      <c r="Q569" s="311"/>
      <c r="R569" s="311"/>
      <c r="S569" s="311"/>
      <c r="T569" s="311"/>
      <c r="U569" s="311"/>
      <c r="V569" s="311"/>
      <c r="W569" s="311"/>
      <c r="X569" s="311"/>
      <c r="Y569" s="24"/>
      <c r="Z569" s="24"/>
      <c r="AA569" s="24"/>
      <c r="AB569" s="24"/>
      <c r="AC569" s="24"/>
      <c r="AD569" s="24"/>
    </row>
    <row r="570" spans="1:30" ht="12.75">
      <c r="A570" s="313"/>
      <c r="B570" s="313"/>
      <c r="C570" s="314"/>
      <c r="D570" s="311"/>
      <c r="E570" s="311"/>
      <c r="F570" s="311"/>
      <c r="G570" s="311"/>
      <c r="H570" s="311"/>
      <c r="I570" s="311"/>
      <c r="J570" s="311"/>
      <c r="K570" s="311"/>
      <c r="L570" s="311"/>
      <c r="M570" s="311"/>
      <c r="N570" s="311"/>
      <c r="O570" s="311"/>
      <c r="P570" s="311"/>
      <c r="Q570" s="311"/>
      <c r="R570" s="311"/>
      <c r="S570" s="311"/>
      <c r="T570" s="311"/>
      <c r="U570" s="311"/>
      <c r="V570" s="311"/>
      <c r="W570" s="311"/>
      <c r="X570" s="311"/>
      <c r="Y570" s="24"/>
      <c r="Z570" s="24"/>
      <c r="AA570" s="24"/>
      <c r="AB570" s="24"/>
      <c r="AC570" s="24"/>
      <c r="AD570" s="24"/>
    </row>
    <row r="571" spans="1:30" ht="12.75">
      <c r="A571" s="313"/>
      <c r="B571" s="313"/>
      <c r="C571" s="314"/>
      <c r="D571" s="311"/>
      <c r="E571" s="311"/>
      <c r="F571" s="311"/>
      <c r="G571" s="311"/>
      <c r="H571" s="311"/>
      <c r="I571" s="311"/>
      <c r="J571" s="311"/>
      <c r="K571" s="311"/>
      <c r="L571" s="311"/>
      <c r="M571" s="311"/>
      <c r="N571" s="311"/>
      <c r="O571" s="311"/>
      <c r="P571" s="311"/>
      <c r="Q571" s="311"/>
      <c r="R571" s="311"/>
      <c r="S571" s="311"/>
      <c r="T571" s="311"/>
      <c r="U571" s="311"/>
      <c r="V571" s="311"/>
      <c r="W571" s="311"/>
      <c r="X571" s="311"/>
      <c r="Y571" s="24"/>
      <c r="Z571" s="24"/>
      <c r="AA571" s="24"/>
      <c r="AB571" s="24"/>
      <c r="AC571" s="24"/>
      <c r="AD571" s="24"/>
    </row>
    <row r="572" spans="1:30" ht="12.75">
      <c r="A572" s="313"/>
      <c r="B572" s="313"/>
      <c r="C572" s="314"/>
      <c r="D572" s="311"/>
      <c r="E572" s="311"/>
      <c r="F572" s="311"/>
      <c r="G572" s="311"/>
      <c r="H572" s="311"/>
      <c r="I572" s="311"/>
      <c r="J572" s="311"/>
      <c r="K572" s="311"/>
      <c r="L572" s="311"/>
      <c r="M572" s="311"/>
      <c r="N572" s="311"/>
      <c r="O572" s="311"/>
      <c r="P572" s="311"/>
      <c r="Q572" s="311"/>
      <c r="R572" s="311"/>
      <c r="S572" s="311"/>
      <c r="T572" s="311"/>
      <c r="U572" s="311"/>
      <c r="V572" s="311"/>
      <c r="W572" s="311"/>
      <c r="X572" s="311"/>
      <c r="Y572" s="24"/>
      <c r="Z572" s="24"/>
      <c r="AA572" s="24"/>
      <c r="AB572" s="24"/>
      <c r="AC572" s="24"/>
      <c r="AD572" s="24"/>
    </row>
    <row r="573" spans="1:30" ht="12.75">
      <c r="A573" s="313"/>
      <c r="B573" s="313"/>
      <c r="C573" s="314"/>
      <c r="D573" s="311"/>
      <c r="E573" s="311"/>
      <c r="F573" s="311"/>
      <c r="G573" s="311"/>
      <c r="H573" s="311"/>
      <c r="I573" s="311"/>
      <c r="J573" s="311"/>
      <c r="K573" s="311"/>
      <c r="L573" s="311"/>
      <c r="M573" s="311"/>
      <c r="N573" s="311"/>
      <c r="O573" s="311"/>
      <c r="P573" s="311"/>
      <c r="Q573" s="311"/>
      <c r="R573" s="311"/>
      <c r="S573" s="311"/>
      <c r="T573" s="311"/>
      <c r="U573" s="311"/>
      <c r="V573" s="311"/>
      <c r="W573" s="311"/>
      <c r="X573" s="311"/>
      <c r="Y573" s="24"/>
      <c r="Z573" s="24"/>
      <c r="AA573" s="24"/>
      <c r="AB573" s="24"/>
      <c r="AC573" s="24"/>
      <c r="AD573" s="24"/>
    </row>
    <row r="574" spans="1:30" ht="12.75">
      <c r="A574" s="313"/>
      <c r="B574" s="313"/>
      <c r="C574" s="314"/>
      <c r="D574" s="311"/>
      <c r="E574" s="311"/>
      <c r="F574" s="311"/>
      <c r="G574" s="311"/>
      <c r="H574" s="311"/>
      <c r="I574" s="311"/>
      <c r="J574" s="311"/>
      <c r="K574" s="311"/>
      <c r="L574" s="311"/>
      <c r="M574" s="311"/>
      <c r="N574" s="311"/>
      <c r="O574" s="311"/>
      <c r="P574" s="311"/>
      <c r="Q574" s="311"/>
      <c r="R574" s="311"/>
      <c r="S574" s="311"/>
      <c r="T574" s="311"/>
      <c r="U574" s="311"/>
      <c r="V574" s="311"/>
      <c r="W574" s="311"/>
      <c r="X574" s="311"/>
      <c r="Y574" s="24"/>
      <c r="Z574" s="24"/>
      <c r="AA574" s="24"/>
      <c r="AB574" s="24"/>
      <c r="AC574" s="24"/>
      <c r="AD574" s="24"/>
    </row>
    <row r="575" spans="1:30" ht="12.75">
      <c r="A575" s="313"/>
      <c r="B575" s="313"/>
      <c r="C575" s="314"/>
      <c r="D575" s="311"/>
      <c r="E575" s="311"/>
      <c r="F575" s="311"/>
      <c r="G575" s="311"/>
      <c r="H575" s="311"/>
      <c r="I575" s="311"/>
      <c r="J575" s="311"/>
      <c r="K575" s="311"/>
      <c r="L575" s="311"/>
      <c r="M575" s="311"/>
      <c r="N575" s="311"/>
      <c r="O575" s="311"/>
      <c r="P575" s="311"/>
      <c r="Q575" s="311"/>
      <c r="R575" s="311"/>
      <c r="S575" s="311"/>
      <c r="T575" s="311"/>
      <c r="U575" s="311"/>
      <c r="V575" s="311"/>
      <c r="W575" s="311"/>
      <c r="X575" s="311"/>
      <c r="Y575" s="24"/>
      <c r="Z575" s="24"/>
      <c r="AA575" s="24"/>
      <c r="AB575" s="24"/>
      <c r="AC575" s="24"/>
      <c r="AD575" s="24"/>
    </row>
    <row r="576" spans="1:30" ht="12.75">
      <c r="A576" s="313"/>
      <c r="B576" s="313"/>
      <c r="C576" s="314"/>
      <c r="D576" s="311"/>
      <c r="E576" s="311"/>
      <c r="F576" s="311"/>
      <c r="G576" s="311"/>
      <c r="H576" s="311"/>
      <c r="I576" s="311"/>
      <c r="J576" s="311"/>
      <c r="K576" s="311"/>
      <c r="L576" s="311"/>
      <c r="M576" s="311"/>
      <c r="N576" s="311"/>
      <c r="O576" s="311"/>
      <c r="P576" s="311"/>
      <c r="Q576" s="311"/>
      <c r="R576" s="311"/>
      <c r="S576" s="311"/>
      <c r="T576" s="311"/>
      <c r="U576" s="311"/>
      <c r="V576" s="311"/>
      <c r="W576" s="311"/>
      <c r="X576" s="311"/>
      <c r="Y576" s="24"/>
      <c r="Z576" s="24"/>
      <c r="AA576" s="24"/>
      <c r="AB576" s="24"/>
      <c r="AC576" s="24"/>
      <c r="AD576" s="24"/>
    </row>
    <row r="577" spans="1:30" ht="12.75">
      <c r="A577" s="313"/>
      <c r="B577" s="313"/>
      <c r="C577" s="314"/>
      <c r="D577" s="311"/>
      <c r="E577" s="311"/>
      <c r="F577" s="311"/>
      <c r="G577" s="311"/>
      <c r="H577" s="311"/>
      <c r="I577" s="311"/>
      <c r="J577" s="311"/>
      <c r="K577" s="311"/>
      <c r="L577" s="311"/>
      <c r="M577" s="311"/>
      <c r="N577" s="311"/>
      <c r="O577" s="311"/>
      <c r="P577" s="311"/>
      <c r="Q577" s="311"/>
      <c r="R577" s="311"/>
      <c r="S577" s="311"/>
      <c r="T577" s="311"/>
      <c r="U577" s="311"/>
      <c r="V577" s="311"/>
      <c r="W577" s="311"/>
      <c r="X577" s="311"/>
      <c r="Y577" s="24"/>
      <c r="Z577" s="24"/>
      <c r="AA577" s="24"/>
      <c r="AB577" s="24"/>
      <c r="AC577" s="24"/>
      <c r="AD577" s="24"/>
    </row>
    <row r="578" spans="1:30" ht="12.75">
      <c r="A578" s="313"/>
      <c r="B578" s="313"/>
      <c r="C578" s="314"/>
      <c r="D578" s="311"/>
      <c r="E578" s="311"/>
      <c r="F578" s="311"/>
      <c r="G578" s="311"/>
      <c r="H578" s="311"/>
      <c r="I578" s="311"/>
      <c r="J578" s="311"/>
      <c r="K578" s="311"/>
      <c r="L578" s="311"/>
      <c r="M578" s="311"/>
      <c r="N578" s="311"/>
      <c r="O578" s="311"/>
      <c r="P578" s="311"/>
      <c r="Q578" s="311"/>
      <c r="R578" s="311"/>
      <c r="S578" s="311"/>
      <c r="T578" s="311"/>
      <c r="U578" s="311"/>
      <c r="V578" s="311"/>
      <c r="W578" s="311"/>
      <c r="X578" s="311"/>
      <c r="Y578" s="24"/>
      <c r="Z578" s="24"/>
      <c r="AA578" s="24"/>
      <c r="AB578" s="24"/>
      <c r="AC578" s="24"/>
      <c r="AD578" s="24"/>
    </row>
    <row r="579" spans="1:30" ht="12.75">
      <c r="A579" s="313"/>
      <c r="B579" s="313"/>
      <c r="C579" s="314"/>
      <c r="D579" s="311"/>
      <c r="E579" s="311"/>
      <c r="F579" s="311"/>
      <c r="G579" s="311"/>
      <c r="H579" s="311"/>
      <c r="I579" s="311"/>
      <c r="J579" s="311"/>
      <c r="K579" s="311"/>
      <c r="L579" s="311"/>
      <c r="M579" s="311"/>
      <c r="N579" s="311"/>
      <c r="O579" s="311"/>
      <c r="P579" s="311"/>
      <c r="Q579" s="311"/>
      <c r="R579" s="311"/>
      <c r="S579" s="311"/>
      <c r="T579" s="311"/>
      <c r="U579" s="311"/>
      <c r="V579" s="311"/>
      <c r="W579" s="311"/>
      <c r="X579" s="311"/>
      <c r="Y579" s="24"/>
      <c r="Z579" s="24"/>
      <c r="AA579" s="24"/>
      <c r="AB579" s="24"/>
      <c r="AC579" s="24"/>
      <c r="AD579" s="24"/>
    </row>
    <row r="580" spans="1:30" ht="12.75">
      <c r="A580" s="313"/>
      <c r="B580" s="313"/>
      <c r="C580" s="314"/>
      <c r="D580" s="311"/>
      <c r="E580" s="311"/>
      <c r="F580" s="311"/>
      <c r="G580" s="311"/>
      <c r="H580" s="311"/>
      <c r="I580" s="311"/>
      <c r="J580" s="311"/>
      <c r="K580" s="311"/>
      <c r="L580" s="311"/>
      <c r="M580" s="311"/>
      <c r="N580" s="311"/>
      <c r="O580" s="311"/>
      <c r="P580" s="311"/>
      <c r="Q580" s="311"/>
      <c r="R580" s="311"/>
      <c r="S580" s="311"/>
      <c r="T580" s="311"/>
      <c r="U580" s="311"/>
      <c r="V580" s="311"/>
      <c r="W580" s="311"/>
      <c r="X580" s="311"/>
      <c r="Y580" s="24"/>
      <c r="Z580" s="24"/>
      <c r="AA580" s="24"/>
      <c r="AB580" s="24"/>
      <c r="AC580" s="24"/>
      <c r="AD580" s="24"/>
    </row>
    <row r="581" spans="1:30" ht="12.75">
      <c r="A581" s="313"/>
      <c r="B581" s="313"/>
      <c r="C581" s="314"/>
      <c r="D581" s="311"/>
      <c r="E581" s="311"/>
      <c r="F581" s="311"/>
      <c r="G581" s="311"/>
      <c r="H581" s="311"/>
      <c r="I581" s="311"/>
      <c r="J581" s="311"/>
      <c r="K581" s="311"/>
      <c r="L581" s="311"/>
      <c r="M581" s="311"/>
      <c r="N581" s="311"/>
      <c r="O581" s="311"/>
      <c r="P581" s="311"/>
      <c r="Q581" s="311"/>
      <c r="R581" s="311"/>
      <c r="S581" s="311"/>
      <c r="T581" s="311"/>
      <c r="U581" s="311"/>
      <c r="V581" s="311"/>
      <c r="W581" s="311"/>
      <c r="X581" s="311"/>
      <c r="Y581" s="24"/>
      <c r="Z581" s="24"/>
      <c r="AA581" s="24"/>
      <c r="AB581" s="24"/>
      <c r="AC581" s="24"/>
      <c r="AD581" s="24"/>
    </row>
    <row r="582" spans="1:30" ht="12.75">
      <c r="A582" s="313"/>
      <c r="B582" s="313"/>
      <c r="C582" s="314"/>
      <c r="D582" s="311"/>
      <c r="E582" s="311"/>
      <c r="F582" s="311"/>
      <c r="G582" s="311"/>
      <c r="H582" s="311"/>
      <c r="I582" s="311"/>
      <c r="J582" s="311"/>
      <c r="K582" s="311"/>
      <c r="L582" s="311"/>
      <c r="M582" s="311"/>
      <c r="N582" s="311"/>
      <c r="O582" s="311"/>
      <c r="P582" s="311"/>
      <c r="Q582" s="311"/>
      <c r="R582" s="311"/>
      <c r="S582" s="311"/>
      <c r="T582" s="311"/>
      <c r="U582" s="311"/>
      <c r="V582" s="311"/>
      <c r="W582" s="311"/>
      <c r="X582" s="311"/>
      <c r="Y582" s="24"/>
      <c r="Z582" s="24"/>
      <c r="AA582" s="24"/>
      <c r="AB582" s="24"/>
      <c r="AC582" s="24"/>
      <c r="AD582" s="24"/>
    </row>
    <row r="583" spans="1:30" ht="12.75">
      <c r="A583" s="313"/>
      <c r="B583" s="313"/>
      <c r="C583" s="314"/>
      <c r="D583" s="311"/>
      <c r="E583" s="311"/>
      <c r="F583" s="311"/>
      <c r="G583" s="311"/>
      <c r="H583" s="311"/>
      <c r="I583" s="311"/>
      <c r="J583" s="311"/>
      <c r="K583" s="311"/>
      <c r="L583" s="311"/>
      <c r="M583" s="311"/>
      <c r="N583" s="311"/>
      <c r="O583" s="311"/>
      <c r="P583" s="311"/>
      <c r="Q583" s="311"/>
      <c r="R583" s="311"/>
      <c r="S583" s="311"/>
      <c r="T583" s="311"/>
      <c r="U583" s="311"/>
      <c r="V583" s="311"/>
      <c r="W583" s="311"/>
      <c r="X583" s="311"/>
      <c r="Y583" s="24"/>
      <c r="Z583" s="24"/>
      <c r="AA583" s="24"/>
      <c r="AB583" s="24"/>
      <c r="AC583" s="24"/>
      <c r="AD583" s="24"/>
    </row>
    <row r="584" spans="1:30" ht="12.75">
      <c r="A584" s="313"/>
      <c r="B584" s="313"/>
      <c r="C584" s="314"/>
      <c r="D584" s="311"/>
      <c r="E584" s="311"/>
      <c r="F584" s="311"/>
      <c r="G584" s="311"/>
      <c r="H584" s="311"/>
      <c r="I584" s="311"/>
      <c r="J584" s="311"/>
      <c r="K584" s="311"/>
      <c r="L584" s="311"/>
      <c r="M584" s="311"/>
      <c r="N584" s="311"/>
      <c r="O584" s="311"/>
      <c r="P584" s="311"/>
      <c r="Q584" s="311"/>
      <c r="R584" s="311"/>
      <c r="S584" s="311"/>
      <c r="T584" s="311"/>
      <c r="U584" s="311"/>
      <c r="V584" s="311"/>
      <c r="W584" s="311"/>
      <c r="X584" s="311"/>
      <c r="Y584" s="24"/>
      <c r="Z584" s="24"/>
      <c r="AA584" s="24"/>
      <c r="AB584" s="24"/>
      <c r="AC584" s="24"/>
      <c r="AD584" s="24"/>
    </row>
    <row r="585" spans="1:30" ht="12.75">
      <c r="A585" s="313"/>
      <c r="B585" s="313"/>
      <c r="C585" s="314"/>
      <c r="D585" s="311"/>
      <c r="E585" s="311"/>
      <c r="F585" s="311"/>
      <c r="G585" s="311"/>
      <c r="H585" s="311"/>
      <c r="I585" s="311"/>
      <c r="J585" s="311"/>
      <c r="K585" s="311"/>
      <c r="L585" s="311"/>
      <c r="M585" s="311"/>
      <c r="N585" s="311"/>
      <c r="O585" s="311"/>
      <c r="P585" s="311"/>
      <c r="Q585" s="311"/>
      <c r="R585" s="311"/>
      <c r="S585" s="311"/>
      <c r="T585" s="311"/>
      <c r="U585" s="311"/>
      <c r="V585" s="311"/>
      <c r="W585" s="311"/>
      <c r="X585" s="311"/>
      <c r="Y585" s="24"/>
      <c r="Z585" s="24"/>
      <c r="AA585" s="24"/>
      <c r="AB585" s="24"/>
      <c r="AC585" s="24"/>
      <c r="AD585" s="24"/>
    </row>
    <row r="586" spans="1:30" ht="12.75">
      <c r="A586" s="313"/>
      <c r="B586" s="313"/>
      <c r="C586" s="314"/>
      <c r="D586" s="311"/>
      <c r="E586" s="311"/>
      <c r="F586" s="311"/>
      <c r="G586" s="311"/>
      <c r="H586" s="311"/>
      <c r="I586" s="311"/>
      <c r="J586" s="311"/>
      <c r="K586" s="311"/>
      <c r="L586" s="311"/>
      <c r="M586" s="311"/>
      <c r="N586" s="311"/>
      <c r="O586" s="311"/>
      <c r="P586" s="311"/>
      <c r="Q586" s="311"/>
      <c r="R586" s="311"/>
      <c r="S586" s="311"/>
      <c r="T586" s="311"/>
      <c r="U586" s="311"/>
      <c r="V586" s="311"/>
      <c r="W586" s="311"/>
      <c r="X586" s="311"/>
      <c r="Y586" s="24"/>
      <c r="Z586" s="24"/>
      <c r="AA586" s="24"/>
      <c r="AB586" s="24"/>
      <c r="AC586" s="24"/>
      <c r="AD586" s="24"/>
    </row>
    <row r="587" spans="1:30" ht="12.75">
      <c r="A587" s="313"/>
      <c r="B587" s="313"/>
      <c r="C587" s="314"/>
      <c r="D587" s="311"/>
      <c r="E587" s="311"/>
      <c r="F587" s="311"/>
      <c r="G587" s="311"/>
      <c r="H587" s="311"/>
      <c r="I587" s="311"/>
      <c r="J587" s="311"/>
      <c r="K587" s="311"/>
      <c r="L587" s="311"/>
      <c r="M587" s="311"/>
      <c r="N587" s="311"/>
      <c r="O587" s="311"/>
      <c r="P587" s="311"/>
      <c r="Q587" s="311"/>
      <c r="R587" s="311"/>
      <c r="S587" s="311"/>
      <c r="T587" s="311"/>
      <c r="U587" s="311"/>
      <c r="V587" s="311"/>
      <c r="W587" s="311"/>
      <c r="X587" s="311"/>
      <c r="Y587" s="24"/>
      <c r="Z587" s="24"/>
      <c r="AA587" s="24"/>
      <c r="AB587" s="24"/>
      <c r="AC587" s="24"/>
      <c r="AD587" s="24"/>
    </row>
    <row r="588" spans="1:30" ht="12.75">
      <c r="A588" s="313"/>
      <c r="B588" s="313"/>
      <c r="C588" s="314"/>
      <c r="D588" s="311"/>
      <c r="E588" s="311"/>
      <c r="F588" s="311"/>
      <c r="G588" s="311"/>
      <c r="H588" s="311"/>
      <c r="I588" s="311"/>
      <c r="J588" s="311"/>
      <c r="K588" s="311"/>
      <c r="L588" s="311"/>
      <c r="M588" s="311"/>
      <c r="N588" s="311"/>
      <c r="O588" s="311"/>
      <c r="P588" s="311"/>
      <c r="Q588" s="311"/>
      <c r="R588" s="311"/>
      <c r="S588" s="311"/>
      <c r="T588" s="311"/>
      <c r="U588" s="311"/>
      <c r="V588" s="311"/>
      <c r="W588" s="311"/>
      <c r="X588" s="311"/>
      <c r="Y588" s="24"/>
      <c r="Z588" s="24"/>
      <c r="AA588" s="24"/>
      <c r="AB588" s="24"/>
      <c r="AC588" s="24"/>
      <c r="AD588" s="24"/>
    </row>
    <row r="589" spans="1:30" ht="12.75">
      <c r="A589" s="313"/>
      <c r="B589" s="313"/>
      <c r="C589" s="314"/>
      <c r="D589" s="311"/>
      <c r="E589" s="311"/>
      <c r="F589" s="311"/>
      <c r="G589" s="311"/>
      <c r="H589" s="311"/>
      <c r="I589" s="311"/>
      <c r="J589" s="311"/>
      <c r="K589" s="311"/>
      <c r="L589" s="311"/>
      <c r="M589" s="311"/>
      <c r="N589" s="311"/>
      <c r="O589" s="311"/>
      <c r="P589" s="311"/>
      <c r="Q589" s="311"/>
      <c r="R589" s="311"/>
      <c r="S589" s="311"/>
      <c r="T589" s="311"/>
      <c r="U589" s="311"/>
      <c r="V589" s="311"/>
      <c r="W589" s="311"/>
      <c r="X589" s="311"/>
      <c r="Y589" s="24"/>
      <c r="Z589" s="24"/>
      <c r="AA589" s="24"/>
      <c r="AB589" s="24"/>
      <c r="AC589" s="24"/>
      <c r="AD589" s="24"/>
    </row>
    <row r="590" spans="1:30" ht="12.75">
      <c r="A590" s="313"/>
      <c r="B590" s="313"/>
      <c r="C590" s="314"/>
      <c r="D590" s="311"/>
      <c r="E590" s="311"/>
      <c r="F590" s="311"/>
      <c r="G590" s="311"/>
      <c r="H590" s="311"/>
      <c r="I590" s="311"/>
      <c r="J590" s="311"/>
      <c r="K590" s="311"/>
      <c r="L590" s="311"/>
      <c r="M590" s="311"/>
      <c r="N590" s="311"/>
      <c r="O590" s="311"/>
      <c r="P590" s="311"/>
      <c r="Q590" s="311"/>
      <c r="R590" s="311"/>
      <c r="S590" s="311"/>
      <c r="T590" s="311"/>
      <c r="U590" s="311"/>
      <c r="V590" s="311"/>
      <c r="W590" s="311"/>
      <c r="X590" s="311"/>
      <c r="Y590" s="24"/>
      <c r="Z590" s="24"/>
      <c r="AA590" s="24"/>
      <c r="AB590" s="24"/>
      <c r="AC590" s="24"/>
      <c r="AD590" s="24"/>
    </row>
    <row r="591" spans="1:30" ht="12.75">
      <c r="A591" s="313"/>
      <c r="B591" s="313"/>
      <c r="C591" s="314"/>
      <c r="D591" s="311"/>
      <c r="E591" s="311"/>
      <c r="F591" s="311"/>
      <c r="G591" s="311"/>
      <c r="H591" s="311"/>
      <c r="I591" s="311"/>
      <c r="J591" s="311"/>
      <c r="K591" s="311"/>
      <c r="L591" s="311"/>
      <c r="M591" s="311"/>
      <c r="N591" s="311"/>
      <c r="O591" s="311"/>
      <c r="P591" s="311"/>
      <c r="Q591" s="311"/>
      <c r="R591" s="311"/>
      <c r="S591" s="311"/>
      <c r="T591" s="311"/>
      <c r="U591" s="311"/>
      <c r="V591" s="311"/>
      <c r="W591" s="311"/>
      <c r="X591" s="311"/>
      <c r="Y591" s="24"/>
      <c r="Z591" s="24"/>
      <c r="AA591" s="24"/>
      <c r="AB591" s="24"/>
      <c r="AC591" s="24"/>
      <c r="AD591" s="24"/>
    </row>
    <row r="592" spans="1:30" ht="12.75">
      <c r="A592" s="313"/>
      <c r="B592" s="313"/>
      <c r="C592" s="314"/>
      <c r="D592" s="311"/>
      <c r="E592" s="311"/>
      <c r="F592" s="311"/>
      <c r="G592" s="311"/>
      <c r="H592" s="311"/>
      <c r="I592" s="311"/>
      <c r="J592" s="311"/>
      <c r="K592" s="311"/>
      <c r="L592" s="311"/>
      <c r="M592" s="311"/>
      <c r="N592" s="311"/>
      <c r="O592" s="311"/>
      <c r="P592" s="311"/>
      <c r="Q592" s="311"/>
      <c r="R592" s="311"/>
      <c r="S592" s="311"/>
      <c r="T592" s="311"/>
      <c r="U592" s="311"/>
      <c r="V592" s="311"/>
      <c r="W592" s="311"/>
      <c r="X592" s="311"/>
      <c r="Y592" s="24"/>
      <c r="Z592" s="24"/>
      <c r="AA592" s="24"/>
      <c r="AB592" s="24"/>
      <c r="AC592" s="24"/>
      <c r="AD592" s="24"/>
    </row>
    <row r="593" spans="1:30" ht="12.75">
      <c r="A593" s="313"/>
      <c r="B593" s="313"/>
      <c r="C593" s="314"/>
      <c r="D593" s="311"/>
      <c r="E593" s="311"/>
      <c r="F593" s="311"/>
      <c r="G593" s="311"/>
      <c r="H593" s="311"/>
      <c r="I593" s="311"/>
      <c r="J593" s="311"/>
      <c r="K593" s="311"/>
      <c r="L593" s="311"/>
      <c r="M593" s="311"/>
      <c r="N593" s="311"/>
      <c r="O593" s="311"/>
      <c r="P593" s="311"/>
      <c r="Q593" s="311"/>
      <c r="R593" s="311"/>
      <c r="S593" s="311"/>
      <c r="T593" s="311"/>
      <c r="U593" s="311"/>
      <c r="V593" s="311"/>
      <c r="W593" s="311"/>
      <c r="X593" s="311"/>
      <c r="Y593" s="24"/>
      <c r="Z593" s="24"/>
      <c r="AA593" s="24"/>
      <c r="AB593" s="24"/>
      <c r="AC593" s="24"/>
      <c r="AD593" s="24"/>
    </row>
    <row r="594" spans="1:30" ht="12.75">
      <c r="A594" s="313"/>
      <c r="B594" s="313"/>
      <c r="C594" s="314"/>
      <c r="D594" s="311"/>
      <c r="E594" s="311"/>
      <c r="F594" s="311"/>
      <c r="G594" s="311"/>
      <c r="H594" s="311"/>
      <c r="I594" s="311"/>
      <c r="J594" s="311"/>
      <c r="K594" s="311"/>
      <c r="L594" s="311"/>
      <c r="M594" s="311"/>
      <c r="N594" s="311"/>
      <c r="O594" s="311"/>
      <c r="P594" s="311"/>
      <c r="Q594" s="311"/>
      <c r="R594" s="311"/>
      <c r="S594" s="311"/>
      <c r="T594" s="311"/>
      <c r="U594" s="311"/>
      <c r="V594" s="311"/>
      <c r="W594" s="311"/>
      <c r="X594" s="311"/>
      <c r="Y594" s="24"/>
      <c r="Z594" s="24"/>
      <c r="AA594" s="24"/>
      <c r="AB594" s="24"/>
      <c r="AC594" s="24"/>
      <c r="AD594" s="24"/>
    </row>
    <row r="595" spans="1:30" ht="12.75">
      <c r="A595" s="313"/>
      <c r="B595" s="313"/>
      <c r="C595" s="314"/>
      <c r="D595" s="311"/>
      <c r="E595" s="311"/>
      <c r="F595" s="311"/>
      <c r="G595" s="311"/>
      <c r="H595" s="311"/>
      <c r="I595" s="311"/>
      <c r="J595" s="311"/>
      <c r="K595" s="311"/>
      <c r="L595" s="311"/>
      <c r="M595" s="311"/>
      <c r="N595" s="311"/>
      <c r="O595" s="311"/>
      <c r="P595" s="311"/>
      <c r="Q595" s="311"/>
      <c r="R595" s="311"/>
      <c r="S595" s="311"/>
      <c r="T595" s="311"/>
      <c r="U595" s="311"/>
      <c r="V595" s="311"/>
      <c r="W595" s="311"/>
      <c r="X595" s="311"/>
      <c r="Y595" s="24"/>
      <c r="Z595" s="24"/>
      <c r="AA595" s="24"/>
      <c r="AB595" s="24"/>
      <c r="AC595" s="24"/>
      <c r="AD595" s="24"/>
    </row>
    <row r="596" spans="1:30" ht="12.75">
      <c r="A596" s="313"/>
      <c r="B596" s="313"/>
      <c r="C596" s="314"/>
      <c r="D596" s="311"/>
      <c r="E596" s="311"/>
      <c r="F596" s="311"/>
      <c r="G596" s="311"/>
      <c r="H596" s="311"/>
      <c r="I596" s="311"/>
      <c r="J596" s="311"/>
      <c r="K596" s="311"/>
      <c r="L596" s="311"/>
      <c r="M596" s="311"/>
      <c r="N596" s="311"/>
      <c r="O596" s="311"/>
      <c r="P596" s="311"/>
      <c r="Q596" s="311"/>
      <c r="R596" s="311"/>
      <c r="S596" s="311"/>
      <c r="T596" s="311"/>
      <c r="U596" s="311"/>
      <c r="V596" s="311"/>
      <c r="W596" s="311"/>
      <c r="X596" s="311"/>
      <c r="Y596" s="24"/>
      <c r="Z596" s="24"/>
      <c r="AA596" s="24"/>
      <c r="AB596" s="24"/>
      <c r="AC596" s="24"/>
      <c r="AD596" s="24"/>
    </row>
    <row r="597" spans="1:30" ht="12.75">
      <c r="A597" s="313"/>
      <c r="B597" s="313"/>
      <c r="C597" s="314"/>
      <c r="D597" s="311"/>
      <c r="E597" s="311"/>
      <c r="F597" s="311"/>
      <c r="G597" s="311"/>
      <c r="H597" s="311"/>
      <c r="I597" s="311"/>
      <c r="J597" s="311"/>
      <c r="K597" s="311"/>
      <c r="L597" s="311"/>
      <c r="M597" s="311"/>
      <c r="N597" s="311"/>
      <c r="O597" s="311"/>
      <c r="P597" s="311"/>
      <c r="Q597" s="311"/>
      <c r="R597" s="311"/>
      <c r="S597" s="311"/>
      <c r="T597" s="311"/>
      <c r="U597" s="311"/>
      <c r="V597" s="311"/>
      <c r="W597" s="311"/>
      <c r="X597" s="311"/>
      <c r="Y597" s="24"/>
      <c r="Z597" s="24"/>
      <c r="AA597" s="24"/>
      <c r="AB597" s="24"/>
      <c r="AC597" s="24"/>
      <c r="AD597" s="24"/>
    </row>
    <row r="598" spans="1:30" ht="12.75">
      <c r="A598" s="313"/>
      <c r="B598" s="313"/>
      <c r="C598" s="314"/>
      <c r="D598" s="311"/>
      <c r="E598" s="311"/>
      <c r="F598" s="311"/>
      <c r="G598" s="311"/>
      <c r="H598" s="311"/>
      <c r="I598" s="311"/>
      <c r="J598" s="311"/>
      <c r="K598" s="311"/>
      <c r="L598" s="311"/>
      <c r="M598" s="311"/>
      <c r="N598" s="311"/>
      <c r="O598" s="311"/>
      <c r="P598" s="311"/>
      <c r="Q598" s="311"/>
      <c r="R598" s="311"/>
      <c r="S598" s="311"/>
      <c r="T598" s="311"/>
      <c r="U598" s="311"/>
      <c r="V598" s="311"/>
      <c r="W598" s="311"/>
      <c r="X598" s="311"/>
      <c r="Y598" s="24"/>
      <c r="Z598" s="24"/>
      <c r="AA598" s="24"/>
      <c r="AB598" s="24"/>
      <c r="AC598" s="24"/>
      <c r="AD598" s="24"/>
    </row>
    <row r="599" spans="1:30" ht="12.75">
      <c r="A599" s="313"/>
      <c r="B599" s="313"/>
      <c r="C599" s="314"/>
      <c r="D599" s="311"/>
      <c r="E599" s="311"/>
      <c r="F599" s="311"/>
      <c r="G599" s="311"/>
      <c r="H599" s="311"/>
      <c r="I599" s="311"/>
      <c r="J599" s="311"/>
      <c r="K599" s="311"/>
      <c r="L599" s="311"/>
      <c r="M599" s="311"/>
      <c r="N599" s="311"/>
      <c r="O599" s="311"/>
      <c r="P599" s="311"/>
      <c r="Q599" s="311"/>
      <c r="R599" s="311"/>
      <c r="S599" s="311"/>
      <c r="T599" s="311"/>
      <c r="U599" s="311"/>
      <c r="V599" s="311"/>
      <c r="W599" s="311"/>
      <c r="X599" s="311"/>
      <c r="Y599" s="24"/>
      <c r="Z599" s="24"/>
      <c r="AA599" s="24"/>
      <c r="AB599" s="24"/>
      <c r="AC599" s="24"/>
      <c r="AD599" s="24"/>
    </row>
    <row r="600" spans="1:30" ht="12.75">
      <c r="A600" s="313"/>
      <c r="B600" s="313"/>
      <c r="C600" s="314"/>
      <c r="D600" s="311"/>
      <c r="E600" s="311"/>
      <c r="F600" s="311"/>
      <c r="G600" s="311"/>
      <c r="H600" s="311"/>
      <c r="I600" s="311"/>
      <c r="J600" s="311"/>
      <c r="K600" s="311"/>
      <c r="L600" s="311"/>
      <c r="M600" s="311"/>
      <c r="N600" s="311"/>
      <c r="O600" s="311"/>
      <c r="P600" s="311"/>
      <c r="Q600" s="311"/>
      <c r="R600" s="311"/>
      <c r="S600" s="311"/>
      <c r="T600" s="311"/>
      <c r="U600" s="311"/>
      <c r="V600" s="311"/>
      <c r="W600" s="311"/>
      <c r="X600" s="311"/>
      <c r="Y600" s="24"/>
      <c r="Z600" s="24"/>
      <c r="AA600" s="24"/>
      <c r="AB600" s="24"/>
      <c r="AC600" s="24"/>
      <c r="AD600" s="24"/>
    </row>
    <row r="601" spans="1:30" ht="12.75">
      <c r="A601" s="313"/>
      <c r="B601" s="313"/>
      <c r="C601" s="314"/>
      <c r="D601" s="311"/>
      <c r="E601" s="311"/>
      <c r="F601" s="311"/>
      <c r="G601" s="311"/>
      <c r="H601" s="311"/>
      <c r="I601" s="311"/>
      <c r="J601" s="311"/>
      <c r="K601" s="311"/>
      <c r="L601" s="311"/>
      <c r="M601" s="311"/>
      <c r="N601" s="311"/>
      <c r="O601" s="311"/>
      <c r="P601" s="311"/>
      <c r="Q601" s="311"/>
      <c r="R601" s="311"/>
      <c r="S601" s="311"/>
      <c r="T601" s="311"/>
      <c r="U601" s="311"/>
      <c r="V601" s="311"/>
      <c r="W601" s="311"/>
      <c r="X601" s="311"/>
      <c r="Y601" s="24"/>
      <c r="Z601" s="24"/>
      <c r="AA601" s="24"/>
      <c r="AB601" s="24"/>
      <c r="AC601" s="24"/>
      <c r="AD601" s="24"/>
    </row>
    <row r="602" spans="1:30" ht="12.75">
      <c r="A602" s="313"/>
      <c r="B602" s="313"/>
      <c r="C602" s="314"/>
      <c r="D602" s="311"/>
      <c r="E602" s="311"/>
      <c r="F602" s="311"/>
      <c r="G602" s="311"/>
      <c r="H602" s="311"/>
      <c r="I602" s="311"/>
      <c r="J602" s="311"/>
      <c r="K602" s="311"/>
      <c r="L602" s="311"/>
      <c r="M602" s="311"/>
      <c r="N602" s="311"/>
      <c r="O602" s="311"/>
      <c r="P602" s="311"/>
      <c r="Q602" s="311"/>
      <c r="R602" s="311"/>
      <c r="S602" s="311"/>
      <c r="T602" s="311"/>
      <c r="U602" s="311"/>
      <c r="V602" s="311"/>
      <c r="W602" s="311"/>
      <c r="X602" s="311"/>
      <c r="Y602" s="24"/>
      <c r="Z602" s="24"/>
      <c r="AA602" s="24"/>
      <c r="AB602" s="24"/>
      <c r="AC602" s="24"/>
      <c r="AD602" s="24"/>
    </row>
    <row r="603" spans="1:30" ht="12.75">
      <c r="A603" s="313"/>
      <c r="B603" s="313"/>
      <c r="C603" s="314"/>
      <c r="D603" s="311"/>
      <c r="E603" s="311"/>
      <c r="F603" s="311"/>
      <c r="G603" s="311"/>
      <c r="H603" s="311"/>
      <c r="I603" s="311"/>
      <c r="J603" s="311"/>
      <c r="K603" s="311"/>
      <c r="L603" s="311"/>
      <c r="M603" s="311"/>
      <c r="N603" s="311"/>
      <c r="O603" s="311"/>
      <c r="P603" s="311"/>
      <c r="Q603" s="311"/>
      <c r="R603" s="311"/>
      <c r="S603" s="311"/>
      <c r="T603" s="311"/>
      <c r="U603" s="311"/>
      <c r="V603" s="311"/>
      <c r="W603" s="311"/>
      <c r="X603" s="311"/>
      <c r="Y603" s="24"/>
      <c r="Z603" s="24"/>
      <c r="AA603" s="24"/>
      <c r="AB603" s="24"/>
      <c r="AC603" s="24"/>
      <c r="AD603" s="24"/>
    </row>
    <row r="604" spans="1:30" ht="12.75">
      <c r="A604" s="313"/>
      <c r="B604" s="313"/>
      <c r="C604" s="314"/>
      <c r="D604" s="311"/>
      <c r="E604" s="311"/>
      <c r="F604" s="311"/>
      <c r="G604" s="311"/>
      <c r="H604" s="311"/>
      <c r="I604" s="311"/>
      <c r="J604" s="311"/>
      <c r="K604" s="311"/>
      <c r="L604" s="311"/>
      <c r="M604" s="311"/>
      <c r="N604" s="311"/>
      <c r="O604" s="311"/>
      <c r="P604" s="311"/>
      <c r="Q604" s="311"/>
      <c r="R604" s="311"/>
      <c r="S604" s="311"/>
      <c r="T604" s="311"/>
      <c r="U604" s="311"/>
      <c r="V604" s="311"/>
      <c r="W604" s="311"/>
      <c r="X604" s="311"/>
      <c r="Y604" s="24"/>
      <c r="Z604" s="24"/>
      <c r="AA604" s="24"/>
      <c r="AB604" s="24"/>
      <c r="AC604" s="24"/>
      <c r="AD604" s="24"/>
    </row>
    <row r="605" spans="1:30" ht="12.75">
      <c r="A605" s="313"/>
      <c r="B605" s="313"/>
      <c r="C605" s="314"/>
      <c r="D605" s="311"/>
      <c r="E605" s="311"/>
      <c r="F605" s="311"/>
      <c r="G605" s="311"/>
      <c r="H605" s="311"/>
      <c r="I605" s="311"/>
      <c r="J605" s="311"/>
      <c r="K605" s="311"/>
      <c r="L605" s="311"/>
      <c r="M605" s="311"/>
      <c r="N605" s="311"/>
      <c r="O605" s="311"/>
      <c r="P605" s="311"/>
      <c r="Q605" s="311"/>
      <c r="R605" s="311"/>
      <c r="S605" s="311"/>
      <c r="T605" s="311"/>
      <c r="U605" s="311"/>
      <c r="V605" s="311"/>
      <c r="W605" s="311"/>
      <c r="X605" s="311"/>
      <c r="Y605" s="24"/>
      <c r="Z605" s="24"/>
      <c r="AA605" s="24"/>
      <c r="AB605" s="24"/>
      <c r="AC605" s="24"/>
      <c r="AD605" s="24"/>
    </row>
    <row r="606" spans="1:30" ht="12.75">
      <c r="A606" s="313"/>
      <c r="B606" s="313"/>
      <c r="C606" s="314"/>
      <c r="D606" s="311"/>
      <c r="E606" s="311"/>
      <c r="F606" s="311"/>
      <c r="G606" s="311"/>
      <c r="H606" s="311"/>
      <c r="I606" s="311"/>
      <c r="J606" s="311"/>
      <c r="K606" s="311"/>
      <c r="L606" s="311"/>
      <c r="M606" s="311"/>
      <c r="N606" s="311"/>
      <c r="O606" s="311"/>
      <c r="P606" s="311"/>
      <c r="Q606" s="311"/>
      <c r="R606" s="311"/>
      <c r="S606" s="311"/>
      <c r="T606" s="311"/>
      <c r="U606" s="311"/>
      <c r="V606" s="311"/>
      <c r="W606" s="311"/>
      <c r="X606" s="311"/>
      <c r="Y606" s="24"/>
      <c r="Z606" s="24"/>
      <c r="AA606" s="24"/>
      <c r="AB606" s="24"/>
      <c r="AC606" s="24"/>
      <c r="AD606" s="24"/>
    </row>
    <row r="607" spans="1:30" ht="12.75">
      <c r="A607" s="313"/>
      <c r="B607" s="313"/>
      <c r="C607" s="314"/>
      <c r="D607" s="311"/>
      <c r="E607" s="311"/>
      <c r="F607" s="311"/>
      <c r="G607" s="311"/>
      <c r="H607" s="311"/>
      <c r="I607" s="311"/>
      <c r="J607" s="311"/>
      <c r="K607" s="311"/>
      <c r="L607" s="311"/>
      <c r="M607" s="311"/>
      <c r="N607" s="311"/>
      <c r="O607" s="311"/>
      <c r="P607" s="311"/>
      <c r="Q607" s="311"/>
      <c r="R607" s="311"/>
      <c r="S607" s="311"/>
      <c r="T607" s="311"/>
      <c r="U607" s="311"/>
      <c r="V607" s="311"/>
      <c r="W607" s="311"/>
      <c r="X607" s="311"/>
      <c r="Y607" s="24"/>
      <c r="Z607" s="24"/>
      <c r="AA607" s="24"/>
      <c r="AB607" s="24"/>
      <c r="AC607" s="24"/>
      <c r="AD607" s="24"/>
    </row>
    <row r="608" spans="1:30" ht="12.75">
      <c r="A608" s="313"/>
      <c r="B608" s="313"/>
      <c r="C608" s="314"/>
      <c r="D608" s="311"/>
      <c r="E608" s="311"/>
      <c r="F608" s="311"/>
      <c r="G608" s="311"/>
      <c r="H608" s="311"/>
      <c r="I608" s="311"/>
      <c r="J608" s="311"/>
      <c r="K608" s="311"/>
      <c r="L608" s="311"/>
      <c r="M608" s="311"/>
      <c r="N608" s="311"/>
      <c r="O608" s="311"/>
      <c r="P608" s="311"/>
      <c r="Q608" s="311"/>
      <c r="R608" s="311"/>
      <c r="S608" s="311"/>
      <c r="T608" s="311"/>
      <c r="U608" s="311"/>
      <c r="V608" s="311"/>
      <c r="W608" s="311"/>
      <c r="X608" s="311"/>
      <c r="Y608" s="24"/>
      <c r="Z608" s="24"/>
      <c r="AA608" s="24"/>
      <c r="AB608" s="24"/>
      <c r="AC608" s="24"/>
      <c r="AD608" s="24"/>
    </row>
    <row r="609" spans="1:30" ht="12.75">
      <c r="A609" s="313"/>
      <c r="B609" s="313"/>
      <c r="C609" s="314"/>
      <c r="D609" s="311"/>
      <c r="E609" s="311"/>
      <c r="F609" s="311"/>
      <c r="G609" s="311"/>
      <c r="H609" s="311"/>
      <c r="I609" s="311"/>
      <c r="J609" s="311"/>
      <c r="K609" s="311"/>
      <c r="L609" s="311"/>
      <c r="M609" s="311"/>
      <c r="N609" s="311"/>
      <c r="O609" s="311"/>
      <c r="P609" s="311"/>
      <c r="Q609" s="311"/>
      <c r="R609" s="311"/>
      <c r="S609" s="311"/>
      <c r="T609" s="311"/>
      <c r="U609" s="311"/>
      <c r="V609" s="311"/>
      <c r="W609" s="311"/>
      <c r="X609" s="311"/>
      <c r="Y609" s="24"/>
      <c r="Z609" s="24"/>
      <c r="AA609" s="24"/>
      <c r="AB609" s="24"/>
      <c r="AC609" s="24"/>
      <c r="AD609" s="24"/>
    </row>
    <row r="610" spans="1:30" ht="12.75">
      <c r="A610" s="313"/>
      <c r="B610" s="313"/>
      <c r="C610" s="314"/>
      <c r="D610" s="311"/>
      <c r="E610" s="311"/>
      <c r="F610" s="311"/>
      <c r="G610" s="311"/>
      <c r="H610" s="311"/>
      <c r="I610" s="311"/>
      <c r="J610" s="311"/>
      <c r="K610" s="311"/>
      <c r="L610" s="311"/>
      <c r="M610" s="311"/>
      <c r="N610" s="311"/>
      <c r="O610" s="311"/>
      <c r="P610" s="311"/>
      <c r="Q610" s="311"/>
      <c r="R610" s="311"/>
      <c r="S610" s="311"/>
      <c r="T610" s="311"/>
      <c r="U610" s="311"/>
      <c r="V610" s="311"/>
      <c r="W610" s="311"/>
      <c r="X610" s="311"/>
      <c r="Y610" s="24"/>
      <c r="Z610" s="24"/>
      <c r="AA610" s="24"/>
      <c r="AB610" s="24"/>
      <c r="AC610" s="24"/>
      <c r="AD610" s="24"/>
    </row>
    <row r="611" spans="1:30" ht="12.75">
      <c r="A611" s="313"/>
      <c r="B611" s="313"/>
      <c r="C611" s="314"/>
      <c r="D611" s="311"/>
      <c r="E611" s="311"/>
      <c r="F611" s="311"/>
      <c r="G611" s="311"/>
      <c r="H611" s="311"/>
      <c r="I611" s="311"/>
      <c r="J611" s="311"/>
      <c r="K611" s="311"/>
      <c r="L611" s="311"/>
      <c r="M611" s="311"/>
      <c r="N611" s="311"/>
      <c r="O611" s="311"/>
      <c r="P611" s="311"/>
      <c r="Q611" s="311"/>
      <c r="R611" s="311"/>
      <c r="S611" s="311"/>
      <c r="T611" s="311"/>
      <c r="U611" s="311"/>
      <c r="V611" s="311"/>
      <c r="W611" s="311"/>
      <c r="X611" s="311"/>
      <c r="Y611" s="24"/>
      <c r="Z611" s="24"/>
      <c r="AA611" s="24"/>
      <c r="AB611" s="24"/>
      <c r="AC611" s="24"/>
      <c r="AD611" s="24"/>
    </row>
    <row r="612" spans="1:30" ht="12.75">
      <c r="A612" s="313"/>
      <c r="B612" s="313"/>
      <c r="C612" s="314"/>
      <c r="D612" s="311"/>
      <c r="E612" s="311"/>
      <c r="F612" s="311"/>
      <c r="G612" s="311"/>
      <c r="H612" s="311"/>
      <c r="I612" s="311"/>
      <c r="J612" s="311"/>
      <c r="K612" s="311"/>
      <c r="L612" s="311"/>
      <c r="M612" s="311"/>
      <c r="N612" s="311"/>
      <c r="O612" s="311"/>
      <c r="P612" s="311"/>
      <c r="Q612" s="311"/>
      <c r="R612" s="311"/>
      <c r="S612" s="311"/>
      <c r="T612" s="311"/>
      <c r="U612" s="311"/>
      <c r="V612" s="311"/>
      <c r="W612" s="311"/>
      <c r="X612" s="311"/>
      <c r="Y612" s="24"/>
      <c r="Z612" s="24"/>
      <c r="AA612" s="24"/>
      <c r="AB612" s="24"/>
      <c r="AC612" s="24"/>
      <c r="AD612" s="24"/>
    </row>
    <row r="613" spans="1:30" ht="12.75">
      <c r="A613" s="313"/>
      <c r="B613" s="313"/>
      <c r="C613" s="314"/>
      <c r="D613" s="311"/>
      <c r="E613" s="311"/>
      <c r="F613" s="311"/>
      <c r="G613" s="311"/>
      <c r="H613" s="311"/>
      <c r="I613" s="311"/>
      <c r="J613" s="311"/>
      <c r="K613" s="311"/>
      <c r="L613" s="311"/>
      <c r="M613" s="311"/>
      <c r="N613" s="311"/>
      <c r="O613" s="311"/>
      <c r="P613" s="311"/>
      <c r="Q613" s="311"/>
      <c r="R613" s="311"/>
      <c r="S613" s="311"/>
      <c r="T613" s="311"/>
      <c r="U613" s="311"/>
      <c r="V613" s="311"/>
      <c r="W613" s="311"/>
      <c r="X613" s="311"/>
      <c r="Y613" s="24"/>
      <c r="Z613" s="24"/>
      <c r="AA613" s="24"/>
      <c r="AB613" s="24"/>
      <c r="AC613" s="24"/>
      <c r="AD613" s="24"/>
    </row>
    <row r="614" spans="1:30" ht="12.75">
      <c r="A614" s="313"/>
      <c r="B614" s="313"/>
      <c r="C614" s="314"/>
      <c r="D614" s="311"/>
      <c r="E614" s="311"/>
      <c r="F614" s="311"/>
      <c r="G614" s="311"/>
      <c r="H614" s="311"/>
      <c r="I614" s="311"/>
      <c r="J614" s="311"/>
      <c r="K614" s="311"/>
      <c r="L614" s="311"/>
      <c r="M614" s="311"/>
      <c r="N614" s="311"/>
      <c r="O614" s="311"/>
      <c r="P614" s="311"/>
      <c r="Q614" s="311"/>
      <c r="R614" s="311"/>
      <c r="S614" s="311"/>
      <c r="T614" s="311"/>
      <c r="U614" s="311"/>
      <c r="V614" s="311"/>
      <c r="W614" s="311"/>
      <c r="X614" s="311"/>
      <c r="Y614" s="24"/>
      <c r="Z614" s="24"/>
      <c r="AA614" s="24"/>
      <c r="AB614" s="24"/>
      <c r="AC614" s="24"/>
      <c r="AD614" s="24"/>
    </row>
    <row r="615" spans="1:30" ht="12.75">
      <c r="A615" s="313"/>
      <c r="B615" s="313"/>
      <c r="C615" s="314"/>
      <c r="D615" s="311"/>
      <c r="E615" s="311"/>
      <c r="F615" s="311"/>
      <c r="G615" s="311"/>
      <c r="H615" s="311"/>
      <c r="I615" s="311"/>
      <c r="J615" s="311"/>
      <c r="K615" s="311"/>
      <c r="L615" s="311"/>
      <c r="M615" s="311"/>
      <c r="N615" s="311"/>
      <c r="O615" s="311"/>
      <c r="P615" s="311"/>
      <c r="Q615" s="311"/>
      <c r="R615" s="311"/>
      <c r="S615" s="311"/>
      <c r="T615" s="311"/>
      <c r="U615" s="311"/>
      <c r="V615" s="311"/>
      <c r="W615" s="311"/>
      <c r="X615" s="311"/>
      <c r="Y615" s="24"/>
      <c r="Z615" s="24"/>
      <c r="AA615" s="24"/>
      <c r="AB615" s="24"/>
      <c r="AC615" s="24"/>
      <c r="AD615" s="24"/>
    </row>
    <row r="616" spans="1:30" ht="12.75">
      <c r="A616" s="313"/>
      <c r="B616" s="313"/>
      <c r="C616" s="314"/>
      <c r="D616" s="311"/>
      <c r="E616" s="311"/>
      <c r="F616" s="311"/>
      <c r="G616" s="311"/>
      <c r="H616" s="311"/>
      <c r="I616" s="311"/>
      <c r="J616" s="311"/>
      <c r="K616" s="311"/>
      <c r="L616" s="311"/>
      <c r="M616" s="311"/>
      <c r="N616" s="311"/>
      <c r="O616" s="311"/>
      <c r="P616" s="311"/>
      <c r="Q616" s="311"/>
      <c r="R616" s="311"/>
      <c r="S616" s="311"/>
      <c r="T616" s="311"/>
      <c r="U616" s="311"/>
      <c r="V616" s="311"/>
      <c r="W616" s="311"/>
      <c r="X616" s="311"/>
      <c r="Y616" s="24"/>
      <c r="Z616" s="24"/>
      <c r="AA616" s="24"/>
      <c r="AB616" s="24"/>
      <c r="AC616" s="24"/>
      <c r="AD616" s="24"/>
    </row>
    <row r="617" spans="1:30" ht="12.75">
      <c r="A617" s="313"/>
      <c r="B617" s="313"/>
      <c r="C617" s="314"/>
      <c r="D617" s="311"/>
      <c r="E617" s="311"/>
      <c r="F617" s="311"/>
      <c r="G617" s="311"/>
      <c r="H617" s="311"/>
      <c r="I617" s="311"/>
      <c r="J617" s="311"/>
      <c r="K617" s="311"/>
      <c r="L617" s="311"/>
      <c r="M617" s="311"/>
      <c r="N617" s="311"/>
      <c r="O617" s="311"/>
      <c r="P617" s="311"/>
      <c r="Q617" s="311"/>
      <c r="R617" s="311"/>
      <c r="S617" s="311"/>
      <c r="T617" s="311"/>
      <c r="U617" s="311"/>
      <c r="V617" s="311"/>
      <c r="W617" s="311"/>
      <c r="X617" s="311"/>
      <c r="Y617" s="24"/>
      <c r="Z617" s="24"/>
      <c r="AA617" s="24"/>
      <c r="AB617" s="24"/>
      <c r="AC617" s="24"/>
      <c r="AD617" s="24"/>
    </row>
    <row r="618" spans="1:30" ht="12.75">
      <c r="A618" s="313"/>
      <c r="B618" s="313"/>
      <c r="C618" s="314"/>
      <c r="D618" s="311"/>
      <c r="E618" s="311"/>
      <c r="F618" s="311"/>
      <c r="G618" s="311"/>
      <c r="H618" s="311"/>
      <c r="I618" s="311"/>
      <c r="J618" s="311"/>
      <c r="K618" s="311"/>
      <c r="L618" s="311"/>
      <c r="M618" s="311"/>
      <c r="N618" s="311"/>
      <c r="O618" s="311"/>
      <c r="P618" s="311"/>
      <c r="Q618" s="311"/>
      <c r="R618" s="311"/>
      <c r="S618" s="311"/>
      <c r="T618" s="311"/>
      <c r="U618" s="311"/>
      <c r="V618" s="311"/>
      <c r="W618" s="311"/>
      <c r="X618" s="311"/>
      <c r="Y618" s="24"/>
      <c r="Z618" s="24"/>
      <c r="AA618" s="24"/>
      <c r="AB618" s="24"/>
      <c r="AC618" s="24"/>
      <c r="AD618" s="24"/>
    </row>
    <row r="619" spans="1:30" ht="12.75">
      <c r="A619" s="313"/>
      <c r="B619" s="313"/>
      <c r="C619" s="314"/>
      <c r="D619" s="311"/>
      <c r="E619" s="311"/>
      <c r="F619" s="311"/>
      <c r="G619" s="311"/>
      <c r="H619" s="311"/>
      <c r="I619" s="311"/>
      <c r="J619" s="311"/>
      <c r="K619" s="311"/>
      <c r="L619" s="311"/>
      <c r="M619" s="311"/>
      <c r="N619" s="311"/>
      <c r="O619" s="311"/>
      <c r="P619" s="311"/>
      <c r="Q619" s="311"/>
      <c r="R619" s="311"/>
      <c r="S619" s="311"/>
      <c r="T619" s="311"/>
      <c r="U619" s="311"/>
      <c r="V619" s="311"/>
      <c r="W619" s="311"/>
      <c r="X619" s="311"/>
      <c r="Y619" s="24"/>
      <c r="Z619" s="24"/>
      <c r="AA619" s="24"/>
      <c r="AB619" s="24"/>
      <c r="AC619" s="24"/>
      <c r="AD619" s="24"/>
    </row>
    <row r="620" spans="1:30" ht="12.75">
      <c r="A620" s="313"/>
      <c r="B620" s="313"/>
      <c r="C620" s="314"/>
      <c r="D620" s="311"/>
      <c r="E620" s="311"/>
      <c r="F620" s="311"/>
      <c r="G620" s="311"/>
      <c r="H620" s="311"/>
      <c r="I620" s="311"/>
      <c r="J620" s="311"/>
      <c r="K620" s="311"/>
      <c r="L620" s="311"/>
      <c r="M620" s="311"/>
      <c r="N620" s="311"/>
      <c r="O620" s="311"/>
      <c r="P620" s="311"/>
      <c r="Q620" s="311"/>
      <c r="R620" s="311"/>
      <c r="S620" s="311"/>
      <c r="T620" s="311"/>
      <c r="U620" s="311"/>
      <c r="V620" s="311"/>
      <c r="W620" s="311"/>
      <c r="X620" s="311"/>
      <c r="Y620" s="24"/>
      <c r="Z620" s="24"/>
      <c r="AA620" s="24"/>
      <c r="AB620" s="24"/>
      <c r="AC620" s="24"/>
      <c r="AD620" s="24"/>
    </row>
    <row r="621" spans="1:30" ht="12.75">
      <c r="A621" s="313"/>
      <c r="B621" s="313"/>
      <c r="C621" s="314"/>
      <c r="D621" s="311"/>
      <c r="E621" s="311"/>
      <c r="F621" s="311"/>
      <c r="G621" s="311"/>
      <c r="H621" s="311"/>
      <c r="I621" s="311"/>
      <c r="J621" s="311"/>
      <c r="K621" s="311"/>
      <c r="L621" s="311"/>
      <c r="M621" s="311"/>
      <c r="N621" s="311"/>
      <c r="O621" s="311"/>
      <c r="P621" s="311"/>
      <c r="Q621" s="311"/>
      <c r="R621" s="311"/>
      <c r="S621" s="311"/>
      <c r="T621" s="311"/>
      <c r="U621" s="311"/>
      <c r="V621" s="311"/>
      <c r="W621" s="311"/>
      <c r="X621" s="311"/>
      <c r="Y621" s="24"/>
      <c r="Z621" s="24"/>
      <c r="AA621" s="24"/>
      <c r="AB621" s="24"/>
      <c r="AC621" s="24"/>
      <c r="AD621" s="24"/>
    </row>
    <row r="622" spans="1:30" ht="12.75">
      <c r="A622" s="313"/>
      <c r="B622" s="313"/>
      <c r="C622" s="314"/>
      <c r="D622" s="311"/>
      <c r="E622" s="311"/>
      <c r="F622" s="311"/>
      <c r="G622" s="311"/>
      <c r="H622" s="311"/>
      <c r="I622" s="311"/>
      <c r="J622" s="311"/>
      <c r="K622" s="311"/>
      <c r="L622" s="311"/>
      <c r="M622" s="311"/>
      <c r="N622" s="311"/>
      <c r="O622" s="311"/>
      <c r="P622" s="311"/>
      <c r="Q622" s="311"/>
      <c r="R622" s="311"/>
      <c r="S622" s="311"/>
      <c r="T622" s="311"/>
      <c r="U622" s="311"/>
      <c r="V622" s="311"/>
      <c r="W622" s="311"/>
      <c r="X622" s="311"/>
      <c r="Y622" s="24"/>
      <c r="Z622" s="24"/>
      <c r="AA622" s="24"/>
      <c r="AB622" s="24"/>
      <c r="AC622" s="24"/>
      <c r="AD622" s="24"/>
    </row>
    <row r="623" spans="1:30" ht="12.75">
      <c r="A623" s="313"/>
      <c r="B623" s="313"/>
      <c r="C623" s="314"/>
      <c r="D623" s="311"/>
      <c r="E623" s="311"/>
      <c r="F623" s="311"/>
      <c r="G623" s="311"/>
      <c r="H623" s="311"/>
      <c r="I623" s="311"/>
      <c r="J623" s="311"/>
      <c r="K623" s="311"/>
      <c r="L623" s="311"/>
      <c r="M623" s="311"/>
      <c r="N623" s="311"/>
      <c r="O623" s="311"/>
      <c r="P623" s="311"/>
      <c r="Q623" s="311"/>
      <c r="R623" s="311"/>
      <c r="S623" s="311"/>
      <c r="T623" s="311"/>
      <c r="U623" s="311"/>
      <c r="V623" s="311"/>
      <c r="W623" s="311"/>
      <c r="X623" s="311"/>
      <c r="Y623" s="24"/>
      <c r="Z623" s="24"/>
      <c r="AA623" s="24"/>
      <c r="AB623" s="24"/>
      <c r="AC623" s="24"/>
      <c r="AD623" s="24"/>
    </row>
    <row r="624" spans="1:30" ht="12.75">
      <c r="A624" s="313"/>
      <c r="B624" s="313"/>
      <c r="C624" s="314"/>
      <c r="D624" s="311"/>
      <c r="E624" s="311"/>
      <c r="F624" s="311"/>
      <c r="G624" s="311"/>
      <c r="H624" s="311"/>
      <c r="I624" s="311"/>
      <c r="J624" s="311"/>
      <c r="K624" s="311"/>
      <c r="L624" s="311"/>
      <c r="M624" s="311"/>
      <c r="N624" s="311"/>
      <c r="O624" s="311"/>
      <c r="P624" s="311"/>
      <c r="Q624" s="311"/>
      <c r="R624" s="311"/>
      <c r="S624" s="311"/>
      <c r="T624" s="311"/>
      <c r="U624" s="311"/>
      <c r="V624" s="311"/>
      <c r="W624" s="311"/>
      <c r="X624" s="311"/>
      <c r="Y624" s="24"/>
      <c r="Z624" s="24"/>
      <c r="AA624" s="24"/>
      <c r="AB624" s="24"/>
      <c r="AC624" s="24"/>
      <c r="AD624" s="24"/>
    </row>
    <row r="625" spans="1:30" ht="12.75">
      <c r="A625" s="313"/>
      <c r="B625" s="313"/>
      <c r="C625" s="314"/>
      <c r="D625" s="311"/>
      <c r="E625" s="311"/>
      <c r="F625" s="311"/>
      <c r="G625" s="311"/>
      <c r="H625" s="311"/>
      <c r="I625" s="311"/>
      <c r="J625" s="311"/>
      <c r="K625" s="311"/>
      <c r="L625" s="311"/>
      <c r="M625" s="311"/>
      <c r="N625" s="311"/>
      <c r="O625" s="311"/>
      <c r="P625" s="311"/>
      <c r="Q625" s="311"/>
      <c r="R625" s="311"/>
      <c r="S625" s="311"/>
      <c r="T625" s="311"/>
      <c r="U625" s="311"/>
      <c r="V625" s="311"/>
      <c r="W625" s="311"/>
      <c r="X625" s="311"/>
      <c r="Y625" s="24"/>
      <c r="Z625" s="24"/>
      <c r="AA625" s="24"/>
      <c r="AB625" s="24"/>
      <c r="AC625" s="24"/>
      <c r="AD625" s="24"/>
    </row>
    <row r="626" spans="1:30" ht="12.75">
      <c r="A626" s="313"/>
      <c r="B626" s="313"/>
      <c r="C626" s="314"/>
      <c r="D626" s="311"/>
      <c r="E626" s="311"/>
      <c r="F626" s="311"/>
      <c r="G626" s="311"/>
      <c r="H626" s="311"/>
      <c r="I626" s="311"/>
      <c r="J626" s="311"/>
      <c r="K626" s="311"/>
      <c r="L626" s="311"/>
      <c r="M626" s="311"/>
      <c r="N626" s="311"/>
      <c r="O626" s="311"/>
      <c r="P626" s="311"/>
      <c r="Q626" s="311"/>
      <c r="R626" s="311"/>
      <c r="S626" s="311"/>
      <c r="T626" s="311"/>
      <c r="U626" s="311"/>
      <c r="V626" s="311"/>
      <c r="W626" s="311"/>
      <c r="X626" s="311"/>
      <c r="Y626" s="24"/>
      <c r="Z626" s="24"/>
      <c r="AA626" s="24"/>
      <c r="AB626" s="24"/>
      <c r="AC626" s="24"/>
      <c r="AD626" s="24"/>
    </row>
    <row r="627" spans="1:30" ht="12.75">
      <c r="A627" s="313"/>
      <c r="B627" s="313"/>
      <c r="C627" s="314"/>
      <c r="D627" s="311"/>
      <c r="E627" s="311"/>
      <c r="F627" s="311"/>
      <c r="G627" s="311"/>
      <c r="H627" s="311"/>
      <c r="I627" s="311"/>
      <c r="J627" s="311"/>
      <c r="K627" s="311"/>
      <c r="L627" s="311"/>
      <c r="M627" s="311"/>
      <c r="N627" s="311"/>
      <c r="O627" s="311"/>
      <c r="P627" s="311"/>
      <c r="Q627" s="311"/>
      <c r="R627" s="311"/>
      <c r="S627" s="311"/>
      <c r="T627" s="311"/>
      <c r="U627" s="311"/>
      <c r="V627" s="311"/>
      <c r="W627" s="311"/>
      <c r="X627" s="311"/>
      <c r="Y627" s="24"/>
      <c r="Z627" s="24"/>
      <c r="AA627" s="24"/>
      <c r="AB627" s="24"/>
      <c r="AC627" s="24"/>
      <c r="AD627" s="24"/>
    </row>
    <row r="628" spans="1:30" ht="12.75">
      <c r="A628" s="313"/>
      <c r="B628" s="313"/>
      <c r="C628" s="314"/>
      <c r="D628" s="311"/>
      <c r="E628" s="311"/>
      <c r="F628" s="311"/>
      <c r="G628" s="311"/>
      <c r="H628" s="311"/>
      <c r="I628" s="311"/>
      <c r="J628" s="311"/>
      <c r="K628" s="311"/>
      <c r="L628" s="311"/>
      <c r="M628" s="311"/>
      <c r="N628" s="311"/>
      <c r="O628" s="311"/>
      <c r="P628" s="311"/>
      <c r="Q628" s="311"/>
      <c r="R628" s="311"/>
      <c r="S628" s="311"/>
      <c r="T628" s="311"/>
      <c r="U628" s="311"/>
      <c r="V628" s="311"/>
      <c r="W628" s="311"/>
      <c r="X628" s="311"/>
      <c r="Y628" s="24"/>
      <c r="Z628" s="24"/>
      <c r="AA628" s="24"/>
      <c r="AB628" s="24"/>
      <c r="AC628" s="24"/>
      <c r="AD628" s="24"/>
    </row>
    <row r="629" spans="1:30" ht="12.75">
      <c r="A629" s="313"/>
      <c r="B629" s="313"/>
      <c r="C629" s="314"/>
      <c r="D629" s="311"/>
      <c r="E629" s="311"/>
      <c r="F629" s="311"/>
      <c r="G629" s="311"/>
      <c r="H629" s="311"/>
      <c r="I629" s="311"/>
      <c r="J629" s="311"/>
      <c r="K629" s="311"/>
      <c r="L629" s="311"/>
      <c r="M629" s="311"/>
      <c r="N629" s="311"/>
      <c r="O629" s="311"/>
      <c r="P629" s="311"/>
      <c r="Q629" s="311"/>
      <c r="R629" s="311"/>
      <c r="S629" s="311"/>
      <c r="T629" s="311"/>
      <c r="U629" s="311"/>
      <c r="V629" s="311"/>
      <c r="W629" s="311"/>
      <c r="X629" s="311"/>
      <c r="Y629" s="24"/>
      <c r="Z629" s="24"/>
      <c r="AA629" s="24"/>
      <c r="AB629" s="24"/>
      <c r="AC629" s="24"/>
      <c r="AD629" s="24"/>
    </row>
    <row r="630" spans="1:30" ht="12.75">
      <c r="A630" s="313"/>
      <c r="B630" s="313"/>
      <c r="C630" s="314"/>
      <c r="D630" s="311"/>
      <c r="E630" s="311"/>
      <c r="F630" s="311"/>
      <c r="G630" s="311"/>
      <c r="H630" s="311"/>
      <c r="I630" s="311"/>
      <c r="J630" s="311"/>
      <c r="K630" s="311"/>
      <c r="L630" s="311"/>
      <c r="M630" s="311"/>
      <c r="N630" s="311"/>
      <c r="O630" s="311"/>
      <c r="P630" s="311"/>
      <c r="Q630" s="311"/>
      <c r="R630" s="311"/>
      <c r="S630" s="311"/>
      <c r="T630" s="311"/>
      <c r="U630" s="311"/>
      <c r="V630" s="311"/>
      <c r="W630" s="311"/>
      <c r="X630" s="311"/>
      <c r="Y630" s="24"/>
      <c r="Z630" s="24"/>
      <c r="AA630" s="24"/>
      <c r="AB630" s="24"/>
      <c r="AC630" s="24"/>
      <c r="AD630" s="24"/>
    </row>
    <row r="631" spans="1:30" ht="12.75">
      <c r="A631" s="313"/>
      <c r="B631" s="313"/>
      <c r="C631" s="314"/>
      <c r="D631" s="311"/>
      <c r="E631" s="311"/>
      <c r="F631" s="311"/>
      <c r="G631" s="311"/>
      <c r="H631" s="311"/>
      <c r="I631" s="311"/>
      <c r="J631" s="311"/>
      <c r="K631" s="311"/>
      <c r="L631" s="311"/>
      <c r="M631" s="311"/>
      <c r="N631" s="311"/>
      <c r="O631" s="311"/>
      <c r="P631" s="311"/>
      <c r="Q631" s="311"/>
      <c r="R631" s="311"/>
      <c r="S631" s="311"/>
      <c r="T631" s="311"/>
      <c r="U631" s="311"/>
      <c r="V631" s="311"/>
      <c r="W631" s="311"/>
      <c r="X631" s="311"/>
      <c r="Y631" s="24"/>
      <c r="Z631" s="24"/>
      <c r="AA631" s="24"/>
      <c r="AB631" s="24"/>
      <c r="AC631" s="24"/>
      <c r="AD631" s="24"/>
    </row>
    <row r="632" spans="1:30" ht="12.75">
      <c r="A632" s="313"/>
      <c r="B632" s="313"/>
      <c r="C632" s="314"/>
      <c r="D632" s="311"/>
      <c r="E632" s="311"/>
      <c r="F632" s="311"/>
      <c r="G632" s="311"/>
      <c r="H632" s="311"/>
      <c r="I632" s="311"/>
      <c r="J632" s="311"/>
      <c r="K632" s="311"/>
      <c r="L632" s="311"/>
      <c r="M632" s="311"/>
      <c r="N632" s="311"/>
      <c r="O632" s="311"/>
      <c r="P632" s="311"/>
      <c r="Q632" s="311"/>
      <c r="R632" s="311"/>
      <c r="S632" s="311"/>
      <c r="T632" s="311"/>
      <c r="U632" s="311"/>
      <c r="V632" s="311"/>
      <c r="W632" s="311"/>
      <c r="X632" s="311"/>
      <c r="Y632" s="24"/>
      <c r="Z632" s="24"/>
      <c r="AA632" s="24"/>
      <c r="AB632" s="24"/>
      <c r="AC632" s="24"/>
      <c r="AD632" s="24"/>
    </row>
    <row r="633" spans="1:30" ht="12.75">
      <c r="A633" s="313"/>
      <c r="B633" s="313"/>
      <c r="C633" s="314"/>
      <c r="D633" s="311"/>
      <c r="E633" s="311"/>
      <c r="F633" s="311"/>
      <c r="G633" s="311"/>
      <c r="H633" s="311"/>
      <c r="I633" s="311"/>
      <c r="J633" s="311"/>
      <c r="K633" s="311"/>
      <c r="L633" s="311"/>
      <c r="M633" s="311"/>
      <c r="N633" s="311"/>
      <c r="O633" s="311"/>
      <c r="P633" s="311"/>
      <c r="Q633" s="311"/>
      <c r="R633" s="311"/>
      <c r="S633" s="311"/>
      <c r="T633" s="311"/>
      <c r="U633" s="311"/>
      <c r="V633" s="311"/>
      <c r="W633" s="311"/>
      <c r="X633" s="311"/>
      <c r="Y633" s="24"/>
      <c r="Z633" s="24"/>
      <c r="AA633" s="24"/>
      <c r="AB633" s="24"/>
      <c r="AC633" s="24"/>
      <c r="AD633" s="24"/>
    </row>
    <row r="634" spans="1:30" ht="12.75">
      <c r="A634" s="313"/>
      <c r="B634" s="313"/>
      <c r="C634" s="314"/>
      <c r="D634" s="311"/>
      <c r="E634" s="311"/>
      <c r="F634" s="311"/>
      <c r="G634" s="311"/>
      <c r="H634" s="311"/>
      <c r="I634" s="311"/>
      <c r="J634" s="311"/>
      <c r="K634" s="311"/>
      <c r="L634" s="311"/>
      <c r="M634" s="311"/>
      <c r="N634" s="311"/>
      <c r="O634" s="311"/>
      <c r="P634" s="311"/>
      <c r="Q634" s="311"/>
      <c r="R634" s="311"/>
      <c r="S634" s="311"/>
      <c r="T634" s="311"/>
      <c r="U634" s="311"/>
      <c r="V634" s="311"/>
      <c r="W634" s="311"/>
      <c r="X634" s="311"/>
      <c r="Y634" s="24"/>
      <c r="Z634" s="24"/>
      <c r="AA634" s="24"/>
      <c r="AB634" s="24"/>
      <c r="AC634" s="24"/>
      <c r="AD634" s="24"/>
    </row>
    <row r="635" spans="1:30" ht="12.75">
      <c r="A635" s="313"/>
      <c r="B635" s="313"/>
      <c r="C635" s="314"/>
      <c r="D635" s="311"/>
      <c r="E635" s="311"/>
      <c r="F635" s="311"/>
      <c r="G635" s="311"/>
      <c r="H635" s="311"/>
      <c r="I635" s="311"/>
      <c r="J635" s="311"/>
      <c r="K635" s="311"/>
      <c r="L635" s="311"/>
      <c r="M635" s="311"/>
      <c r="N635" s="311"/>
      <c r="O635" s="311"/>
      <c r="P635" s="311"/>
      <c r="Q635" s="311"/>
      <c r="R635" s="311"/>
      <c r="S635" s="311"/>
      <c r="T635" s="311"/>
      <c r="U635" s="311"/>
      <c r="V635" s="311"/>
      <c r="W635" s="311"/>
      <c r="X635" s="311"/>
      <c r="Y635" s="24"/>
      <c r="Z635" s="24"/>
      <c r="AA635" s="24"/>
      <c r="AB635" s="24"/>
      <c r="AC635" s="24"/>
      <c r="AD635" s="24"/>
    </row>
    <row r="636" spans="1:30" ht="12.75">
      <c r="A636" s="313"/>
      <c r="B636" s="313"/>
      <c r="C636" s="314"/>
      <c r="D636" s="311"/>
      <c r="E636" s="311"/>
      <c r="F636" s="311"/>
      <c r="G636" s="311"/>
      <c r="H636" s="311"/>
      <c r="I636" s="311"/>
      <c r="J636" s="311"/>
      <c r="K636" s="311"/>
      <c r="L636" s="311"/>
      <c r="M636" s="311"/>
      <c r="N636" s="311"/>
      <c r="O636" s="311"/>
      <c r="P636" s="311"/>
      <c r="Q636" s="311"/>
      <c r="R636" s="311"/>
      <c r="S636" s="311"/>
      <c r="T636" s="311"/>
      <c r="U636" s="311"/>
      <c r="V636" s="311"/>
      <c r="W636" s="311"/>
      <c r="X636" s="311"/>
      <c r="Y636" s="24"/>
      <c r="Z636" s="24"/>
      <c r="AA636" s="24"/>
      <c r="AB636" s="24"/>
      <c r="AC636" s="24"/>
      <c r="AD636" s="24"/>
    </row>
    <row r="637" spans="1:30" ht="12.75">
      <c r="A637" s="313"/>
      <c r="B637" s="313"/>
      <c r="C637" s="314"/>
      <c r="D637" s="311"/>
      <c r="E637" s="311"/>
      <c r="F637" s="311"/>
      <c r="G637" s="311"/>
      <c r="H637" s="311"/>
      <c r="I637" s="311"/>
      <c r="J637" s="311"/>
      <c r="K637" s="311"/>
      <c r="L637" s="311"/>
      <c r="M637" s="311"/>
      <c r="N637" s="311"/>
      <c r="O637" s="311"/>
      <c r="P637" s="311"/>
      <c r="Q637" s="311"/>
      <c r="R637" s="311"/>
      <c r="S637" s="311"/>
      <c r="T637" s="311"/>
      <c r="U637" s="311"/>
      <c r="V637" s="311"/>
      <c r="W637" s="311"/>
      <c r="X637" s="311"/>
      <c r="Y637" s="24"/>
      <c r="Z637" s="24"/>
      <c r="AA637" s="24"/>
      <c r="AB637" s="24"/>
      <c r="AC637" s="24"/>
      <c r="AD637" s="24"/>
    </row>
    <row r="638" spans="1:30" ht="12.75">
      <c r="A638" s="313"/>
      <c r="B638" s="313"/>
      <c r="C638" s="314"/>
      <c r="D638" s="311"/>
      <c r="E638" s="311"/>
      <c r="F638" s="311"/>
      <c r="G638" s="311"/>
      <c r="H638" s="311"/>
      <c r="I638" s="311"/>
      <c r="J638" s="311"/>
      <c r="K638" s="311"/>
      <c r="L638" s="311"/>
      <c r="M638" s="311"/>
      <c r="N638" s="311"/>
      <c r="O638" s="311"/>
      <c r="P638" s="311"/>
      <c r="Q638" s="311"/>
      <c r="R638" s="311"/>
      <c r="S638" s="311"/>
      <c r="T638" s="311"/>
      <c r="U638" s="311"/>
      <c r="V638" s="311"/>
      <c r="W638" s="311"/>
      <c r="X638" s="311"/>
      <c r="Y638" s="24"/>
      <c r="Z638" s="24"/>
      <c r="AA638" s="24"/>
      <c r="AB638" s="24"/>
      <c r="AC638" s="24"/>
      <c r="AD638" s="24"/>
    </row>
    <row r="639" spans="1:30" ht="12.75">
      <c r="A639" s="313"/>
      <c r="B639" s="313"/>
      <c r="C639" s="314"/>
      <c r="D639" s="311"/>
      <c r="E639" s="311"/>
      <c r="F639" s="311"/>
      <c r="G639" s="311"/>
      <c r="H639" s="311"/>
      <c r="I639" s="311"/>
      <c r="J639" s="311"/>
      <c r="K639" s="311"/>
      <c r="L639" s="311"/>
      <c r="M639" s="311"/>
      <c r="N639" s="311"/>
      <c r="O639" s="311"/>
      <c r="P639" s="311"/>
      <c r="Q639" s="311"/>
      <c r="R639" s="311"/>
      <c r="S639" s="311"/>
      <c r="T639" s="311"/>
      <c r="U639" s="311"/>
      <c r="V639" s="311"/>
      <c r="W639" s="311"/>
      <c r="X639" s="311"/>
      <c r="Y639" s="24"/>
      <c r="Z639" s="24"/>
      <c r="AA639" s="24"/>
      <c r="AB639" s="24"/>
      <c r="AC639" s="24"/>
      <c r="AD639" s="24"/>
    </row>
    <row r="640" spans="1:30" ht="12.75">
      <c r="A640" s="313"/>
      <c r="B640" s="313"/>
      <c r="C640" s="314"/>
      <c r="D640" s="311"/>
      <c r="E640" s="311"/>
      <c r="F640" s="311"/>
      <c r="G640" s="311"/>
      <c r="H640" s="311"/>
      <c r="I640" s="311"/>
      <c r="J640" s="311"/>
      <c r="K640" s="311"/>
      <c r="L640" s="311"/>
      <c r="M640" s="311"/>
      <c r="N640" s="311"/>
      <c r="O640" s="311"/>
      <c r="P640" s="311"/>
      <c r="Q640" s="311"/>
      <c r="R640" s="311"/>
      <c r="S640" s="311"/>
      <c r="T640" s="311"/>
      <c r="U640" s="311"/>
      <c r="V640" s="311"/>
      <c r="W640" s="311"/>
      <c r="X640" s="311"/>
      <c r="Y640" s="24"/>
      <c r="Z640" s="24"/>
      <c r="AA640" s="24"/>
      <c r="AB640" s="24"/>
      <c r="AC640" s="24"/>
      <c r="AD640" s="24"/>
    </row>
    <row r="641" spans="1:30" ht="12.75">
      <c r="A641" s="313"/>
      <c r="B641" s="313"/>
      <c r="C641" s="314"/>
      <c r="D641" s="311"/>
      <c r="E641" s="311"/>
      <c r="F641" s="311"/>
      <c r="G641" s="311"/>
      <c r="H641" s="311"/>
      <c r="I641" s="311"/>
      <c r="J641" s="311"/>
      <c r="K641" s="311"/>
      <c r="L641" s="311"/>
      <c r="M641" s="311"/>
      <c r="N641" s="311"/>
      <c r="O641" s="311"/>
      <c r="P641" s="311"/>
      <c r="Q641" s="311"/>
      <c r="R641" s="311"/>
      <c r="S641" s="311"/>
      <c r="T641" s="311"/>
      <c r="U641" s="311"/>
      <c r="V641" s="311"/>
      <c r="W641" s="311"/>
      <c r="X641" s="311"/>
      <c r="Y641" s="24"/>
      <c r="Z641" s="24"/>
      <c r="AA641" s="24"/>
      <c r="AB641" s="24"/>
      <c r="AC641" s="24"/>
      <c r="AD641" s="24"/>
    </row>
    <row r="642" spans="1:30" ht="12.75">
      <c r="A642" s="313"/>
      <c r="B642" s="313"/>
      <c r="C642" s="314"/>
      <c r="D642" s="311"/>
      <c r="E642" s="311"/>
      <c r="F642" s="311"/>
      <c r="G642" s="311"/>
      <c r="H642" s="311"/>
      <c r="I642" s="311"/>
      <c r="J642" s="311"/>
      <c r="K642" s="311"/>
      <c r="L642" s="311"/>
      <c r="M642" s="311"/>
      <c r="N642" s="311"/>
      <c r="O642" s="311"/>
      <c r="P642" s="311"/>
      <c r="Q642" s="311"/>
      <c r="R642" s="311"/>
      <c r="S642" s="311"/>
      <c r="T642" s="311"/>
      <c r="U642" s="311"/>
      <c r="V642" s="311"/>
      <c r="W642" s="311"/>
      <c r="X642" s="311"/>
      <c r="Y642" s="24"/>
      <c r="Z642" s="24"/>
      <c r="AA642" s="24"/>
      <c r="AB642" s="24"/>
      <c r="AC642" s="24"/>
      <c r="AD642" s="24"/>
    </row>
    <row r="643" spans="1:30" ht="12.75">
      <c r="A643" s="313"/>
      <c r="B643" s="313"/>
      <c r="C643" s="314"/>
      <c r="D643" s="311"/>
      <c r="E643" s="311"/>
      <c r="F643" s="311"/>
      <c r="G643" s="311"/>
      <c r="H643" s="311"/>
      <c r="I643" s="311"/>
      <c r="J643" s="311"/>
      <c r="K643" s="311"/>
      <c r="L643" s="311"/>
      <c r="M643" s="311"/>
      <c r="N643" s="311"/>
      <c r="O643" s="311"/>
      <c r="P643" s="311"/>
      <c r="Q643" s="311"/>
      <c r="R643" s="311"/>
      <c r="S643" s="311"/>
      <c r="T643" s="311"/>
      <c r="U643" s="311"/>
      <c r="V643" s="311"/>
      <c r="W643" s="311"/>
      <c r="X643" s="311"/>
      <c r="Y643" s="24"/>
      <c r="Z643" s="24"/>
      <c r="AA643" s="24"/>
      <c r="AB643" s="24"/>
      <c r="AC643" s="24"/>
      <c r="AD643" s="24"/>
    </row>
    <row r="644" spans="1:30" ht="12.75">
      <c r="A644" s="313"/>
      <c r="B644" s="313"/>
      <c r="C644" s="314"/>
      <c r="D644" s="311"/>
      <c r="E644" s="311"/>
      <c r="F644" s="311"/>
      <c r="G644" s="311"/>
      <c r="H644" s="311"/>
      <c r="I644" s="311"/>
      <c r="J644" s="311"/>
      <c r="K644" s="311"/>
      <c r="L644" s="311"/>
      <c r="M644" s="311"/>
      <c r="N644" s="311"/>
      <c r="O644" s="311"/>
      <c r="P644" s="311"/>
      <c r="Q644" s="311"/>
      <c r="R644" s="311"/>
      <c r="S644" s="311"/>
      <c r="T644" s="311"/>
      <c r="U644" s="311"/>
      <c r="V644" s="311"/>
      <c r="W644" s="311"/>
      <c r="X644" s="311"/>
      <c r="Y644" s="24"/>
      <c r="Z644" s="24"/>
      <c r="AA644" s="24"/>
      <c r="AB644" s="24"/>
      <c r="AC644" s="24"/>
      <c r="AD644" s="24"/>
    </row>
    <row r="645" spans="1:30" ht="12.75">
      <c r="A645" s="313"/>
      <c r="B645" s="313"/>
      <c r="C645" s="314"/>
      <c r="D645" s="311"/>
      <c r="E645" s="311"/>
      <c r="F645" s="311"/>
      <c r="G645" s="311"/>
      <c r="H645" s="311"/>
      <c r="I645" s="311"/>
      <c r="J645" s="311"/>
      <c r="K645" s="311"/>
      <c r="L645" s="311"/>
      <c r="M645" s="311"/>
      <c r="N645" s="311"/>
      <c r="O645" s="311"/>
      <c r="P645" s="311"/>
      <c r="Q645" s="311"/>
      <c r="R645" s="311"/>
      <c r="S645" s="311"/>
      <c r="T645" s="311"/>
      <c r="U645" s="311"/>
      <c r="V645" s="311"/>
      <c r="W645" s="311"/>
      <c r="X645" s="311"/>
      <c r="Y645" s="24"/>
      <c r="Z645" s="24"/>
      <c r="AA645" s="24"/>
      <c r="AB645" s="24"/>
      <c r="AC645" s="24"/>
      <c r="AD645" s="24"/>
    </row>
    <row r="646" spans="1:30" ht="12.75">
      <c r="A646" s="313"/>
      <c r="B646" s="313"/>
      <c r="C646" s="314"/>
      <c r="D646" s="311"/>
      <c r="E646" s="311"/>
      <c r="F646" s="311"/>
      <c r="G646" s="311"/>
      <c r="H646" s="311"/>
      <c r="I646" s="311"/>
      <c r="J646" s="311"/>
      <c r="K646" s="311"/>
      <c r="L646" s="311"/>
      <c r="M646" s="311"/>
      <c r="N646" s="311"/>
      <c r="O646" s="311"/>
      <c r="P646" s="311"/>
      <c r="Q646" s="311"/>
      <c r="R646" s="311"/>
      <c r="S646" s="311"/>
      <c r="T646" s="311"/>
      <c r="U646" s="311"/>
      <c r="V646" s="311"/>
      <c r="W646" s="311"/>
      <c r="X646" s="311"/>
      <c r="Y646" s="24"/>
      <c r="Z646" s="24"/>
      <c r="AA646" s="24"/>
      <c r="AB646" s="24"/>
      <c r="AC646" s="24"/>
      <c r="AD646" s="24"/>
    </row>
    <row r="647" spans="1:30" ht="12.75">
      <c r="A647" s="313"/>
      <c r="B647" s="313"/>
      <c r="C647" s="314"/>
      <c r="D647" s="311"/>
      <c r="E647" s="311"/>
      <c r="F647" s="311"/>
      <c r="G647" s="311"/>
      <c r="H647" s="311"/>
      <c r="I647" s="311"/>
      <c r="J647" s="311"/>
      <c r="K647" s="311"/>
      <c r="L647" s="311"/>
      <c r="M647" s="311"/>
      <c r="N647" s="311"/>
      <c r="O647" s="311"/>
      <c r="P647" s="311"/>
      <c r="Q647" s="311"/>
      <c r="R647" s="311"/>
      <c r="S647" s="311"/>
      <c r="T647" s="311"/>
      <c r="U647" s="311"/>
      <c r="V647" s="311"/>
      <c r="W647" s="311"/>
      <c r="X647" s="311"/>
      <c r="Y647" s="24"/>
      <c r="Z647" s="24"/>
      <c r="AA647" s="24"/>
      <c r="AB647" s="24"/>
      <c r="AC647" s="24"/>
      <c r="AD647" s="24"/>
    </row>
    <row r="648" spans="1:30" ht="12.75">
      <c r="A648" s="313"/>
      <c r="B648" s="313"/>
      <c r="C648" s="314"/>
      <c r="D648" s="311"/>
      <c r="E648" s="311"/>
      <c r="F648" s="311"/>
      <c r="G648" s="311"/>
      <c r="H648" s="311"/>
      <c r="I648" s="311"/>
      <c r="J648" s="311"/>
      <c r="K648" s="311"/>
      <c r="L648" s="311"/>
      <c r="M648" s="311"/>
      <c r="N648" s="311"/>
      <c r="O648" s="311"/>
      <c r="P648" s="311"/>
      <c r="Q648" s="311"/>
      <c r="R648" s="311"/>
      <c r="S648" s="311"/>
      <c r="T648" s="311"/>
      <c r="U648" s="311"/>
      <c r="V648" s="311"/>
      <c r="W648" s="311"/>
      <c r="X648" s="311"/>
      <c r="Y648" s="24"/>
      <c r="Z648" s="24"/>
      <c r="AA648" s="24"/>
      <c r="AB648" s="24"/>
      <c r="AC648" s="24"/>
      <c r="AD648" s="24"/>
    </row>
    <row r="649" spans="1:30" ht="12.75">
      <c r="A649" s="313"/>
      <c r="B649" s="313"/>
      <c r="C649" s="314"/>
      <c r="D649" s="311"/>
      <c r="E649" s="311"/>
      <c r="F649" s="311"/>
      <c r="G649" s="311"/>
      <c r="H649" s="311"/>
      <c r="I649" s="311"/>
      <c r="J649" s="311"/>
      <c r="K649" s="311"/>
      <c r="L649" s="311"/>
      <c r="M649" s="311"/>
      <c r="N649" s="311"/>
      <c r="O649" s="311"/>
      <c r="P649" s="311"/>
      <c r="Q649" s="311"/>
      <c r="R649" s="311"/>
      <c r="S649" s="311"/>
      <c r="T649" s="311"/>
      <c r="U649" s="311"/>
      <c r="V649" s="311"/>
      <c r="W649" s="311"/>
      <c r="X649" s="311"/>
      <c r="Y649" s="24"/>
      <c r="Z649" s="24"/>
      <c r="AA649" s="24"/>
      <c r="AB649" s="24"/>
      <c r="AC649" s="24"/>
      <c r="AD649" s="24"/>
    </row>
    <row r="650" spans="1:30" ht="12.75">
      <c r="A650" s="313"/>
      <c r="B650" s="313"/>
      <c r="C650" s="314"/>
      <c r="D650" s="311"/>
      <c r="E650" s="311"/>
      <c r="F650" s="311"/>
      <c r="G650" s="311"/>
      <c r="H650" s="311"/>
      <c r="I650" s="311"/>
      <c r="J650" s="311"/>
      <c r="K650" s="311"/>
      <c r="L650" s="311"/>
      <c r="M650" s="311"/>
      <c r="N650" s="311"/>
      <c r="O650" s="311"/>
      <c r="P650" s="311"/>
      <c r="Q650" s="311"/>
      <c r="R650" s="311"/>
      <c r="S650" s="311"/>
      <c r="T650" s="311"/>
      <c r="U650" s="311"/>
      <c r="V650" s="311"/>
      <c r="W650" s="311"/>
      <c r="X650" s="311"/>
      <c r="Y650" s="24"/>
      <c r="Z650" s="24"/>
      <c r="AA650" s="24"/>
      <c r="AB650" s="24"/>
      <c r="AC650" s="24"/>
      <c r="AD650" s="24"/>
    </row>
    <row r="651" spans="1:30" ht="12.75">
      <c r="A651" s="313"/>
      <c r="B651" s="313"/>
      <c r="C651" s="314"/>
      <c r="D651" s="311"/>
      <c r="E651" s="311"/>
      <c r="F651" s="311"/>
      <c r="G651" s="311"/>
      <c r="H651" s="311"/>
      <c r="I651" s="311"/>
      <c r="J651" s="311"/>
      <c r="K651" s="311"/>
      <c r="L651" s="311"/>
      <c r="M651" s="311"/>
      <c r="N651" s="311"/>
      <c r="O651" s="311"/>
      <c r="P651" s="311"/>
      <c r="Q651" s="311"/>
      <c r="R651" s="311"/>
      <c r="S651" s="311"/>
      <c r="T651" s="311"/>
      <c r="U651" s="311"/>
      <c r="V651" s="311"/>
      <c r="W651" s="311"/>
      <c r="X651" s="311"/>
      <c r="Y651" s="24"/>
      <c r="Z651" s="24"/>
      <c r="AA651" s="24"/>
      <c r="AB651" s="24"/>
      <c r="AC651" s="24"/>
      <c r="AD651" s="24"/>
    </row>
    <row r="652" spans="1:30" ht="12.75">
      <c r="A652" s="313"/>
      <c r="B652" s="313"/>
      <c r="C652" s="314"/>
      <c r="D652" s="311"/>
      <c r="E652" s="311"/>
      <c r="F652" s="311"/>
      <c r="G652" s="311"/>
      <c r="H652" s="311"/>
      <c r="I652" s="311"/>
      <c r="J652" s="311"/>
      <c r="K652" s="311"/>
      <c r="L652" s="311"/>
      <c r="M652" s="311"/>
      <c r="N652" s="311"/>
      <c r="O652" s="311"/>
      <c r="P652" s="311"/>
      <c r="Q652" s="311"/>
      <c r="R652" s="311"/>
      <c r="S652" s="311"/>
      <c r="T652" s="311"/>
      <c r="U652" s="311"/>
      <c r="V652" s="311"/>
      <c r="W652" s="311"/>
      <c r="X652" s="311"/>
      <c r="Y652" s="24"/>
      <c r="Z652" s="24"/>
      <c r="AA652" s="24"/>
      <c r="AB652" s="24"/>
      <c r="AC652" s="24"/>
      <c r="AD652" s="24"/>
    </row>
    <row r="653" spans="1:30" ht="12.75">
      <c r="A653" s="313"/>
      <c r="B653" s="313"/>
      <c r="C653" s="314"/>
      <c r="D653" s="311"/>
      <c r="E653" s="311"/>
      <c r="F653" s="311"/>
      <c r="G653" s="311"/>
      <c r="H653" s="311"/>
      <c r="I653" s="311"/>
      <c r="J653" s="311"/>
      <c r="K653" s="311"/>
      <c r="L653" s="311"/>
      <c r="M653" s="311"/>
      <c r="N653" s="311"/>
      <c r="O653" s="311"/>
      <c r="P653" s="311"/>
      <c r="Q653" s="311"/>
      <c r="R653" s="311"/>
      <c r="S653" s="311"/>
      <c r="T653" s="311"/>
      <c r="U653" s="311"/>
      <c r="V653" s="311"/>
      <c r="W653" s="311"/>
      <c r="X653" s="311"/>
      <c r="Y653" s="24"/>
      <c r="Z653" s="24"/>
      <c r="AA653" s="24"/>
      <c r="AB653" s="24"/>
      <c r="AC653" s="24"/>
      <c r="AD653" s="24"/>
    </row>
    <row r="654" spans="1:30" ht="12.75">
      <c r="A654" s="313"/>
      <c r="B654" s="313"/>
      <c r="C654" s="314"/>
      <c r="D654" s="311"/>
      <c r="E654" s="311"/>
      <c r="F654" s="311"/>
      <c r="G654" s="311"/>
      <c r="H654" s="311"/>
      <c r="I654" s="311"/>
      <c r="J654" s="311"/>
      <c r="K654" s="311"/>
      <c r="L654" s="311"/>
      <c r="M654" s="311"/>
      <c r="N654" s="311"/>
      <c r="O654" s="311"/>
      <c r="P654" s="311"/>
      <c r="Q654" s="311"/>
      <c r="R654" s="311"/>
      <c r="S654" s="311"/>
      <c r="T654" s="311"/>
      <c r="U654" s="311"/>
      <c r="V654" s="311"/>
      <c r="W654" s="311"/>
      <c r="X654" s="311"/>
      <c r="Y654" s="24"/>
      <c r="Z654" s="24"/>
      <c r="AA654" s="24"/>
      <c r="AB654" s="24"/>
      <c r="AC654" s="24"/>
      <c r="AD654" s="24"/>
    </row>
    <row r="655" spans="1:30" ht="12.75">
      <c r="A655" s="313"/>
      <c r="B655" s="313"/>
      <c r="C655" s="314"/>
      <c r="D655" s="311"/>
      <c r="E655" s="311"/>
      <c r="F655" s="311"/>
      <c r="G655" s="311"/>
      <c r="H655" s="311"/>
      <c r="I655" s="311"/>
      <c r="J655" s="311"/>
      <c r="K655" s="311"/>
      <c r="L655" s="311"/>
      <c r="M655" s="311"/>
      <c r="N655" s="311"/>
      <c r="O655" s="311"/>
      <c r="P655" s="311"/>
      <c r="Q655" s="311"/>
      <c r="R655" s="311"/>
      <c r="S655" s="311"/>
      <c r="T655" s="311"/>
      <c r="U655" s="311"/>
      <c r="V655" s="311"/>
      <c r="W655" s="311"/>
      <c r="X655" s="311"/>
      <c r="Y655" s="24"/>
      <c r="Z655" s="24"/>
      <c r="AA655" s="24"/>
      <c r="AB655" s="24"/>
      <c r="AC655" s="24"/>
      <c r="AD655" s="24"/>
    </row>
    <row r="656" spans="1:30" ht="12.75">
      <c r="A656" s="313"/>
      <c r="B656" s="313"/>
      <c r="C656" s="314"/>
      <c r="D656" s="311"/>
      <c r="E656" s="311"/>
      <c r="F656" s="311"/>
      <c r="G656" s="311"/>
      <c r="H656" s="311"/>
      <c r="I656" s="311"/>
      <c r="J656" s="311"/>
      <c r="K656" s="311"/>
      <c r="L656" s="311"/>
      <c r="M656" s="311"/>
      <c r="N656" s="311"/>
      <c r="O656" s="311"/>
      <c r="P656" s="311"/>
      <c r="Q656" s="311"/>
      <c r="R656" s="311"/>
      <c r="S656" s="311"/>
      <c r="T656" s="311"/>
      <c r="U656" s="311"/>
      <c r="V656" s="311"/>
      <c r="W656" s="311"/>
      <c r="X656" s="311"/>
      <c r="Y656" s="24"/>
      <c r="Z656" s="24"/>
      <c r="AA656" s="24"/>
      <c r="AB656" s="24"/>
      <c r="AC656" s="24"/>
      <c r="AD656" s="24"/>
    </row>
    <row r="657" spans="1:30" ht="12.75">
      <c r="A657" s="313"/>
      <c r="B657" s="313"/>
      <c r="C657" s="314"/>
      <c r="D657" s="311"/>
      <c r="E657" s="311"/>
      <c r="F657" s="311"/>
      <c r="G657" s="311"/>
      <c r="H657" s="311"/>
      <c r="I657" s="311"/>
      <c r="J657" s="311"/>
      <c r="K657" s="311"/>
      <c r="L657" s="311"/>
      <c r="M657" s="311"/>
      <c r="N657" s="311"/>
      <c r="O657" s="311"/>
      <c r="P657" s="311"/>
      <c r="Q657" s="311"/>
      <c r="R657" s="311"/>
      <c r="S657" s="311"/>
      <c r="T657" s="311"/>
      <c r="U657" s="311"/>
      <c r="V657" s="311"/>
      <c r="W657" s="311"/>
      <c r="X657" s="311"/>
      <c r="Y657" s="24"/>
      <c r="Z657" s="24"/>
      <c r="AA657" s="24"/>
      <c r="AB657" s="24"/>
      <c r="AC657" s="24"/>
      <c r="AD657" s="24"/>
    </row>
    <row r="658" spans="1:30" ht="12.75">
      <c r="A658" s="313"/>
      <c r="B658" s="313"/>
      <c r="C658" s="314"/>
      <c r="D658" s="311"/>
      <c r="E658" s="311"/>
      <c r="F658" s="311"/>
      <c r="G658" s="311"/>
      <c r="H658" s="311"/>
      <c r="I658" s="311"/>
      <c r="J658" s="311"/>
      <c r="K658" s="311"/>
      <c r="L658" s="311"/>
      <c r="M658" s="311"/>
      <c r="N658" s="311"/>
      <c r="O658" s="311"/>
      <c r="P658" s="311"/>
      <c r="Q658" s="311"/>
      <c r="R658" s="311"/>
      <c r="S658" s="311"/>
      <c r="T658" s="311"/>
      <c r="U658" s="311"/>
      <c r="V658" s="311"/>
      <c r="W658" s="311"/>
      <c r="X658" s="311"/>
      <c r="Y658" s="24"/>
      <c r="Z658" s="24"/>
      <c r="AA658" s="24"/>
      <c r="AB658" s="24"/>
      <c r="AC658" s="24"/>
      <c r="AD658" s="24"/>
    </row>
    <row r="659" spans="1:30" ht="12.75">
      <c r="A659" s="313"/>
      <c r="B659" s="313"/>
      <c r="C659" s="314"/>
      <c r="D659" s="311"/>
      <c r="E659" s="311"/>
      <c r="F659" s="311"/>
      <c r="G659" s="311"/>
      <c r="H659" s="311"/>
      <c r="I659" s="311"/>
      <c r="J659" s="311"/>
      <c r="K659" s="311"/>
      <c r="L659" s="311"/>
      <c r="M659" s="311"/>
      <c r="N659" s="311"/>
      <c r="O659" s="311"/>
      <c r="P659" s="311"/>
      <c r="Q659" s="311"/>
      <c r="R659" s="311"/>
      <c r="S659" s="311"/>
      <c r="T659" s="311"/>
      <c r="U659" s="311"/>
      <c r="V659" s="311"/>
      <c r="W659" s="311"/>
      <c r="X659" s="311"/>
      <c r="Y659" s="24"/>
      <c r="Z659" s="24"/>
      <c r="AA659" s="24"/>
      <c r="AB659" s="24"/>
      <c r="AC659" s="24"/>
      <c r="AD659" s="24"/>
    </row>
    <row r="660" spans="1:30" ht="12.75">
      <c r="A660" s="313"/>
      <c r="B660" s="313"/>
      <c r="C660" s="314"/>
      <c r="D660" s="311"/>
      <c r="E660" s="311"/>
      <c r="F660" s="311"/>
      <c r="G660" s="311"/>
      <c r="H660" s="311"/>
      <c r="I660" s="311"/>
      <c r="J660" s="311"/>
      <c r="K660" s="311"/>
      <c r="L660" s="311"/>
      <c r="M660" s="311"/>
      <c r="N660" s="311"/>
      <c r="O660" s="311"/>
      <c r="P660" s="311"/>
      <c r="Q660" s="311"/>
      <c r="R660" s="311"/>
      <c r="S660" s="311"/>
      <c r="T660" s="311"/>
      <c r="U660" s="311"/>
      <c r="V660" s="311"/>
      <c r="W660" s="311"/>
      <c r="X660" s="311"/>
      <c r="Y660" s="24"/>
      <c r="Z660" s="24"/>
      <c r="AA660" s="24"/>
      <c r="AB660" s="24"/>
      <c r="AC660" s="24"/>
      <c r="AD660" s="24"/>
    </row>
    <row r="661" spans="1:30" ht="12.75">
      <c r="A661" s="313"/>
      <c r="B661" s="313"/>
      <c r="C661" s="314"/>
      <c r="D661" s="311"/>
      <c r="E661" s="311"/>
      <c r="F661" s="311"/>
      <c r="G661" s="311"/>
      <c r="H661" s="311"/>
      <c r="I661" s="311"/>
      <c r="J661" s="311"/>
      <c r="K661" s="311"/>
      <c r="L661" s="311"/>
      <c r="M661" s="311"/>
      <c r="N661" s="311"/>
      <c r="O661" s="311"/>
      <c r="P661" s="311"/>
      <c r="Q661" s="311"/>
      <c r="R661" s="311"/>
      <c r="S661" s="311"/>
      <c r="T661" s="311"/>
      <c r="U661" s="311"/>
      <c r="V661" s="311"/>
      <c r="W661" s="311"/>
      <c r="X661" s="311"/>
      <c r="Y661" s="24"/>
      <c r="Z661" s="24"/>
      <c r="AA661" s="24"/>
      <c r="AB661" s="24"/>
      <c r="AC661" s="24"/>
      <c r="AD661" s="24"/>
    </row>
    <row r="662" spans="1:30" ht="12.75">
      <c r="A662" s="313"/>
      <c r="B662" s="313"/>
      <c r="C662" s="314"/>
      <c r="D662" s="311"/>
      <c r="E662" s="311"/>
      <c r="F662" s="311"/>
      <c r="G662" s="311"/>
      <c r="H662" s="311"/>
      <c r="I662" s="311"/>
      <c r="J662" s="311"/>
      <c r="K662" s="311"/>
      <c r="L662" s="311"/>
      <c r="M662" s="311"/>
      <c r="N662" s="311"/>
      <c r="O662" s="311"/>
      <c r="P662" s="311"/>
      <c r="Q662" s="311"/>
      <c r="R662" s="311"/>
      <c r="S662" s="311"/>
      <c r="T662" s="311"/>
      <c r="U662" s="311"/>
      <c r="V662" s="311"/>
      <c r="W662" s="311"/>
      <c r="X662" s="311"/>
      <c r="Y662" s="24"/>
      <c r="Z662" s="24"/>
      <c r="AA662" s="24"/>
      <c r="AB662" s="24"/>
      <c r="AC662" s="24"/>
      <c r="AD662" s="24"/>
    </row>
    <row r="663" spans="1:30" ht="12.75">
      <c r="A663" s="313"/>
      <c r="B663" s="313"/>
      <c r="C663" s="314"/>
      <c r="D663" s="311"/>
      <c r="E663" s="311"/>
      <c r="F663" s="311"/>
      <c r="G663" s="311"/>
      <c r="H663" s="311"/>
      <c r="I663" s="311"/>
      <c r="J663" s="311"/>
      <c r="K663" s="311"/>
      <c r="L663" s="311"/>
      <c r="M663" s="311"/>
      <c r="N663" s="311"/>
      <c r="O663" s="311"/>
      <c r="P663" s="311"/>
      <c r="Q663" s="311"/>
      <c r="R663" s="311"/>
      <c r="S663" s="311"/>
      <c r="T663" s="311"/>
      <c r="U663" s="311"/>
      <c r="V663" s="311"/>
      <c r="W663" s="311"/>
      <c r="X663" s="311"/>
      <c r="Y663" s="24"/>
      <c r="Z663" s="24"/>
      <c r="AA663" s="24"/>
      <c r="AB663" s="24"/>
      <c r="AC663" s="24"/>
      <c r="AD663" s="24"/>
    </row>
    <row r="664" spans="1:30" ht="12.75">
      <c r="A664" s="313"/>
      <c r="B664" s="313"/>
      <c r="C664" s="314"/>
      <c r="D664" s="311"/>
      <c r="E664" s="311"/>
      <c r="F664" s="311"/>
      <c r="G664" s="311"/>
      <c r="H664" s="311"/>
      <c r="I664" s="311"/>
      <c r="J664" s="311"/>
      <c r="K664" s="311"/>
      <c r="L664" s="311"/>
      <c r="M664" s="311"/>
      <c r="N664" s="311"/>
      <c r="O664" s="311"/>
      <c r="P664" s="311"/>
      <c r="Q664" s="311"/>
      <c r="R664" s="311"/>
      <c r="S664" s="311"/>
      <c r="T664" s="311"/>
      <c r="U664" s="311"/>
      <c r="V664" s="311"/>
      <c r="W664" s="311"/>
      <c r="X664" s="311"/>
      <c r="Y664" s="24"/>
      <c r="Z664" s="24"/>
      <c r="AA664" s="24"/>
      <c r="AB664" s="24"/>
      <c r="AC664" s="24"/>
      <c r="AD664" s="24"/>
    </row>
    <row r="665" spans="1:30" ht="12.75">
      <c r="A665" s="313"/>
      <c r="B665" s="313"/>
      <c r="C665" s="314"/>
      <c r="D665" s="311"/>
      <c r="E665" s="311"/>
      <c r="F665" s="311"/>
      <c r="G665" s="311"/>
      <c r="H665" s="311"/>
      <c r="I665" s="311"/>
      <c r="J665" s="311"/>
      <c r="K665" s="311"/>
      <c r="L665" s="311"/>
      <c r="M665" s="311"/>
      <c r="N665" s="311"/>
      <c r="O665" s="311"/>
      <c r="P665" s="311"/>
      <c r="Q665" s="311"/>
      <c r="R665" s="311"/>
      <c r="S665" s="311"/>
      <c r="T665" s="311"/>
      <c r="U665" s="311"/>
      <c r="V665" s="311"/>
      <c r="W665" s="311"/>
      <c r="X665" s="311"/>
      <c r="Y665" s="24"/>
      <c r="Z665" s="24"/>
      <c r="AA665" s="24"/>
      <c r="AB665" s="24"/>
      <c r="AC665" s="24"/>
      <c r="AD665" s="24"/>
    </row>
    <row r="666" spans="1:30" ht="12.75">
      <c r="A666" s="313"/>
      <c r="B666" s="313"/>
      <c r="C666" s="314"/>
      <c r="D666" s="311"/>
      <c r="E666" s="311"/>
      <c r="F666" s="311"/>
      <c r="G666" s="311"/>
      <c r="H666" s="311"/>
      <c r="I666" s="311"/>
      <c r="J666" s="311"/>
      <c r="K666" s="311"/>
      <c r="L666" s="311"/>
      <c r="M666" s="311"/>
      <c r="N666" s="311"/>
      <c r="O666" s="311"/>
      <c r="P666" s="311"/>
      <c r="Q666" s="311"/>
      <c r="R666" s="311"/>
      <c r="S666" s="311"/>
      <c r="T666" s="311"/>
      <c r="U666" s="311"/>
      <c r="V666" s="311"/>
      <c r="W666" s="311"/>
      <c r="X666" s="311"/>
      <c r="Y666" s="24"/>
      <c r="Z666" s="24"/>
      <c r="AA666" s="24"/>
      <c r="AB666" s="24"/>
      <c r="AC666" s="24"/>
      <c r="AD666" s="24"/>
    </row>
    <row r="667" spans="1:30" ht="12.75">
      <c r="A667" s="313"/>
      <c r="B667" s="313"/>
      <c r="C667" s="314"/>
      <c r="D667" s="311"/>
      <c r="E667" s="311"/>
      <c r="F667" s="311"/>
      <c r="G667" s="311"/>
      <c r="H667" s="311"/>
      <c r="I667" s="311"/>
      <c r="J667" s="311"/>
      <c r="K667" s="311"/>
      <c r="L667" s="311"/>
      <c r="M667" s="311"/>
      <c r="N667" s="311"/>
      <c r="O667" s="311"/>
      <c r="P667" s="311"/>
      <c r="Q667" s="311"/>
      <c r="R667" s="311"/>
      <c r="S667" s="311"/>
      <c r="T667" s="311"/>
      <c r="U667" s="311"/>
      <c r="V667" s="311"/>
      <c r="W667" s="311"/>
      <c r="X667" s="311"/>
      <c r="Y667" s="24"/>
      <c r="Z667" s="24"/>
      <c r="AA667" s="24"/>
      <c r="AB667" s="24"/>
      <c r="AC667" s="24"/>
      <c r="AD667" s="24"/>
    </row>
    <row r="668" spans="1:30" ht="12.75">
      <c r="A668" s="313"/>
      <c r="B668" s="313"/>
      <c r="C668" s="314"/>
      <c r="D668" s="311"/>
      <c r="E668" s="311"/>
      <c r="F668" s="311"/>
      <c r="G668" s="311"/>
      <c r="H668" s="311"/>
      <c r="I668" s="311"/>
      <c r="J668" s="311"/>
      <c r="K668" s="311"/>
      <c r="L668" s="311"/>
      <c r="M668" s="311"/>
      <c r="N668" s="311"/>
      <c r="O668" s="311"/>
      <c r="P668" s="311"/>
      <c r="Q668" s="311"/>
      <c r="R668" s="311"/>
      <c r="S668" s="311"/>
      <c r="T668" s="311"/>
      <c r="U668" s="311"/>
      <c r="V668" s="311"/>
      <c r="W668" s="311"/>
      <c r="X668" s="311"/>
      <c r="Y668" s="24"/>
      <c r="Z668" s="24"/>
      <c r="AA668" s="24"/>
      <c r="AB668" s="24"/>
      <c r="AC668" s="24"/>
      <c r="AD668" s="24"/>
    </row>
    <row r="669" spans="1:30" ht="12.75">
      <c r="A669" s="313"/>
      <c r="B669" s="313"/>
      <c r="C669" s="314"/>
      <c r="D669" s="311"/>
      <c r="E669" s="311"/>
      <c r="F669" s="311"/>
      <c r="G669" s="311"/>
      <c r="H669" s="311"/>
      <c r="I669" s="311"/>
      <c r="J669" s="311"/>
      <c r="K669" s="311"/>
      <c r="L669" s="311"/>
      <c r="M669" s="311"/>
      <c r="N669" s="311"/>
      <c r="O669" s="311"/>
      <c r="P669" s="311"/>
      <c r="Q669" s="311"/>
      <c r="R669" s="311"/>
      <c r="S669" s="311"/>
      <c r="T669" s="311"/>
      <c r="U669" s="311"/>
      <c r="V669" s="311"/>
      <c r="W669" s="311"/>
      <c r="X669" s="311"/>
      <c r="Y669" s="24"/>
      <c r="Z669" s="24"/>
      <c r="AA669" s="24"/>
      <c r="AB669" s="24"/>
      <c r="AC669" s="24"/>
      <c r="AD669" s="24"/>
    </row>
    <row r="670" spans="1:30" ht="12.75">
      <c r="A670" s="313"/>
      <c r="B670" s="313"/>
      <c r="C670" s="314"/>
      <c r="D670" s="311"/>
      <c r="E670" s="311"/>
      <c r="F670" s="311"/>
      <c r="G670" s="311"/>
      <c r="H670" s="311"/>
      <c r="I670" s="311"/>
      <c r="J670" s="311"/>
      <c r="K670" s="311"/>
      <c r="L670" s="311"/>
      <c r="M670" s="311"/>
      <c r="N670" s="311"/>
      <c r="O670" s="311"/>
      <c r="P670" s="311"/>
      <c r="Q670" s="311"/>
      <c r="R670" s="311"/>
      <c r="S670" s="311"/>
      <c r="T670" s="311"/>
      <c r="U670" s="311"/>
      <c r="V670" s="311"/>
      <c r="W670" s="311"/>
      <c r="X670" s="311"/>
      <c r="Y670" s="24"/>
      <c r="Z670" s="24"/>
      <c r="AA670" s="24"/>
      <c r="AB670" s="24"/>
      <c r="AC670" s="24"/>
      <c r="AD670" s="24"/>
    </row>
    <row r="671" spans="1:30" ht="12.75">
      <c r="A671" s="313"/>
      <c r="B671" s="313"/>
      <c r="C671" s="314"/>
      <c r="D671" s="311"/>
      <c r="E671" s="311"/>
      <c r="F671" s="311"/>
      <c r="G671" s="311"/>
      <c r="H671" s="311"/>
      <c r="I671" s="311"/>
      <c r="J671" s="311"/>
      <c r="K671" s="311"/>
      <c r="L671" s="311"/>
      <c r="M671" s="311"/>
      <c r="N671" s="311"/>
      <c r="O671" s="311"/>
      <c r="P671" s="311"/>
      <c r="Q671" s="311"/>
      <c r="R671" s="311"/>
      <c r="S671" s="311"/>
      <c r="T671" s="311"/>
      <c r="U671" s="311"/>
      <c r="V671" s="311"/>
      <c r="W671" s="311"/>
      <c r="X671" s="311"/>
      <c r="Y671" s="24"/>
      <c r="Z671" s="24"/>
      <c r="AA671" s="24"/>
      <c r="AB671" s="24"/>
      <c r="AC671" s="24"/>
      <c r="AD671" s="24"/>
    </row>
    <row r="672" spans="1:30" ht="12.75">
      <c r="A672" s="313"/>
      <c r="B672" s="313"/>
      <c r="C672" s="314"/>
      <c r="D672" s="311"/>
      <c r="E672" s="311"/>
      <c r="F672" s="311"/>
      <c r="G672" s="311"/>
      <c r="H672" s="311"/>
      <c r="I672" s="311"/>
      <c r="J672" s="311"/>
      <c r="K672" s="311"/>
      <c r="L672" s="311"/>
      <c r="M672" s="311"/>
      <c r="N672" s="311"/>
      <c r="O672" s="311"/>
      <c r="P672" s="311"/>
      <c r="Q672" s="311"/>
      <c r="R672" s="311"/>
      <c r="S672" s="311"/>
      <c r="T672" s="311"/>
      <c r="U672" s="311"/>
      <c r="V672" s="311"/>
      <c r="W672" s="311"/>
      <c r="X672" s="311"/>
      <c r="Y672" s="24"/>
      <c r="Z672" s="24"/>
      <c r="AA672" s="24"/>
      <c r="AB672" s="24"/>
      <c r="AC672" s="24"/>
      <c r="AD672" s="24"/>
    </row>
    <row r="673" spans="1:30" ht="12.75">
      <c r="A673" s="313"/>
      <c r="B673" s="313"/>
      <c r="C673" s="314"/>
      <c r="D673" s="311"/>
      <c r="E673" s="311"/>
      <c r="F673" s="311"/>
      <c r="G673" s="311"/>
      <c r="H673" s="311"/>
      <c r="I673" s="311"/>
      <c r="J673" s="311"/>
      <c r="K673" s="311"/>
      <c r="L673" s="311"/>
      <c r="M673" s="311"/>
      <c r="N673" s="311"/>
      <c r="O673" s="311"/>
      <c r="P673" s="311"/>
      <c r="Q673" s="311"/>
      <c r="R673" s="311"/>
      <c r="S673" s="311"/>
      <c r="T673" s="311"/>
      <c r="U673" s="311"/>
      <c r="V673" s="311"/>
      <c r="W673" s="311"/>
      <c r="X673" s="311"/>
      <c r="Y673" s="24"/>
      <c r="Z673" s="24"/>
      <c r="AA673" s="24"/>
      <c r="AB673" s="24"/>
      <c r="AC673" s="24"/>
      <c r="AD673" s="24"/>
    </row>
    <row r="674" spans="1:30" ht="12.75">
      <c r="A674" s="313"/>
      <c r="B674" s="313"/>
      <c r="C674" s="314"/>
      <c r="D674" s="311"/>
      <c r="E674" s="311"/>
      <c r="F674" s="311"/>
      <c r="G674" s="311"/>
      <c r="H674" s="311"/>
      <c r="I674" s="311"/>
      <c r="J674" s="311"/>
      <c r="K674" s="311"/>
      <c r="L674" s="311"/>
      <c r="M674" s="311"/>
      <c r="N674" s="311"/>
      <c r="O674" s="311"/>
      <c r="P674" s="311"/>
      <c r="Q674" s="311"/>
      <c r="R674" s="311"/>
      <c r="S674" s="311"/>
      <c r="T674" s="311"/>
      <c r="U674" s="311"/>
      <c r="V674" s="311"/>
      <c r="W674" s="311"/>
      <c r="X674" s="311"/>
      <c r="Y674" s="24"/>
      <c r="Z674" s="24"/>
      <c r="AA674" s="24"/>
      <c r="AB674" s="24"/>
      <c r="AC674" s="24"/>
      <c r="AD674" s="24"/>
    </row>
    <row r="675" spans="1:30" ht="12.75">
      <c r="A675" s="313"/>
      <c r="B675" s="313"/>
      <c r="C675" s="314"/>
      <c r="D675" s="311"/>
      <c r="E675" s="311"/>
      <c r="F675" s="311"/>
      <c r="G675" s="311"/>
      <c r="H675" s="311"/>
      <c r="I675" s="311"/>
      <c r="J675" s="311"/>
      <c r="K675" s="311"/>
      <c r="L675" s="311"/>
      <c r="M675" s="311"/>
      <c r="N675" s="311"/>
      <c r="O675" s="311"/>
      <c r="P675" s="311"/>
      <c r="Q675" s="311"/>
      <c r="R675" s="311"/>
      <c r="S675" s="311"/>
      <c r="T675" s="311"/>
      <c r="U675" s="311"/>
      <c r="V675" s="311"/>
      <c r="W675" s="311"/>
      <c r="X675" s="311"/>
      <c r="Y675" s="24"/>
      <c r="Z675" s="24"/>
      <c r="AA675" s="24"/>
      <c r="AB675" s="24"/>
      <c r="AC675" s="24"/>
      <c r="AD675" s="24"/>
    </row>
    <row r="676" spans="1:30" ht="12.75">
      <c r="A676" s="313"/>
      <c r="B676" s="313"/>
      <c r="C676" s="314"/>
      <c r="D676" s="311"/>
      <c r="E676" s="311"/>
      <c r="F676" s="311"/>
      <c r="G676" s="311"/>
      <c r="H676" s="311"/>
      <c r="I676" s="311"/>
      <c r="J676" s="311"/>
      <c r="K676" s="311"/>
      <c r="L676" s="311"/>
      <c r="M676" s="311"/>
      <c r="N676" s="311"/>
      <c r="O676" s="311"/>
      <c r="P676" s="311"/>
      <c r="Q676" s="311"/>
      <c r="R676" s="311"/>
      <c r="S676" s="311"/>
      <c r="T676" s="311"/>
      <c r="U676" s="311"/>
      <c r="V676" s="311"/>
      <c r="W676" s="311"/>
      <c r="X676" s="311"/>
      <c r="Y676" s="24"/>
      <c r="Z676" s="24"/>
      <c r="AA676" s="24"/>
      <c r="AB676" s="24"/>
      <c r="AC676" s="24"/>
      <c r="AD676" s="24"/>
    </row>
    <row r="677" spans="1:30" ht="12.75">
      <c r="A677" s="313"/>
      <c r="B677" s="313"/>
      <c r="C677" s="314"/>
      <c r="D677" s="311"/>
      <c r="E677" s="311"/>
      <c r="F677" s="311"/>
      <c r="G677" s="311"/>
      <c r="H677" s="311"/>
      <c r="I677" s="311"/>
      <c r="J677" s="311"/>
      <c r="K677" s="311"/>
      <c r="L677" s="311"/>
      <c r="M677" s="311"/>
      <c r="N677" s="311"/>
      <c r="O677" s="311"/>
      <c r="P677" s="311"/>
      <c r="Q677" s="311"/>
      <c r="R677" s="311"/>
      <c r="S677" s="311"/>
      <c r="T677" s="311"/>
      <c r="U677" s="311"/>
      <c r="V677" s="311"/>
      <c r="W677" s="311"/>
      <c r="X677" s="311"/>
      <c r="Y677" s="24"/>
      <c r="Z677" s="24"/>
      <c r="AA677" s="24"/>
      <c r="AB677" s="24"/>
      <c r="AC677" s="24"/>
      <c r="AD677" s="24"/>
    </row>
    <row r="678" spans="1:30" ht="12.75">
      <c r="A678" s="313"/>
      <c r="B678" s="313"/>
      <c r="C678" s="314"/>
      <c r="D678" s="311"/>
      <c r="E678" s="311"/>
      <c r="F678" s="311"/>
      <c r="G678" s="311"/>
      <c r="H678" s="311"/>
      <c r="I678" s="311"/>
      <c r="J678" s="311"/>
      <c r="K678" s="311"/>
      <c r="L678" s="311"/>
      <c r="M678" s="311"/>
      <c r="N678" s="311"/>
      <c r="O678" s="311"/>
      <c r="P678" s="311"/>
      <c r="Q678" s="311"/>
      <c r="R678" s="311"/>
      <c r="S678" s="311"/>
      <c r="T678" s="311"/>
      <c r="U678" s="311"/>
      <c r="V678" s="311"/>
      <c r="W678" s="311"/>
      <c r="X678" s="311"/>
      <c r="Y678" s="24"/>
      <c r="Z678" s="24"/>
      <c r="AA678" s="24"/>
      <c r="AB678" s="24"/>
      <c r="AC678" s="24"/>
      <c r="AD678" s="24"/>
    </row>
    <row r="679" spans="1:30" ht="12.75">
      <c r="A679" s="313"/>
      <c r="B679" s="313"/>
      <c r="C679" s="314"/>
      <c r="D679" s="311"/>
      <c r="E679" s="311"/>
      <c r="F679" s="311"/>
      <c r="G679" s="311"/>
      <c r="H679" s="311"/>
      <c r="I679" s="311"/>
      <c r="J679" s="311"/>
      <c r="K679" s="311"/>
      <c r="L679" s="311"/>
      <c r="M679" s="311"/>
      <c r="N679" s="311"/>
      <c r="O679" s="311"/>
      <c r="P679" s="311"/>
      <c r="Q679" s="311"/>
      <c r="R679" s="311"/>
      <c r="S679" s="311"/>
      <c r="T679" s="311"/>
      <c r="U679" s="311"/>
      <c r="V679" s="311"/>
      <c r="W679" s="311"/>
      <c r="X679" s="311"/>
      <c r="Y679" s="24"/>
      <c r="Z679" s="24"/>
      <c r="AA679" s="24"/>
      <c r="AB679" s="24"/>
      <c r="AC679" s="24"/>
      <c r="AD679" s="24"/>
    </row>
    <row r="680" spans="1:30" ht="12.75">
      <c r="A680" s="313"/>
      <c r="B680" s="313"/>
      <c r="C680" s="314"/>
      <c r="D680" s="311"/>
      <c r="E680" s="311"/>
      <c r="F680" s="311"/>
      <c r="G680" s="311"/>
      <c r="H680" s="311"/>
      <c r="I680" s="311"/>
      <c r="J680" s="311"/>
      <c r="K680" s="311"/>
      <c r="L680" s="311"/>
      <c r="M680" s="311"/>
      <c r="N680" s="311"/>
      <c r="O680" s="311"/>
      <c r="P680" s="311"/>
      <c r="Q680" s="311"/>
      <c r="R680" s="311"/>
      <c r="S680" s="311"/>
      <c r="T680" s="311"/>
      <c r="U680" s="311"/>
      <c r="V680" s="311"/>
      <c r="W680" s="311"/>
      <c r="X680" s="311"/>
      <c r="Y680" s="24"/>
      <c r="Z680" s="24"/>
      <c r="AA680" s="24"/>
      <c r="AB680" s="24"/>
      <c r="AC680" s="24"/>
      <c r="AD680" s="24"/>
    </row>
    <row r="681" spans="1:30" ht="12.75">
      <c r="A681" s="313"/>
      <c r="B681" s="313"/>
      <c r="C681" s="314"/>
      <c r="D681" s="311"/>
      <c r="E681" s="311"/>
      <c r="F681" s="311"/>
      <c r="G681" s="311"/>
      <c r="H681" s="311"/>
      <c r="I681" s="311"/>
      <c r="J681" s="311"/>
      <c r="K681" s="311"/>
      <c r="L681" s="311"/>
      <c r="M681" s="311"/>
      <c r="N681" s="311"/>
      <c r="O681" s="311"/>
      <c r="P681" s="311"/>
      <c r="Q681" s="311"/>
      <c r="R681" s="311"/>
      <c r="S681" s="311"/>
      <c r="T681" s="311"/>
      <c r="U681" s="311"/>
      <c r="V681" s="311"/>
      <c r="W681" s="311"/>
      <c r="X681" s="311"/>
      <c r="Y681" s="24"/>
      <c r="Z681" s="24"/>
      <c r="AA681" s="24"/>
      <c r="AB681" s="24"/>
      <c r="AC681" s="24"/>
      <c r="AD681" s="24"/>
    </row>
    <row r="682" spans="1:30" ht="12.75">
      <c r="A682" s="313"/>
      <c r="B682" s="313"/>
      <c r="C682" s="314"/>
      <c r="D682" s="311"/>
      <c r="E682" s="311"/>
      <c r="F682" s="311"/>
      <c r="G682" s="311"/>
      <c r="H682" s="311"/>
      <c r="I682" s="311"/>
      <c r="J682" s="311"/>
      <c r="K682" s="311"/>
      <c r="L682" s="311"/>
      <c r="M682" s="311"/>
      <c r="N682" s="311"/>
      <c r="O682" s="311"/>
      <c r="P682" s="311"/>
      <c r="Q682" s="311"/>
      <c r="R682" s="311"/>
      <c r="S682" s="311"/>
      <c r="T682" s="311"/>
      <c r="U682" s="311"/>
      <c r="V682" s="311"/>
      <c r="W682" s="311"/>
      <c r="X682" s="311"/>
      <c r="Y682" s="24"/>
      <c r="Z682" s="24"/>
      <c r="AA682" s="24"/>
      <c r="AB682" s="24"/>
      <c r="AC682" s="24"/>
      <c r="AD682" s="24"/>
    </row>
    <row r="683" spans="1:30" ht="12.75">
      <c r="A683" s="313"/>
      <c r="B683" s="313"/>
      <c r="C683" s="314"/>
      <c r="D683" s="311"/>
      <c r="E683" s="311"/>
      <c r="F683" s="311"/>
      <c r="G683" s="311"/>
      <c r="H683" s="311"/>
      <c r="I683" s="311"/>
      <c r="J683" s="311"/>
      <c r="K683" s="311"/>
      <c r="L683" s="311"/>
      <c r="M683" s="311"/>
      <c r="N683" s="311"/>
      <c r="O683" s="311"/>
      <c r="P683" s="311"/>
      <c r="Q683" s="311"/>
      <c r="R683" s="311"/>
      <c r="S683" s="311"/>
      <c r="T683" s="311"/>
      <c r="U683" s="311"/>
      <c r="V683" s="311"/>
      <c r="W683" s="311"/>
      <c r="X683" s="311"/>
      <c r="Y683" s="24"/>
      <c r="Z683" s="24"/>
      <c r="AA683" s="24"/>
      <c r="AB683" s="24"/>
      <c r="AC683" s="24"/>
      <c r="AD683" s="24"/>
    </row>
    <row r="684" spans="1:30" ht="12.75">
      <c r="A684" s="313"/>
      <c r="B684" s="313"/>
      <c r="C684" s="314"/>
      <c r="D684" s="311"/>
      <c r="E684" s="311"/>
      <c r="F684" s="311"/>
      <c r="G684" s="311"/>
      <c r="H684" s="311"/>
      <c r="I684" s="311"/>
      <c r="J684" s="311"/>
      <c r="K684" s="311"/>
      <c r="L684" s="311"/>
      <c r="M684" s="311"/>
      <c r="N684" s="311"/>
      <c r="O684" s="311"/>
      <c r="P684" s="311"/>
      <c r="Q684" s="311"/>
      <c r="R684" s="311"/>
      <c r="S684" s="311"/>
      <c r="T684" s="311"/>
      <c r="U684" s="311"/>
      <c r="V684" s="311"/>
      <c r="W684" s="311"/>
      <c r="X684" s="311"/>
      <c r="Y684" s="24"/>
      <c r="Z684" s="24"/>
      <c r="AA684" s="24"/>
      <c r="AB684" s="24"/>
      <c r="AC684" s="24"/>
      <c r="AD684" s="24"/>
    </row>
    <row r="685" spans="1:30" ht="12.75">
      <c r="A685" s="313"/>
      <c r="B685" s="313"/>
      <c r="C685" s="314"/>
      <c r="D685" s="311"/>
      <c r="E685" s="311"/>
      <c r="F685" s="311"/>
      <c r="G685" s="311"/>
      <c r="H685" s="311"/>
      <c r="I685" s="311"/>
      <c r="J685" s="311"/>
      <c r="K685" s="311"/>
      <c r="L685" s="311"/>
      <c r="M685" s="311"/>
      <c r="N685" s="311"/>
      <c r="O685" s="311"/>
      <c r="P685" s="311"/>
      <c r="Q685" s="311"/>
      <c r="R685" s="311"/>
      <c r="S685" s="311"/>
      <c r="T685" s="311"/>
      <c r="U685" s="311"/>
      <c r="V685" s="311"/>
      <c r="W685" s="311"/>
      <c r="X685" s="311"/>
      <c r="Y685" s="24"/>
      <c r="Z685" s="24"/>
      <c r="AA685" s="24"/>
      <c r="AB685" s="24"/>
      <c r="AC685" s="24"/>
      <c r="AD685" s="24"/>
    </row>
    <row r="686" spans="1:30" ht="12.75">
      <c r="A686" s="313"/>
      <c r="B686" s="313"/>
      <c r="C686" s="314"/>
      <c r="D686" s="311"/>
      <c r="E686" s="311"/>
      <c r="F686" s="311"/>
      <c r="G686" s="311"/>
      <c r="H686" s="311"/>
      <c r="I686" s="311"/>
      <c r="J686" s="311"/>
      <c r="K686" s="311"/>
      <c r="L686" s="311"/>
      <c r="M686" s="311"/>
      <c r="N686" s="311"/>
      <c r="O686" s="311"/>
      <c r="P686" s="311"/>
      <c r="Q686" s="311"/>
      <c r="R686" s="311"/>
      <c r="S686" s="311"/>
      <c r="T686" s="311"/>
      <c r="U686" s="311"/>
      <c r="V686" s="311"/>
      <c r="W686" s="311"/>
      <c r="X686" s="311"/>
      <c r="Y686" s="24"/>
      <c r="Z686" s="24"/>
      <c r="AA686" s="24"/>
      <c r="AB686" s="24"/>
      <c r="AC686" s="24"/>
      <c r="AD686" s="24"/>
    </row>
    <row r="687" spans="1:30" ht="12.75">
      <c r="A687" s="313"/>
      <c r="B687" s="313"/>
      <c r="C687" s="314"/>
      <c r="D687" s="311"/>
      <c r="E687" s="311"/>
      <c r="F687" s="311"/>
      <c r="G687" s="311"/>
      <c r="H687" s="311"/>
      <c r="I687" s="311"/>
      <c r="J687" s="311"/>
      <c r="K687" s="311"/>
      <c r="L687" s="311"/>
      <c r="M687" s="311"/>
      <c r="N687" s="311"/>
      <c r="O687" s="311"/>
      <c r="P687" s="311"/>
      <c r="Q687" s="311"/>
      <c r="R687" s="311"/>
      <c r="S687" s="311"/>
      <c r="T687" s="311"/>
      <c r="U687" s="311"/>
      <c r="V687" s="311"/>
      <c r="W687" s="311"/>
      <c r="X687" s="311"/>
      <c r="Y687" s="24"/>
      <c r="Z687" s="24"/>
      <c r="AA687" s="24"/>
      <c r="AB687" s="24"/>
      <c r="AC687" s="24"/>
      <c r="AD687" s="24"/>
    </row>
    <row r="688" spans="1:30" ht="12.75">
      <c r="A688" s="313"/>
      <c r="B688" s="313"/>
      <c r="C688" s="314"/>
      <c r="D688" s="311"/>
      <c r="E688" s="311"/>
      <c r="F688" s="311"/>
      <c r="G688" s="311"/>
      <c r="H688" s="311"/>
      <c r="I688" s="311"/>
      <c r="J688" s="311"/>
      <c r="K688" s="311"/>
      <c r="L688" s="311"/>
      <c r="M688" s="311"/>
      <c r="N688" s="311"/>
      <c r="O688" s="311"/>
      <c r="P688" s="311"/>
      <c r="Q688" s="311"/>
      <c r="R688" s="311"/>
      <c r="S688" s="311"/>
      <c r="T688" s="311"/>
      <c r="U688" s="311"/>
      <c r="V688" s="311"/>
      <c r="W688" s="311"/>
      <c r="X688" s="311"/>
      <c r="Y688" s="24"/>
      <c r="Z688" s="24"/>
      <c r="AA688" s="24"/>
      <c r="AB688" s="24"/>
      <c r="AC688" s="24"/>
      <c r="AD688" s="24"/>
    </row>
    <row r="689" spans="1:30" ht="12.75">
      <c r="A689" s="313"/>
      <c r="B689" s="313"/>
      <c r="C689" s="314"/>
      <c r="D689" s="311"/>
      <c r="E689" s="311"/>
      <c r="F689" s="311"/>
      <c r="G689" s="311"/>
      <c r="H689" s="311"/>
      <c r="I689" s="311"/>
      <c r="J689" s="311"/>
      <c r="K689" s="311"/>
      <c r="L689" s="311"/>
      <c r="M689" s="311"/>
      <c r="N689" s="311"/>
      <c r="O689" s="311"/>
      <c r="P689" s="311"/>
      <c r="Q689" s="311"/>
      <c r="R689" s="311"/>
      <c r="S689" s="311"/>
      <c r="T689" s="311"/>
      <c r="U689" s="311"/>
      <c r="V689" s="311"/>
      <c r="W689" s="311"/>
      <c r="X689" s="311"/>
      <c r="Y689" s="24"/>
      <c r="Z689" s="24"/>
      <c r="AA689" s="24"/>
      <c r="AB689" s="24"/>
      <c r="AC689" s="24"/>
      <c r="AD689" s="24"/>
    </row>
    <row r="690" spans="1:30" ht="12.75">
      <c r="A690" s="313"/>
      <c r="B690" s="313"/>
      <c r="C690" s="314"/>
      <c r="D690" s="311"/>
      <c r="E690" s="311"/>
      <c r="F690" s="311"/>
      <c r="G690" s="311"/>
      <c r="H690" s="311"/>
      <c r="I690" s="311"/>
      <c r="J690" s="311"/>
      <c r="K690" s="311"/>
      <c r="L690" s="311"/>
      <c r="M690" s="311"/>
      <c r="N690" s="311"/>
      <c r="O690" s="311"/>
      <c r="P690" s="311"/>
      <c r="Q690" s="311"/>
      <c r="R690" s="311"/>
      <c r="S690" s="311"/>
      <c r="T690" s="311"/>
      <c r="U690" s="311"/>
      <c r="V690" s="311"/>
      <c r="W690" s="311"/>
      <c r="X690" s="311"/>
      <c r="Y690" s="24"/>
      <c r="Z690" s="24"/>
      <c r="AA690" s="24"/>
      <c r="AB690" s="24"/>
      <c r="AC690" s="24"/>
      <c r="AD690" s="24"/>
    </row>
    <row r="691" spans="1:30" ht="12.75">
      <c r="A691" s="313"/>
      <c r="B691" s="313"/>
      <c r="C691" s="314"/>
      <c r="D691" s="311"/>
      <c r="E691" s="311"/>
      <c r="F691" s="311"/>
      <c r="G691" s="311"/>
      <c r="H691" s="311"/>
      <c r="I691" s="311"/>
      <c r="J691" s="311"/>
      <c r="K691" s="311"/>
      <c r="L691" s="311"/>
      <c r="M691" s="311"/>
      <c r="N691" s="311"/>
      <c r="O691" s="311"/>
      <c r="P691" s="311"/>
      <c r="Q691" s="311"/>
      <c r="R691" s="311"/>
      <c r="S691" s="311"/>
      <c r="T691" s="311"/>
      <c r="U691" s="311"/>
      <c r="V691" s="311"/>
      <c r="W691" s="311"/>
      <c r="X691" s="311"/>
      <c r="Y691" s="24"/>
      <c r="Z691" s="24"/>
      <c r="AA691" s="24"/>
      <c r="AB691" s="24"/>
      <c r="AC691" s="24"/>
      <c r="AD691" s="24"/>
    </row>
    <row r="692" spans="1:30" ht="12.75">
      <c r="A692" s="313"/>
      <c r="B692" s="313"/>
      <c r="C692" s="314"/>
      <c r="D692" s="311"/>
      <c r="E692" s="311"/>
      <c r="F692" s="311"/>
      <c r="G692" s="311"/>
      <c r="H692" s="311"/>
      <c r="I692" s="311"/>
      <c r="J692" s="311"/>
      <c r="K692" s="311"/>
      <c r="L692" s="311"/>
      <c r="M692" s="311"/>
      <c r="N692" s="311"/>
      <c r="O692" s="311"/>
      <c r="P692" s="311"/>
      <c r="Q692" s="311"/>
      <c r="R692" s="311"/>
      <c r="S692" s="311"/>
      <c r="T692" s="311"/>
      <c r="U692" s="311"/>
      <c r="V692" s="311"/>
      <c r="W692" s="311"/>
      <c r="X692" s="311"/>
      <c r="Y692" s="24"/>
      <c r="Z692" s="24"/>
      <c r="AA692" s="24"/>
      <c r="AB692" s="24"/>
      <c r="AC692" s="24"/>
      <c r="AD692" s="24"/>
    </row>
    <row r="693" spans="1:30" ht="12.75">
      <c r="A693" s="313"/>
      <c r="B693" s="313"/>
      <c r="C693" s="314"/>
      <c r="D693" s="311"/>
      <c r="E693" s="311"/>
      <c r="F693" s="311"/>
      <c r="G693" s="311"/>
      <c r="H693" s="311"/>
      <c r="I693" s="311"/>
      <c r="J693" s="311"/>
      <c r="K693" s="311"/>
      <c r="L693" s="311"/>
      <c r="M693" s="311"/>
      <c r="N693" s="311"/>
      <c r="O693" s="311"/>
      <c r="P693" s="311"/>
      <c r="Q693" s="311"/>
      <c r="R693" s="311"/>
      <c r="S693" s="311"/>
      <c r="T693" s="311"/>
      <c r="U693" s="311"/>
      <c r="V693" s="311"/>
      <c r="W693" s="311"/>
      <c r="X693" s="311"/>
      <c r="Y693" s="24"/>
      <c r="Z693" s="24"/>
      <c r="AA693" s="24"/>
      <c r="AB693" s="24"/>
      <c r="AC693" s="24"/>
      <c r="AD693" s="24"/>
    </row>
    <row r="694" spans="1:30" ht="12.75">
      <c r="A694" s="313"/>
      <c r="B694" s="313"/>
      <c r="C694" s="314"/>
      <c r="D694" s="311"/>
      <c r="E694" s="311"/>
      <c r="F694" s="311"/>
      <c r="G694" s="311"/>
      <c r="H694" s="311"/>
      <c r="I694" s="311"/>
      <c r="J694" s="311"/>
      <c r="K694" s="311"/>
      <c r="L694" s="311"/>
      <c r="M694" s="311"/>
      <c r="N694" s="311"/>
      <c r="O694" s="311"/>
      <c r="P694" s="311"/>
      <c r="Q694" s="311"/>
      <c r="R694" s="311"/>
      <c r="S694" s="311"/>
      <c r="T694" s="311"/>
      <c r="U694" s="311"/>
      <c r="V694" s="311"/>
      <c r="W694" s="311"/>
      <c r="X694" s="311"/>
      <c r="Y694" s="24"/>
      <c r="Z694" s="24"/>
      <c r="AA694" s="24"/>
      <c r="AB694" s="24"/>
      <c r="AC694" s="24"/>
      <c r="AD694" s="24"/>
    </row>
    <row r="695" spans="1:30" ht="12.75">
      <c r="A695" s="313"/>
      <c r="B695" s="313"/>
      <c r="C695" s="314"/>
      <c r="D695" s="311"/>
      <c r="E695" s="311"/>
      <c r="F695" s="311"/>
      <c r="G695" s="311"/>
      <c r="H695" s="311"/>
      <c r="I695" s="311"/>
      <c r="J695" s="311"/>
      <c r="K695" s="311"/>
      <c r="L695" s="311"/>
      <c r="M695" s="311"/>
      <c r="N695" s="311"/>
      <c r="O695" s="311"/>
      <c r="P695" s="311"/>
      <c r="Q695" s="311"/>
      <c r="R695" s="311"/>
      <c r="S695" s="311"/>
      <c r="T695" s="311"/>
      <c r="U695" s="311"/>
      <c r="V695" s="311"/>
      <c r="W695" s="311"/>
      <c r="X695" s="311"/>
      <c r="Y695" s="24"/>
      <c r="Z695" s="24"/>
      <c r="AA695" s="24"/>
      <c r="AB695" s="24"/>
      <c r="AC695" s="24"/>
      <c r="AD695" s="24"/>
    </row>
    <row r="696" spans="1:30" ht="12.75">
      <c r="A696" s="313"/>
      <c r="B696" s="313"/>
      <c r="C696" s="314"/>
      <c r="D696" s="311"/>
      <c r="E696" s="311"/>
      <c r="F696" s="311"/>
      <c r="G696" s="311"/>
      <c r="H696" s="311"/>
      <c r="I696" s="311"/>
      <c r="J696" s="311"/>
      <c r="K696" s="311"/>
      <c r="L696" s="311"/>
      <c r="M696" s="311"/>
      <c r="N696" s="311"/>
      <c r="O696" s="311"/>
      <c r="P696" s="311"/>
      <c r="Q696" s="311"/>
      <c r="R696" s="311"/>
      <c r="S696" s="311"/>
      <c r="T696" s="311"/>
      <c r="U696" s="311"/>
      <c r="V696" s="311"/>
      <c r="W696" s="311"/>
      <c r="X696" s="311"/>
      <c r="Y696" s="24"/>
      <c r="Z696" s="24"/>
      <c r="AA696" s="24"/>
      <c r="AB696" s="24"/>
      <c r="AC696" s="24"/>
      <c r="AD696" s="24"/>
    </row>
    <row r="697" spans="1:30" ht="12.75">
      <c r="A697" s="313"/>
      <c r="B697" s="313"/>
      <c r="C697" s="314"/>
      <c r="D697" s="311"/>
      <c r="E697" s="311"/>
      <c r="F697" s="311"/>
      <c r="G697" s="311"/>
      <c r="H697" s="311"/>
      <c r="I697" s="311"/>
      <c r="J697" s="311"/>
      <c r="K697" s="311"/>
      <c r="L697" s="311"/>
      <c r="M697" s="311"/>
      <c r="N697" s="311"/>
      <c r="O697" s="311"/>
      <c r="P697" s="311"/>
      <c r="Q697" s="311"/>
      <c r="R697" s="311"/>
      <c r="S697" s="311"/>
      <c r="T697" s="311"/>
      <c r="U697" s="311"/>
      <c r="V697" s="311"/>
      <c r="W697" s="311"/>
      <c r="X697" s="311"/>
      <c r="Y697" s="24"/>
      <c r="Z697" s="24"/>
      <c r="AA697" s="24"/>
      <c r="AB697" s="24"/>
      <c r="AC697" s="24"/>
      <c r="AD697" s="24"/>
    </row>
    <row r="698" spans="1:30" ht="12.75">
      <c r="A698" s="313"/>
      <c r="B698" s="313"/>
      <c r="C698" s="314"/>
      <c r="D698" s="311"/>
      <c r="E698" s="311"/>
      <c r="F698" s="311"/>
      <c r="G698" s="311"/>
      <c r="H698" s="311"/>
      <c r="I698" s="311"/>
      <c r="J698" s="311"/>
      <c r="K698" s="311"/>
      <c r="L698" s="311"/>
      <c r="M698" s="311"/>
      <c r="N698" s="311"/>
      <c r="O698" s="311"/>
      <c r="P698" s="311"/>
      <c r="Q698" s="311"/>
      <c r="R698" s="311"/>
      <c r="S698" s="311"/>
      <c r="T698" s="311"/>
      <c r="U698" s="311"/>
      <c r="V698" s="311"/>
      <c r="W698" s="311"/>
      <c r="X698" s="311"/>
      <c r="Y698" s="24"/>
      <c r="Z698" s="24"/>
      <c r="AA698" s="24"/>
      <c r="AB698" s="24"/>
      <c r="AC698" s="24"/>
      <c r="AD698" s="24"/>
    </row>
    <row r="699" spans="1:30" ht="12.75">
      <c r="A699" s="313"/>
      <c r="B699" s="313"/>
      <c r="C699" s="314"/>
      <c r="D699" s="311"/>
      <c r="E699" s="311"/>
      <c r="F699" s="311"/>
      <c r="G699" s="311"/>
      <c r="H699" s="311"/>
      <c r="I699" s="311"/>
      <c r="J699" s="311"/>
      <c r="K699" s="311"/>
      <c r="L699" s="311"/>
      <c r="M699" s="311"/>
      <c r="N699" s="311"/>
      <c r="O699" s="311"/>
      <c r="P699" s="311"/>
      <c r="Q699" s="311"/>
      <c r="R699" s="311"/>
      <c r="S699" s="311"/>
      <c r="T699" s="311"/>
      <c r="U699" s="311"/>
      <c r="V699" s="311"/>
      <c r="W699" s="311"/>
      <c r="X699" s="311"/>
      <c r="Y699" s="24"/>
      <c r="Z699" s="24"/>
      <c r="AA699" s="24"/>
      <c r="AB699" s="24"/>
      <c r="AC699" s="24"/>
      <c r="AD699" s="24"/>
    </row>
    <row r="700" spans="1:30" ht="12.75">
      <c r="A700" s="313"/>
      <c r="B700" s="313"/>
      <c r="C700" s="314"/>
      <c r="D700" s="311"/>
      <c r="E700" s="311"/>
      <c r="F700" s="311"/>
      <c r="G700" s="311"/>
      <c r="H700" s="311"/>
      <c r="I700" s="311"/>
      <c r="J700" s="311"/>
      <c r="K700" s="311"/>
      <c r="L700" s="311"/>
      <c r="M700" s="311"/>
      <c r="N700" s="311"/>
      <c r="O700" s="311"/>
      <c r="P700" s="311"/>
      <c r="Q700" s="311"/>
      <c r="R700" s="311"/>
      <c r="S700" s="311"/>
      <c r="T700" s="311"/>
      <c r="U700" s="311"/>
      <c r="V700" s="311"/>
      <c r="W700" s="311"/>
      <c r="X700" s="311"/>
      <c r="Y700" s="24"/>
      <c r="Z700" s="24"/>
      <c r="AA700" s="24"/>
      <c r="AB700" s="24"/>
      <c r="AC700" s="24"/>
      <c r="AD700" s="24"/>
    </row>
    <row r="701" spans="1:30" ht="12.75">
      <c r="A701" s="313"/>
      <c r="B701" s="313"/>
      <c r="C701" s="314"/>
      <c r="D701" s="311"/>
      <c r="E701" s="311"/>
      <c r="F701" s="311"/>
      <c r="G701" s="311"/>
      <c r="H701" s="311"/>
      <c r="I701" s="311"/>
      <c r="J701" s="311"/>
      <c r="K701" s="311"/>
      <c r="L701" s="311"/>
      <c r="M701" s="311"/>
      <c r="N701" s="311"/>
      <c r="O701" s="311"/>
      <c r="P701" s="311"/>
      <c r="Q701" s="311"/>
      <c r="R701" s="311"/>
      <c r="S701" s="311"/>
      <c r="T701" s="311"/>
      <c r="U701" s="311"/>
      <c r="V701" s="311"/>
      <c r="W701" s="311"/>
      <c r="X701" s="311"/>
      <c r="Y701" s="24"/>
      <c r="Z701" s="24"/>
      <c r="AA701" s="24"/>
      <c r="AB701" s="24"/>
      <c r="AC701" s="24"/>
      <c r="AD701" s="24"/>
    </row>
    <row r="702" spans="1:30" ht="12.75">
      <c r="A702" s="313"/>
      <c r="B702" s="313"/>
      <c r="C702" s="314"/>
      <c r="D702" s="311"/>
      <c r="E702" s="311"/>
      <c r="F702" s="311"/>
      <c r="G702" s="311"/>
      <c r="H702" s="311"/>
      <c r="I702" s="311"/>
      <c r="J702" s="311"/>
      <c r="K702" s="311"/>
      <c r="L702" s="311"/>
      <c r="M702" s="311"/>
      <c r="N702" s="311"/>
      <c r="O702" s="311"/>
      <c r="P702" s="311"/>
      <c r="Q702" s="311"/>
      <c r="R702" s="311"/>
      <c r="S702" s="311"/>
      <c r="T702" s="311"/>
      <c r="U702" s="311"/>
      <c r="V702" s="311"/>
      <c r="W702" s="311"/>
      <c r="X702" s="311"/>
      <c r="Y702" s="24"/>
      <c r="Z702" s="24"/>
      <c r="AA702" s="24"/>
      <c r="AB702" s="24"/>
      <c r="AC702" s="24"/>
      <c r="AD702" s="24"/>
    </row>
    <row r="703" spans="1:30" ht="12.75">
      <c r="A703" s="313"/>
      <c r="B703" s="313"/>
      <c r="C703" s="314"/>
      <c r="D703" s="311"/>
      <c r="E703" s="311"/>
      <c r="F703" s="311"/>
      <c r="G703" s="311"/>
      <c r="H703" s="311"/>
      <c r="I703" s="311"/>
      <c r="J703" s="311"/>
      <c r="K703" s="311"/>
      <c r="L703" s="311"/>
      <c r="M703" s="311"/>
      <c r="N703" s="311"/>
      <c r="O703" s="311"/>
      <c r="P703" s="311"/>
      <c r="Q703" s="311"/>
      <c r="R703" s="311"/>
      <c r="S703" s="311"/>
      <c r="T703" s="311"/>
      <c r="U703" s="311"/>
      <c r="V703" s="311"/>
      <c r="W703" s="311"/>
      <c r="X703" s="311"/>
      <c r="Y703" s="24"/>
      <c r="Z703" s="24"/>
      <c r="AA703" s="24"/>
      <c r="AB703" s="24"/>
      <c r="AC703" s="24"/>
      <c r="AD703" s="24"/>
    </row>
    <row r="704" spans="1:30" ht="12.75">
      <c r="A704" s="313"/>
      <c r="B704" s="313"/>
      <c r="C704" s="314"/>
      <c r="D704" s="311"/>
      <c r="E704" s="311"/>
      <c r="F704" s="311"/>
      <c r="G704" s="311"/>
      <c r="H704" s="311"/>
      <c r="I704" s="311"/>
      <c r="J704" s="311"/>
      <c r="K704" s="311"/>
      <c r="L704" s="311"/>
      <c r="M704" s="311"/>
      <c r="N704" s="311"/>
      <c r="O704" s="311"/>
      <c r="P704" s="311"/>
      <c r="Q704" s="311"/>
      <c r="R704" s="311"/>
      <c r="S704" s="311"/>
      <c r="T704" s="311"/>
      <c r="U704" s="311"/>
      <c r="V704" s="311"/>
      <c r="W704" s="311"/>
      <c r="X704" s="311"/>
      <c r="Y704" s="24"/>
      <c r="Z704" s="24"/>
      <c r="AA704" s="24"/>
      <c r="AB704" s="24"/>
      <c r="AC704" s="24"/>
      <c r="AD704" s="24"/>
    </row>
    <row r="705" spans="1:30" ht="12.75">
      <c r="A705" s="313"/>
      <c r="B705" s="313"/>
      <c r="C705" s="314"/>
      <c r="D705" s="311"/>
      <c r="E705" s="311"/>
      <c r="F705" s="311"/>
      <c r="G705" s="311"/>
      <c r="H705" s="311"/>
      <c r="I705" s="311"/>
      <c r="J705" s="311"/>
      <c r="K705" s="311"/>
      <c r="L705" s="311"/>
      <c r="M705" s="311"/>
      <c r="N705" s="311"/>
      <c r="O705" s="311"/>
      <c r="P705" s="311"/>
      <c r="Q705" s="311"/>
      <c r="R705" s="311"/>
      <c r="S705" s="311"/>
      <c r="T705" s="311"/>
      <c r="U705" s="311"/>
      <c r="V705" s="311"/>
      <c r="W705" s="311"/>
      <c r="X705" s="311"/>
      <c r="Y705" s="24"/>
      <c r="Z705" s="24"/>
      <c r="AA705" s="24"/>
      <c r="AB705" s="24"/>
      <c r="AC705" s="24"/>
      <c r="AD705" s="24"/>
    </row>
    <row r="706" spans="1:30" ht="12.75">
      <c r="A706" s="313"/>
      <c r="B706" s="313"/>
      <c r="C706" s="314"/>
      <c r="D706" s="311"/>
      <c r="E706" s="311"/>
      <c r="F706" s="311"/>
      <c r="G706" s="311"/>
      <c r="H706" s="311"/>
      <c r="I706" s="311"/>
      <c r="J706" s="311"/>
      <c r="K706" s="311"/>
      <c r="L706" s="311"/>
      <c r="M706" s="311"/>
      <c r="N706" s="311"/>
      <c r="O706" s="311"/>
      <c r="P706" s="311"/>
      <c r="Q706" s="311"/>
      <c r="R706" s="311"/>
      <c r="S706" s="311"/>
      <c r="T706" s="311"/>
      <c r="U706" s="311"/>
      <c r="V706" s="311"/>
      <c r="W706" s="311"/>
      <c r="X706" s="311"/>
      <c r="Y706" s="24"/>
      <c r="Z706" s="24"/>
      <c r="AA706" s="24"/>
      <c r="AB706" s="24"/>
      <c r="AC706" s="24"/>
      <c r="AD706" s="24"/>
    </row>
    <row r="707" spans="1:30" ht="12.75">
      <c r="A707" s="313"/>
      <c r="B707" s="313"/>
      <c r="C707" s="314"/>
      <c r="D707" s="311"/>
      <c r="E707" s="311"/>
      <c r="F707" s="311"/>
      <c r="G707" s="311"/>
      <c r="H707" s="311"/>
      <c r="I707" s="311"/>
      <c r="J707" s="311"/>
      <c r="K707" s="311"/>
      <c r="L707" s="311"/>
      <c r="M707" s="311"/>
      <c r="N707" s="311"/>
      <c r="O707" s="311"/>
      <c r="P707" s="311"/>
      <c r="Q707" s="311"/>
      <c r="R707" s="311"/>
      <c r="S707" s="311"/>
      <c r="T707" s="311"/>
      <c r="U707" s="311"/>
      <c r="V707" s="311"/>
      <c r="W707" s="311"/>
      <c r="X707" s="311"/>
      <c r="Y707" s="24"/>
      <c r="Z707" s="24"/>
      <c r="AA707" s="24"/>
      <c r="AB707" s="24"/>
      <c r="AC707" s="24"/>
      <c r="AD707" s="24"/>
    </row>
    <row r="708" spans="1:30" ht="12.75">
      <c r="A708" s="313"/>
      <c r="B708" s="313"/>
      <c r="C708" s="314"/>
      <c r="D708" s="311"/>
      <c r="E708" s="311"/>
      <c r="F708" s="311"/>
      <c r="G708" s="311"/>
      <c r="H708" s="311"/>
      <c r="I708" s="311"/>
      <c r="J708" s="311"/>
      <c r="K708" s="311"/>
      <c r="L708" s="311"/>
      <c r="M708" s="311"/>
      <c r="N708" s="311"/>
      <c r="O708" s="311"/>
      <c r="P708" s="311"/>
      <c r="Q708" s="311"/>
      <c r="R708" s="311"/>
      <c r="S708" s="311"/>
      <c r="T708" s="311"/>
      <c r="U708" s="311"/>
      <c r="V708" s="311"/>
      <c r="W708" s="311"/>
      <c r="X708" s="311"/>
      <c r="Y708" s="24"/>
      <c r="Z708" s="24"/>
      <c r="AA708" s="24"/>
      <c r="AB708" s="24"/>
      <c r="AC708" s="24"/>
      <c r="AD708" s="24"/>
    </row>
    <row r="709" spans="1:30" ht="12.75">
      <c r="A709" s="313"/>
      <c r="B709" s="313"/>
      <c r="C709" s="314"/>
      <c r="D709" s="311"/>
      <c r="E709" s="311"/>
      <c r="F709" s="311"/>
      <c r="G709" s="311"/>
      <c r="H709" s="311"/>
      <c r="I709" s="311"/>
      <c r="J709" s="311"/>
      <c r="K709" s="311"/>
      <c r="L709" s="311"/>
      <c r="M709" s="311"/>
      <c r="N709" s="311"/>
      <c r="O709" s="311"/>
      <c r="P709" s="311"/>
      <c r="Q709" s="311"/>
      <c r="R709" s="311"/>
      <c r="S709" s="311"/>
      <c r="T709" s="311"/>
      <c r="U709" s="311"/>
      <c r="V709" s="311"/>
      <c r="W709" s="311"/>
      <c r="X709" s="311"/>
      <c r="Y709" s="24"/>
      <c r="Z709" s="24"/>
      <c r="AA709" s="24"/>
      <c r="AB709" s="24"/>
      <c r="AC709" s="24"/>
      <c r="AD709" s="24"/>
    </row>
    <row r="710" spans="1:30" ht="12.75">
      <c r="A710" s="313"/>
      <c r="B710" s="313"/>
      <c r="C710" s="314"/>
      <c r="D710" s="311"/>
      <c r="E710" s="311"/>
      <c r="F710" s="311"/>
      <c r="G710" s="311"/>
      <c r="H710" s="311"/>
      <c r="I710" s="311"/>
      <c r="J710" s="311"/>
      <c r="K710" s="311"/>
      <c r="L710" s="311"/>
      <c r="M710" s="311"/>
      <c r="N710" s="311"/>
      <c r="O710" s="311"/>
      <c r="P710" s="311"/>
      <c r="Q710" s="311"/>
      <c r="R710" s="311"/>
      <c r="S710" s="311"/>
      <c r="T710" s="311"/>
      <c r="U710" s="311"/>
      <c r="V710" s="311"/>
      <c r="W710" s="311"/>
      <c r="X710" s="311"/>
      <c r="Y710" s="24"/>
      <c r="Z710" s="24"/>
      <c r="AA710" s="24"/>
      <c r="AB710" s="24"/>
      <c r="AC710" s="24"/>
      <c r="AD710" s="24"/>
    </row>
    <row r="711" spans="1:30" ht="12.75">
      <c r="A711" s="313"/>
      <c r="B711" s="313"/>
      <c r="C711" s="314"/>
      <c r="D711" s="311"/>
      <c r="E711" s="311"/>
      <c r="F711" s="311"/>
      <c r="G711" s="311"/>
      <c r="H711" s="311"/>
      <c r="I711" s="311"/>
      <c r="J711" s="311"/>
      <c r="K711" s="311"/>
      <c r="L711" s="311"/>
      <c r="M711" s="311"/>
      <c r="N711" s="311"/>
      <c r="O711" s="311"/>
      <c r="P711" s="311"/>
      <c r="Q711" s="311"/>
      <c r="R711" s="311"/>
      <c r="S711" s="311"/>
      <c r="T711" s="311"/>
      <c r="U711" s="311"/>
      <c r="V711" s="311"/>
      <c r="W711" s="311"/>
      <c r="X711" s="311"/>
      <c r="Y711" s="24"/>
      <c r="Z711" s="24"/>
      <c r="AA711" s="24"/>
      <c r="AB711" s="24"/>
      <c r="AC711" s="24"/>
      <c r="AD711" s="24"/>
    </row>
    <row r="712" spans="1:30" ht="12.75">
      <c r="A712" s="313"/>
      <c r="B712" s="313"/>
      <c r="C712" s="314"/>
      <c r="D712" s="311"/>
      <c r="E712" s="311"/>
      <c r="F712" s="311"/>
      <c r="G712" s="311"/>
      <c r="H712" s="311"/>
      <c r="I712" s="311"/>
      <c r="J712" s="311"/>
      <c r="K712" s="311"/>
      <c r="L712" s="311"/>
      <c r="M712" s="311"/>
      <c r="N712" s="311"/>
      <c r="O712" s="311"/>
      <c r="P712" s="311"/>
      <c r="Q712" s="311"/>
      <c r="R712" s="311"/>
      <c r="S712" s="311"/>
      <c r="T712" s="311"/>
      <c r="U712" s="311"/>
      <c r="V712" s="311"/>
      <c r="W712" s="311"/>
      <c r="X712" s="311"/>
      <c r="Y712" s="24"/>
      <c r="Z712" s="24"/>
      <c r="AA712" s="24"/>
      <c r="AB712" s="24"/>
      <c r="AC712" s="24"/>
      <c r="AD712" s="24"/>
    </row>
    <row r="713" spans="1:30" ht="12.75">
      <c r="A713" s="313"/>
      <c r="B713" s="313"/>
      <c r="C713" s="314"/>
      <c r="D713" s="311"/>
      <c r="E713" s="311"/>
      <c r="F713" s="311"/>
      <c r="G713" s="311"/>
      <c r="H713" s="311"/>
      <c r="I713" s="311"/>
      <c r="J713" s="311"/>
      <c r="K713" s="311"/>
      <c r="L713" s="311"/>
      <c r="M713" s="311"/>
      <c r="N713" s="311"/>
      <c r="O713" s="311"/>
      <c r="P713" s="311"/>
      <c r="Q713" s="311"/>
      <c r="R713" s="311"/>
      <c r="S713" s="311"/>
      <c r="T713" s="311"/>
      <c r="U713" s="311"/>
      <c r="V713" s="311"/>
      <c r="W713" s="311"/>
      <c r="X713" s="311"/>
      <c r="Y713" s="24"/>
      <c r="Z713" s="24"/>
      <c r="AA713" s="24"/>
      <c r="AB713" s="24"/>
      <c r="AC713" s="24"/>
      <c r="AD713" s="24"/>
    </row>
    <row r="714" spans="1:30" ht="12.75">
      <c r="A714" s="313"/>
      <c r="B714" s="313"/>
      <c r="C714" s="314"/>
      <c r="D714" s="311"/>
      <c r="E714" s="311"/>
      <c r="F714" s="311"/>
      <c r="G714" s="311"/>
      <c r="H714" s="311"/>
      <c r="I714" s="311"/>
      <c r="J714" s="311"/>
      <c r="K714" s="311"/>
      <c r="L714" s="311"/>
      <c r="M714" s="311"/>
      <c r="N714" s="311"/>
      <c r="O714" s="311"/>
      <c r="P714" s="311"/>
      <c r="Q714" s="311"/>
      <c r="R714" s="311"/>
      <c r="S714" s="311"/>
      <c r="T714" s="311"/>
      <c r="U714" s="311"/>
      <c r="V714" s="311"/>
      <c r="W714" s="311"/>
      <c r="X714" s="311"/>
      <c r="Y714" s="24"/>
      <c r="Z714" s="24"/>
      <c r="AA714" s="24"/>
      <c r="AB714" s="24"/>
      <c r="AC714" s="24"/>
      <c r="AD714" s="24"/>
    </row>
    <row r="715" spans="1:30" ht="12.75">
      <c r="A715" s="313"/>
      <c r="B715" s="313"/>
      <c r="C715" s="314"/>
      <c r="D715" s="311"/>
      <c r="E715" s="311"/>
      <c r="F715" s="311"/>
      <c r="G715" s="311"/>
      <c r="H715" s="311"/>
      <c r="I715" s="311"/>
      <c r="J715" s="311"/>
      <c r="K715" s="311"/>
      <c r="L715" s="311"/>
      <c r="M715" s="311"/>
      <c r="N715" s="311"/>
      <c r="O715" s="311"/>
      <c r="P715" s="311"/>
      <c r="Q715" s="311"/>
      <c r="R715" s="311"/>
      <c r="S715" s="311"/>
      <c r="T715" s="311"/>
      <c r="U715" s="311"/>
      <c r="V715" s="311"/>
      <c r="W715" s="311"/>
      <c r="X715" s="311"/>
      <c r="Y715" s="24"/>
      <c r="Z715" s="24"/>
      <c r="AA715" s="24"/>
      <c r="AB715" s="24"/>
      <c r="AC715" s="24"/>
      <c r="AD715" s="24"/>
    </row>
    <row r="716" spans="1:30" ht="12.75">
      <c r="A716" s="313"/>
      <c r="B716" s="313"/>
      <c r="C716" s="314"/>
      <c r="D716" s="311"/>
      <c r="E716" s="311"/>
      <c r="F716" s="311"/>
      <c r="G716" s="311"/>
      <c r="H716" s="311"/>
      <c r="I716" s="311"/>
      <c r="J716" s="311"/>
      <c r="K716" s="311"/>
      <c r="L716" s="311"/>
      <c r="M716" s="311"/>
      <c r="N716" s="311"/>
      <c r="O716" s="311"/>
      <c r="P716" s="311"/>
      <c r="Q716" s="311"/>
      <c r="R716" s="311"/>
      <c r="S716" s="311"/>
      <c r="T716" s="311"/>
      <c r="U716" s="311"/>
      <c r="V716" s="311"/>
      <c r="W716" s="311"/>
      <c r="X716" s="311"/>
      <c r="Y716" s="24"/>
      <c r="Z716" s="24"/>
      <c r="AA716" s="24"/>
      <c r="AB716" s="24"/>
      <c r="AC716" s="24"/>
      <c r="AD716" s="24"/>
    </row>
    <row r="717" spans="1:30" ht="12.75">
      <c r="A717" s="313"/>
      <c r="B717" s="313"/>
      <c r="C717" s="314"/>
      <c r="D717" s="311"/>
      <c r="E717" s="311"/>
      <c r="F717" s="311"/>
      <c r="G717" s="311"/>
      <c r="H717" s="311"/>
      <c r="I717" s="311"/>
      <c r="J717" s="311"/>
      <c r="K717" s="311"/>
      <c r="L717" s="311"/>
      <c r="M717" s="311"/>
      <c r="N717" s="311"/>
      <c r="O717" s="311"/>
      <c r="P717" s="311"/>
      <c r="Q717" s="311"/>
      <c r="R717" s="311"/>
      <c r="S717" s="311"/>
      <c r="T717" s="311"/>
      <c r="U717" s="311"/>
      <c r="V717" s="311"/>
      <c r="W717" s="311"/>
      <c r="X717" s="311"/>
      <c r="Y717" s="24"/>
      <c r="Z717" s="24"/>
      <c r="AA717" s="24"/>
      <c r="AB717" s="24"/>
      <c r="AC717" s="24"/>
      <c r="AD717" s="24"/>
    </row>
    <row r="718" spans="1:30" ht="12.75">
      <c r="A718" s="313"/>
      <c r="B718" s="313"/>
      <c r="C718" s="314"/>
      <c r="D718" s="311"/>
      <c r="E718" s="311"/>
      <c r="F718" s="311"/>
      <c r="G718" s="311"/>
      <c r="H718" s="311"/>
      <c r="I718" s="311"/>
      <c r="J718" s="311"/>
      <c r="K718" s="311"/>
      <c r="L718" s="311"/>
      <c r="M718" s="311"/>
      <c r="N718" s="311"/>
      <c r="O718" s="311"/>
      <c r="P718" s="311"/>
      <c r="Q718" s="311"/>
      <c r="R718" s="311"/>
      <c r="S718" s="311"/>
      <c r="T718" s="311"/>
      <c r="U718" s="311"/>
      <c r="V718" s="311"/>
      <c r="W718" s="311"/>
      <c r="X718" s="311"/>
      <c r="Y718" s="24"/>
      <c r="Z718" s="24"/>
      <c r="AA718" s="24"/>
      <c r="AB718" s="24"/>
      <c r="AC718" s="24"/>
      <c r="AD718" s="24"/>
    </row>
    <row r="719" spans="1:30" ht="12.75">
      <c r="A719" s="313"/>
      <c r="B719" s="313"/>
      <c r="C719" s="314"/>
      <c r="D719" s="311"/>
      <c r="E719" s="311"/>
      <c r="F719" s="311"/>
      <c r="G719" s="311"/>
      <c r="H719" s="311"/>
      <c r="I719" s="311"/>
      <c r="J719" s="311"/>
      <c r="K719" s="311"/>
      <c r="L719" s="311"/>
      <c r="M719" s="311"/>
      <c r="N719" s="311"/>
      <c r="O719" s="311"/>
      <c r="P719" s="311"/>
      <c r="Q719" s="311"/>
      <c r="R719" s="311"/>
      <c r="S719" s="311"/>
      <c r="T719" s="311"/>
      <c r="U719" s="311"/>
      <c r="V719" s="311"/>
      <c r="W719" s="311"/>
      <c r="X719" s="311"/>
      <c r="Y719" s="24"/>
      <c r="Z719" s="24"/>
      <c r="AA719" s="24"/>
      <c r="AB719" s="24"/>
      <c r="AC719" s="24"/>
      <c r="AD719" s="24"/>
    </row>
    <row r="720" spans="1:30" ht="12.75">
      <c r="A720" s="313"/>
      <c r="B720" s="313"/>
      <c r="C720" s="314"/>
      <c r="D720" s="311"/>
      <c r="E720" s="311"/>
      <c r="F720" s="311"/>
      <c r="G720" s="311"/>
      <c r="H720" s="311"/>
      <c r="I720" s="311"/>
      <c r="J720" s="311"/>
      <c r="K720" s="311"/>
      <c r="L720" s="311"/>
      <c r="M720" s="311"/>
      <c r="N720" s="311"/>
      <c r="O720" s="311"/>
      <c r="P720" s="311"/>
      <c r="Q720" s="311"/>
      <c r="R720" s="311"/>
      <c r="S720" s="311"/>
      <c r="T720" s="311"/>
      <c r="U720" s="311"/>
      <c r="V720" s="311"/>
      <c r="W720" s="311"/>
      <c r="X720" s="311"/>
      <c r="Y720" s="24"/>
      <c r="Z720" s="24"/>
      <c r="AA720" s="24"/>
      <c r="AB720" s="24"/>
      <c r="AC720" s="24"/>
      <c r="AD720" s="24"/>
    </row>
    <row r="721" spans="1:30" ht="12.75">
      <c r="A721" s="313"/>
      <c r="B721" s="313"/>
      <c r="C721" s="314"/>
      <c r="D721" s="311"/>
      <c r="E721" s="311"/>
      <c r="F721" s="311"/>
      <c r="G721" s="311"/>
      <c r="H721" s="311"/>
      <c r="I721" s="311"/>
      <c r="J721" s="311"/>
      <c r="K721" s="311"/>
      <c r="L721" s="311"/>
      <c r="M721" s="311"/>
      <c r="N721" s="311"/>
      <c r="O721" s="311"/>
      <c r="P721" s="311"/>
      <c r="Q721" s="311"/>
      <c r="R721" s="311"/>
      <c r="S721" s="311"/>
      <c r="T721" s="311"/>
      <c r="U721" s="311"/>
      <c r="V721" s="311"/>
      <c r="W721" s="311"/>
      <c r="X721" s="311"/>
      <c r="Y721" s="24"/>
      <c r="Z721" s="24"/>
      <c r="AA721" s="24"/>
      <c r="AB721" s="24"/>
      <c r="AC721" s="24"/>
      <c r="AD721" s="24"/>
    </row>
    <row r="722" spans="1:30" ht="12.75">
      <c r="A722" s="313"/>
      <c r="B722" s="313"/>
      <c r="C722" s="314"/>
      <c r="D722" s="311"/>
      <c r="E722" s="311"/>
      <c r="F722" s="311"/>
      <c r="G722" s="311"/>
      <c r="H722" s="311"/>
      <c r="I722" s="311"/>
      <c r="J722" s="311"/>
      <c r="K722" s="311"/>
      <c r="L722" s="311"/>
      <c r="M722" s="311"/>
      <c r="N722" s="311"/>
      <c r="O722" s="311"/>
      <c r="P722" s="311"/>
      <c r="Q722" s="311"/>
      <c r="R722" s="311"/>
      <c r="S722" s="311"/>
      <c r="T722" s="311"/>
      <c r="U722" s="311"/>
      <c r="V722" s="311"/>
      <c r="W722" s="311"/>
      <c r="X722" s="311"/>
      <c r="Y722" s="24"/>
      <c r="Z722" s="24"/>
      <c r="AA722" s="24"/>
      <c r="AB722" s="24"/>
      <c r="AC722" s="24"/>
      <c r="AD722" s="24"/>
    </row>
    <row r="723" spans="1:30" ht="12.75">
      <c r="A723" s="313"/>
      <c r="B723" s="313"/>
      <c r="C723" s="314"/>
      <c r="D723" s="311"/>
      <c r="E723" s="311"/>
      <c r="F723" s="311"/>
      <c r="G723" s="311"/>
      <c r="H723" s="311"/>
      <c r="I723" s="311"/>
      <c r="J723" s="311"/>
      <c r="K723" s="311"/>
      <c r="L723" s="311"/>
      <c r="M723" s="311"/>
      <c r="N723" s="311"/>
      <c r="O723" s="311"/>
      <c r="P723" s="311"/>
      <c r="Q723" s="311"/>
      <c r="R723" s="311"/>
      <c r="S723" s="311"/>
      <c r="T723" s="311"/>
      <c r="U723" s="311"/>
      <c r="V723" s="311"/>
      <c r="W723" s="311"/>
      <c r="X723" s="311"/>
      <c r="Y723" s="24"/>
      <c r="Z723" s="24"/>
      <c r="AA723" s="24"/>
      <c r="AB723" s="24"/>
      <c r="AC723" s="24"/>
      <c r="AD723" s="24"/>
    </row>
    <row r="724" spans="1:30" ht="12.75">
      <c r="A724" s="313"/>
      <c r="B724" s="313"/>
      <c r="C724" s="314"/>
      <c r="D724" s="311"/>
      <c r="E724" s="311"/>
      <c r="F724" s="311"/>
      <c r="G724" s="311"/>
      <c r="H724" s="311"/>
      <c r="I724" s="311"/>
      <c r="J724" s="311"/>
      <c r="K724" s="311"/>
      <c r="L724" s="311"/>
      <c r="M724" s="311"/>
      <c r="N724" s="311"/>
      <c r="O724" s="311"/>
      <c r="P724" s="311"/>
      <c r="Q724" s="311"/>
      <c r="R724" s="311"/>
      <c r="S724" s="311"/>
      <c r="T724" s="311"/>
      <c r="U724" s="311"/>
      <c r="V724" s="311"/>
      <c r="W724" s="311"/>
      <c r="X724" s="311"/>
      <c r="Y724" s="24"/>
      <c r="Z724" s="24"/>
      <c r="AA724" s="24"/>
      <c r="AB724" s="24"/>
      <c r="AC724" s="24"/>
      <c r="AD724" s="24"/>
    </row>
    <row r="725" spans="1:30" ht="12.75">
      <c r="A725" s="313"/>
      <c r="B725" s="313"/>
      <c r="C725" s="314"/>
      <c r="D725" s="311"/>
      <c r="E725" s="311"/>
      <c r="F725" s="311"/>
      <c r="G725" s="311"/>
      <c r="H725" s="311"/>
      <c r="I725" s="311"/>
      <c r="J725" s="311"/>
      <c r="K725" s="311"/>
      <c r="L725" s="311"/>
      <c r="M725" s="311"/>
      <c r="N725" s="311"/>
      <c r="O725" s="311"/>
      <c r="P725" s="311"/>
      <c r="Q725" s="311"/>
      <c r="R725" s="311"/>
      <c r="S725" s="311"/>
      <c r="T725" s="311"/>
      <c r="U725" s="311"/>
      <c r="V725" s="311"/>
      <c r="W725" s="311"/>
      <c r="X725" s="311"/>
      <c r="Y725" s="24"/>
      <c r="Z725" s="24"/>
      <c r="AA725" s="24"/>
      <c r="AB725" s="24"/>
      <c r="AC725" s="24"/>
      <c r="AD725" s="24"/>
    </row>
    <row r="726" spans="1:30" ht="12.75">
      <c r="A726" s="313"/>
      <c r="B726" s="313"/>
      <c r="C726" s="314"/>
      <c r="D726" s="311"/>
      <c r="E726" s="311"/>
      <c r="F726" s="311"/>
      <c r="G726" s="311"/>
      <c r="H726" s="311"/>
      <c r="I726" s="311"/>
      <c r="J726" s="311"/>
      <c r="K726" s="311"/>
      <c r="L726" s="311"/>
      <c r="M726" s="311"/>
      <c r="N726" s="311"/>
      <c r="O726" s="311"/>
      <c r="P726" s="311"/>
      <c r="Q726" s="311"/>
      <c r="R726" s="311"/>
      <c r="S726" s="311"/>
      <c r="T726" s="311"/>
      <c r="U726" s="311"/>
      <c r="V726" s="311"/>
      <c r="W726" s="311"/>
      <c r="X726" s="311"/>
      <c r="Y726" s="24"/>
      <c r="Z726" s="24"/>
      <c r="AA726" s="24"/>
      <c r="AB726" s="24"/>
      <c r="AC726" s="24"/>
      <c r="AD726" s="24"/>
    </row>
    <row r="727" spans="1:30" ht="12.75">
      <c r="A727" s="313"/>
      <c r="B727" s="313"/>
      <c r="C727" s="314"/>
      <c r="D727" s="311"/>
      <c r="E727" s="311"/>
      <c r="F727" s="311"/>
      <c r="G727" s="311"/>
      <c r="H727" s="311"/>
      <c r="I727" s="311"/>
      <c r="J727" s="311"/>
      <c r="K727" s="311"/>
      <c r="L727" s="311"/>
      <c r="M727" s="311"/>
      <c r="N727" s="311"/>
      <c r="O727" s="311"/>
      <c r="P727" s="311"/>
      <c r="Q727" s="311"/>
      <c r="R727" s="311"/>
      <c r="S727" s="311"/>
      <c r="T727" s="311"/>
      <c r="U727" s="311"/>
      <c r="V727" s="311"/>
      <c r="W727" s="311"/>
      <c r="X727" s="311"/>
      <c r="Y727" s="24"/>
      <c r="Z727" s="24"/>
      <c r="AA727" s="24"/>
      <c r="AB727" s="24"/>
      <c r="AC727" s="24"/>
      <c r="AD727" s="24"/>
    </row>
    <row r="728" spans="1:30" ht="12.75">
      <c r="A728" s="313"/>
      <c r="B728" s="313"/>
      <c r="C728" s="314"/>
      <c r="D728" s="311"/>
      <c r="E728" s="311"/>
      <c r="F728" s="311"/>
      <c r="G728" s="311"/>
      <c r="H728" s="311"/>
      <c r="I728" s="311"/>
      <c r="J728" s="311"/>
      <c r="K728" s="311"/>
      <c r="L728" s="311"/>
      <c r="M728" s="311"/>
      <c r="N728" s="311"/>
      <c r="O728" s="311"/>
      <c r="P728" s="311"/>
      <c r="Q728" s="311"/>
      <c r="R728" s="311"/>
      <c r="S728" s="311"/>
      <c r="T728" s="311"/>
      <c r="U728" s="311"/>
      <c r="V728" s="311"/>
      <c r="W728" s="311"/>
      <c r="X728" s="311"/>
      <c r="Y728" s="24"/>
      <c r="Z728" s="24"/>
      <c r="AA728" s="24"/>
      <c r="AB728" s="24"/>
      <c r="AC728" s="24"/>
      <c r="AD728" s="24"/>
    </row>
    <row r="729" spans="1:30" ht="12.75">
      <c r="A729" s="313"/>
      <c r="B729" s="313"/>
      <c r="C729" s="314"/>
      <c r="D729" s="311"/>
      <c r="E729" s="311"/>
      <c r="F729" s="311"/>
      <c r="G729" s="311"/>
      <c r="H729" s="311"/>
      <c r="I729" s="311"/>
      <c r="J729" s="311"/>
      <c r="K729" s="311"/>
      <c r="L729" s="311"/>
      <c r="M729" s="311"/>
      <c r="N729" s="311"/>
      <c r="O729" s="311"/>
      <c r="P729" s="311"/>
      <c r="Q729" s="311"/>
      <c r="R729" s="311"/>
      <c r="S729" s="311"/>
      <c r="T729" s="311"/>
      <c r="U729" s="311"/>
      <c r="V729" s="311"/>
      <c r="W729" s="311"/>
      <c r="X729" s="311"/>
      <c r="Y729" s="24"/>
      <c r="Z729" s="24"/>
      <c r="AA729" s="24"/>
      <c r="AB729" s="24"/>
      <c r="AC729" s="24"/>
      <c r="AD729" s="24"/>
    </row>
    <row r="730" spans="1:30" ht="12.75">
      <c r="A730" s="313"/>
      <c r="B730" s="313"/>
      <c r="C730" s="314"/>
      <c r="D730" s="311"/>
      <c r="E730" s="311"/>
      <c r="F730" s="311"/>
      <c r="G730" s="311"/>
      <c r="H730" s="311"/>
      <c r="I730" s="311"/>
      <c r="J730" s="311"/>
      <c r="K730" s="311"/>
      <c r="L730" s="311"/>
      <c r="M730" s="311"/>
      <c r="N730" s="311"/>
      <c r="O730" s="311"/>
      <c r="P730" s="311"/>
      <c r="Q730" s="311"/>
      <c r="R730" s="311"/>
      <c r="S730" s="311"/>
      <c r="T730" s="311"/>
      <c r="U730" s="311"/>
      <c r="V730" s="311"/>
      <c r="W730" s="311"/>
      <c r="X730" s="311"/>
      <c r="Y730" s="24"/>
      <c r="Z730" s="24"/>
      <c r="AA730" s="24"/>
      <c r="AB730" s="24"/>
      <c r="AC730" s="24"/>
      <c r="AD730" s="24"/>
    </row>
    <row r="731" spans="1:30" ht="12.75">
      <c r="A731" s="313"/>
      <c r="B731" s="313"/>
      <c r="C731" s="314"/>
      <c r="D731" s="311"/>
      <c r="E731" s="311"/>
      <c r="F731" s="311"/>
      <c r="G731" s="311"/>
      <c r="H731" s="311"/>
      <c r="I731" s="311"/>
      <c r="J731" s="311"/>
      <c r="K731" s="311"/>
      <c r="L731" s="311"/>
      <c r="M731" s="311"/>
      <c r="N731" s="311"/>
      <c r="O731" s="311"/>
      <c r="P731" s="311"/>
      <c r="Q731" s="311"/>
      <c r="R731" s="311"/>
      <c r="S731" s="311"/>
      <c r="T731" s="311"/>
      <c r="U731" s="311"/>
      <c r="V731" s="311"/>
      <c r="W731" s="311"/>
      <c r="X731" s="311"/>
      <c r="Y731" s="24"/>
      <c r="Z731" s="24"/>
      <c r="AA731" s="24"/>
      <c r="AB731" s="24"/>
      <c r="AC731" s="24"/>
      <c r="AD731" s="24"/>
    </row>
    <row r="732" spans="1:30" ht="12.75">
      <c r="A732" s="313"/>
      <c r="B732" s="313"/>
      <c r="C732" s="314"/>
      <c r="D732" s="311"/>
      <c r="E732" s="311"/>
      <c r="F732" s="311"/>
      <c r="G732" s="311"/>
      <c r="H732" s="311"/>
      <c r="I732" s="311"/>
      <c r="J732" s="311"/>
      <c r="K732" s="311"/>
      <c r="L732" s="311"/>
      <c r="M732" s="311"/>
      <c r="N732" s="311"/>
      <c r="O732" s="311"/>
      <c r="P732" s="311"/>
      <c r="Q732" s="311"/>
      <c r="R732" s="311"/>
      <c r="S732" s="311"/>
      <c r="T732" s="311"/>
      <c r="U732" s="311"/>
      <c r="V732" s="311"/>
      <c r="W732" s="311"/>
      <c r="X732" s="311"/>
      <c r="Y732" s="24"/>
      <c r="Z732" s="24"/>
      <c r="AA732" s="24"/>
      <c r="AB732" s="24"/>
      <c r="AC732" s="24"/>
      <c r="AD732" s="24"/>
    </row>
    <row r="733" spans="1:30" ht="12.75">
      <c r="A733" s="313"/>
      <c r="B733" s="313"/>
      <c r="C733" s="314"/>
      <c r="D733" s="311"/>
      <c r="E733" s="311"/>
      <c r="F733" s="311"/>
      <c r="G733" s="311"/>
      <c r="H733" s="311"/>
      <c r="I733" s="311"/>
      <c r="J733" s="311"/>
      <c r="K733" s="311"/>
      <c r="L733" s="311"/>
      <c r="M733" s="311"/>
      <c r="N733" s="311"/>
      <c r="O733" s="311"/>
      <c r="P733" s="311"/>
      <c r="Q733" s="311"/>
      <c r="R733" s="311"/>
      <c r="S733" s="311"/>
      <c r="T733" s="311"/>
      <c r="U733" s="311"/>
      <c r="V733" s="311"/>
      <c r="W733" s="311"/>
      <c r="X733" s="311"/>
      <c r="Y733" s="24"/>
      <c r="Z733" s="24"/>
      <c r="AA733" s="24"/>
      <c r="AB733" s="24"/>
      <c r="AC733" s="24"/>
      <c r="AD733" s="24"/>
    </row>
    <row r="734" spans="1:30" ht="12.75">
      <c r="A734" s="313"/>
      <c r="B734" s="313"/>
      <c r="C734" s="314"/>
      <c r="D734" s="311"/>
      <c r="E734" s="311"/>
      <c r="F734" s="311"/>
      <c r="G734" s="311"/>
      <c r="H734" s="311"/>
      <c r="I734" s="311"/>
      <c r="J734" s="311"/>
      <c r="K734" s="311"/>
      <c r="L734" s="311"/>
      <c r="M734" s="311"/>
      <c r="N734" s="311"/>
      <c r="O734" s="311"/>
      <c r="P734" s="311"/>
      <c r="Q734" s="311"/>
      <c r="R734" s="311"/>
      <c r="S734" s="311"/>
      <c r="T734" s="311"/>
      <c r="U734" s="311"/>
      <c r="V734" s="311"/>
      <c r="W734" s="311"/>
      <c r="X734" s="311"/>
      <c r="Y734" s="24"/>
      <c r="Z734" s="24"/>
      <c r="AA734" s="24"/>
      <c r="AB734" s="24"/>
      <c r="AC734" s="24"/>
      <c r="AD734" s="24"/>
    </row>
    <row r="735" spans="1:30" ht="12.75">
      <c r="A735" s="313"/>
      <c r="B735" s="313"/>
      <c r="C735" s="314"/>
      <c r="D735" s="311"/>
      <c r="E735" s="311"/>
      <c r="F735" s="311"/>
      <c r="G735" s="311"/>
      <c r="H735" s="311"/>
      <c r="I735" s="311"/>
      <c r="J735" s="311"/>
      <c r="K735" s="311"/>
      <c r="L735" s="311"/>
      <c r="M735" s="311"/>
      <c r="N735" s="311"/>
      <c r="O735" s="311"/>
      <c r="P735" s="311"/>
      <c r="Q735" s="311"/>
      <c r="R735" s="311"/>
      <c r="S735" s="311"/>
      <c r="T735" s="311"/>
      <c r="U735" s="311"/>
      <c r="V735" s="311"/>
      <c r="W735" s="311"/>
      <c r="X735" s="311"/>
      <c r="Y735" s="24"/>
      <c r="Z735" s="24"/>
      <c r="AA735" s="24"/>
      <c r="AB735" s="24"/>
      <c r="AC735" s="24"/>
      <c r="AD735" s="24"/>
    </row>
    <row r="736" spans="1:30" ht="12.75">
      <c r="A736" s="313"/>
      <c r="B736" s="313"/>
      <c r="C736" s="314"/>
      <c r="D736" s="311"/>
      <c r="E736" s="311"/>
      <c r="F736" s="311"/>
      <c r="G736" s="311"/>
      <c r="H736" s="311"/>
      <c r="I736" s="311"/>
      <c r="J736" s="311"/>
      <c r="K736" s="311"/>
      <c r="L736" s="311"/>
      <c r="M736" s="311"/>
      <c r="N736" s="311"/>
      <c r="O736" s="311"/>
      <c r="P736" s="311"/>
      <c r="Q736" s="311"/>
      <c r="R736" s="311"/>
      <c r="S736" s="311"/>
      <c r="T736" s="311"/>
      <c r="U736" s="311"/>
      <c r="V736" s="311"/>
      <c r="W736" s="311"/>
      <c r="X736" s="311"/>
      <c r="Y736" s="24"/>
      <c r="Z736" s="24"/>
      <c r="AA736" s="24"/>
      <c r="AB736" s="24"/>
      <c r="AC736" s="24"/>
      <c r="AD736" s="24"/>
    </row>
    <row r="737" spans="1:30" ht="12.75">
      <c r="A737" s="313"/>
      <c r="B737" s="313"/>
      <c r="C737" s="314"/>
      <c r="D737" s="311"/>
      <c r="E737" s="311"/>
      <c r="F737" s="311"/>
      <c r="G737" s="311"/>
      <c r="H737" s="311"/>
      <c r="I737" s="311"/>
      <c r="J737" s="311"/>
      <c r="K737" s="311"/>
      <c r="L737" s="311"/>
      <c r="M737" s="311"/>
      <c r="N737" s="311"/>
      <c r="O737" s="311"/>
      <c r="P737" s="311"/>
      <c r="Q737" s="311"/>
      <c r="R737" s="311"/>
      <c r="S737" s="311"/>
      <c r="T737" s="311"/>
      <c r="U737" s="311"/>
      <c r="V737" s="311"/>
      <c r="W737" s="311"/>
      <c r="X737" s="311"/>
      <c r="Y737" s="24"/>
      <c r="Z737" s="24"/>
      <c r="AA737" s="24"/>
      <c r="AB737" s="24"/>
      <c r="AC737" s="24"/>
      <c r="AD737" s="24"/>
    </row>
    <row r="738" spans="1:30" ht="12.75">
      <c r="A738" s="313"/>
      <c r="B738" s="313"/>
      <c r="C738" s="314"/>
      <c r="D738" s="311"/>
      <c r="E738" s="311"/>
      <c r="F738" s="311"/>
      <c r="G738" s="311"/>
      <c r="H738" s="311"/>
      <c r="I738" s="311"/>
      <c r="J738" s="311"/>
      <c r="K738" s="311"/>
      <c r="L738" s="311"/>
      <c r="M738" s="311"/>
      <c r="N738" s="311"/>
      <c r="O738" s="311"/>
      <c r="P738" s="311"/>
      <c r="Q738" s="311"/>
      <c r="R738" s="311"/>
      <c r="S738" s="311"/>
      <c r="T738" s="311"/>
      <c r="U738" s="311"/>
      <c r="V738" s="311"/>
      <c r="W738" s="311"/>
      <c r="X738" s="311"/>
      <c r="Y738" s="24"/>
      <c r="Z738" s="24"/>
      <c r="AA738" s="24"/>
      <c r="AB738" s="24"/>
      <c r="AC738" s="24"/>
      <c r="AD738" s="24"/>
    </row>
    <row r="739" spans="1:30" ht="12.75">
      <c r="A739" s="313"/>
      <c r="B739" s="313"/>
      <c r="C739" s="314"/>
      <c r="D739" s="311"/>
      <c r="E739" s="311"/>
      <c r="F739" s="311"/>
      <c r="G739" s="311"/>
      <c r="H739" s="311"/>
      <c r="I739" s="311"/>
      <c r="J739" s="311"/>
      <c r="K739" s="311"/>
      <c r="L739" s="311"/>
      <c r="M739" s="311"/>
      <c r="N739" s="311"/>
      <c r="O739" s="311"/>
      <c r="P739" s="311"/>
      <c r="Q739" s="311"/>
      <c r="R739" s="311"/>
      <c r="S739" s="311"/>
      <c r="T739" s="311"/>
      <c r="U739" s="311"/>
      <c r="V739" s="311"/>
      <c r="W739" s="311"/>
      <c r="X739" s="311"/>
      <c r="Y739" s="24"/>
      <c r="Z739" s="24"/>
      <c r="AA739" s="24"/>
      <c r="AB739" s="24"/>
      <c r="AC739" s="24"/>
      <c r="AD739" s="24"/>
    </row>
    <row r="740" spans="1:30" ht="12.75">
      <c r="A740" s="313"/>
      <c r="B740" s="313"/>
      <c r="C740" s="314"/>
      <c r="D740" s="311"/>
      <c r="E740" s="311"/>
      <c r="F740" s="311"/>
      <c r="G740" s="311"/>
      <c r="H740" s="311"/>
      <c r="I740" s="311"/>
      <c r="J740" s="311"/>
      <c r="K740" s="311"/>
      <c r="L740" s="311"/>
      <c r="M740" s="311"/>
      <c r="N740" s="311"/>
      <c r="O740" s="311"/>
      <c r="P740" s="311"/>
      <c r="Q740" s="311"/>
      <c r="R740" s="311"/>
      <c r="S740" s="311"/>
      <c r="T740" s="311"/>
      <c r="U740" s="311"/>
      <c r="V740" s="311"/>
      <c r="W740" s="311"/>
      <c r="X740" s="311"/>
      <c r="Y740" s="24"/>
      <c r="Z740" s="24"/>
      <c r="AA740" s="24"/>
      <c r="AB740" s="24"/>
      <c r="AC740" s="24"/>
      <c r="AD740" s="24"/>
    </row>
    <row r="741" spans="1:30" ht="12.75">
      <c r="A741" s="313"/>
      <c r="B741" s="313"/>
      <c r="C741" s="314"/>
      <c r="D741" s="311"/>
      <c r="E741" s="311"/>
      <c r="F741" s="311"/>
      <c r="G741" s="311"/>
      <c r="H741" s="311"/>
      <c r="I741" s="311"/>
      <c r="J741" s="311"/>
      <c r="K741" s="311"/>
      <c r="L741" s="311"/>
      <c r="M741" s="311"/>
      <c r="N741" s="311"/>
      <c r="O741" s="311"/>
      <c r="P741" s="311"/>
      <c r="Q741" s="311"/>
      <c r="R741" s="311"/>
      <c r="S741" s="311"/>
      <c r="T741" s="311"/>
      <c r="U741" s="311"/>
      <c r="V741" s="311"/>
      <c r="W741" s="311"/>
      <c r="X741" s="311"/>
      <c r="Y741" s="24"/>
      <c r="Z741" s="24"/>
      <c r="AA741" s="24"/>
      <c r="AB741" s="24"/>
      <c r="AC741" s="24"/>
      <c r="AD741" s="24"/>
    </row>
    <row r="742" spans="1:30" ht="12.75">
      <c r="A742" s="313"/>
      <c r="B742" s="313"/>
      <c r="C742" s="314"/>
      <c r="D742" s="311"/>
      <c r="E742" s="311"/>
      <c r="F742" s="311"/>
      <c r="G742" s="311"/>
      <c r="H742" s="311"/>
      <c r="I742" s="311"/>
      <c r="J742" s="311"/>
      <c r="K742" s="311"/>
      <c r="L742" s="311"/>
      <c r="M742" s="311"/>
      <c r="N742" s="311"/>
      <c r="O742" s="311"/>
      <c r="P742" s="311"/>
      <c r="Q742" s="311"/>
      <c r="R742" s="311"/>
      <c r="S742" s="311"/>
      <c r="T742" s="311"/>
      <c r="U742" s="311"/>
      <c r="V742" s="311"/>
      <c r="W742" s="311"/>
      <c r="X742" s="311"/>
      <c r="Y742" s="24"/>
      <c r="Z742" s="24"/>
      <c r="AA742" s="24"/>
      <c r="AB742" s="24"/>
      <c r="AC742" s="24"/>
      <c r="AD742" s="24"/>
    </row>
    <row r="743" spans="1:30" ht="12.75">
      <c r="A743" s="313"/>
      <c r="B743" s="313"/>
      <c r="C743" s="314"/>
      <c r="D743" s="311"/>
      <c r="E743" s="311"/>
      <c r="F743" s="311"/>
      <c r="G743" s="311"/>
      <c r="H743" s="311"/>
      <c r="I743" s="311"/>
      <c r="J743" s="311"/>
      <c r="K743" s="311"/>
      <c r="L743" s="311"/>
      <c r="M743" s="311"/>
      <c r="N743" s="311"/>
      <c r="O743" s="311"/>
      <c r="P743" s="311"/>
      <c r="Q743" s="311"/>
      <c r="R743" s="311"/>
      <c r="S743" s="311"/>
      <c r="T743" s="311"/>
      <c r="U743" s="311"/>
      <c r="V743" s="311"/>
      <c r="W743" s="311"/>
      <c r="X743" s="311"/>
      <c r="Y743" s="24"/>
      <c r="Z743" s="24"/>
      <c r="AA743" s="24"/>
      <c r="AB743" s="24"/>
      <c r="AC743" s="24"/>
      <c r="AD743" s="24"/>
    </row>
    <row r="744" spans="1:30" ht="12.75">
      <c r="A744" s="313"/>
      <c r="B744" s="313"/>
      <c r="C744" s="314"/>
      <c r="D744" s="311"/>
      <c r="E744" s="311"/>
      <c r="F744" s="311"/>
      <c r="G744" s="311"/>
      <c r="H744" s="311"/>
      <c r="I744" s="311"/>
      <c r="J744" s="311"/>
      <c r="K744" s="311"/>
      <c r="L744" s="311"/>
      <c r="M744" s="311"/>
      <c r="N744" s="311"/>
      <c r="O744" s="311"/>
      <c r="P744" s="311"/>
      <c r="Q744" s="311"/>
      <c r="R744" s="311"/>
      <c r="S744" s="311"/>
      <c r="T744" s="311"/>
      <c r="U744" s="311"/>
      <c r="V744" s="311"/>
      <c r="W744" s="311"/>
      <c r="X744" s="311"/>
      <c r="Y744" s="24"/>
      <c r="Z744" s="24"/>
      <c r="AA744" s="24"/>
      <c r="AB744" s="24"/>
      <c r="AC744" s="24"/>
      <c r="AD744" s="24"/>
    </row>
    <row r="745" spans="1:30" ht="12.75">
      <c r="A745" s="313"/>
      <c r="B745" s="313"/>
      <c r="C745" s="314"/>
      <c r="D745" s="311"/>
      <c r="E745" s="311"/>
      <c r="F745" s="311"/>
      <c r="G745" s="311"/>
      <c r="H745" s="311"/>
      <c r="I745" s="311"/>
      <c r="J745" s="311"/>
      <c r="K745" s="311"/>
      <c r="L745" s="311"/>
      <c r="M745" s="311"/>
      <c r="N745" s="311"/>
      <c r="O745" s="311"/>
      <c r="P745" s="311"/>
      <c r="Q745" s="311"/>
      <c r="R745" s="311"/>
      <c r="S745" s="311"/>
      <c r="T745" s="311"/>
      <c r="U745" s="311"/>
      <c r="V745" s="311"/>
      <c r="W745" s="311"/>
      <c r="X745" s="311"/>
      <c r="Y745" s="24"/>
      <c r="Z745" s="24"/>
      <c r="AA745" s="24"/>
      <c r="AB745" s="24"/>
      <c r="AC745" s="24"/>
      <c r="AD745" s="24"/>
    </row>
    <row r="746" spans="1:30" ht="12.75">
      <c r="A746" s="313"/>
      <c r="B746" s="313"/>
      <c r="C746" s="314"/>
      <c r="D746" s="311"/>
      <c r="E746" s="311"/>
      <c r="F746" s="311"/>
      <c r="G746" s="311"/>
      <c r="H746" s="311"/>
      <c r="I746" s="311"/>
      <c r="J746" s="311"/>
      <c r="K746" s="311"/>
      <c r="L746" s="311"/>
      <c r="M746" s="311"/>
      <c r="N746" s="311"/>
      <c r="O746" s="311"/>
      <c r="P746" s="311"/>
      <c r="Q746" s="311"/>
      <c r="R746" s="311"/>
      <c r="S746" s="311"/>
      <c r="T746" s="311"/>
      <c r="U746" s="311"/>
      <c r="V746" s="311"/>
      <c r="W746" s="311"/>
      <c r="X746" s="311"/>
      <c r="Y746" s="24"/>
      <c r="Z746" s="24"/>
      <c r="AA746" s="24"/>
      <c r="AB746" s="24"/>
      <c r="AC746" s="24"/>
      <c r="AD746" s="24"/>
    </row>
    <row r="747" spans="1:30" ht="12.75">
      <c r="A747" s="313"/>
      <c r="B747" s="313"/>
      <c r="C747" s="314"/>
      <c r="D747" s="311"/>
      <c r="E747" s="311"/>
      <c r="F747" s="311"/>
      <c r="G747" s="311"/>
      <c r="H747" s="311"/>
      <c r="I747" s="311"/>
      <c r="J747" s="311"/>
      <c r="K747" s="311"/>
      <c r="L747" s="311"/>
      <c r="M747" s="311"/>
      <c r="N747" s="311"/>
      <c r="O747" s="311"/>
      <c r="P747" s="311"/>
      <c r="Q747" s="311"/>
      <c r="R747" s="311"/>
      <c r="S747" s="311"/>
      <c r="T747" s="311"/>
      <c r="U747" s="311"/>
      <c r="V747" s="311"/>
      <c r="W747" s="311"/>
      <c r="X747" s="311"/>
      <c r="Y747" s="24"/>
      <c r="Z747" s="24"/>
      <c r="AA747" s="24"/>
      <c r="AB747" s="24"/>
      <c r="AC747" s="24"/>
      <c r="AD747" s="24"/>
    </row>
    <row r="748" spans="1:30" ht="12.75">
      <c r="A748" s="313"/>
      <c r="B748" s="313"/>
      <c r="C748" s="314"/>
      <c r="D748" s="311"/>
      <c r="E748" s="311"/>
      <c r="F748" s="311"/>
      <c r="G748" s="311"/>
      <c r="H748" s="311"/>
      <c r="I748" s="311"/>
      <c r="J748" s="311"/>
      <c r="K748" s="311"/>
      <c r="L748" s="311"/>
      <c r="M748" s="311"/>
      <c r="N748" s="311"/>
      <c r="O748" s="311"/>
      <c r="P748" s="311"/>
      <c r="Q748" s="311"/>
      <c r="R748" s="311"/>
      <c r="S748" s="311"/>
      <c r="T748" s="311"/>
      <c r="U748" s="311"/>
      <c r="V748" s="311"/>
      <c r="W748" s="311"/>
      <c r="X748" s="311"/>
      <c r="Y748" s="24"/>
      <c r="Z748" s="24"/>
      <c r="AA748" s="24"/>
      <c r="AB748" s="24"/>
      <c r="AC748" s="24"/>
      <c r="AD748" s="24"/>
    </row>
    <row r="749" spans="1:30" ht="12.75">
      <c r="A749" s="313"/>
      <c r="B749" s="313"/>
      <c r="C749" s="314"/>
      <c r="D749" s="311"/>
      <c r="E749" s="311"/>
      <c r="F749" s="311"/>
      <c r="G749" s="311"/>
      <c r="H749" s="311"/>
      <c r="I749" s="311"/>
      <c r="J749" s="311"/>
      <c r="K749" s="311"/>
      <c r="L749" s="311"/>
      <c r="M749" s="311"/>
      <c r="N749" s="311"/>
      <c r="O749" s="311"/>
      <c r="P749" s="311"/>
      <c r="Q749" s="311"/>
      <c r="R749" s="311"/>
      <c r="S749" s="311"/>
      <c r="T749" s="311"/>
      <c r="U749" s="311"/>
      <c r="V749" s="311"/>
      <c r="W749" s="311"/>
      <c r="X749" s="311"/>
      <c r="Y749" s="24"/>
      <c r="Z749" s="24"/>
      <c r="AA749" s="24"/>
      <c r="AB749" s="24"/>
      <c r="AC749" s="24"/>
      <c r="AD749" s="24"/>
    </row>
    <row r="750" spans="1:30" ht="12.75">
      <c r="A750" s="313"/>
      <c r="B750" s="313"/>
      <c r="C750" s="314"/>
      <c r="D750" s="311"/>
      <c r="E750" s="311"/>
      <c r="F750" s="311"/>
      <c r="G750" s="311"/>
      <c r="H750" s="311"/>
      <c r="I750" s="311"/>
      <c r="J750" s="311"/>
      <c r="K750" s="311"/>
      <c r="L750" s="311"/>
      <c r="M750" s="311"/>
      <c r="N750" s="311"/>
      <c r="O750" s="311"/>
      <c r="P750" s="311"/>
      <c r="Q750" s="311"/>
      <c r="R750" s="311"/>
      <c r="S750" s="311"/>
      <c r="T750" s="311"/>
      <c r="U750" s="311"/>
      <c r="V750" s="311"/>
      <c r="W750" s="311"/>
      <c r="X750" s="311"/>
      <c r="Y750" s="24"/>
      <c r="Z750" s="24"/>
      <c r="AA750" s="24"/>
      <c r="AB750" s="24"/>
      <c r="AC750" s="24"/>
      <c r="AD750" s="24"/>
    </row>
    <row r="751" spans="1:30" ht="12.75">
      <c r="A751" s="313"/>
      <c r="B751" s="313"/>
      <c r="C751" s="314"/>
      <c r="D751" s="311"/>
      <c r="E751" s="311"/>
      <c r="F751" s="311"/>
      <c r="G751" s="311"/>
      <c r="H751" s="311"/>
      <c r="I751" s="311"/>
      <c r="J751" s="311"/>
      <c r="K751" s="311"/>
      <c r="L751" s="311"/>
      <c r="M751" s="311"/>
      <c r="N751" s="311"/>
      <c r="O751" s="311"/>
      <c r="P751" s="311"/>
      <c r="Q751" s="311"/>
      <c r="R751" s="311"/>
      <c r="S751" s="311"/>
      <c r="T751" s="311"/>
      <c r="U751" s="311"/>
      <c r="V751" s="311"/>
      <c r="W751" s="311"/>
      <c r="X751" s="311"/>
      <c r="Y751" s="24"/>
      <c r="Z751" s="24"/>
      <c r="AA751" s="24"/>
      <c r="AB751" s="24"/>
      <c r="AC751" s="24"/>
      <c r="AD751" s="24"/>
    </row>
    <row r="752" spans="1:30" ht="12.75">
      <c r="A752" s="313"/>
      <c r="B752" s="313"/>
      <c r="C752" s="314"/>
      <c r="D752" s="311"/>
      <c r="E752" s="311"/>
      <c r="F752" s="311"/>
      <c r="G752" s="311"/>
      <c r="H752" s="311"/>
      <c r="I752" s="311"/>
      <c r="J752" s="311"/>
      <c r="K752" s="311"/>
      <c r="L752" s="311"/>
      <c r="M752" s="311"/>
      <c r="N752" s="311"/>
      <c r="O752" s="311"/>
      <c r="P752" s="311"/>
      <c r="Q752" s="311"/>
      <c r="R752" s="311"/>
      <c r="S752" s="311"/>
      <c r="T752" s="311"/>
      <c r="U752" s="311"/>
      <c r="V752" s="311"/>
      <c r="W752" s="311"/>
      <c r="X752" s="311"/>
      <c r="Y752" s="24"/>
      <c r="Z752" s="24"/>
      <c r="AA752" s="24"/>
      <c r="AB752" s="24"/>
      <c r="AC752" s="24"/>
      <c r="AD752" s="24"/>
    </row>
    <row r="753" spans="1:30" ht="12.75">
      <c r="A753" s="313"/>
      <c r="B753" s="313"/>
      <c r="C753" s="314"/>
      <c r="D753" s="311"/>
      <c r="E753" s="311"/>
      <c r="F753" s="311"/>
      <c r="G753" s="311"/>
      <c r="H753" s="311"/>
      <c r="I753" s="311"/>
      <c r="J753" s="311"/>
      <c r="K753" s="311"/>
      <c r="L753" s="311"/>
      <c r="M753" s="311"/>
      <c r="N753" s="311"/>
      <c r="O753" s="311"/>
      <c r="P753" s="311"/>
      <c r="Q753" s="311"/>
      <c r="R753" s="311"/>
      <c r="S753" s="311"/>
      <c r="T753" s="311"/>
      <c r="U753" s="311"/>
      <c r="V753" s="311"/>
      <c r="W753" s="311"/>
      <c r="X753" s="311"/>
      <c r="Y753" s="24"/>
      <c r="Z753" s="24"/>
      <c r="AA753" s="24"/>
      <c r="AB753" s="24"/>
      <c r="AC753" s="24"/>
      <c r="AD753" s="24"/>
    </row>
    <row r="754" spans="1:30" ht="12.75">
      <c r="A754" s="313"/>
      <c r="B754" s="313"/>
      <c r="C754" s="314"/>
      <c r="D754" s="311"/>
      <c r="E754" s="311"/>
      <c r="F754" s="311"/>
      <c r="G754" s="311"/>
      <c r="H754" s="311"/>
      <c r="I754" s="311"/>
      <c r="J754" s="311"/>
      <c r="K754" s="311"/>
      <c r="L754" s="311"/>
      <c r="M754" s="311"/>
      <c r="N754" s="311"/>
      <c r="O754" s="311"/>
      <c r="P754" s="311"/>
      <c r="Q754" s="311"/>
      <c r="R754" s="311"/>
      <c r="S754" s="311"/>
      <c r="T754" s="311"/>
      <c r="U754" s="311"/>
      <c r="V754" s="311"/>
      <c r="W754" s="311"/>
      <c r="X754" s="311"/>
      <c r="Y754" s="24"/>
      <c r="Z754" s="24"/>
      <c r="AA754" s="24"/>
      <c r="AB754" s="24"/>
      <c r="AC754" s="24"/>
      <c r="AD754" s="24"/>
    </row>
    <row r="755" spans="1:30" ht="12.75">
      <c r="A755" s="313"/>
      <c r="B755" s="313"/>
      <c r="C755" s="314"/>
      <c r="D755" s="311"/>
      <c r="E755" s="311"/>
      <c r="F755" s="311"/>
      <c r="G755" s="311"/>
      <c r="H755" s="311"/>
      <c r="I755" s="311"/>
      <c r="J755" s="311"/>
      <c r="K755" s="311"/>
      <c r="L755" s="311"/>
      <c r="M755" s="311"/>
      <c r="N755" s="311"/>
      <c r="O755" s="311"/>
      <c r="P755" s="311"/>
      <c r="Q755" s="311"/>
      <c r="R755" s="311"/>
      <c r="S755" s="311"/>
      <c r="T755" s="311"/>
      <c r="U755" s="311"/>
      <c r="V755" s="311"/>
      <c r="W755" s="311"/>
      <c r="X755" s="311"/>
      <c r="Y755" s="24"/>
      <c r="Z755" s="24"/>
      <c r="AA755" s="24"/>
      <c r="AB755" s="24"/>
      <c r="AC755" s="24"/>
      <c r="AD755" s="24"/>
    </row>
    <row r="756" spans="1:30" ht="12.75">
      <c r="A756" s="313"/>
      <c r="B756" s="313"/>
      <c r="C756" s="314"/>
      <c r="D756" s="311"/>
      <c r="E756" s="311"/>
      <c r="F756" s="311"/>
      <c r="G756" s="311"/>
      <c r="H756" s="311"/>
      <c r="I756" s="311"/>
      <c r="J756" s="311"/>
      <c r="K756" s="311"/>
      <c r="L756" s="311"/>
      <c r="M756" s="311"/>
      <c r="N756" s="311"/>
      <c r="O756" s="311"/>
      <c r="P756" s="311"/>
      <c r="Q756" s="311"/>
      <c r="R756" s="311"/>
      <c r="S756" s="311"/>
      <c r="T756" s="311"/>
      <c r="U756" s="311"/>
      <c r="V756" s="311"/>
      <c r="W756" s="311"/>
      <c r="X756" s="311"/>
      <c r="Y756" s="24"/>
      <c r="Z756" s="24"/>
      <c r="AA756" s="24"/>
      <c r="AB756" s="24"/>
      <c r="AC756" s="24"/>
      <c r="AD756" s="24"/>
    </row>
    <row r="757" spans="1:30" ht="12.75">
      <c r="A757" s="313"/>
      <c r="B757" s="313"/>
      <c r="C757" s="314"/>
      <c r="D757" s="311"/>
      <c r="E757" s="311"/>
      <c r="F757" s="311"/>
      <c r="G757" s="311"/>
      <c r="H757" s="311"/>
      <c r="I757" s="311"/>
      <c r="J757" s="311"/>
      <c r="K757" s="311"/>
      <c r="L757" s="311"/>
      <c r="M757" s="311"/>
      <c r="N757" s="311"/>
      <c r="O757" s="311"/>
      <c r="P757" s="311"/>
      <c r="Q757" s="311"/>
      <c r="R757" s="311"/>
      <c r="S757" s="311"/>
      <c r="T757" s="311"/>
      <c r="U757" s="311"/>
      <c r="V757" s="311"/>
      <c r="W757" s="311"/>
      <c r="X757" s="311"/>
      <c r="Y757" s="24"/>
      <c r="Z757" s="24"/>
      <c r="AA757" s="24"/>
      <c r="AB757" s="24"/>
      <c r="AC757" s="24"/>
      <c r="AD757" s="24"/>
    </row>
    <row r="758" spans="1:30" ht="12.75">
      <c r="A758" s="313"/>
      <c r="B758" s="313"/>
      <c r="C758" s="314"/>
      <c r="D758" s="311"/>
      <c r="E758" s="311"/>
      <c r="F758" s="311"/>
      <c r="G758" s="311"/>
      <c r="H758" s="311"/>
      <c r="I758" s="311"/>
      <c r="J758" s="311"/>
      <c r="K758" s="311"/>
      <c r="L758" s="311"/>
      <c r="M758" s="311"/>
      <c r="N758" s="311"/>
      <c r="O758" s="311"/>
      <c r="P758" s="311"/>
      <c r="Q758" s="311"/>
      <c r="R758" s="311"/>
      <c r="S758" s="311"/>
      <c r="T758" s="311"/>
      <c r="U758" s="311"/>
      <c r="V758" s="311"/>
      <c r="W758" s="311"/>
      <c r="X758" s="311"/>
      <c r="Y758" s="24"/>
      <c r="Z758" s="24"/>
      <c r="AA758" s="24"/>
      <c r="AB758" s="24"/>
      <c r="AC758" s="24"/>
      <c r="AD758" s="24"/>
    </row>
    <row r="759" spans="1:30" ht="12.75">
      <c r="A759" s="313"/>
      <c r="B759" s="313"/>
      <c r="C759" s="314"/>
      <c r="D759" s="311"/>
      <c r="E759" s="311"/>
      <c r="F759" s="311"/>
      <c r="G759" s="311"/>
      <c r="H759" s="311"/>
      <c r="I759" s="311"/>
      <c r="J759" s="311"/>
      <c r="K759" s="311"/>
      <c r="L759" s="311"/>
      <c r="M759" s="311"/>
      <c r="N759" s="311"/>
      <c r="O759" s="311"/>
      <c r="P759" s="311"/>
      <c r="Q759" s="311"/>
      <c r="R759" s="311"/>
      <c r="S759" s="311"/>
      <c r="T759" s="311"/>
      <c r="U759" s="311"/>
      <c r="V759" s="311"/>
      <c r="W759" s="311"/>
      <c r="X759" s="311"/>
      <c r="Y759" s="24"/>
      <c r="Z759" s="24"/>
      <c r="AA759" s="24"/>
      <c r="AB759" s="24"/>
      <c r="AC759" s="24"/>
      <c r="AD759" s="24"/>
    </row>
    <row r="760" spans="1:30" ht="12.75">
      <c r="A760" s="313"/>
      <c r="B760" s="313"/>
      <c r="C760" s="314"/>
      <c r="D760" s="311"/>
      <c r="E760" s="311"/>
      <c r="F760" s="311"/>
      <c r="G760" s="311"/>
      <c r="H760" s="311"/>
      <c r="I760" s="311"/>
      <c r="J760" s="311"/>
      <c r="K760" s="311"/>
      <c r="L760" s="311"/>
      <c r="M760" s="311"/>
      <c r="N760" s="311"/>
      <c r="O760" s="311"/>
      <c r="P760" s="311"/>
      <c r="Q760" s="311"/>
      <c r="R760" s="311"/>
      <c r="S760" s="311"/>
      <c r="T760" s="311"/>
      <c r="U760" s="311"/>
      <c r="V760" s="311"/>
      <c r="W760" s="311"/>
      <c r="X760" s="311"/>
      <c r="Y760" s="24"/>
      <c r="Z760" s="24"/>
      <c r="AA760" s="24"/>
      <c r="AB760" s="24"/>
      <c r="AC760" s="24"/>
      <c r="AD760" s="24"/>
    </row>
    <row r="761" spans="1:30" ht="12.75">
      <c r="A761" s="313"/>
      <c r="B761" s="313"/>
      <c r="C761" s="314"/>
      <c r="D761" s="311"/>
      <c r="E761" s="311"/>
      <c r="F761" s="311"/>
      <c r="G761" s="311"/>
      <c r="H761" s="311"/>
      <c r="I761" s="311"/>
      <c r="J761" s="311"/>
      <c r="K761" s="311"/>
      <c r="L761" s="311"/>
      <c r="M761" s="311"/>
      <c r="N761" s="311"/>
      <c r="O761" s="311"/>
      <c r="P761" s="311"/>
      <c r="Q761" s="311"/>
      <c r="R761" s="311"/>
      <c r="S761" s="311"/>
      <c r="T761" s="311"/>
      <c r="U761" s="311"/>
      <c r="V761" s="311"/>
      <c r="W761" s="311"/>
      <c r="X761" s="311"/>
      <c r="Y761" s="24"/>
      <c r="Z761" s="24"/>
      <c r="AA761" s="24"/>
      <c r="AB761" s="24"/>
      <c r="AC761" s="24"/>
      <c r="AD761" s="24"/>
    </row>
    <row r="762" spans="1:30" ht="12.75">
      <c r="A762" s="313"/>
      <c r="B762" s="313"/>
      <c r="C762" s="314"/>
      <c r="D762" s="311"/>
      <c r="E762" s="311"/>
      <c r="F762" s="311"/>
      <c r="G762" s="311"/>
      <c r="H762" s="311"/>
      <c r="I762" s="311"/>
      <c r="J762" s="311"/>
      <c r="K762" s="311"/>
      <c r="L762" s="311"/>
      <c r="M762" s="311"/>
      <c r="N762" s="311"/>
      <c r="O762" s="311"/>
      <c r="P762" s="311"/>
      <c r="Q762" s="311"/>
      <c r="R762" s="311"/>
      <c r="S762" s="311"/>
      <c r="T762" s="311"/>
      <c r="U762" s="311"/>
      <c r="V762" s="311"/>
      <c r="W762" s="311"/>
      <c r="X762" s="311"/>
      <c r="Y762" s="24"/>
      <c r="Z762" s="24"/>
      <c r="AA762" s="24"/>
      <c r="AB762" s="24"/>
      <c r="AC762" s="24"/>
      <c r="AD762" s="24"/>
    </row>
    <row r="763" spans="1:30" ht="12.75">
      <c r="A763" s="313"/>
      <c r="B763" s="313"/>
      <c r="C763" s="314"/>
      <c r="D763" s="311"/>
      <c r="E763" s="311"/>
      <c r="F763" s="311"/>
      <c r="G763" s="311"/>
      <c r="H763" s="311"/>
      <c r="I763" s="311"/>
      <c r="J763" s="311"/>
      <c r="K763" s="311"/>
      <c r="L763" s="311"/>
      <c r="M763" s="311"/>
      <c r="N763" s="311"/>
      <c r="O763" s="311"/>
      <c r="P763" s="311"/>
      <c r="Q763" s="311"/>
      <c r="R763" s="311"/>
      <c r="S763" s="311"/>
      <c r="T763" s="311"/>
      <c r="U763" s="311"/>
      <c r="V763" s="311"/>
      <c r="W763" s="311"/>
      <c r="X763" s="311"/>
      <c r="Y763" s="24"/>
      <c r="Z763" s="24"/>
      <c r="AA763" s="24"/>
      <c r="AB763" s="24"/>
      <c r="AC763" s="24"/>
      <c r="AD763" s="24"/>
    </row>
    <row r="764" spans="1:30" ht="12.75">
      <c r="A764" s="313"/>
      <c r="B764" s="313"/>
      <c r="C764" s="314"/>
      <c r="D764" s="311"/>
      <c r="E764" s="311"/>
      <c r="F764" s="311"/>
      <c r="G764" s="311"/>
      <c r="H764" s="311"/>
      <c r="I764" s="311"/>
      <c r="J764" s="311"/>
      <c r="K764" s="311"/>
      <c r="L764" s="311"/>
      <c r="M764" s="311"/>
      <c r="N764" s="311"/>
      <c r="O764" s="311"/>
      <c r="P764" s="311"/>
      <c r="Q764" s="311"/>
      <c r="R764" s="311"/>
      <c r="S764" s="311"/>
      <c r="T764" s="311"/>
      <c r="U764" s="311"/>
      <c r="V764" s="311"/>
      <c r="W764" s="311"/>
      <c r="X764" s="311"/>
      <c r="Y764" s="24"/>
      <c r="Z764" s="24"/>
      <c r="AA764" s="24"/>
      <c r="AB764" s="24"/>
      <c r="AC764" s="24"/>
      <c r="AD764" s="24"/>
    </row>
    <row r="765" spans="1:30" ht="12.75">
      <c r="A765" s="313"/>
      <c r="B765" s="313"/>
      <c r="C765" s="314"/>
      <c r="D765" s="311"/>
      <c r="E765" s="311"/>
      <c r="F765" s="311"/>
      <c r="G765" s="311"/>
      <c r="H765" s="311"/>
      <c r="I765" s="311"/>
      <c r="J765" s="311"/>
      <c r="K765" s="311"/>
      <c r="L765" s="311"/>
      <c r="M765" s="311"/>
      <c r="N765" s="311"/>
      <c r="O765" s="311"/>
      <c r="P765" s="311"/>
      <c r="Q765" s="311"/>
      <c r="R765" s="311"/>
      <c r="S765" s="311"/>
      <c r="T765" s="311"/>
      <c r="U765" s="311"/>
      <c r="V765" s="311"/>
      <c r="W765" s="311"/>
      <c r="X765" s="311"/>
      <c r="Y765" s="24"/>
      <c r="Z765" s="24"/>
      <c r="AA765" s="24"/>
      <c r="AB765" s="24"/>
      <c r="AC765" s="24"/>
      <c r="AD765" s="24"/>
    </row>
    <row r="766" spans="1:30" ht="12.75">
      <c r="A766" s="313"/>
      <c r="B766" s="313"/>
      <c r="C766" s="314"/>
      <c r="D766" s="311"/>
      <c r="E766" s="311"/>
      <c r="F766" s="311"/>
      <c r="G766" s="311"/>
      <c r="H766" s="311"/>
      <c r="I766" s="311"/>
      <c r="J766" s="311"/>
      <c r="K766" s="311"/>
      <c r="L766" s="311"/>
      <c r="M766" s="311"/>
      <c r="N766" s="311"/>
      <c r="O766" s="311"/>
      <c r="P766" s="311"/>
      <c r="Q766" s="311"/>
      <c r="R766" s="311"/>
      <c r="S766" s="311"/>
      <c r="T766" s="311"/>
      <c r="U766" s="311"/>
      <c r="V766" s="311"/>
      <c r="W766" s="311"/>
      <c r="X766" s="311"/>
      <c r="Y766" s="24"/>
      <c r="Z766" s="24"/>
      <c r="AA766" s="24"/>
      <c r="AB766" s="24"/>
      <c r="AC766" s="24"/>
      <c r="AD766" s="24"/>
    </row>
    <row r="767" spans="1:30" ht="12.75">
      <c r="A767" s="313"/>
      <c r="B767" s="313"/>
      <c r="C767" s="314"/>
      <c r="D767" s="311"/>
      <c r="E767" s="311"/>
      <c r="F767" s="311"/>
      <c r="G767" s="311"/>
      <c r="H767" s="311"/>
      <c r="I767" s="311"/>
      <c r="J767" s="311"/>
      <c r="K767" s="311"/>
      <c r="L767" s="311"/>
      <c r="M767" s="311"/>
      <c r="N767" s="311"/>
      <c r="O767" s="311"/>
      <c r="P767" s="311"/>
      <c r="Q767" s="311"/>
      <c r="R767" s="311"/>
      <c r="S767" s="311"/>
      <c r="T767" s="311"/>
      <c r="U767" s="311"/>
      <c r="V767" s="311"/>
      <c r="W767" s="311"/>
      <c r="X767" s="311"/>
      <c r="Y767" s="24"/>
      <c r="Z767" s="24"/>
      <c r="AA767" s="24"/>
      <c r="AB767" s="24"/>
      <c r="AC767" s="24"/>
      <c r="AD767" s="24"/>
    </row>
    <row r="768" spans="1:30" ht="12.75">
      <c r="A768" s="313"/>
      <c r="B768" s="313"/>
      <c r="C768" s="314"/>
      <c r="D768" s="311"/>
      <c r="E768" s="311"/>
      <c r="F768" s="311"/>
      <c r="G768" s="311"/>
      <c r="H768" s="311"/>
      <c r="I768" s="311"/>
      <c r="J768" s="311"/>
      <c r="K768" s="311"/>
      <c r="L768" s="311"/>
      <c r="M768" s="311"/>
      <c r="N768" s="311"/>
      <c r="O768" s="311"/>
      <c r="P768" s="311"/>
      <c r="Q768" s="311"/>
      <c r="R768" s="311"/>
      <c r="S768" s="311"/>
      <c r="T768" s="311"/>
      <c r="U768" s="311"/>
      <c r="V768" s="311"/>
      <c r="W768" s="311"/>
      <c r="X768" s="311"/>
      <c r="Y768" s="24"/>
      <c r="Z768" s="24"/>
      <c r="AA768" s="24"/>
      <c r="AB768" s="24"/>
      <c r="AC768" s="24"/>
      <c r="AD768" s="24"/>
    </row>
    <row r="769" spans="1:30" ht="12.75">
      <c r="A769" s="313"/>
      <c r="B769" s="313"/>
      <c r="C769" s="314"/>
      <c r="D769" s="311"/>
      <c r="E769" s="311"/>
      <c r="F769" s="311"/>
      <c r="G769" s="311"/>
      <c r="H769" s="311"/>
      <c r="I769" s="311"/>
      <c r="J769" s="311"/>
      <c r="K769" s="311"/>
      <c r="L769" s="311"/>
      <c r="M769" s="311"/>
      <c r="N769" s="311"/>
      <c r="O769" s="311"/>
      <c r="P769" s="311"/>
      <c r="Q769" s="311"/>
      <c r="R769" s="311"/>
      <c r="S769" s="311"/>
      <c r="T769" s="311"/>
      <c r="U769" s="311"/>
      <c r="V769" s="311"/>
      <c r="W769" s="311"/>
      <c r="X769" s="311"/>
      <c r="Y769" s="24"/>
      <c r="Z769" s="24"/>
      <c r="AA769" s="24"/>
      <c r="AB769" s="24"/>
      <c r="AC769" s="24"/>
      <c r="AD769" s="24"/>
    </row>
    <row r="770" spans="1:30" ht="12.75">
      <c r="A770" s="313"/>
      <c r="B770" s="313"/>
      <c r="C770" s="314"/>
      <c r="D770" s="311"/>
      <c r="E770" s="311"/>
      <c r="F770" s="311"/>
      <c r="G770" s="311"/>
      <c r="H770" s="311"/>
      <c r="I770" s="311"/>
      <c r="J770" s="311"/>
      <c r="K770" s="311"/>
      <c r="L770" s="311"/>
      <c r="M770" s="311"/>
      <c r="N770" s="311"/>
      <c r="O770" s="311"/>
      <c r="P770" s="311"/>
      <c r="Q770" s="311"/>
      <c r="R770" s="311"/>
      <c r="S770" s="311"/>
      <c r="T770" s="311"/>
      <c r="U770" s="311"/>
      <c r="V770" s="311"/>
      <c r="W770" s="311"/>
      <c r="X770" s="311"/>
      <c r="Y770" s="24"/>
      <c r="Z770" s="24"/>
      <c r="AA770" s="24"/>
      <c r="AB770" s="24"/>
      <c r="AC770" s="24"/>
      <c r="AD770" s="24"/>
    </row>
    <row r="771" spans="1:30" ht="12.75">
      <c r="A771" s="313"/>
      <c r="B771" s="313"/>
      <c r="C771" s="314"/>
      <c r="D771" s="311"/>
      <c r="E771" s="311"/>
      <c r="F771" s="311"/>
      <c r="G771" s="311"/>
      <c r="H771" s="311"/>
      <c r="I771" s="311"/>
      <c r="J771" s="311"/>
      <c r="K771" s="311"/>
      <c r="L771" s="311"/>
      <c r="M771" s="311"/>
      <c r="N771" s="311"/>
      <c r="O771" s="311"/>
      <c r="P771" s="311"/>
      <c r="Q771" s="311"/>
      <c r="R771" s="311"/>
      <c r="S771" s="311"/>
      <c r="T771" s="311"/>
      <c r="U771" s="311"/>
      <c r="V771" s="311"/>
      <c r="W771" s="311"/>
      <c r="X771" s="311"/>
      <c r="Y771" s="24"/>
      <c r="Z771" s="24"/>
      <c r="AA771" s="24"/>
      <c r="AB771" s="24"/>
      <c r="AC771" s="24"/>
      <c r="AD771" s="24"/>
    </row>
    <row r="772" spans="1:30" ht="12.75">
      <c r="A772" s="313"/>
      <c r="B772" s="313"/>
      <c r="C772" s="314"/>
      <c r="D772" s="311"/>
      <c r="E772" s="311"/>
      <c r="F772" s="311"/>
      <c r="G772" s="311"/>
      <c r="H772" s="311"/>
      <c r="I772" s="311"/>
      <c r="J772" s="311"/>
      <c r="K772" s="311"/>
      <c r="L772" s="311"/>
      <c r="M772" s="311"/>
      <c r="N772" s="311"/>
      <c r="O772" s="311"/>
      <c r="P772" s="311"/>
      <c r="Q772" s="311"/>
      <c r="R772" s="311"/>
      <c r="S772" s="311"/>
      <c r="T772" s="311"/>
      <c r="U772" s="311"/>
      <c r="V772" s="311"/>
      <c r="W772" s="311"/>
      <c r="X772" s="311"/>
      <c r="Y772" s="24"/>
      <c r="Z772" s="24"/>
      <c r="AA772" s="24"/>
      <c r="AB772" s="24"/>
      <c r="AC772" s="24"/>
      <c r="AD772" s="24"/>
    </row>
    <row r="773" spans="1:30" ht="12.75">
      <c r="A773" s="313"/>
      <c r="B773" s="313"/>
      <c r="C773" s="314"/>
      <c r="D773" s="311"/>
      <c r="E773" s="311"/>
      <c r="F773" s="311"/>
      <c r="G773" s="311"/>
      <c r="H773" s="311"/>
      <c r="I773" s="311"/>
      <c r="J773" s="311"/>
      <c r="K773" s="311"/>
      <c r="L773" s="311"/>
      <c r="M773" s="311"/>
      <c r="N773" s="311"/>
      <c r="O773" s="311"/>
      <c r="P773" s="311"/>
      <c r="Q773" s="311"/>
      <c r="R773" s="311"/>
      <c r="S773" s="311"/>
      <c r="T773" s="311"/>
      <c r="U773" s="311"/>
      <c r="V773" s="311"/>
      <c r="W773" s="311"/>
      <c r="X773" s="311"/>
      <c r="Y773" s="24"/>
      <c r="Z773" s="24"/>
      <c r="AA773" s="24"/>
      <c r="AB773" s="24"/>
      <c r="AC773" s="24"/>
      <c r="AD773" s="24"/>
    </row>
    <row r="774" spans="1:30" ht="12.75">
      <c r="A774" s="313"/>
      <c r="B774" s="313"/>
      <c r="C774" s="314"/>
      <c r="D774" s="311"/>
      <c r="E774" s="311"/>
      <c r="F774" s="311"/>
      <c r="G774" s="311"/>
      <c r="H774" s="311"/>
      <c r="I774" s="311"/>
      <c r="J774" s="311"/>
      <c r="K774" s="311"/>
      <c r="L774" s="311"/>
      <c r="M774" s="311"/>
      <c r="N774" s="311"/>
      <c r="O774" s="311"/>
      <c r="P774" s="311"/>
      <c r="Q774" s="311"/>
      <c r="R774" s="311"/>
      <c r="S774" s="311"/>
      <c r="T774" s="311"/>
      <c r="U774" s="311"/>
      <c r="V774" s="311"/>
      <c r="W774" s="311"/>
      <c r="X774" s="311"/>
      <c r="Y774" s="24"/>
      <c r="Z774" s="24"/>
      <c r="AA774" s="24"/>
      <c r="AB774" s="24"/>
      <c r="AC774" s="24"/>
      <c r="AD774" s="24"/>
    </row>
    <row r="775" spans="1:30" ht="12.75">
      <c r="A775" s="313"/>
      <c r="B775" s="313"/>
      <c r="C775" s="314"/>
      <c r="D775" s="311"/>
      <c r="E775" s="311"/>
      <c r="F775" s="311"/>
      <c r="G775" s="311"/>
      <c r="H775" s="311"/>
      <c r="I775" s="311"/>
      <c r="J775" s="311"/>
      <c r="K775" s="311"/>
      <c r="L775" s="311"/>
      <c r="M775" s="311"/>
      <c r="N775" s="311"/>
      <c r="O775" s="311"/>
      <c r="P775" s="311"/>
      <c r="Q775" s="311"/>
      <c r="R775" s="311"/>
      <c r="S775" s="311"/>
      <c r="T775" s="311"/>
      <c r="U775" s="311"/>
      <c r="V775" s="311"/>
      <c r="W775" s="311"/>
      <c r="X775" s="311"/>
      <c r="Y775" s="24"/>
      <c r="Z775" s="24"/>
      <c r="AA775" s="24"/>
      <c r="AB775" s="24"/>
      <c r="AC775" s="24"/>
      <c r="AD775" s="24"/>
    </row>
    <row r="776" spans="1:30" ht="12.75">
      <c r="A776" s="313"/>
      <c r="B776" s="313"/>
      <c r="C776" s="314"/>
      <c r="D776" s="311"/>
      <c r="E776" s="311"/>
      <c r="F776" s="311"/>
      <c r="G776" s="311"/>
      <c r="H776" s="311"/>
      <c r="I776" s="311"/>
      <c r="J776" s="311"/>
      <c r="K776" s="311"/>
      <c r="L776" s="311"/>
      <c r="M776" s="311"/>
      <c r="N776" s="311"/>
      <c r="O776" s="311"/>
      <c r="P776" s="311"/>
      <c r="Q776" s="311"/>
      <c r="R776" s="311"/>
      <c r="S776" s="311"/>
      <c r="T776" s="311"/>
      <c r="U776" s="311"/>
      <c r="V776" s="311"/>
      <c r="W776" s="311"/>
      <c r="X776" s="311"/>
      <c r="Y776" s="24"/>
      <c r="Z776" s="24"/>
      <c r="AA776" s="24"/>
      <c r="AB776" s="24"/>
      <c r="AC776" s="24"/>
      <c r="AD776" s="24"/>
    </row>
    <row r="777" spans="1:30" ht="12.75">
      <c r="A777" s="313"/>
      <c r="B777" s="313"/>
      <c r="C777" s="314"/>
      <c r="D777" s="311"/>
      <c r="E777" s="311"/>
      <c r="F777" s="311"/>
      <c r="G777" s="311"/>
      <c r="H777" s="311"/>
      <c r="I777" s="311"/>
      <c r="J777" s="311"/>
      <c r="K777" s="311"/>
      <c r="L777" s="311"/>
      <c r="M777" s="311"/>
      <c r="N777" s="311"/>
      <c r="O777" s="311"/>
      <c r="P777" s="311"/>
      <c r="Q777" s="311"/>
      <c r="R777" s="311"/>
      <c r="S777" s="311"/>
      <c r="T777" s="311"/>
      <c r="U777" s="311"/>
      <c r="V777" s="311"/>
      <c r="W777" s="311"/>
      <c r="X777" s="311"/>
      <c r="Y777" s="24"/>
      <c r="Z777" s="24"/>
      <c r="AA777" s="24"/>
      <c r="AB777" s="24"/>
      <c r="AC777" s="24"/>
      <c r="AD777" s="24"/>
    </row>
    <row r="778" spans="1:30" ht="12.75">
      <c r="A778" s="313"/>
      <c r="B778" s="313"/>
      <c r="C778" s="314"/>
      <c r="D778" s="311"/>
      <c r="E778" s="311"/>
      <c r="F778" s="311"/>
      <c r="G778" s="311"/>
      <c r="H778" s="311"/>
      <c r="I778" s="311"/>
      <c r="J778" s="311"/>
      <c r="K778" s="311"/>
      <c r="L778" s="311"/>
      <c r="M778" s="311"/>
      <c r="N778" s="311"/>
      <c r="O778" s="311"/>
      <c r="P778" s="311"/>
      <c r="Q778" s="311"/>
      <c r="R778" s="311"/>
      <c r="S778" s="311"/>
      <c r="T778" s="311"/>
      <c r="U778" s="311"/>
      <c r="V778" s="311"/>
      <c r="W778" s="311"/>
      <c r="X778" s="311"/>
      <c r="Y778" s="24"/>
      <c r="Z778" s="24"/>
      <c r="AA778" s="24"/>
      <c r="AB778" s="24"/>
      <c r="AC778" s="24"/>
      <c r="AD778" s="24"/>
    </row>
    <row r="779" spans="1:30" ht="12.75">
      <c r="A779" s="313"/>
      <c r="B779" s="313"/>
      <c r="C779" s="314"/>
      <c r="D779" s="311"/>
      <c r="E779" s="311"/>
      <c r="F779" s="311"/>
      <c r="G779" s="311"/>
      <c r="H779" s="311"/>
      <c r="I779" s="311"/>
      <c r="J779" s="311"/>
      <c r="K779" s="311"/>
      <c r="L779" s="311"/>
      <c r="M779" s="311"/>
      <c r="N779" s="311"/>
      <c r="O779" s="311"/>
      <c r="P779" s="311"/>
      <c r="Q779" s="311"/>
      <c r="R779" s="311"/>
      <c r="S779" s="311"/>
      <c r="T779" s="311"/>
      <c r="U779" s="311"/>
      <c r="V779" s="311"/>
      <c r="W779" s="311"/>
      <c r="X779" s="311"/>
      <c r="Y779" s="24"/>
      <c r="Z779" s="24"/>
      <c r="AA779" s="24"/>
      <c r="AB779" s="24"/>
      <c r="AC779" s="24"/>
      <c r="AD779" s="24"/>
    </row>
    <row r="780" spans="1:30" ht="12.75">
      <c r="A780" s="313"/>
      <c r="B780" s="313"/>
      <c r="C780" s="314"/>
      <c r="D780" s="311"/>
      <c r="E780" s="311"/>
      <c r="F780" s="311"/>
      <c r="G780" s="311"/>
      <c r="H780" s="311"/>
      <c r="I780" s="311"/>
      <c r="J780" s="311"/>
      <c r="K780" s="311"/>
      <c r="L780" s="311"/>
      <c r="M780" s="311"/>
      <c r="N780" s="311"/>
      <c r="O780" s="311"/>
      <c r="P780" s="311"/>
      <c r="Q780" s="311"/>
      <c r="R780" s="311"/>
      <c r="S780" s="311"/>
      <c r="T780" s="311"/>
      <c r="U780" s="311"/>
      <c r="V780" s="311"/>
      <c r="W780" s="311"/>
      <c r="X780" s="311"/>
      <c r="Y780" s="24"/>
      <c r="Z780" s="24"/>
      <c r="AA780" s="24"/>
      <c r="AB780" s="24"/>
      <c r="AC780" s="24"/>
      <c r="AD780" s="24"/>
    </row>
    <row r="781" spans="1:30" ht="12.75">
      <c r="A781" s="313"/>
      <c r="B781" s="313"/>
      <c r="C781" s="314"/>
      <c r="D781" s="311"/>
      <c r="E781" s="311"/>
      <c r="F781" s="311"/>
      <c r="G781" s="311"/>
      <c r="H781" s="311"/>
      <c r="I781" s="311"/>
      <c r="J781" s="311"/>
      <c r="K781" s="311"/>
      <c r="L781" s="311"/>
      <c r="M781" s="311"/>
      <c r="N781" s="311"/>
      <c r="O781" s="311"/>
      <c r="P781" s="311"/>
      <c r="Q781" s="311"/>
      <c r="R781" s="311"/>
      <c r="S781" s="311"/>
      <c r="T781" s="311"/>
      <c r="U781" s="311"/>
      <c r="V781" s="311"/>
      <c r="W781" s="311"/>
      <c r="X781" s="311"/>
      <c r="Y781" s="24"/>
      <c r="Z781" s="24"/>
      <c r="AA781" s="24"/>
      <c r="AB781" s="24"/>
      <c r="AC781" s="24"/>
      <c r="AD781" s="24"/>
    </row>
    <row r="782" spans="1:30" ht="12.75">
      <c r="A782" s="313"/>
      <c r="B782" s="313"/>
      <c r="C782" s="314"/>
      <c r="D782" s="311"/>
      <c r="E782" s="311"/>
      <c r="F782" s="311"/>
      <c r="G782" s="311"/>
      <c r="H782" s="311"/>
      <c r="I782" s="311"/>
      <c r="J782" s="311"/>
      <c r="K782" s="311"/>
      <c r="L782" s="311"/>
      <c r="M782" s="311"/>
      <c r="N782" s="311"/>
      <c r="O782" s="311"/>
      <c r="P782" s="311"/>
      <c r="Q782" s="311"/>
      <c r="R782" s="311"/>
      <c r="S782" s="311"/>
      <c r="T782" s="311"/>
      <c r="U782" s="311"/>
      <c r="V782" s="311"/>
      <c r="W782" s="311"/>
      <c r="X782" s="311"/>
      <c r="Y782" s="24"/>
      <c r="Z782" s="24"/>
      <c r="AA782" s="24"/>
      <c r="AB782" s="24"/>
      <c r="AC782" s="24"/>
      <c r="AD782" s="24"/>
    </row>
    <row r="783" spans="1:30" ht="12.75">
      <c r="A783" s="313"/>
      <c r="B783" s="313"/>
      <c r="C783" s="314"/>
      <c r="D783" s="311"/>
      <c r="E783" s="311"/>
      <c r="F783" s="311"/>
      <c r="G783" s="311"/>
      <c r="H783" s="311"/>
      <c r="I783" s="311"/>
      <c r="J783" s="311"/>
      <c r="K783" s="311"/>
      <c r="L783" s="311"/>
      <c r="M783" s="311"/>
      <c r="N783" s="311"/>
      <c r="O783" s="311"/>
      <c r="P783" s="311"/>
      <c r="Q783" s="311"/>
      <c r="R783" s="311"/>
      <c r="S783" s="311"/>
      <c r="T783" s="311"/>
      <c r="U783" s="311"/>
      <c r="V783" s="311"/>
      <c r="W783" s="311"/>
      <c r="X783" s="311"/>
      <c r="Y783" s="24"/>
      <c r="Z783" s="24"/>
      <c r="AA783" s="24"/>
      <c r="AB783" s="24"/>
      <c r="AC783" s="24"/>
      <c r="AD783" s="24"/>
    </row>
    <row r="784" spans="1:30" ht="12.75">
      <c r="A784" s="313"/>
      <c r="B784" s="313"/>
      <c r="C784" s="314"/>
      <c r="D784" s="311"/>
      <c r="E784" s="311"/>
      <c r="F784" s="311"/>
      <c r="G784" s="311"/>
      <c r="H784" s="311"/>
      <c r="I784" s="311"/>
      <c r="J784" s="311"/>
      <c r="K784" s="311"/>
      <c r="L784" s="311"/>
      <c r="M784" s="311"/>
      <c r="N784" s="311"/>
      <c r="O784" s="311"/>
      <c r="P784" s="311"/>
      <c r="Q784" s="311"/>
      <c r="R784" s="311"/>
      <c r="S784" s="311"/>
      <c r="T784" s="311"/>
      <c r="U784" s="311"/>
      <c r="V784" s="311"/>
      <c r="W784" s="311"/>
      <c r="X784" s="311"/>
      <c r="Y784" s="24"/>
      <c r="Z784" s="24"/>
      <c r="AA784" s="24"/>
      <c r="AB784" s="24"/>
      <c r="AC784" s="24"/>
      <c r="AD784" s="24"/>
    </row>
    <row r="785" spans="1:30" ht="12.75">
      <c r="A785" s="313"/>
      <c r="B785" s="313"/>
      <c r="C785" s="314"/>
      <c r="D785" s="311"/>
      <c r="E785" s="311"/>
      <c r="F785" s="311"/>
      <c r="G785" s="311"/>
      <c r="H785" s="311"/>
      <c r="I785" s="311"/>
      <c r="J785" s="311"/>
      <c r="K785" s="311"/>
      <c r="L785" s="311"/>
      <c r="M785" s="311"/>
      <c r="N785" s="311"/>
      <c r="O785" s="311"/>
      <c r="P785" s="311"/>
      <c r="Q785" s="311"/>
      <c r="R785" s="311"/>
      <c r="S785" s="311"/>
      <c r="T785" s="311"/>
      <c r="U785" s="311"/>
      <c r="V785" s="311"/>
      <c r="W785" s="311"/>
      <c r="X785" s="311"/>
      <c r="Y785" s="24"/>
      <c r="Z785" s="24"/>
      <c r="AA785" s="24"/>
      <c r="AB785" s="24"/>
      <c r="AC785" s="24"/>
      <c r="AD785" s="24"/>
    </row>
    <row r="786" spans="1:30" ht="12.75">
      <c r="A786" s="313"/>
      <c r="B786" s="313"/>
      <c r="C786" s="314"/>
      <c r="D786" s="311"/>
      <c r="E786" s="311"/>
      <c r="F786" s="311"/>
      <c r="G786" s="311"/>
      <c r="H786" s="311"/>
      <c r="I786" s="311"/>
      <c r="J786" s="311"/>
      <c r="K786" s="311"/>
      <c r="L786" s="311"/>
      <c r="M786" s="311"/>
      <c r="N786" s="311"/>
      <c r="O786" s="311"/>
      <c r="P786" s="311"/>
      <c r="Q786" s="311"/>
      <c r="R786" s="311"/>
      <c r="S786" s="311"/>
      <c r="T786" s="311"/>
      <c r="U786" s="311"/>
      <c r="V786" s="311"/>
      <c r="W786" s="311"/>
      <c r="X786" s="311"/>
      <c r="Y786" s="24"/>
      <c r="Z786" s="24"/>
      <c r="AA786" s="24"/>
      <c r="AB786" s="24"/>
      <c r="AC786" s="24"/>
      <c r="AD786" s="24"/>
    </row>
    <row r="787" spans="1:30" ht="12.75">
      <c r="A787" s="313"/>
      <c r="B787" s="313"/>
      <c r="C787" s="314"/>
      <c r="D787" s="311"/>
      <c r="E787" s="311"/>
      <c r="F787" s="311"/>
      <c r="G787" s="311"/>
      <c r="H787" s="311"/>
      <c r="I787" s="311"/>
      <c r="J787" s="311"/>
      <c r="K787" s="311"/>
      <c r="L787" s="311"/>
      <c r="M787" s="311"/>
      <c r="N787" s="311"/>
      <c r="O787" s="311"/>
      <c r="P787" s="311"/>
      <c r="Q787" s="311"/>
      <c r="R787" s="311"/>
      <c r="S787" s="311"/>
      <c r="T787" s="311"/>
      <c r="U787" s="311"/>
      <c r="V787" s="311"/>
      <c r="W787" s="311"/>
      <c r="X787" s="311"/>
      <c r="Y787" s="24"/>
      <c r="Z787" s="24"/>
      <c r="AA787" s="24"/>
      <c r="AB787" s="24"/>
      <c r="AC787" s="24"/>
      <c r="AD787" s="24"/>
    </row>
    <row r="788" spans="1:30" ht="12.75">
      <c r="A788" s="313"/>
      <c r="B788" s="313"/>
      <c r="C788" s="314"/>
      <c r="D788" s="311"/>
      <c r="E788" s="311"/>
      <c r="F788" s="311"/>
      <c r="G788" s="311"/>
      <c r="H788" s="311"/>
      <c r="I788" s="311"/>
      <c r="J788" s="311"/>
      <c r="K788" s="311"/>
      <c r="L788" s="311"/>
      <c r="M788" s="311"/>
      <c r="N788" s="311"/>
      <c r="O788" s="311"/>
      <c r="P788" s="311"/>
      <c r="Q788" s="311"/>
      <c r="R788" s="311"/>
      <c r="S788" s="311"/>
      <c r="T788" s="311"/>
      <c r="U788" s="311"/>
      <c r="V788" s="311"/>
      <c r="W788" s="311"/>
      <c r="X788" s="311"/>
      <c r="Y788" s="24"/>
      <c r="Z788" s="24"/>
      <c r="AA788" s="24"/>
      <c r="AB788" s="24"/>
      <c r="AC788" s="24"/>
      <c r="AD788" s="24"/>
    </row>
    <row r="789" spans="1:30" ht="12.75">
      <c r="A789" s="313"/>
      <c r="B789" s="313"/>
      <c r="C789" s="314"/>
      <c r="D789" s="311"/>
      <c r="E789" s="311"/>
      <c r="F789" s="311"/>
      <c r="G789" s="311"/>
      <c r="H789" s="311"/>
      <c r="I789" s="311"/>
      <c r="J789" s="311"/>
      <c r="K789" s="311"/>
      <c r="L789" s="311"/>
      <c r="M789" s="311"/>
      <c r="N789" s="311"/>
      <c r="O789" s="311"/>
      <c r="P789" s="311"/>
      <c r="Q789" s="311"/>
      <c r="R789" s="311"/>
      <c r="S789" s="311"/>
      <c r="T789" s="311"/>
      <c r="U789" s="311"/>
      <c r="V789" s="311"/>
      <c r="W789" s="311"/>
      <c r="X789" s="311"/>
      <c r="Y789" s="24"/>
      <c r="Z789" s="24"/>
      <c r="AA789" s="24"/>
      <c r="AB789" s="24"/>
      <c r="AC789" s="24"/>
      <c r="AD789" s="24"/>
    </row>
    <row r="790" spans="1:30" ht="12.75">
      <c r="A790" s="313"/>
      <c r="B790" s="313"/>
      <c r="C790" s="314"/>
      <c r="D790" s="311"/>
      <c r="E790" s="311"/>
      <c r="F790" s="311"/>
      <c r="G790" s="311"/>
      <c r="H790" s="311"/>
      <c r="I790" s="311"/>
      <c r="J790" s="311"/>
      <c r="K790" s="311"/>
      <c r="L790" s="311"/>
      <c r="M790" s="311"/>
      <c r="N790" s="311"/>
      <c r="O790" s="311"/>
      <c r="P790" s="311"/>
      <c r="Q790" s="311"/>
      <c r="R790" s="311"/>
      <c r="S790" s="311"/>
      <c r="T790" s="311"/>
      <c r="U790" s="311"/>
      <c r="V790" s="311"/>
      <c r="W790" s="311"/>
      <c r="X790" s="311"/>
      <c r="Y790" s="24"/>
      <c r="Z790" s="24"/>
      <c r="AA790" s="24"/>
      <c r="AB790" s="24"/>
      <c r="AC790" s="24"/>
      <c r="AD790" s="24"/>
    </row>
    <row r="791" spans="1:30" ht="12.75">
      <c r="A791" s="313"/>
      <c r="B791" s="313"/>
      <c r="C791" s="314"/>
      <c r="D791" s="311"/>
      <c r="E791" s="311"/>
      <c r="F791" s="311"/>
      <c r="G791" s="311"/>
      <c r="H791" s="311"/>
      <c r="I791" s="311"/>
      <c r="J791" s="311"/>
      <c r="K791" s="311"/>
      <c r="L791" s="311"/>
      <c r="M791" s="311"/>
      <c r="N791" s="311"/>
      <c r="O791" s="311"/>
      <c r="P791" s="311"/>
      <c r="Q791" s="311"/>
      <c r="R791" s="311"/>
      <c r="S791" s="311"/>
      <c r="T791" s="311"/>
      <c r="U791" s="311"/>
      <c r="V791" s="311"/>
      <c r="W791" s="311"/>
      <c r="X791" s="311"/>
      <c r="Y791" s="24"/>
      <c r="Z791" s="24"/>
      <c r="AA791" s="24"/>
      <c r="AB791" s="24"/>
      <c r="AC791" s="24"/>
      <c r="AD791" s="24"/>
    </row>
    <row r="792" spans="1:30" ht="12.75">
      <c r="A792" s="313"/>
      <c r="B792" s="313"/>
      <c r="C792" s="314"/>
      <c r="D792" s="311"/>
      <c r="E792" s="311"/>
      <c r="F792" s="311"/>
      <c r="G792" s="311"/>
      <c r="H792" s="311"/>
      <c r="I792" s="311"/>
      <c r="J792" s="311"/>
      <c r="K792" s="311"/>
      <c r="L792" s="311"/>
      <c r="M792" s="311"/>
      <c r="N792" s="311"/>
      <c r="O792" s="311"/>
      <c r="P792" s="311"/>
      <c r="Q792" s="311"/>
      <c r="R792" s="311"/>
      <c r="S792" s="311"/>
      <c r="T792" s="311"/>
      <c r="U792" s="311"/>
      <c r="V792" s="311"/>
      <c r="W792" s="311"/>
      <c r="X792" s="311"/>
      <c r="Y792" s="24"/>
      <c r="Z792" s="24"/>
      <c r="AA792" s="24"/>
      <c r="AB792" s="24"/>
      <c r="AC792" s="24"/>
      <c r="AD792" s="24"/>
    </row>
    <row r="793" spans="1:30" ht="12.75">
      <c r="A793" s="313"/>
      <c r="B793" s="313"/>
      <c r="C793" s="314"/>
      <c r="D793" s="311"/>
      <c r="E793" s="311"/>
      <c r="F793" s="311"/>
      <c r="G793" s="311"/>
      <c r="H793" s="311"/>
      <c r="I793" s="311"/>
      <c r="J793" s="311"/>
      <c r="K793" s="311"/>
      <c r="L793" s="311"/>
      <c r="M793" s="311"/>
      <c r="N793" s="311"/>
      <c r="O793" s="311"/>
      <c r="P793" s="311"/>
      <c r="Q793" s="311"/>
      <c r="R793" s="311"/>
      <c r="S793" s="311"/>
      <c r="T793" s="311"/>
      <c r="U793" s="311"/>
      <c r="V793" s="311"/>
      <c r="W793" s="311"/>
      <c r="X793" s="311"/>
      <c r="Y793" s="24"/>
      <c r="Z793" s="24"/>
      <c r="AA793" s="24"/>
      <c r="AB793" s="24"/>
      <c r="AC793" s="24"/>
      <c r="AD793" s="24"/>
    </row>
    <row r="794" spans="1:30" ht="12.75">
      <c r="A794" s="313"/>
      <c r="B794" s="313"/>
      <c r="C794" s="314"/>
      <c r="D794" s="311"/>
      <c r="E794" s="311"/>
      <c r="F794" s="311"/>
      <c r="G794" s="311"/>
      <c r="H794" s="311"/>
      <c r="I794" s="311"/>
      <c r="J794" s="311"/>
      <c r="K794" s="311"/>
      <c r="L794" s="311"/>
      <c r="M794" s="311"/>
      <c r="N794" s="311"/>
      <c r="O794" s="311"/>
      <c r="P794" s="311"/>
      <c r="Q794" s="311"/>
      <c r="R794" s="311"/>
      <c r="S794" s="311"/>
      <c r="T794" s="311"/>
      <c r="U794" s="311"/>
      <c r="V794" s="311"/>
      <c r="W794" s="311"/>
      <c r="X794" s="311"/>
      <c r="Y794" s="24"/>
      <c r="Z794" s="24"/>
      <c r="AA794" s="24"/>
      <c r="AB794" s="24"/>
      <c r="AC794" s="24"/>
      <c r="AD794" s="24"/>
    </row>
    <row r="795" spans="1:30" ht="12.75">
      <c r="A795" s="313"/>
      <c r="B795" s="313"/>
      <c r="C795" s="314"/>
      <c r="D795" s="311"/>
      <c r="E795" s="311"/>
      <c r="F795" s="311"/>
      <c r="G795" s="311"/>
      <c r="H795" s="311"/>
      <c r="I795" s="311"/>
      <c r="J795" s="311"/>
      <c r="K795" s="311"/>
      <c r="L795" s="311"/>
      <c r="M795" s="311"/>
      <c r="N795" s="311"/>
      <c r="O795" s="311"/>
      <c r="P795" s="311"/>
      <c r="Q795" s="311"/>
      <c r="R795" s="311"/>
      <c r="S795" s="311"/>
      <c r="T795" s="311"/>
      <c r="U795" s="311"/>
      <c r="V795" s="311"/>
      <c r="W795" s="311"/>
      <c r="X795" s="311"/>
      <c r="Y795" s="24"/>
      <c r="Z795" s="24"/>
      <c r="AA795" s="24"/>
      <c r="AB795" s="24"/>
      <c r="AC795" s="24"/>
      <c r="AD795" s="24"/>
    </row>
    <row r="796" spans="1:30" ht="12.75">
      <c r="A796" s="313"/>
      <c r="B796" s="313"/>
      <c r="C796" s="314"/>
      <c r="D796" s="311"/>
      <c r="E796" s="311"/>
      <c r="F796" s="311"/>
      <c r="G796" s="311"/>
      <c r="H796" s="311"/>
      <c r="I796" s="311"/>
      <c r="J796" s="311"/>
      <c r="K796" s="311"/>
      <c r="L796" s="311"/>
      <c r="M796" s="311"/>
      <c r="N796" s="311"/>
      <c r="O796" s="311"/>
      <c r="P796" s="311"/>
      <c r="Q796" s="311"/>
      <c r="R796" s="311"/>
      <c r="S796" s="311"/>
      <c r="T796" s="311"/>
      <c r="U796" s="311"/>
      <c r="V796" s="311"/>
      <c r="W796" s="311"/>
      <c r="X796" s="311"/>
      <c r="Y796" s="24"/>
      <c r="Z796" s="24"/>
      <c r="AA796" s="24"/>
      <c r="AB796" s="24"/>
      <c r="AC796" s="24"/>
      <c r="AD796" s="24"/>
    </row>
    <row r="797" spans="1:30" ht="12.75">
      <c r="A797" s="313"/>
      <c r="B797" s="313"/>
      <c r="C797" s="314"/>
      <c r="D797" s="311"/>
      <c r="E797" s="311"/>
      <c r="F797" s="311"/>
      <c r="G797" s="311"/>
      <c r="H797" s="311"/>
      <c r="I797" s="311"/>
      <c r="J797" s="311"/>
      <c r="K797" s="311"/>
      <c r="L797" s="311"/>
      <c r="M797" s="311"/>
      <c r="N797" s="311"/>
      <c r="O797" s="311"/>
      <c r="P797" s="311"/>
      <c r="Q797" s="311"/>
      <c r="R797" s="311"/>
      <c r="S797" s="311"/>
      <c r="T797" s="311"/>
      <c r="U797" s="311"/>
      <c r="V797" s="311"/>
      <c r="W797" s="311"/>
      <c r="X797" s="311"/>
      <c r="Y797" s="24"/>
      <c r="Z797" s="24"/>
      <c r="AA797" s="24"/>
      <c r="AB797" s="24"/>
      <c r="AC797" s="24"/>
      <c r="AD797" s="24"/>
    </row>
    <row r="798" spans="1:30" ht="12.75">
      <c r="A798" s="313"/>
      <c r="B798" s="313"/>
      <c r="C798" s="314"/>
      <c r="D798" s="311"/>
      <c r="E798" s="311"/>
      <c r="F798" s="311"/>
      <c r="G798" s="311"/>
      <c r="H798" s="311"/>
      <c r="I798" s="311"/>
      <c r="J798" s="311"/>
      <c r="K798" s="311"/>
      <c r="L798" s="311"/>
      <c r="M798" s="311"/>
      <c r="N798" s="311"/>
      <c r="O798" s="311"/>
      <c r="P798" s="311"/>
      <c r="Q798" s="311"/>
      <c r="R798" s="311"/>
      <c r="S798" s="311"/>
      <c r="T798" s="311"/>
      <c r="U798" s="311"/>
      <c r="V798" s="311"/>
      <c r="W798" s="311"/>
      <c r="X798" s="311"/>
      <c r="Y798" s="24"/>
      <c r="Z798" s="24"/>
      <c r="AA798" s="24"/>
      <c r="AB798" s="24"/>
      <c r="AC798" s="24"/>
      <c r="AD798" s="24"/>
    </row>
    <row r="799" spans="1:30" ht="12.75">
      <c r="A799" s="313"/>
      <c r="B799" s="313"/>
      <c r="C799" s="314"/>
      <c r="D799" s="311"/>
      <c r="E799" s="311"/>
      <c r="F799" s="311"/>
      <c r="G799" s="311"/>
      <c r="H799" s="311"/>
      <c r="I799" s="311"/>
      <c r="J799" s="311"/>
      <c r="K799" s="311"/>
      <c r="L799" s="311"/>
      <c r="M799" s="311"/>
      <c r="N799" s="311"/>
      <c r="O799" s="311"/>
      <c r="P799" s="311"/>
      <c r="Q799" s="311"/>
      <c r="R799" s="311"/>
      <c r="S799" s="311"/>
      <c r="T799" s="311"/>
      <c r="U799" s="311"/>
      <c r="V799" s="311"/>
      <c r="W799" s="311"/>
      <c r="X799" s="311"/>
      <c r="Y799" s="24"/>
      <c r="Z799" s="24"/>
      <c r="AA799" s="24"/>
      <c r="AB799" s="24"/>
      <c r="AC799" s="24"/>
      <c r="AD799" s="24"/>
    </row>
    <row r="800" spans="1:30" ht="12.75">
      <c r="A800" s="313"/>
      <c r="B800" s="313"/>
      <c r="C800" s="314"/>
      <c r="D800" s="311"/>
      <c r="E800" s="311"/>
      <c r="F800" s="311"/>
      <c r="G800" s="311"/>
      <c r="H800" s="311"/>
      <c r="I800" s="311"/>
      <c r="J800" s="311"/>
      <c r="K800" s="311"/>
      <c r="L800" s="311"/>
      <c r="M800" s="311"/>
      <c r="N800" s="311"/>
      <c r="O800" s="311"/>
      <c r="P800" s="311"/>
      <c r="Q800" s="311"/>
      <c r="R800" s="311"/>
      <c r="S800" s="311"/>
      <c r="T800" s="311"/>
      <c r="U800" s="311"/>
      <c r="V800" s="311"/>
      <c r="W800" s="311"/>
      <c r="X800" s="311"/>
      <c r="Y800" s="24"/>
      <c r="Z800" s="24"/>
      <c r="AA800" s="24"/>
      <c r="AB800" s="24"/>
      <c r="AC800" s="24"/>
      <c r="AD800" s="24"/>
    </row>
    <row r="801" spans="1:30" ht="12.75">
      <c r="A801" s="313"/>
      <c r="B801" s="313"/>
      <c r="C801" s="314"/>
      <c r="D801" s="311"/>
      <c r="E801" s="311"/>
      <c r="F801" s="311"/>
      <c r="G801" s="311"/>
      <c r="H801" s="311"/>
      <c r="I801" s="311"/>
      <c r="J801" s="311"/>
      <c r="K801" s="311"/>
      <c r="L801" s="311"/>
      <c r="M801" s="311"/>
      <c r="N801" s="311"/>
      <c r="O801" s="311"/>
      <c r="P801" s="311"/>
      <c r="Q801" s="311"/>
      <c r="R801" s="311"/>
      <c r="S801" s="311"/>
      <c r="T801" s="311"/>
      <c r="U801" s="311"/>
      <c r="V801" s="311"/>
      <c r="W801" s="311"/>
      <c r="X801" s="311"/>
      <c r="Y801" s="24"/>
      <c r="Z801" s="24"/>
      <c r="AA801" s="24"/>
      <c r="AB801" s="24"/>
      <c r="AC801" s="24"/>
      <c r="AD801" s="24"/>
    </row>
    <row r="802" spans="1:30" ht="12.75">
      <c r="A802" s="313"/>
      <c r="B802" s="313"/>
      <c r="C802" s="314"/>
      <c r="D802" s="311"/>
      <c r="E802" s="311"/>
      <c r="F802" s="311"/>
      <c r="G802" s="311"/>
      <c r="H802" s="311"/>
      <c r="I802" s="311"/>
      <c r="J802" s="311"/>
      <c r="K802" s="311"/>
      <c r="L802" s="311"/>
      <c r="M802" s="311"/>
      <c r="N802" s="311"/>
      <c r="O802" s="311"/>
      <c r="P802" s="311"/>
      <c r="Q802" s="311"/>
      <c r="R802" s="311"/>
      <c r="S802" s="311"/>
      <c r="T802" s="311"/>
      <c r="U802" s="311"/>
      <c r="V802" s="311"/>
      <c r="W802" s="311"/>
      <c r="X802" s="311"/>
      <c r="Y802" s="24"/>
      <c r="Z802" s="24"/>
      <c r="AA802" s="24"/>
      <c r="AB802" s="24"/>
      <c r="AC802" s="24"/>
      <c r="AD802" s="24"/>
    </row>
    <row r="803" spans="1:30" ht="12.75">
      <c r="A803" s="313"/>
      <c r="B803" s="313"/>
      <c r="C803" s="314"/>
      <c r="D803" s="311"/>
      <c r="E803" s="311"/>
      <c r="F803" s="311"/>
      <c r="G803" s="311"/>
      <c r="H803" s="311"/>
      <c r="I803" s="311"/>
      <c r="J803" s="311"/>
      <c r="K803" s="311"/>
      <c r="L803" s="311"/>
      <c r="M803" s="311"/>
      <c r="N803" s="311"/>
      <c r="O803" s="311"/>
      <c r="P803" s="311"/>
      <c r="Q803" s="311"/>
      <c r="R803" s="311"/>
      <c r="S803" s="311"/>
      <c r="T803" s="311"/>
      <c r="U803" s="311"/>
      <c r="V803" s="311"/>
      <c r="W803" s="311"/>
      <c r="X803" s="311"/>
      <c r="Y803" s="24"/>
      <c r="Z803" s="24"/>
      <c r="AA803" s="24"/>
      <c r="AB803" s="24"/>
      <c r="AC803" s="24"/>
      <c r="AD803" s="24"/>
    </row>
    <row r="804" spans="1:30" ht="12.75">
      <c r="A804" s="313"/>
      <c r="B804" s="313"/>
      <c r="C804" s="314"/>
      <c r="D804" s="311"/>
      <c r="E804" s="311"/>
      <c r="F804" s="311"/>
      <c r="G804" s="311"/>
      <c r="H804" s="311"/>
      <c r="I804" s="311"/>
      <c r="J804" s="311"/>
      <c r="K804" s="311"/>
      <c r="L804" s="311"/>
      <c r="M804" s="311"/>
      <c r="N804" s="311"/>
      <c r="O804" s="311"/>
      <c r="P804" s="311"/>
      <c r="Q804" s="311"/>
      <c r="R804" s="311"/>
      <c r="S804" s="311"/>
      <c r="T804" s="311"/>
      <c r="U804" s="311"/>
      <c r="V804" s="311"/>
      <c r="W804" s="311"/>
      <c r="X804" s="311"/>
      <c r="Y804" s="24"/>
      <c r="Z804" s="24"/>
      <c r="AA804" s="24"/>
      <c r="AB804" s="24"/>
      <c r="AC804" s="24"/>
      <c r="AD804" s="24"/>
    </row>
    <row r="805" spans="1:30" ht="12.75">
      <c r="A805" s="313"/>
      <c r="B805" s="313"/>
      <c r="C805" s="314"/>
      <c r="D805" s="311"/>
      <c r="E805" s="311"/>
      <c r="F805" s="311"/>
      <c r="G805" s="311"/>
      <c r="H805" s="311"/>
      <c r="I805" s="311"/>
      <c r="J805" s="311"/>
      <c r="K805" s="311"/>
      <c r="L805" s="311"/>
      <c r="M805" s="311"/>
      <c r="N805" s="311"/>
      <c r="O805" s="311"/>
      <c r="P805" s="311"/>
      <c r="Q805" s="311"/>
      <c r="R805" s="311"/>
      <c r="S805" s="311"/>
      <c r="T805" s="311"/>
      <c r="U805" s="311"/>
      <c r="V805" s="311"/>
      <c r="W805" s="311"/>
      <c r="X805" s="311"/>
      <c r="Y805" s="24"/>
      <c r="Z805" s="24"/>
      <c r="AA805" s="24"/>
      <c r="AB805" s="24"/>
      <c r="AC805" s="24"/>
      <c r="AD805" s="24"/>
    </row>
    <row r="806" spans="1:30" ht="12.75">
      <c r="A806" s="313"/>
      <c r="B806" s="313"/>
      <c r="C806" s="314"/>
      <c r="D806" s="311"/>
      <c r="E806" s="311"/>
      <c r="F806" s="311"/>
      <c r="G806" s="311"/>
      <c r="H806" s="311"/>
      <c r="I806" s="311"/>
      <c r="J806" s="311"/>
      <c r="K806" s="311"/>
      <c r="L806" s="311"/>
      <c r="M806" s="311"/>
      <c r="N806" s="311"/>
      <c r="O806" s="311"/>
      <c r="P806" s="311"/>
      <c r="Q806" s="311"/>
      <c r="R806" s="311"/>
      <c r="S806" s="311"/>
      <c r="T806" s="311"/>
      <c r="U806" s="311"/>
      <c r="V806" s="311"/>
      <c r="W806" s="311"/>
      <c r="X806" s="311"/>
      <c r="Y806" s="24"/>
      <c r="Z806" s="24"/>
      <c r="AA806" s="24"/>
      <c r="AB806" s="24"/>
      <c r="AC806" s="24"/>
      <c r="AD806" s="24"/>
    </row>
    <row r="807" spans="1:30" ht="12.75">
      <c r="A807" s="313"/>
      <c r="B807" s="313"/>
      <c r="C807" s="314"/>
      <c r="D807" s="311"/>
      <c r="E807" s="311"/>
      <c r="F807" s="311"/>
      <c r="G807" s="311"/>
      <c r="H807" s="311"/>
      <c r="I807" s="311"/>
      <c r="J807" s="311"/>
      <c r="K807" s="311"/>
      <c r="L807" s="311"/>
      <c r="M807" s="311"/>
      <c r="N807" s="311"/>
      <c r="O807" s="311"/>
      <c r="P807" s="311"/>
      <c r="Q807" s="311"/>
      <c r="R807" s="311"/>
      <c r="S807" s="311"/>
      <c r="T807" s="311"/>
      <c r="U807" s="311"/>
      <c r="V807" s="311"/>
      <c r="W807" s="311"/>
      <c r="X807" s="311"/>
      <c r="Y807" s="24"/>
      <c r="Z807" s="24"/>
      <c r="AA807" s="24"/>
      <c r="AB807" s="24"/>
      <c r="AC807" s="24"/>
      <c r="AD807" s="24"/>
    </row>
    <row r="808" spans="1:30" ht="12.75">
      <c r="A808" s="313"/>
      <c r="B808" s="313"/>
      <c r="C808" s="314"/>
      <c r="D808" s="311"/>
      <c r="E808" s="311"/>
      <c r="F808" s="311"/>
      <c r="G808" s="311"/>
      <c r="H808" s="311"/>
      <c r="I808" s="311"/>
      <c r="J808" s="311"/>
      <c r="K808" s="311"/>
      <c r="L808" s="311"/>
      <c r="M808" s="311"/>
      <c r="N808" s="311"/>
      <c r="O808" s="311"/>
      <c r="P808" s="311"/>
      <c r="Q808" s="311"/>
      <c r="R808" s="311"/>
      <c r="S808" s="311"/>
      <c r="T808" s="311"/>
      <c r="U808" s="311"/>
      <c r="V808" s="311"/>
      <c r="W808" s="311"/>
      <c r="X808" s="311"/>
      <c r="Y808" s="24"/>
      <c r="Z808" s="24"/>
      <c r="AA808" s="24"/>
      <c r="AB808" s="24"/>
      <c r="AC808" s="24"/>
      <c r="AD808" s="24"/>
    </row>
    <row r="809" spans="1:30" ht="12.75">
      <c r="A809" s="313"/>
      <c r="B809" s="313"/>
      <c r="C809" s="314"/>
      <c r="D809" s="311"/>
      <c r="E809" s="311"/>
      <c r="F809" s="311"/>
      <c r="G809" s="311"/>
      <c r="H809" s="311"/>
      <c r="I809" s="311"/>
      <c r="J809" s="311"/>
      <c r="K809" s="311"/>
      <c r="L809" s="311"/>
      <c r="M809" s="311"/>
      <c r="N809" s="311"/>
      <c r="O809" s="311"/>
      <c r="P809" s="311"/>
      <c r="Q809" s="311"/>
      <c r="R809" s="311"/>
      <c r="S809" s="311"/>
      <c r="T809" s="311"/>
      <c r="U809" s="311"/>
      <c r="V809" s="311"/>
      <c r="W809" s="311"/>
      <c r="X809" s="311"/>
      <c r="Y809" s="24"/>
      <c r="Z809" s="24"/>
      <c r="AA809" s="24"/>
      <c r="AB809" s="24"/>
      <c r="AC809" s="24"/>
      <c r="AD809" s="24"/>
    </row>
    <row r="810" spans="1:30" ht="12.75">
      <c r="A810" s="313"/>
      <c r="B810" s="313"/>
      <c r="C810" s="314"/>
      <c r="D810" s="311"/>
      <c r="E810" s="311"/>
      <c r="F810" s="311"/>
      <c r="G810" s="311"/>
      <c r="H810" s="311"/>
      <c r="I810" s="311"/>
      <c r="J810" s="311"/>
      <c r="K810" s="311"/>
      <c r="L810" s="311"/>
      <c r="M810" s="311"/>
      <c r="N810" s="311"/>
      <c r="O810" s="311"/>
      <c r="P810" s="311"/>
      <c r="Q810" s="311"/>
      <c r="R810" s="311"/>
      <c r="S810" s="311"/>
      <c r="T810" s="311"/>
      <c r="U810" s="311"/>
      <c r="V810" s="311"/>
      <c r="W810" s="311"/>
      <c r="X810" s="311"/>
      <c r="Y810" s="24"/>
      <c r="Z810" s="24"/>
      <c r="AA810" s="24"/>
      <c r="AB810" s="24"/>
      <c r="AC810" s="24"/>
      <c r="AD810" s="24"/>
    </row>
    <row r="811" spans="1:30" ht="12.75">
      <c r="A811" s="313"/>
      <c r="B811" s="313"/>
      <c r="C811" s="314"/>
      <c r="D811" s="311"/>
      <c r="E811" s="311"/>
      <c r="F811" s="311"/>
      <c r="G811" s="311"/>
      <c r="H811" s="311"/>
      <c r="I811" s="311"/>
      <c r="J811" s="311"/>
      <c r="K811" s="311"/>
      <c r="L811" s="311"/>
      <c r="M811" s="311"/>
      <c r="N811" s="311"/>
      <c r="O811" s="311"/>
      <c r="P811" s="311"/>
      <c r="Q811" s="311"/>
      <c r="R811" s="311"/>
      <c r="S811" s="311"/>
      <c r="T811" s="311"/>
      <c r="U811" s="311"/>
      <c r="V811" s="311"/>
      <c r="W811" s="311"/>
      <c r="X811" s="311"/>
      <c r="Y811" s="24"/>
      <c r="Z811" s="24"/>
      <c r="AA811" s="24"/>
      <c r="AB811" s="24"/>
      <c r="AC811" s="24"/>
      <c r="AD811" s="24"/>
    </row>
    <row r="812" spans="1:30" ht="12.75">
      <c r="A812" s="313"/>
      <c r="B812" s="313"/>
      <c r="C812" s="314"/>
      <c r="D812" s="311"/>
      <c r="E812" s="311"/>
      <c r="F812" s="311"/>
      <c r="G812" s="311"/>
      <c r="H812" s="311"/>
      <c r="I812" s="311"/>
      <c r="J812" s="311"/>
      <c r="K812" s="311"/>
      <c r="L812" s="311"/>
      <c r="M812" s="311"/>
      <c r="N812" s="311"/>
      <c r="O812" s="311"/>
      <c r="P812" s="311"/>
      <c r="Q812" s="311"/>
      <c r="R812" s="311"/>
      <c r="S812" s="311"/>
      <c r="T812" s="311"/>
      <c r="U812" s="311"/>
      <c r="V812" s="311"/>
      <c r="W812" s="311"/>
      <c r="X812" s="311"/>
      <c r="Y812" s="24"/>
      <c r="Z812" s="24"/>
      <c r="AA812" s="24"/>
      <c r="AB812" s="24"/>
      <c r="AC812" s="24"/>
      <c r="AD812" s="24"/>
    </row>
    <row r="813" spans="1:30" ht="12.75">
      <c r="A813" s="313"/>
      <c r="B813" s="313"/>
      <c r="C813" s="314"/>
      <c r="D813" s="311"/>
      <c r="E813" s="311"/>
      <c r="F813" s="311"/>
      <c r="G813" s="311"/>
      <c r="H813" s="311"/>
      <c r="I813" s="311"/>
      <c r="J813" s="311"/>
      <c r="K813" s="311"/>
      <c r="L813" s="311"/>
      <c r="M813" s="311"/>
      <c r="N813" s="311"/>
      <c r="O813" s="311"/>
      <c r="P813" s="311"/>
      <c r="Q813" s="311"/>
      <c r="R813" s="311"/>
      <c r="S813" s="311"/>
      <c r="T813" s="311"/>
      <c r="U813" s="311"/>
      <c r="V813" s="311"/>
      <c r="W813" s="311"/>
      <c r="X813" s="311"/>
      <c r="Y813" s="24"/>
      <c r="Z813" s="24"/>
      <c r="AA813" s="24"/>
      <c r="AB813" s="24"/>
      <c r="AC813" s="24"/>
      <c r="AD813" s="24"/>
    </row>
    <row r="814" spans="1:30" ht="12.75">
      <c r="A814" s="313"/>
      <c r="B814" s="313"/>
      <c r="C814" s="314"/>
      <c r="D814" s="311"/>
      <c r="E814" s="311"/>
      <c r="F814" s="311"/>
      <c r="G814" s="311"/>
      <c r="H814" s="311"/>
      <c r="I814" s="311"/>
      <c r="J814" s="311"/>
      <c r="K814" s="311"/>
      <c r="L814" s="311"/>
      <c r="M814" s="311"/>
      <c r="N814" s="311"/>
      <c r="O814" s="311"/>
      <c r="P814" s="311"/>
      <c r="Q814" s="311"/>
      <c r="R814" s="311"/>
      <c r="S814" s="311"/>
      <c r="T814" s="311"/>
      <c r="U814" s="311"/>
      <c r="V814" s="311"/>
      <c r="W814" s="311"/>
      <c r="X814" s="311"/>
      <c r="Y814" s="24"/>
      <c r="Z814" s="24"/>
      <c r="AA814" s="24"/>
      <c r="AB814" s="24"/>
      <c r="AC814" s="24"/>
      <c r="AD814" s="24"/>
    </row>
    <row r="815" spans="1:30" ht="12.75">
      <c r="A815" s="313"/>
      <c r="B815" s="313"/>
      <c r="C815" s="314"/>
      <c r="D815" s="311"/>
      <c r="E815" s="311"/>
      <c r="F815" s="311"/>
      <c r="G815" s="311"/>
      <c r="H815" s="311"/>
      <c r="I815" s="311"/>
      <c r="J815" s="311"/>
      <c r="K815" s="311"/>
      <c r="L815" s="311"/>
      <c r="M815" s="311"/>
      <c r="N815" s="311"/>
      <c r="O815" s="311"/>
      <c r="P815" s="311"/>
      <c r="Q815" s="311"/>
      <c r="R815" s="311"/>
      <c r="S815" s="311"/>
      <c r="T815" s="311"/>
      <c r="U815" s="311"/>
      <c r="V815" s="311"/>
      <c r="W815" s="311"/>
      <c r="X815" s="311"/>
      <c r="Y815" s="24"/>
      <c r="Z815" s="24"/>
      <c r="AA815" s="24"/>
      <c r="AB815" s="24"/>
      <c r="AC815" s="24"/>
      <c r="AD815" s="24"/>
    </row>
    <row r="816" spans="1:30" ht="12.75">
      <c r="A816" s="313"/>
      <c r="B816" s="313"/>
      <c r="C816" s="314"/>
      <c r="D816" s="311"/>
      <c r="E816" s="311"/>
      <c r="F816" s="311"/>
      <c r="G816" s="311"/>
      <c r="H816" s="311"/>
      <c r="I816" s="311"/>
      <c r="J816" s="311"/>
      <c r="K816" s="311"/>
      <c r="L816" s="311"/>
      <c r="M816" s="311"/>
      <c r="N816" s="311"/>
      <c r="O816" s="311"/>
      <c r="P816" s="311"/>
      <c r="Q816" s="311"/>
      <c r="R816" s="311"/>
      <c r="S816" s="311"/>
      <c r="T816" s="311"/>
      <c r="U816" s="311"/>
      <c r="V816" s="311"/>
      <c r="W816" s="311"/>
      <c r="X816" s="311"/>
      <c r="Y816" s="24"/>
      <c r="Z816" s="24"/>
      <c r="AA816" s="24"/>
      <c r="AB816" s="24"/>
      <c r="AC816" s="24"/>
      <c r="AD816" s="24"/>
    </row>
    <row r="817" spans="1:30" ht="12.75">
      <c r="A817" s="313"/>
      <c r="B817" s="313"/>
      <c r="C817" s="314"/>
      <c r="D817" s="311"/>
      <c r="E817" s="311"/>
      <c r="F817" s="311"/>
      <c r="G817" s="311"/>
      <c r="H817" s="311"/>
      <c r="I817" s="311"/>
      <c r="J817" s="311"/>
      <c r="K817" s="311"/>
      <c r="L817" s="311"/>
      <c r="M817" s="311"/>
      <c r="N817" s="311"/>
      <c r="O817" s="311"/>
      <c r="P817" s="311"/>
      <c r="Q817" s="311"/>
      <c r="R817" s="311"/>
      <c r="S817" s="311"/>
      <c r="T817" s="311"/>
      <c r="U817" s="311"/>
      <c r="V817" s="311"/>
      <c r="W817" s="311"/>
      <c r="X817" s="311"/>
      <c r="Y817" s="24"/>
      <c r="Z817" s="24"/>
      <c r="AA817" s="24"/>
      <c r="AB817" s="24"/>
      <c r="AC817" s="24"/>
      <c r="AD817" s="24"/>
    </row>
    <row r="818" spans="1:30" ht="12.75">
      <c r="A818" s="313"/>
      <c r="B818" s="313"/>
      <c r="C818" s="314"/>
      <c r="D818" s="311"/>
      <c r="E818" s="311"/>
      <c r="F818" s="311"/>
      <c r="G818" s="311"/>
      <c r="H818" s="311"/>
      <c r="I818" s="311"/>
      <c r="J818" s="311"/>
      <c r="K818" s="311"/>
      <c r="L818" s="311"/>
      <c r="M818" s="311"/>
      <c r="N818" s="311"/>
      <c r="O818" s="311"/>
      <c r="P818" s="311"/>
      <c r="Q818" s="311"/>
      <c r="R818" s="311"/>
      <c r="S818" s="311"/>
      <c r="T818" s="311"/>
      <c r="U818" s="311"/>
      <c r="V818" s="311"/>
      <c r="W818" s="311"/>
      <c r="X818" s="311"/>
      <c r="Y818" s="24"/>
      <c r="Z818" s="24"/>
      <c r="AA818" s="24"/>
      <c r="AB818" s="24"/>
      <c r="AC818" s="24"/>
      <c r="AD818" s="24"/>
    </row>
    <row r="819" spans="1:30" ht="12.75">
      <c r="A819" s="313"/>
      <c r="B819" s="313"/>
      <c r="C819" s="314"/>
      <c r="D819" s="311"/>
      <c r="E819" s="311"/>
      <c r="F819" s="311"/>
      <c r="G819" s="311"/>
      <c r="H819" s="311"/>
      <c r="I819" s="311"/>
      <c r="J819" s="311"/>
      <c r="K819" s="311"/>
      <c r="L819" s="311"/>
      <c r="M819" s="311"/>
      <c r="N819" s="311"/>
      <c r="O819" s="311"/>
      <c r="P819" s="311"/>
      <c r="Q819" s="311"/>
      <c r="R819" s="311"/>
      <c r="S819" s="311"/>
      <c r="T819" s="311"/>
      <c r="U819" s="311"/>
      <c r="V819" s="311"/>
      <c r="W819" s="311"/>
      <c r="X819" s="311"/>
      <c r="Y819" s="24"/>
      <c r="Z819" s="24"/>
      <c r="AA819" s="24"/>
      <c r="AB819" s="24"/>
      <c r="AC819" s="24"/>
      <c r="AD819" s="24"/>
    </row>
    <row r="820" spans="1:30" ht="12.75">
      <c r="A820" s="313"/>
      <c r="B820" s="313"/>
      <c r="C820" s="314"/>
      <c r="D820" s="311"/>
      <c r="E820" s="311"/>
      <c r="F820" s="311"/>
      <c r="G820" s="311"/>
      <c r="H820" s="311"/>
      <c r="I820" s="311"/>
      <c r="J820" s="311"/>
      <c r="K820" s="311"/>
      <c r="L820" s="311"/>
      <c r="M820" s="311"/>
      <c r="N820" s="311"/>
      <c r="O820" s="311"/>
      <c r="P820" s="311"/>
      <c r="Q820" s="311"/>
      <c r="R820" s="311"/>
      <c r="S820" s="311"/>
      <c r="T820" s="311"/>
      <c r="U820" s="311"/>
      <c r="V820" s="311"/>
      <c r="W820" s="311"/>
      <c r="X820" s="311"/>
      <c r="Y820" s="24"/>
      <c r="Z820" s="24"/>
      <c r="AA820" s="24"/>
      <c r="AB820" s="24"/>
      <c r="AC820" s="24"/>
      <c r="AD820" s="24"/>
    </row>
    <row r="821" spans="1:30" ht="12.75">
      <c r="A821" s="313"/>
      <c r="B821" s="313"/>
      <c r="C821" s="314"/>
      <c r="D821" s="311"/>
      <c r="E821" s="311"/>
      <c r="F821" s="311"/>
      <c r="G821" s="311"/>
      <c r="H821" s="311"/>
      <c r="I821" s="311"/>
      <c r="J821" s="311"/>
      <c r="K821" s="311"/>
      <c r="L821" s="311"/>
      <c r="M821" s="311"/>
      <c r="N821" s="311"/>
      <c r="O821" s="311"/>
      <c r="P821" s="311"/>
      <c r="Q821" s="311"/>
      <c r="R821" s="311"/>
      <c r="S821" s="311"/>
      <c r="T821" s="311"/>
      <c r="U821" s="311"/>
      <c r="V821" s="311"/>
      <c r="W821" s="311"/>
      <c r="X821" s="311"/>
      <c r="Y821" s="24"/>
      <c r="Z821" s="24"/>
      <c r="AA821" s="24"/>
      <c r="AB821" s="24"/>
      <c r="AC821" s="24"/>
      <c r="AD821" s="24"/>
    </row>
    <row r="822" spans="1:30" ht="12.75">
      <c r="A822" s="313"/>
      <c r="B822" s="313"/>
      <c r="C822" s="314"/>
      <c r="D822" s="311"/>
      <c r="E822" s="311"/>
      <c r="F822" s="311"/>
      <c r="G822" s="311"/>
      <c r="H822" s="311"/>
      <c r="I822" s="311"/>
      <c r="J822" s="311"/>
      <c r="K822" s="311"/>
      <c r="L822" s="311"/>
      <c r="M822" s="311"/>
      <c r="N822" s="311"/>
      <c r="O822" s="311"/>
      <c r="P822" s="311"/>
      <c r="Q822" s="311"/>
      <c r="R822" s="311"/>
      <c r="S822" s="311"/>
      <c r="T822" s="311"/>
      <c r="U822" s="311"/>
      <c r="V822" s="311"/>
      <c r="W822" s="311"/>
      <c r="X822" s="311"/>
      <c r="Y822" s="24"/>
      <c r="Z822" s="24"/>
      <c r="AA822" s="24"/>
      <c r="AB822" s="24"/>
      <c r="AC822" s="24"/>
      <c r="AD822" s="24"/>
    </row>
    <row r="823" spans="1:30" ht="12.75">
      <c r="A823" s="313"/>
      <c r="B823" s="313"/>
      <c r="C823" s="314"/>
      <c r="D823" s="311"/>
      <c r="E823" s="311"/>
      <c r="F823" s="311"/>
      <c r="G823" s="311"/>
      <c r="H823" s="311"/>
      <c r="I823" s="311"/>
      <c r="J823" s="311"/>
      <c r="K823" s="311"/>
      <c r="L823" s="311"/>
      <c r="M823" s="311"/>
      <c r="N823" s="311"/>
      <c r="O823" s="311"/>
      <c r="P823" s="311"/>
      <c r="Q823" s="311"/>
      <c r="R823" s="311"/>
      <c r="S823" s="311"/>
      <c r="T823" s="311"/>
      <c r="U823" s="311"/>
      <c r="V823" s="311"/>
      <c r="W823" s="311"/>
      <c r="X823" s="311"/>
      <c r="Y823" s="24"/>
      <c r="Z823" s="24"/>
      <c r="AA823" s="24"/>
      <c r="AB823" s="24"/>
      <c r="AC823" s="24"/>
      <c r="AD823" s="24"/>
    </row>
    <row r="824" spans="1:30" ht="12.75">
      <c r="A824" s="313"/>
      <c r="B824" s="313"/>
      <c r="C824" s="314"/>
      <c r="D824" s="311"/>
      <c r="E824" s="311"/>
      <c r="F824" s="311"/>
      <c r="G824" s="311"/>
      <c r="H824" s="311"/>
      <c r="I824" s="311"/>
      <c r="J824" s="311"/>
      <c r="K824" s="311"/>
      <c r="L824" s="311"/>
      <c r="M824" s="311"/>
      <c r="N824" s="311"/>
      <c r="O824" s="311"/>
      <c r="P824" s="311"/>
      <c r="Q824" s="311"/>
      <c r="R824" s="311"/>
      <c r="S824" s="311"/>
      <c r="T824" s="311"/>
      <c r="U824" s="311"/>
      <c r="V824" s="311"/>
      <c r="W824" s="311"/>
      <c r="X824" s="311"/>
      <c r="Y824" s="24"/>
      <c r="Z824" s="24"/>
      <c r="AA824" s="24"/>
      <c r="AB824" s="24"/>
      <c r="AC824" s="24"/>
      <c r="AD824" s="24"/>
    </row>
    <row r="825" spans="1:30" ht="12.75">
      <c r="A825" s="313"/>
      <c r="B825" s="313"/>
      <c r="C825" s="314"/>
      <c r="D825" s="311"/>
      <c r="E825" s="311"/>
      <c r="F825" s="311"/>
      <c r="G825" s="311"/>
      <c r="H825" s="311"/>
      <c r="I825" s="311"/>
      <c r="J825" s="311"/>
      <c r="K825" s="311"/>
      <c r="L825" s="311"/>
      <c r="M825" s="311"/>
      <c r="N825" s="311"/>
      <c r="O825" s="311"/>
      <c r="P825" s="311"/>
      <c r="Q825" s="311"/>
      <c r="R825" s="311"/>
      <c r="S825" s="311"/>
      <c r="T825" s="311"/>
      <c r="U825" s="311"/>
      <c r="V825" s="311"/>
      <c r="W825" s="311"/>
      <c r="X825" s="311"/>
      <c r="Y825" s="24"/>
      <c r="Z825" s="24"/>
      <c r="AA825" s="24"/>
      <c r="AB825" s="24"/>
      <c r="AC825" s="24"/>
      <c r="AD825" s="24"/>
    </row>
    <row r="826" spans="1:30" ht="12.75">
      <c r="A826" s="313"/>
      <c r="B826" s="313"/>
      <c r="C826" s="314"/>
      <c r="D826" s="311"/>
      <c r="E826" s="311"/>
      <c r="F826" s="311"/>
      <c r="G826" s="311"/>
      <c r="H826" s="311"/>
      <c r="I826" s="311"/>
      <c r="J826" s="311"/>
      <c r="K826" s="311"/>
      <c r="L826" s="311"/>
      <c r="M826" s="311"/>
      <c r="N826" s="311"/>
      <c r="O826" s="311"/>
      <c r="P826" s="311"/>
      <c r="Q826" s="311"/>
      <c r="R826" s="311"/>
      <c r="S826" s="311"/>
      <c r="T826" s="311"/>
      <c r="U826" s="311"/>
      <c r="V826" s="311"/>
      <c r="W826" s="311"/>
      <c r="X826" s="311"/>
      <c r="Y826" s="24"/>
      <c r="Z826" s="24"/>
      <c r="AA826" s="24"/>
      <c r="AB826" s="24"/>
      <c r="AC826" s="24"/>
      <c r="AD826" s="24"/>
    </row>
    <row r="827" spans="1:30" ht="12.75">
      <c r="A827" s="313"/>
      <c r="B827" s="313"/>
      <c r="C827" s="314"/>
      <c r="D827" s="311"/>
      <c r="E827" s="311"/>
      <c r="F827" s="311"/>
      <c r="G827" s="311"/>
      <c r="H827" s="311"/>
      <c r="I827" s="311"/>
      <c r="J827" s="311"/>
      <c r="K827" s="311"/>
      <c r="L827" s="311"/>
      <c r="M827" s="311"/>
      <c r="N827" s="311"/>
      <c r="O827" s="311"/>
      <c r="P827" s="311"/>
      <c r="Q827" s="311"/>
      <c r="R827" s="311"/>
      <c r="S827" s="311"/>
      <c r="T827" s="311"/>
      <c r="U827" s="311"/>
      <c r="V827" s="311"/>
      <c r="W827" s="311"/>
      <c r="X827" s="311"/>
      <c r="Y827" s="24"/>
      <c r="Z827" s="24"/>
      <c r="AA827" s="24"/>
      <c r="AB827" s="24"/>
      <c r="AC827" s="24"/>
      <c r="AD827" s="24"/>
    </row>
    <row r="828" spans="1:30" ht="12.75">
      <c r="A828" s="313"/>
      <c r="B828" s="313"/>
      <c r="C828" s="314"/>
      <c r="D828" s="311"/>
      <c r="E828" s="311"/>
      <c r="F828" s="311"/>
      <c r="G828" s="311"/>
      <c r="H828" s="311"/>
      <c r="I828" s="311"/>
      <c r="J828" s="311"/>
      <c r="K828" s="311"/>
      <c r="L828" s="311"/>
      <c r="M828" s="311"/>
      <c r="N828" s="311"/>
      <c r="O828" s="311"/>
      <c r="P828" s="311"/>
      <c r="Q828" s="311"/>
      <c r="R828" s="311"/>
      <c r="S828" s="311"/>
      <c r="T828" s="311"/>
      <c r="U828" s="311"/>
      <c r="V828" s="311"/>
      <c r="W828" s="311"/>
      <c r="X828" s="311"/>
      <c r="Y828" s="24"/>
      <c r="Z828" s="24"/>
      <c r="AA828" s="24"/>
      <c r="AB828" s="24"/>
      <c r="AC828" s="24"/>
      <c r="AD828" s="24"/>
    </row>
    <row r="829" spans="1:30" ht="12.75">
      <c r="A829" s="313"/>
      <c r="B829" s="313"/>
      <c r="C829" s="314"/>
      <c r="D829" s="311"/>
      <c r="E829" s="311"/>
      <c r="F829" s="311"/>
      <c r="G829" s="311"/>
      <c r="H829" s="311"/>
      <c r="I829" s="311"/>
      <c r="J829" s="311"/>
      <c r="K829" s="311"/>
      <c r="L829" s="311"/>
      <c r="M829" s="311"/>
      <c r="N829" s="311"/>
      <c r="O829" s="311"/>
      <c r="P829" s="311"/>
      <c r="Q829" s="311"/>
      <c r="R829" s="311"/>
      <c r="S829" s="311"/>
      <c r="T829" s="311"/>
      <c r="U829" s="311"/>
      <c r="V829" s="311"/>
      <c r="W829" s="311"/>
      <c r="X829" s="311"/>
      <c r="Y829" s="24"/>
      <c r="Z829" s="24"/>
      <c r="AA829" s="24"/>
      <c r="AB829" s="24"/>
      <c r="AC829" s="24"/>
      <c r="AD829" s="24"/>
    </row>
    <row r="830" spans="1:30" ht="12.75">
      <c r="A830" s="313"/>
      <c r="B830" s="313"/>
      <c r="C830" s="314"/>
      <c r="D830" s="311"/>
      <c r="E830" s="311"/>
      <c r="F830" s="311"/>
      <c r="G830" s="311"/>
      <c r="H830" s="311"/>
      <c r="I830" s="311"/>
      <c r="J830" s="311"/>
      <c r="K830" s="311"/>
      <c r="L830" s="311"/>
      <c r="M830" s="311"/>
      <c r="N830" s="311"/>
      <c r="O830" s="311"/>
      <c r="P830" s="311"/>
      <c r="Q830" s="311"/>
      <c r="R830" s="311"/>
      <c r="S830" s="311"/>
      <c r="T830" s="311"/>
      <c r="U830" s="311"/>
      <c r="V830" s="311"/>
      <c r="W830" s="311"/>
      <c r="X830" s="311"/>
      <c r="Y830" s="24"/>
      <c r="Z830" s="24"/>
      <c r="AA830" s="24"/>
      <c r="AB830" s="24"/>
      <c r="AC830" s="24"/>
      <c r="AD830" s="24"/>
    </row>
    <row r="831" spans="1:30" ht="12.75">
      <c r="A831" s="313"/>
      <c r="B831" s="313"/>
      <c r="C831" s="314"/>
      <c r="D831" s="311"/>
      <c r="E831" s="311"/>
      <c r="F831" s="311"/>
      <c r="G831" s="311"/>
      <c r="H831" s="311"/>
      <c r="I831" s="311"/>
      <c r="J831" s="311"/>
      <c r="K831" s="311"/>
      <c r="L831" s="311"/>
      <c r="M831" s="311"/>
      <c r="N831" s="311"/>
      <c r="O831" s="311"/>
      <c r="P831" s="311"/>
      <c r="Q831" s="311"/>
      <c r="R831" s="311"/>
      <c r="S831" s="311"/>
      <c r="T831" s="311"/>
      <c r="U831" s="311"/>
      <c r="V831" s="311"/>
      <c r="W831" s="311"/>
      <c r="X831" s="311"/>
      <c r="Y831" s="24"/>
      <c r="Z831" s="24"/>
      <c r="AA831" s="24"/>
      <c r="AB831" s="24"/>
      <c r="AC831" s="24"/>
      <c r="AD831" s="24"/>
    </row>
    <row r="832" spans="1:30" ht="12.75">
      <c r="A832" s="313"/>
      <c r="B832" s="313"/>
      <c r="C832" s="314"/>
      <c r="D832" s="311"/>
      <c r="E832" s="311"/>
      <c r="F832" s="311"/>
      <c r="G832" s="311"/>
      <c r="H832" s="311"/>
      <c r="I832" s="311"/>
      <c r="J832" s="311"/>
      <c r="K832" s="311"/>
      <c r="L832" s="311"/>
      <c r="M832" s="311"/>
      <c r="N832" s="311"/>
      <c r="O832" s="311"/>
      <c r="P832" s="311"/>
      <c r="Q832" s="311"/>
      <c r="R832" s="311"/>
      <c r="S832" s="311"/>
      <c r="T832" s="311"/>
      <c r="U832" s="311"/>
      <c r="V832" s="311"/>
      <c r="W832" s="311"/>
      <c r="X832" s="311"/>
      <c r="Y832" s="24"/>
      <c r="Z832" s="24"/>
      <c r="AA832" s="24"/>
      <c r="AB832" s="24"/>
      <c r="AC832" s="24"/>
      <c r="AD832" s="24"/>
    </row>
    <row r="833" spans="1:30" ht="12.75">
      <c r="A833" s="313"/>
      <c r="B833" s="313"/>
      <c r="C833" s="314"/>
      <c r="D833" s="311"/>
      <c r="E833" s="311"/>
      <c r="F833" s="311"/>
      <c r="G833" s="311"/>
      <c r="H833" s="311"/>
      <c r="I833" s="311"/>
      <c r="J833" s="311"/>
      <c r="K833" s="311"/>
      <c r="L833" s="311"/>
      <c r="M833" s="311"/>
      <c r="N833" s="311"/>
      <c r="O833" s="311"/>
      <c r="P833" s="311"/>
      <c r="Q833" s="311"/>
      <c r="R833" s="311"/>
      <c r="S833" s="311"/>
      <c r="T833" s="311"/>
      <c r="U833" s="311"/>
      <c r="V833" s="311"/>
      <c r="W833" s="311"/>
      <c r="X833" s="311"/>
      <c r="Y833" s="24"/>
      <c r="Z833" s="24"/>
      <c r="AA833" s="24"/>
      <c r="AB833" s="24"/>
      <c r="AC833" s="24"/>
      <c r="AD833" s="24"/>
    </row>
    <row r="834" spans="1:30" ht="12.75">
      <c r="A834" s="313"/>
      <c r="B834" s="313"/>
      <c r="C834" s="314"/>
      <c r="D834" s="311"/>
      <c r="E834" s="311"/>
      <c r="F834" s="311"/>
      <c r="G834" s="311"/>
      <c r="H834" s="311"/>
      <c r="I834" s="311"/>
      <c r="J834" s="311"/>
      <c r="K834" s="311"/>
      <c r="L834" s="311"/>
      <c r="M834" s="311"/>
      <c r="N834" s="311"/>
      <c r="O834" s="311"/>
      <c r="P834" s="311"/>
      <c r="Q834" s="311"/>
      <c r="R834" s="311"/>
      <c r="S834" s="311"/>
      <c r="T834" s="311"/>
      <c r="U834" s="311"/>
      <c r="V834" s="311"/>
      <c r="W834" s="311"/>
      <c r="X834" s="311"/>
      <c r="Y834" s="24"/>
      <c r="Z834" s="24"/>
      <c r="AA834" s="24"/>
      <c r="AB834" s="24"/>
      <c r="AC834" s="24"/>
      <c r="AD834" s="24"/>
    </row>
    <row r="835" spans="1:30" ht="12.75">
      <c r="A835" s="313"/>
      <c r="B835" s="313"/>
      <c r="C835" s="314"/>
      <c r="D835" s="311"/>
      <c r="E835" s="311"/>
      <c r="F835" s="311"/>
      <c r="G835" s="311"/>
      <c r="H835" s="311"/>
      <c r="I835" s="311"/>
      <c r="J835" s="311"/>
      <c r="K835" s="311"/>
      <c r="L835" s="311"/>
      <c r="M835" s="311"/>
      <c r="N835" s="311"/>
      <c r="O835" s="311"/>
      <c r="P835" s="311"/>
      <c r="Q835" s="311"/>
      <c r="R835" s="311"/>
      <c r="S835" s="311"/>
      <c r="T835" s="311"/>
      <c r="U835" s="311"/>
      <c r="V835" s="311"/>
      <c r="W835" s="311"/>
      <c r="X835" s="311"/>
      <c r="Y835" s="24"/>
      <c r="Z835" s="24"/>
      <c r="AA835" s="24"/>
      <c r="AB835" s="24"/>
      <c r="AC835" s="24"/>
      <c r="AD835" s="24"/>
    </row>
    <row r="836" spans="1:30" ht="12.75">
      <c r="A836" s="313"/>
      <c r="B836" s="313"/>
      <c r="C836" s="314"/>
      <c r="D836" s="311"/>
      <c r="E836" s="311"/>
      <c r="F836" s="311"/>
      <c r="G836" s="311"/>
      <c r="H836" s="311"/>
      <c r="I836" s="311"/>
      <c r="J836" s="311"/>
      <c r="K836" s="311"/>
      <c r="L836" s="311"/>
      <c r="M836" s="311"/>
      <c r="N836" s="311"/>
      <c r="O836" s="311"/>
      <c r="P836" s="311"/>
      <c r="Q836" s="311"/>
      <c r="R836" s="311"/>
      <c r="S836" s="311"/>
      <c r="T836" s="311"/>
      <c r="U836" s="311"/>
      <c r="V836" s="311"/>
      <c r="W836" s="311"/>
      <c r="X836" s="311"/>
      <c r="Y836" s="24"/>
      <c r="Z836" s="24"/>
      <c r="AA836" s="24"/>
      <c r="AB836" s="24"/>
      <c r="AC836" s="24"/>
      <c r="AD836" s="24"/>
    </row>
    <row r="837" spans="1:30" ht="12.75">
      <c r="A837" s="313"/>
      <c r="B837" s="313"/>
      <c r="C837" s="314"/>
      <c r="D837" s="311"/>
      <c r="E837" s="311"/>
      <c r="F837" s="311"/>
      <c r="G837" s="311"/>
      <c r="H837" s="311"/>
      <c r="I837" s="311"/>
      <c r="J837" s="311"/>
      <c r="K837" s="311"/>
      <c r="L837" s="311"/>
      <c r="M837" s="311"/>
      <c r="N837" s="311"/>
      <c r="O837" s="311"/>
      <c r="P837" s="311"/>
      <c r="Q837" s="311"/>
      <c r="R837" s="311"/>
      <c r="S837" s="311"/>
      <c r="T837" s="311"/>
      <c r="U837" s="311"/>
      <c r="V837" s="311"/>
      <c r="W837" s="311"/>
      <c r="X837" s="311"/>
      <c r="Y837" s="24"/>
      <c r="Z837" s="24"/>
      <c r="AA837" s="24"/>
      <c r="AB837" s="24"/>
      <c r="AC837" s="24"/>
      <c r="AD837" s="24"/>
    </row>
    <row r="838" spans="1:30" ht="12.75">
      <c r="A838" s="313"/>
      <c r="B838" s="313"/>
      <c r="C838" s="314"/>
      <c r="D838" s="311"/>
      <c r="E838" s="311"/>
      <c r="F838" s="311"/>
      <c r="G838" s="311"/>
      <c r="H838" s="311"/>
      <c r="I838" s="311"/>
      <c r="J838" s="311"/>
      <c r="K838" s="311"/>
      <c r="L838" s="311"/>
      <c r="M838" s="311"/>
      <c r="N838" s="311"/>
      <c r="O838" s="311"/>
      <c r="P838" s="311"/>
      <c r="Q838" s="311"/>
      <c r="R838" s="311"/>
      <c r="S838" s="311"/>
      <c r="T838" s="311"/>
      <c r="U838" s="311"/>
      <c r="V838" s="311"/>
      <c r="W838" s="311"/>
      <c r="X838" s="311"/>
      <c r="Y838" s="24"/>
      <c r="Z838" s="24"/>
      <c r="AA838" s="24"/>
      <c r="AB838" s="24"/>
      <c r="AC838" s="24"/>
      <c r="AD838" s="24"/>
    </row>
    <row r="839" spans="1:30" ht="12.75">
      <c r="A839" s="313"/>
      <c r="B839" s="313"/>
      <c r="C839" s="314"/>
      <c r="D839" s="311"/>
      <c r="E839" s="311"/>
      <c r="F839" s="311"/>
      <c r="G839" s="311"/>
      <c r="H839" s="311"/>
      <c r="I839" s="311"/>
      <c r="J839" s="311"/>
      <c r="K839" s="311"/>
      <c r="L839" s="311"/>
      <c r="M839" s="311"/>
      <c r="N839" s="311"/>
      <c r="O839" s="311"/>
      <c r="P839" s="311"/>
      <c r="Q839" s="311"/>
      <c r="R839" s="311"/>
      <c r="S839" s="311"/>
      <c r="T839" s="311"/>
      <c r="U839" s="311"/>
      <c r="V839" s="311"/>
      <c r="W839" s="311"/>
      <c r="X839" s="311"/>
      <c r="Y839" s="24"/>
      <c r="Z839" s="24"/>
      <c r="AA839" s="24"/>
      <c r="AB839" s="24"/>
      <c r="AC839" s="24"/>
      <c r="AD839" s="24"/>
    </row>
    <row r="840" spans="1:30" ht="12.75">
      <c r="A840" s="313"/>
      <c r="B840" s="313"/>
      <c r="C840" s="314"/>
      <c r="D840" s="311"/>
      <c r="E840" s="311"/>
      <c r="F840" s="311"/>
      <c r="G840" s="311"/>
      <c r="H840" s="311"/>
      <c r="I840" s="311"/>
      <c r="J840" s="311"/>
      <c r="K840" s="311"/>
      <c r="L840" s="311"/>
      <c r="M840" s="311"/>
      <c r="N840" s="311"/>
      <c r="O840" s="311"/>
      <c r="P840" s="311"/>
      <c r="Q840" s="311"/>
      <c r="R840" s="311"/>
      <c r="S840" s="311"/>
      <c r="T840" s="311"/>
      <c r="U840" s="311"/>
      <c r="V840" s="311"/>
      <c r="W840" s="311"/>
      <c r="X840" s="311"/>
      <c r="Y840" s="24"/>
      <c r="Z840" s="24"/>
      <c r="AA840" s="24"/>
      <c r="AB840" s="24"/>
      <c r="AC840" s="24"/>
      <c r="AD840" s="24"/>
    </row>
    <row r="841" spans="1:30" ht="12.75">
      <c r="A841" s="313"/>
      <c r="B841" s="313"/>
      <c r="C841" s="314"/>
      <c r="D841" s="311"/>
      <c r="E841" s="311"/>
      <c r="F841" s="311"/>
      <c r="G841" s="311"/>
      <c r="H841" s="311"/>
      <c r="I841" s="311"/>
      <c r="J841" s="311"/>
      <c r="K841" s="311"/>
      <c r="L841" s="311"/>
      <c r="M841" s="311"/>
      <c r="N841" s="311"/>
      <c r="O841" s="311"/>
      <c r="P841" s="311"/>
      <c r="Q841" s="311"/>
      <c r="R841" s="311"/>
      <c r="S841" s="311"/>
      <c r="T841" s="311"/>
      <c r="U841" s="311"/>
      <c r="V841" s="311"/>
      <c r="W841" s="311"/>
      <c r="X841" s="311"/>
      <c r="Y841" s="24"/>
      <c r="Z841" s="24"/>
      <c r="AA841" s="24"/>
      <c r="AB841" s="24"/>
      <c r="AC841" s="24"/>
      <c r="AD841" s="24"/>
    </row>
    <row r="842" spans="1:30" ht="12.75">
      <c r="A842" s="313"/>
      <c r="B842" s="313"/>
      <c r="C842" s="314"/>
      <c r="D842" s="311"/>
      <c r="E842" s="311"/>
      <c r="F842" s="311"/>
      <c r="G842" s="311"/>
      <c r="H842" s="311"/>
      <c r="I842" s="311"/>
      <c r="J842" s="311"/>
      <c r="K842" s="311"/>
      <c r="L842" s="311"/>
      <c r="M842" s="311"/>
      <c r="N842" s="311"/>
      <c r="O842" s="311"/>
      <c r="P842" s="311"/>
      <c r="Q842" s="311"/>
      <c r="R842" s="311"/>
      <c r="S842" s="311"/>
      <c r="T842" s="311"/>
      <c r="U842" s="311"/>
      <c r="V842" s="311"/>
      <c r="W842" s="311"/>
      <c r="X842" s="311"/>
      <c r="Y842" s="24"/>
      <c r="Z842" s="24"/>
      <c r="AA842" s="24"/>
      <c r="AB842" s="24"/>
      <c r="AC842" s="24"/>
      <c r="AD842" s="24"/>
    </row>
    <row r="843" spans="1:30" ht="12.75">
      <c r="A843" s="313"/>
      <c r="B843" s="313"/>
      <c r="C843" s="314"/>
      <c r="D843" s="311"/>
      <c r="E843" s="311"/>
      <c r="F843" s="311"/>
      <c r="G843" s="311"/>
      <c r="H843" s="311"/>
      <c r="I843" s="311"/>
      <c r="J843" s="311"/>
      <c r="K843" s="311"/>
      <c r="L843" s="311"/>
      <c r="M843" s="311"/>
      <c r="N843" s="311"/>
      <c r="O843" s="311"/>
      <c r="P843" s="311"/>
      <c r="Q843" s="311"/>
      <c r="R843" s="311"/>
      <c r="S843" s="311"/>
      <c r="T843" s="311"/>
      <c r="U843" s="311"/>
      <c r="V843" s="311"/>
      <c r="W843" s="311"/>
      <c r="X843" s="311"/>
      <c r="Y843" s="24"/>
      <c r="Z843" s="24"/>
      <c r="AA843" s="24"/>
      <c r="AB843" s="24"/>
      <c r="AC843" s="24"/>
      <c r="AD843" s="24"/>
    </row>
    <row r="844" spans="1:30" ht="12.75">
      <c r="A844" s="313"/>
      <c r="B844" s="313"/>
      <c r="C844" s="314"/>
      <c r="D844" s="311"/>
      <c r="E844" s="311"/>
      <c r="F844" s="311"/>
      <c r="G844" s="311"/>
      <c r="H844" s="311"/>
      <c r="I844" s="311"/>
      <c r="J844" s="311"/>
      <c r="K844" s="311"/>
      <c r="L844" s="311"/>
      <c r="M844" s="311"/>
      <c r="N844" s="311"/>
      <c r="O844" s="311"/>
      <c r="P844" s="311"/>
      <c r="Q844" s="311"/>
      <c r="R844" s="311"/>
      <c r="S844" s="311"/>
      <c r="T844" s="311"/>
      <c r="U844" s="311"/>
      <c r="V844" s="311"/>
      <c r="W844" s="311"/>
      <c r="X844" s="311"/>
      <c r="Y844" s="24"/>
      <c r="Z844" s="24"/>
      <c r="AA844" s="24"/>
      <c r="AB844" s="24"/>
      <c r="AC844" s="24"/>
      <c r="AD844" s="24"/>
    </row>
    <row r="845" spans="1:30" ht="12.75">
      <c r="A845" s="313"/>
      <c r="B845" s="313"/>
      <c r="C845" s="314"/>
      <c r="D845" s="311"/>
      <c r="E845" s="311"/>
      <c r="F845" s="311"/>
      <c r="G845" s="311"/>
      <c r="H845" s="311"/>
      <c r="I845" s="311"/>
      <c r="J845" s="311"/>
      <c r="K845" s="311"/>
      <c r="L845" s="311"/>
      <c r="M845" s="311"/>
      <c r="N845" s="311"/>
      <c r="O845" s="311"/>
      <c r="P845" s="311"/>
      <c r="Q845" s="311"/>
      <c r="R845" s="311"/>
      <c r="S845" s="311"/>
      <c r="T845" s="311"/>
      <c r="U845" s="311"/>
      <c r="V845" s="311"/>
      <c r="W845" s="311"/>
      <c r="X845" s="311"/>
      <c r="Y845" s="24"/>
      <c r="Z845" s="24"/>
      <c r="AA845" s="24"/>
      <c r="AB845" s="24"/>
      <c r="AC845" s="24"/>
      <c r="AD845" s="24"/>
    </row>
    <row r="846" spans="1:30" ht="12.75">
      <c r="A846" s="313"/>
      <c r="B846" s="313"/>
      <c r="C846" s="314"/>
      <c r="D846" s="311"/>
      <c r="E846" s="311"/>
      <c r="F846" s="311"/>
      <c r="G846" s="311"/>
      <c r="H846" s="311"/>
      <c r="I846" s="311"/>
      <c r="J846" s="311"/>
      <c r="K846" s="311"/>
      <c r="L846" s="311"/>
      <c r="M846" s="311"/>
      <c r="N846" s="311"/>
      <c r="O846" s="311"/>
      <c r="P846" s="311"/>
      <c r="Q846" s="311"/>
      <c r="R846" s="311"/>
      <c r="S846" s="311"/>
      <c r="T846" s="311"/>
      <c r="U846" s="311"/>
      <c r="V846" s="311"/>
      <c r="W846" s="311"/>
      <c r="X846" s="311"/>
      <c r="Y846" s="24"/>
      <c r="Z846" s="24"/>
      <c r="AA846" s="24"/>
      <c r="AB846" s="24"/>
      <c r="AC846" s="24"/>
      <c r="AD846" s="24"/>
    </row>
    <row r="847" spans="1:30" ht="12.75">
      <c r="A847" s="313"/>
      <c r="B847" s="313"/>
      <c r="C847" s="314"/>
      <c r="D847" s="311"/>
      <c r="E847" s="311"/>
      <c r="F847" s="311"/>
      <c r="G847" s="311"/>
      <c r="H847" s="311"/>
      <c r="I847" s="311"/>
      <c r="J847" s="311"/>
      <c r="K847" s="311"/>
      <c r="L847" s="311"/>
      <c r="M847" s="311"/>
      <c r="N847" s="311"/>
      <c r="O847" s="311"/>
      <c r="P847" s="311"/>
      <c r="Q847" s="311"/>
      <c r="R847" s="311"/>
      <c r="S847" s="311"/>
      <c r="T847" s="311"/>
      <c r="U847" s="311"/>
      <c r="V847" s="311"/>
      <c r="W847" s="311"/>
      <c r="X847" s="311"/>
      <c r="Y847" s="24"/>
      <c r="Z847" s="24"/>
      <c r="AA847" s="24"/>
      <c r="AB847" s="24"/>
      <c r="AC847" s="24"/>
      <c r="AD847" s="24"/>
    </row>
    <row r="848" spans="1:30" ht="12.75">
      <c r="A848" s="313"/>
      <c r="B848" s="313"/>
      <c r="C848" s="314"/>
      <c r="D848" s="311"/>
      <c r="E848" s="311"/>
      <c r="F848" s="311"/>
      <c r="G848" s="311"/>
      <c r="H848" s="311"/>
      <c r="I848" s="311"/>
      <c r="J848" s="311"/>
      <c r="K848" s="311"/>
      <c r="L848" s="311"/>
      <c r="M848" s="311"/>
      <c r="N848" s="311"/>
      <c r="O848" s="311"/>
      <c r="P848" s="311"/>
      <c r="Q848" s="311"/>
      <c r="R848" s="311"/>
      <c r="S848" s="311"/>
      <c r="T848" s="311"/>
      <c r="U848" s="311"/>
      <c r="V848" s="311"/>
      <c r="W848" s="311"/>
      <c r="X848" s="311"/>
      <c r="Y848" s="24"/>
      <c r="Z848" s="24"/>
      <c r="AA848" s="24"/>
      <c r="AB848" s="24"/>
      <c r="AC848" s="24"/>
      <c r="AD848" s="24"/>
    </row>
    <row r="849" spans="1:30" ht="12.75">
      <c r="A849" s="313"/>
      <c r="B849" s="313"/>
      <c r="C849" s="314"/>
      <c r="D849" s="311"/>
      <c r="E849" s="311"/>
      <c r="F849" s="311"/>
      <c r="G849" s="311"/>
      <c r="H849" s="311"/>
      <c r="I849" s="311"/>
      <c r="J849" s="311"/>
      <c r="K849" s="311"/>
      <c r="L849" s="311"/>
      <c r="M849" s="311"/>
      <c r="N849" s="311"/>
      <c r="O849" s="311"/>
      <c r="P849" s="311"/>
      <c r="Q849" s="311"/>
      <c r="R849" s="311"/>
      <c r="S849" s="311"/>
      <c r="T849" s="311"/>
      <c r="U849" s="311"/>
      <c r="V849" s="311"/>
      <c r="W849" s="311"/>
      <c r="X849" s="311"/>
      <c r="Y849" s="24"/>
      <c r="Z849" s="24"/>
      <c r="AA849" s="24"/>
      <c r="AB849" s="24"/>
      <c r="AC849" s="24"/>
      <c r="AD849" s="24"/>
    </row>
    <row r="850" spans="1:30" ht="12.75">
      <c r="A850" s="313"/>
      <c r="B850" s="313"/>
      <c r="C850" s="314"/>
      <c r="D850" s="311"/>
      <c r="E850" s="311"/>
      <c r="F850" s="311"/>
      <c r="G850" s="311"/>
      <c r="H850" s="311"/>
      <c r="I850" s="311"/>
      <c r="J850" s="311"/>
      <c r="K850" s="311"/>
      <c r="L850" s="311"/>
      <c r="M850" s="311"/>
      <c r="N850" s="311"/>
      <c r="O850" s="311"/>
      <c r="P850" s="311"/>
      <c r="Q850" s="311"/>
      <c r="R850" s="311"/>
      <c r="S850" s="311"/>
      <c r="T850" s="311"/>
      <c r="U850" s="311"/>
      <c r="V850" s="311"/>
      <c r="W850" s="311"/>
      <c r="X850" s="311"/>
      <c r="Y850" s="24"/>
      <c r="Z850" s="24"/>
      <c r="AA850" s="24"/>
      <c r="AB850" s="24"/>
      <c r="AC850" s="24"/>
      <c r="AD850" s="24"/>
    </row>
    <row r="851" spans="1:30" ht="12.75">
      <c r="A851" s="313"/>
      <c r="B851" s="313"/>
      <c r="C851" s="314"/>
      <c r="D851" s="311"/>
      <c r="E851" s="311"/>
      <c r="F851" s="311"/>
      <c r="G851" s="311"/>
      <c r="H851" s="311"/>
      <c r="I851" s="311"/>
      <c r="J851" s="311"/>
      <c r="K851" s="311"/>
      <c r="L851" s="311"/>
      <c r="M851" s="311"/>
      <c r="N851" s="311"/>
      <c r="O851" s="311"/>
      <c r="P851" s="311"/>
      <c r="Q851" s="311"/>
      <c r="R851" s="311"/>
      <c r="S851" s="311"/>
      <c r="T851" s="311"/>
      <c r="U851" s="311"/>
      <c r="V851" s="311"/>
      <c r="W851" s="311"/>
      <c r="X851" s="311"/>
      <c r="Y851" s="24"/>
      <c r="Z851" s="24"/>
      <c r="AA851" s="24"/>
      <c r="AB851" s="24"/>
      <c r="AC851" s="24"/>
      <c r="AD851" s="24"/>
    </row>
    <row r="852" spans="1:30" ht="12.75">
      <c r="A852" s="313"/>
      <c r="B852" s="313"/>
      <c r="C852" s="314"/>
      <c r="D852" s="311"/>
      <c r="E852" s="311"/>
      <c r="F852" s="311"/>
      <c r="G852" s="311"/>
      <c r="H852" s="311"/>
      <c r="I852" s="311"/>
      <c r="J852" s="311"/>
      <c r="K852" s="311"/>
      <c r="L852" s="311"/>
      <c r="M852" s="311"/>
      <c r="N852" s="311"/>
      <c r="O852" s="311"/>
      <c r="P852" s="311"/>
      <c r="Q852" s="311"/>
      <c r="R852" s="311"/>
      <c r="S852" s="311"/>
      <c r="T852" s="311"/>
      <c r="U852" s="311"/>
      <c r="V852" s="311"/>
      <c r="W852" s="311"/>
      <c r="X852" s="311"/>
      <c r="Y852" s="24"/>
      <c r="Z852" s="24"/>
      <c r="AA852" s="24"/>
      <c r="AB852" s="24"/>
      <c r="AC852" s="24"/>
      <c r="AD852" s="24"/>
    </row>
    <row r="853" spans="1:30" ht="12.75">
      <c r="A853" s="313"/>
      <c r="B853" s="313"/>
      <c r="C853" s="314"/>
      <c r="D853" s="311"/>
      <c r="E853" s="311"/>
      <c r="F853" s="311"/>
      <c r="G853" s="311"/>
      <c r="H853" s="311"/>
      <c r="I853" s="311"/>
      <c r="J853" s="311"/>
      <c r="K853" s="311"/>
      <c r="L853" s="311"/>
      <c r="M853" s="311"/>
      <c r="N853" s="311"/>
      <c r="O853" s="311"/>
      <c r="P853" s="311"/>
      <c r="Q853" s="311"/>
      <c r="R853" s="311"/>
      <c r="S853" s="311"/>
      <c r="T853" s="311"/>
      <c r="U853" s="311"/>
      <c r="V853" s="311"/>
      <c r="W853" s="311"/>
      <c r="X853" s="311"/>
      <c r="Y853" s="24"/>
      <c r="Z853" s="24"/>
      <c r="AA853" s="24"/>
      <c r="AB853" s="24"/>
      <c r="AC853" s="24"/>
      <c r="AD853" s="24"/>
    </row>
    <row r="854" spans="1:30" ht="12.75">
      <c r="A854" s="313"/>
      <c r="B854" s="313"/>
      <c r="C854" s="314"/>
      <c r="D854" s="311"/>
      <c r="E854" s="311"/>
      <c r="F854" s="311"/>
      <c r="G854" s="311"/>
      <c r="H854" s="311"/>
      <c r="I854" s="311"/>
      <c r="J854" s="311"/>
      <c r="K854" s="311"/>
      <c r="L854" s="311"/>
      <c r="M854" s="311"/>
      <c r="N854" s="311"/>
      <c r="O854" s="311"/>
      <c r="P854" s="311"/>
      <c r="Q854" s="311"/>
      <c r="R854" s="311"/>
      <c r="S854" s="311"/>
      <c r="T854" s="311"/>
      <c r="U854" s="311"/>
      <c r="V854" s="311"/>
      <c r="W854" s="311"/>
      <c r="X854" s="311"/>
      <c r="Y854" s="24"/>
      <c r="Z854" s="24"/>
      <c r="AA854" s="24"/>
      <c r="AB854" s="24"/>
      <c r="AC854" s="24"/>
      <c r="AD854" s="24"/>
    </row>
    <row r="855" spans="1:30" ht="12.75">
      <c r="A855" s="313"/>
      <c r="B855" s="313"/>
      <c r="C855" s="314"/>
      <c r="D855" s="311"/>
      <c r="E855" s="311"/>
      <c r="F855" s="311"/>
      <c r="G855" s="311"/>
      <c r="H855" s="311"/>
      <c r="I855" s="311"/>
      <c r="J855" s="311"/>
      <c r="K855" s="311"/>
      <c r="L855" s="311"/>
      <c r="M855" s="311"/>
      <c r="N855" s="311"/>
      <c r="O855" s="311"/>
      <c r="P855" s="311"/>
      <c r="Q855" s="311"/>
      <c r="R855" s="311"/>
      <c r="S855" s="311"/>
      <c r="T855" s="311"/>
      <c r="U855" s="311"/>
      <c r="V855" s="311"/>
      <c r="W855" s="311"/>
      <c r="X855" s="311"/>
      <c r="Y855" s="24"/>
      <c r="Z855" s="24"/>
      <c r="AA855" s="24"/>
      <c r="AB855" s="24"/>
      <c r="AC855" s="24"/>
      <c r="AD855" s="24"/>
    </row>
    <row r="856" spans="1:30" ht="12.75">
      <c r="A856" s="313"/>
      <c r="B856" s="313"/>
      <c r="C856" s="314"/>
      <c r="D856" s="311"/>
      <c r="E856" s="311"/>
      <c r="F856" s="311"/>
      <c r="G856" s="311"/>
      <c r="H856" s="311"/>
      <c r="I856" s="311"/>
      <c r="J856" s="311"/>
      <c r="K856" s="311"/>
      <c r="L856" s="311"/>
      <c r="M856" s="311"/>
      <c r="N856" s="311"/>
      <c r="O856" s="311"/>
      <c r="P856" s="311"/>
      <c r="Q856" s="311"/>
      <c r="R856" s="311"/>
      <c r="S856" s="311"/>
      <c r="T856" s="311"/>
      <c r="U856" s="311"/>
      <c r="V856" s="311"/>
      <c r="W856" s="311"/>
      <c r="X856" s="311"/>
      <c r="Y856" s="24"/>
      <c r="Z856" s="24"/>
      <c r="AA856" s="24"/>
      <c r="AB856" s="24"/>
      <c r="AC856" s="24"/>
      <c r="AD856" s="24"/>
    </row>
    <row r="857" spans="1:30" ht="12.75">
      <c r="A857" s="313"/>
      <c r="B857" s="313"/>
      <c r="C857" s="314"/>
      <c r="D857" s="311"/>
      <c r="E857" s="311"/>
      <c r="F857" s="311"/>
      <c r="G857" s="311"/>
      <c r="H857" s="311"/>
      <c r="I857" s="311"/>
      <c r="J857" s="311"/>
      <c r="K857" s="311"/>
      <c r="L857" s="311"/>
      <c r="M857" s="311"/>
      <c r="N857" s="311"/>
      <c r="O857" s="311"/>
      <c r="P857" s="311"/>
      <c r="Q857" s="311"/>
      <c r="R857" s="311"/>
      <c r="S857" s="311"/>
      <c r="T857" s="311"/>
      <c r="U857" s="311"/>
      <c r="V857" s="311"/>
      <c r="W857" s="311"/>
      <c r="X857" s="311"/>
      <c r="Y857" s="24"/>
      <c r="Z857" s="24"/>
      <c r="AA857" s="24"/>
      <c r="AB857" s="24"/>
      <c r="AC857" s="24"/>
      <c r="AD857" s="24"/>
    </row>
    <row r="858" spans="1:30" ht="12.75">
      <c r="A858" s="313"/>
      <c r="B858" s="313"/>
      <c r="C858" s="314"/>
      <c r="D858" s="311"/>
      <c r="E858" s="311"/>
      <c r="F858" s="311"/>
      <c r="G858" s="311"/>
      <c r="H858" s="311"/>
      <c r="I858" s="311"/>
      <c r="J858" s="311"/>
      <c r="K858" s="311"/>
      <c r="L858" s="311"/>
      <c r="M858" s="311"/>
      <c r="N858" s="311"/>
      <c r="O858" s="311"/>
      <c r="P858" s="311"/>
      <c r="Q858" s="311"/>
      <c r="R858" s="311"/>
      <c r="S858" s="311"/>
      <c r="T858" s="311"/>
      <c r="U858" s="311"/>
      <c r="V858" s="311"/>
      <c r="W858" s="311"/>
      <c r="X858" s="311"/>
      <c r="Y858" s="24"/>
      <c r="Z858" s="24"/>
      <c r="AA858" s="24"/>
      <c r="AB858" s="24"/>
      <c r="AC858" s="24"/>
      <c r="AD858" s="24"/>
    </row>
    <row r="859" spans="1:30" ht="12.75">
      <c r="A859" s="313"/>
      <c r="B859" s="313"/>
      <c r="C859" s="314"/>
      <c r="D859" s="311"/>
      <c r="E859" s="311"/>
      <c r="F859" s="311"/>
      <c r="G859" s="311"/>
      <c r="H859" s="311"/>
      <c r="I859" s="311"/>
      <c r="J859" s="311"/>
      <c r="K859" s="311"/>
      <c r="L859" s="311"/>
      <c r="M859" s="311"/>
      <c r="N859" s="311"/>
      <c r="O859" s="311"/>
      <c r="P859" s="311"/>
      <c r="Q859" s="311"/>
      <c r="R859" s="311"/>
      <c r="S859" s="311"/>
      <c r="T859" s="311"/>
      <c r="U859" s="311"/>
      <c r="V859" s="311"/>
      <c r="W859" s="311"/>
      <c r="X859" s="311"/>
      <c r="Y859" s="24"/>
      <c r="Z859" s="24"/>
      <c r="AA859" s="24"/>
      <c r="AB859" s="24"/>
      <c r="AC859" s="24"/>
      <c r="AD859" s="24"/>
    </row>
    <row r="860" spans="1:30" ht="12.75">
      <c r="A860" s="313"/>
      <c r="B860" s="313"/>
      <c r="C860" s="314"/>
      <c r="D860" s="311"/>
      <c r="E860" s="311"/>
      <c r="F860" s="311"/>
      <c r="G860" s="311"/>
      <c r="H860" s="311"/>
      <c r="I860" s="311"/>
      <c r="J860" s="311"/>
      <c r="K860" s="311"/>
      <c r="L860" s="311"/>
      <c r="M860" s="311"/>
      <c r="N860" s="311"/>
      <c r="O860" s="311"/>
      <c r="P860" s="311"/>
      <c r="Q860" s="311"/>
      <c r="R860" s="311"/>
      <c r="S860" s="311"/>
      <c r="T860" s="311"/>
      <c r="U860" s="311"/>
      <c r="V860" s="311"/>
      <c r="W860" s="311"/>
      <c r="X860" s="311"/>
      <c r="Y860" s="24"/>
      <c r="Z860" s="24"/>
      <c r="AA860" s="24"/>
      <c r="AB860" s="24"/>
      <c r="AC860" s="24"/>
      <c r="AD860" s="24"/>
    </row>
    <row r="861" spans="1:30" ht="12.75">
      <c r="A861" s="313"/>
      <c r="B861" s="313"/>
      <c r="C861" s="314"/>
      <c r="D861" s="311"/>
      <c r="E861" s="311"/>
      <c r="F861" s="311"/>
      <c r="G861" s="311"/>
      <c r="H861" s="311"/>
      <c r="I861" s="311"/>
      <c r="J861" s="311"/>
      <c r="K861" s="311"/>
      <c r="L861" s="311"/>
      <c r="M861" s="311"/>
      <c r="N861" s="311"/>
      <c r="O861" s="311"/>
      <c r="P861" s="311"/>
      <c r="Q861" s="311"/>
      <c r="R861" s="311"/>
      <c r="S861" s="311"/>
      <c r="T861" s="311"/>
      <c r="U861" s="311"/>
      <c r="V861" s="311"/>
      <c r="W861" s="311"/>
      <c r="X861" s="311"/>
      <c r="Y861" s="24"/>
      <c r="Z861" s="24"/>
      <c r="AA861" s="24"/>
      <c r="AB861" s="24"/>
      <c r="AC861" s="24"/>
      <c r="AD861" s="24"/>
    </row>
    <row r="862" spans="1:30" ht="12.75">
      <c r="A862" s="313"/>
      <c r="B862" s="313"/>
      <c r="C862" s="314"/>
      <c r="D862" s="311"/>
      <c r="E862" s="311"/>
      <c r="F862" s="311"/>
      <c r="G862" s="311"/>
      <c r="H862" s="311"/>
      <c r="I862" s="311"/>
      <c r="J862" s="311"/>
      <c r="K862" s="311"/>
      <c r="L862" s="311"/>
      <c r="M862" s="311"/>
      <c r="N862" s="311"/>
      <c r="O862" s="311"/>
      <c r="P862" s="311"/>
      <c r="Q862" s="311"/>
      <c r="R862" s="311"/>
      <c r="S862" s="311"/>
      <c r="T862" s="311"/>
      <c r="U862" s="311"/>
      <c r="V862" s="311"/>
      <c r="W862" s="311"/>
      <c r="X862" s="311"/>
      <c r="Y862" s="24"/>
      <c r="Z862" s="24"/>
      <c r="AA862" s="24"/>
      <c r="AB862" s="24"/>
      <c r="AC862" s="24"/>
      <c r="AD862" s="24"/>
    </row>
    <row r="863" spans="1:30" ht="12.75">
      <c r="A863" s="313"/>
      <c r="B863" s="313"/>
      <c r="C863" s="314"/>
      <c r="D863" s="311"/>
      <c r="E863" s="311"/>
      <c r="F863" s="311"/>
      <c r="G863" s="311"/>
      <c r="H863" s="311"/>
      <c r="I863" s="311"/>
      <c r="J863" s="311"/>
      <c r="K863" s="311"/>
      <c r="L863" s="311"/>
      <c r="M863" s="311"/>
      <c r="N863" s="311"/>
      <c r="O863" s="311"/>
      <c r="P863" s="311"/>
      <c r="Q863" s="311"/>
      <c r="R863" s="311"/>
      <c r="S863" s="311"/>
      <c r="T863" s="311"/>
      <c r="U863" s="311"/>
      <c r="V863" s="311"/>
      <c r="W863" s="311"/>
      <c r="X863" s="311"/>
      <c r="Y863" s="24"/>
      <c r="Z863" s="24"/>
      <c r="AA863" s="24"/>
      <c r="AB863" s="24"/>
      <c r="AC863" s="24"/>
      <c r="AD863" s="24"/>
    </row>
    <row r="864" spans="1:30" ht="12.75">
      <c r="A864" s="313"/>
      <c r="B864" s="313"/>
      <c r="C864" s="314"/>
      <c r="D864" s="311"/>
      <c r="E864" s="311"/>
      <c r="F864" s="311"/>
      <c r="G864" s="311"/>
      <c r="H864" s="311"/>
      <c r="I864" s="311"/>
      <c r="J864" s="311"/>
      <c r="K864" s="311"/>
      <c r="L864" s="311"/>
      <c r="M864" s="311"/>
      <c r="N864" s="311"/>
      <c r="O864" s="311"/>
      <c r="P864" s="311"/>
      <c r="Q864" s="311"/>
      <c r="R864" s="311"/>
      <c r="S864" s="311"/>
      <c r="T864" s="311"/>
      <c r="U864" s="311"/>
      <c r="V864" s="311"/>
      <c r="W864" s="311"/>
      <c r="X864" s="311"/>
      <c r="Y864" s="24"/>
      <c r="Z864" s="24"/>
      <c r="AA864" s="24"/>
      <c r="AB864" s="24"/>
      <c r="AC864" s="24"/>
      <c r="AD864" s="24"/>
    </row>
    <row r="865" spans="1:30" ht="12.75">
      <c r="A865" s="313"/>
      <c r="B865" s="313"/>
      <c r="C865" s="314"/>
      <c r="D865" s="311"/>
      <c r="E865" s="311"/>
      <c r="F865" s="311"/>
      <c r="G865" s="311"/>
      <c r="H865" s="311"/>
      <c r="I865" s="311"/>
      <c r="J865" s="311"/>
      <c r="K865" s="311"/>
      <c r="L865" s="311"/>
      <c r="M865" s="311"/>
      <c r="N865" s="311"/>
      <c r="O865" s="311"/>
      <c r="P865" s="311"/>
      <c r="Q865" s="311"/>
      <c r="R865" s="311"/>
      <c r="S865" s="311"/>
      <c r="T865" s="311"/>
      <c r="U865" s="311"/>
      <c r="V865" s="311"/>
      <c r="W865" s="311"/>
      <c r="X865" s="311"/>
      <c r="Y865" s="24"/>
      <c r="Z865" s="24"/>
      <c r="AA865" s="24"/>
      <c r="AB865" s="24"/>
      <c r="AC865" s="24"/>
      <c r="AD865" s="24"/>
    </row>
    <row r="866" spans="1:30" ht="12.75">
      <c r="A866" s="313"/>
      <c r="B866" s="313"/>
      <c r="C866" s="314"/>
      <c r="D866" s="311"/>
      <c r="E866" s="311"/>
      <c r="F866" s="311"/>
      <c r="G866" s="311"/>
      <c r="H866" s="311"/>
      <c r="I866" s="311"/>
      <c r="J866" s="311"/>
      <c r="K866" s="311"/>
      <c r="L866" s="311"/>
      <c r="M866" s="311"/>
      <c r="N866" s="311"/>
      <c r="O866" s="311"/>
      <c r="P866" s="311"/>
      <c r="Q866" s="311"/>
      <c r="R866" s="311"/>
      <c r="S866" s="311"/>
      <c r="T866" s="311"/>
      <c r="U866" s="311"/>
      <c r="V866" s="311"/>
      <c r="W866" s="311"/>
      <c r="X866" s="311"/>
      <c r="Y866" s="24"/>
      <c r="Z866" s="24"/>
      <c r="AA866" s="24"/>
      <c r="AB866" s="24"/>
      <c r="AC866" s="24"/>
      <c r="AD866" s="24"/>
    </row>
    <row r="867" spans="1:30" ht="12.75">
      <c r="A867" s="313"/>
      <c r="B867" s="313"/>
      <c r="C867" s="314"/>
      <c r="D867" s="311"/>
      <c r="E867" s="311"/>
      <c r="F867" s="311"/>
      <c r="G867" s="311"/>
      <c r="H867" s="311"/>
      <c r="I867" s="311"/>
      <c r="J867" s="311"/>
      <c r="K867" s="311"/>
      <c r="L867" s="311"/>
      <c r="M867" s="311"/>
      <c r="N867" s="311"/>
      <c r="O867" s="311"/>
      <c r="P867" s="311"/>
      <c r="Q867" s="311"/>
      <c r="R867" s="311"/>
      <c r="S867" s="311"/>
      <c r="T867" s="311"/>
      <c r="U867" s="311"/>
      <c r="V867" s="311"/>
      <c r="W867" s="311"/>
      <c r="X867" s="311"/>
      <c r="Y867" s="24"/>
      <c r="Z867" s="24"/>
      <c r="AA867" s="24"/>
      <c r="AB867" s="24"/>
      <c r="AC867" s="24"/>
      <c r="AD867" s="24"/>
    </row>
    <row r="868" spans="1:30" ht="12.75">
      <c r="A868" s="313"/>
      <c r="B868" s="313"/>
      <c r="C868" s="314"/>
      <c r="D868" s="311"/>
      <c r="E868" s="311"/>
      <c r="F868" s="311"/>
      <c r="G868" s="311"/>
      <c r="H868" s="311"/>
      <c r="I868" s="311"/>
      <c r="J868" s="311"/>
      <c r="K868" s="311"/>
      <c r="L868" s="311"/>
      <c r="M868" s="311"/>
      <c r="N868" s="311"/>
      <c r="O868" s="311"/>
      <c r="P868" s="311"/>
      <c r="Q868" s="311"/>
      <c r="R868" s="311"/>
      <c r="S868" s="311"/>
      <c r="T868" s="311"/>
      <c r="U868" s="311"/>
      <c r="V868" s="311"/>
      <c r="W868" s="311"/>
      <c r="X868" s="311"/>
      <c r="Y868" s="24"/>
      <c r="Z868" s="24"/>
      <c r="AA868" s="24"/>
      <c r="AB868" s="24"/>
      <c r="AC868" s="24"/>
      <c r="AD868" s="24"/>
    </row>
    <row r="869" spans="1:30" ht="12.75">
      <c r="A869" s="313"/>
      <c r="B869" s="313"/>
      <c r="C869" s="314"/>
      <c r="D869" s="311"/>
      <c r="E869" s="311"/>
      <c r="F869" s="311"/>
      <c r="G869" s="311"/>
      <c r="H869" s="311"/>
      <c r="I869" s="311"/>
      <c r="J869" s="311"/>
      <c r="K869" s="311"/>
      <c r="L869" s="311"/>
      <c r="M869" s="311"/>
      <c r="N869" s="311"/>
      <c r="O869" s="311"/>
      <c r="P869" s="311"/>
      <c r="Q869" s="311"/>
      <c r="R869" s="311"/>
      <c r="S869" s="311"/>
      <c r="T869" s="311"/>
      <c r="U869" s="311"/>
      <c r="V869" s="311"/>
      <c r="W869" s="311"/>
      <c r="X869" s="311"/>
      <c r="Y869" s="24"/>
      <c r="Z869" s="24"/>
      <c r="AA869" s="24"/>
      <c r="AB869" s="24"/>
      <c r="AC869" s="24"/>
      <c r="AD869" s="24"/>
    </row>
    <row r="870" spans="1:30" ht="12.75">
      <c r="A870" s="313"/>
      <c r="B870" s="313"/>
      <c r="C870" s="314"/>
      <c r="D870" s="311"/>
      <c r="E870" s="311"/>
      <c r="F870" s="311"/>
      <c r="G870" s="311"/>
      <c r="H870" s="311"/>
      <c r="I870" s="311"/>
      <c r="J870" s="311"/>
      <c r="K870" s="311"/>
      <c r="L870" s="311"/>
      <c r="M870" s="311"/>
      <c r="N870" s="311"/>
      <c r="O870" s="311"/>
      <c r="P870" s="311"/>
      <c r="Q870" s="311"/>
      <c r="R870" s="311"/>
      <c r="S870" s="311"/>
      <c r="T870" s="311"/>
      <c r="U870" s="311"/>
      <c r="V870" s="311"/>
      <c r="W870" s="311"/>
      <c r="X870" s="311"/>
      <c r="Y870" s="24"/>
      <c r="Z870" s="24"/>
      <c r="AA870" s="24"/>
      <c r="AB870" s="24"/>
      <c r="AC870" s="24"/>
      <c r="AD870" s="24"/>
    </row>
    <row r="871" spans="1:30" ht="12.75">
      <c r="A871" s="313"/>
      <c r="B871" s="313"/>
      <c r="C871" s="314"/>
      <c r="D871" s="311"/>
      <c r="E871" s="311"/>
      <c r="F871" s="311"/>
      <c r="G871" s="311"/>
      <c r="H871" s="311"/>
      <c r="I871" s="311"/>
      <c r="J871" s="311"/>
      <c r="K871" s="311"/>
      <c r="L871" s="311"/>
      <c r="M871" s="311"/>
      <c r="N871" s="311"/>
      <c r="O871" s="311"/>
      <c r="P871" s="311"/>
      <c r="Q871" s="311"/>
      <c r="R871" s="311"/>
      <c r="S871" s="311"/>
      <c r="T871" s="311"/>
      <c r="U871" s="311"/>
      <c r="V871" s="311"/>
      <c r="W871" s="311"/>
      <c r="X871" s="311"/>
      <c r="Y871" s="24"/>
      <c r="Z871" s="24"/>
      <c r="AA871" s="24"/>
      <c r="AB871" s="24"/>
      <c r="AC871" s="24"/>
      <c r="AD871" s="24"/>
    </row>
    <row r="872" spans="1:30" ht="12.75">
      <c r="A872" s="313"/>
      <c r="B872" s="313"/>
      <c r="C872" s="314"/>
      <c r="D872" s="311"/>
      <c r="E872" s="311"/>
      <c r="F872" s="311"/>
      <c r="G872" s="311"/>
      <c r="H872" s="311"/>
      <c r="I872" s="311"/>
      <c r="J872" s="311"/>
      <c r="K872" s="311"/>
      <c r="L872" s="311"/>
      <c r="M872" s="311"/>
      <c r="N872" s="311"/>
      <c r="O872" s="311"/>
      <c r="P872" s="311"/>
      <c r="Q872" s="311"/>
      <c r="R872" s="311"/>
      <c r="S872" s="311"/>
      <c r="T872" s="311"/>
      <c r="U872" s="311"/>
      <c r="V872" s="311"/>
      <c r="W872" s="311"/>
      <c r="X872" s="311"/>
      <c r="Y872" s="24"/>
      <c r="Z872" s="24"/>
      <c r="AA872" s="24"/>
      <c r="AB872" s="24"/>
      <c r="AC872" s="24"/>
      <c r="AD872" s="24"/>
    </row>
    <row r="873" spans="1:30" ht="12.75">
      <c r="A873" s="313"/>
      <c r="B873" s="313"/>
      <c r="C873" s="314"/>
      <c r="D873" s="311"/>
      <c r="E873" s="311"/>
      <c r="F873" s="311"/>
      <c r="G873" s="311"/>
      <c r="H873" s="311"/>
      <c r="I873" s="311"/>
      <c r="J873" s="311"/>
      <c r="K873" s="311"/>
      <c r="L873" s="311"/>
      <c r="M873" s="311"/>
      <c r="N873" s="311"/>
      <c r="O873" s="311"/>
      <c r="P873" s="311"/>
      <c r="Q873" s="311"/>
      <c r="R873" s="311"/>
      <c r="S873" s="311"/>
      <c r="T873" s="311"/>
      <c r="U873" s="311"/>
      <c r="V873" s="311"/>
      <c r="W873" s="311"/>
      <c r="X873" s="311"/>
      <c r="Y873" s="24"/>
      <c r="Z873" s="24"/>
      <c r="AA873" s="24"/>
      <c r="AB873" s="24"/>
      <c r="AC873" s="24"/>
      <c r="AD873" s="24"/>
    </row>
    <row r="874" spans="1:30" ht="12.75">
      <c r="A874" s="313"/>
      <c r="B874" s="313"/>
      <c r="C874" s="314"/>
      <c r="D874" s="311"/>
      <c r="E874" s="311"/>
      <c r="F874" s="311"/>
      <c r="G874" s="311"/>
      <c r="H874" s="311"/>
      <c r="I874" s="311"/>
      <c r="J874" s="311"/>
      <c r="K874" s="311"/>
      <c r="L874" s="311"/>
      <c r="M874" s="311"/>
      <c r="N874" s="311"/>
      <c r="O874" s="311"/>
      <c r="P874" s="311"/>
      <c r="Q874" s="311"/>
      <c r="R874" s="311"/>
      <c r="S874" s="311"/>
      <c r="T874" s="311"/>
      <c r="U874" s="311"/>
      <c r="V874" s="311"/>
      <c r="W874" s="311"/>
      <c r="X874" s="311"/>
      <c r="Y874" s="24"/>
      <c r="Z874" s="24"/>
      <c r="AA874" s="24"/>
      <c r="AB874" s="24"/>
      <c r="AC874" s="24"/>
      <c r="AD874" s="24"/>
    </row>
    <row r="875" spans="1:30" ht="12.75">
      <c r="A875" s="313"/>
      <c r="B875" s="313"/>
      <c r="C875" s="314"/>
      <c r="D875" s="311"/>
      <c r="E875" s="311"/>
      <c r="F875" s="311"/>
      <c r="G875" s="311"/>
      <c r="H875" s="311"/>
      <c r="I875" s="311"/>
      <c r="J875" s="311"/>
      <c r="K875" s="311"/>
      <c r="L875" s="311"/>
      <c r="M875" s="311"/>
      <c r="N875" s="311"/>
      <c r="O875" s="311"/>
      <c r="P875" s="311"/>
      <c r="Q875" s="311"/>
      <c r="R875" s="311"/>
      <c r="S875" s="311"/>
      <c r="T875" s="311"/>
      <c r="U875" s="311"/>
      <c r="V875" s="311"/>
      <c r="W875" s="311"/>
      <c r="X875" s="311"/>
      <c r="Y875" s="24"/>
      <c r="Z875" s="24"/>
      <c r="AA875" s="24"/>
      <c r="AB875" s="24"/>
      <c r="AC875" s="24"/>
      <c r="AD875" s="24"/>
    </row>
    <row r="876" spans="1:30" ht="12.75">
      <c r="A876" s="313"/>
      <c r="B876" s="313"/>
      <c r="C876" s="314"/>
      <c r="D876" s="311"/>
      <c r="E876" s="311"/>
      <c r="F876" s="311"/>
      <c r="G876" s="311"/>
      <c r="H876" s="311"/>
      <c r="I876" s="311"/>
      <c r="J876" s="311"/>
      <c r="K876" s="311"/>
      <c r="L876" s="311"/>
      <c r="M876" s="311"/>
      <c r="N876" s="311"/>
      <c r="O876" s="311"/>
      <c r="P876" s="311"/>
      <c r="Q876" s="311"/>
      <c r="R876" s="311"/>
      <c r="S876" s="311"/>
      <c r="T876" s="311"/>
      <c r="U876" s="311"/>
      <c r="V876" s="311"/>
      <c r="W876" s="311"/>
      <c r="X876" s="311"/>
      <c r="Y876" s="24"/>
      <c r="Z876" s="24"/>
      <c r="AA876" s="24"/>
      <c r="AB876" s="24"/>
      <c r="AC876" s="24"/>
      <c r="AD876" s="24"/>
    </row>
    <row r="877" spans="1:30" ht="12.75">
      <c r="A877" s="313"/>
      <c r="B877" s="313"/>
      <c r="C877" s="314"/>
      <c r="D877" s="311"/>
      <c r="E877" s="311"/>
      <c r="F877" s="311"/>
      <c r="G877" s="311"/>
      <c r="H877" s="311"/>
      <c r="I877" s="311"/>
      <c r="J877" s="311"/>
      <c r="K877" s="311"/>
      <c r="L877" s="311"/>
      <c r="M877" s="311"/>
      <c r="N877" s="311"/>
      <c r="O877" s="311"/>
      <c r="P877" s="311"/>
      <c r="Q877" s="311"/>
      <c r="R877" s="311"/>
      <c r="S877" s="311"/>
      <c r="T877" s="311"/>
      <c r="U877" s="311"/>
      <c r="V877" s="311"/>
      <c r="W877" s="311"/>
      <c r="X877" s="311"/>
      <c r="Y877" s="24"/>
      <c r="Z877" s="24"/>
      <c r="AA877" s="24"/>
      <c r="AB877" s="24"/>
      <c r="AC877" s="24"/>
      <c r="AD877" s="24"/>
    </row>
    <row r="878" spans="1:30" ht="12.75">
      <c r="A878" s="313"/>
      <c r="B878" s="313"/>
      <c r="C878" s="314"/>
      <c r="D878" s="311"/>
      <c r="E878" s="311"/>
      <c r="F878" s="311"/>
      <c r="G878" s="311"/>
      <c r="H878" s="311"/>
      <c r="I878" s="311"/>
      <c r="J878" s="311"/>
      <c r="K878" s="311"/>
      <c r="L878" s="311"/>
      <c r="M878" s="311"/>
      <c r="N878" s="311"/>
      <c r="O878" s="311"/>
      <c r="P878" s="311"/>
      <c r="Q878" s="311"/>
      <c r="R878" s="311"/>
      <c r="S878" s="311"/>
      <c r="T878" s="311"/>
      <c r="U878" s="311"/>
      <c r="V878" s="311"/>
      <c r="W878" s="311"/>
      <c r="X878" s="311"/>
      <c r="Y878" s="24"/>
      <c r="Z878" s="24"/>
      <c r="AA878" s="24"/>
      <c r="AB878" s="24"/>
      <c r="AC878" s="24"/>
      <c r="AD878" s="24"/>
    </row>
    <row r="879" spans="1:30" ht="12.75">
      <c r="A879" s="313"/>
      <c r="B879" s="313"/>
      <c r="C879" s="314"/>
      <c r="D879" s="311"/>
      <c r="E879" s="311"/>
      <c r="F879" s="311"/>
      <c r="G879" s="311"/>
      <c r="H879" s="311"/>
      <c r="I879" s="311"/>
      <c r="J879" s="311"/>
      <c r="K879" s="311"/>
      <c r="L879" s="311"/>
      <c r="M879" s="311"/>
      <c r="N879" s="311"/>
      <c r="O879" s="311"/>
      <c r="P879" s="311"/>
      <c r="Q879" s="311"/>
      <c r="R879" s="311"/>
      <c r="S879" s="311"/>
      <c r="T879" s="311"/>
      <c r="U879" s="311"/>
      <c r="V879" s="311"/>
      <c r="W879" s="311"/>
      <c r="X879" s="311"/>
      <c r="Y879" s="24"/>
      <c r="Z879" s="24"/>
      <c r="AA879" s="24"/>
      <c r="AB879" s="24"/>
      <c r="AC879" s="24"/>
      <c r="AD879" s="24"/>
    </row>
    <row r="880" spans="1:30" ht="12.75">
      <c r="A880" s="313"/>
      <c r="B880" s="313"/>
      <c r="C880" s="314"/>
      <c r="D880" s="311"/>
      <c r="E880" s="311"/>
      <c r="F880" s="311"/>
      <c r="G880" s="311"/>
      <c r="H880" s="311"/>
      <c r="I880" s="311"/>
      <c r="J880" s="311"/>
      <c r="K880" s="311"/>
      <c r="L880" s="311"/>
      <c r="M880" s="311"/>
      <c r="N880" s="311"/>
      <c r="O880" s="311"/>
      <c r="P880" s="311"/>
      <c r="Q880" s="311"/>
      <c r="R880" s="311"/>
      <c r="S880" s="311"/>
      <c r="T880" s="311"/>
      <c r="U880" s="311"/>
      <c r="V880" s="311"/>
      <c r="W880" s="311"/>
      <c r="X880" s="311"/>
      <c r="Y880" s="24"/>
      <c r="Z880" s="24"/>
      <c r="AA880" s="24"/>
      <c r="AB880" s="24"/>
      <c r="AC880" s="24"/>
      <c r="AD880" s="24"/>
    </row>
    <row r="881" spans="1:30" ht="12.75">
      <c r="A881" s="313"/>
      <c r="B881" s="313"/>
      <c r="C881" s="314"/>
      <c r="D881" s="311"/>
      <c r="E881" s="311"/>
      <c r="F881" s="311"/>
      <c r="G881" s="311"/>
      <c r="H881" s="311"/>
      <c r="I881" s="311"/>
      <c r="J881" s="311"/>
      <c r="K881" s="311"/>
      <c r="L881" s="311"/>
      <c r="M881" s="311"/>
      <c r="N881" s="311"/>
      <c r="O881" s="311"/>
      <c r="P881" s="311"/>
      <c r="Q881" s="311"/>
      <c r="R881" s="311"/>
      <c r="S881" s="311"/>
      <c r="T881" s="311"/>
      <c r="U881" s="311"/>
      <c r="V881" s="311"/>
      <c r="W881" s="311"/>
      <c r="X881" s="311"/>
      <c r="Y881" s="24"/>
      <c r="Z881" s="24"/>
      <c r="AA881" s="24"/>
      <c r="AB881" s="24"/>
      <c r="AC881" s="24"/>
      <c r="AD881" s="24"/>
    </row>
    <row r="882" spans="1:30" ht="12.75">
      <c r="A882" s="313"/>
      <c r="B882" s="313"/>
      <c r="C882" s="314"/>
      <c r="D882" s="311"/>
      <c r="E882" s="311"/>
      <c r="F882" s="311"/>
      <c r="G882" s="311"/>
      <c r="H882" s="311"/>
      <c r="I882" s="311"/>
      <c r="J882" s="311"/>
      <c r="K882" s="311"/>
      <c r="L882" s="311"/>
      <c r="M882" s="311"/>
      <c r="N882" s="311"/>
      <c r="O882" s="311"/>
      <c r="P882" s="311"/>
      <c r="Q882" s="311"/>
      <c r="R882" s="311"/>
      <c r="S882" s="311"/>
      <c r="T882" s="311"/>
      <c r="U882" s="311"/>
      <c r="V882" s="311"/>
      <c r="W882" s="311"/>
      <c r="X882" s="311"/>
      <c r="Y882" s="24"/>
      <c r="Z882" s="24"/>
      <c r="AA882" s="24"/>
      <c r="AB882" s="24"/>
      <c r="AC882" s="24"/>
      <c r="AD882" s="24"/>
    </row>
    <row r="883" spans="1:30" ht="12.75">
      <c r="A883" s="313"/>
      <c r="B883" s="313"/>
      <c r="C883" s="314"/>
      <c r="D883" s="311"/>
      <c r="E883" s="311"/>
      <c r="F883" s="311"/>
      <c r="G883" s="311"/>
      <c r="H883" s="311"/>
      <c r="I883" s="311"/>
      <c r="J883" s="311"/>
      <c r="K883" s="311"/>
      <c r="L883" s="311"/>
      <c r="M883" s="311"/>
      <c r="N883" s="311"/>
      <c r="O883" s="311"/>
      <c r="P883" s="311"/>
      <c r="Q883" s="311"/>
      <c r="R883" s="311"/>
      <c r="S883" s="311"/>
      <c r="T883" s="311"/>
      <c r="U883" s="311"/>
      <c r="V883" s="311"/>
      <c r="W883" s="311"/>
      <c r="X883" s="311"/>
      <c r="Y883" s="24"/>
      <c r="Z883" s="24"/>
      <c r="AA883" s="24"/>
      <c r="AB883" s="24"/>
      <c r="AC883" s="24"/>
      <c r="AD883" s="24"/>
    </row>
    <row r="884" spans="1:30" ht="12.75">
      <c r="A884" s="313"/>
      <c r="B884" s="313"/>
      <c r="C884" s="314"/>
      <c r="D884" s="311"/>
      <c r="E884" s="311"/>
      <c r="F884" s="311"/>
      <c r="G884" s="311"/>
      <c r="H884" s="311"/>
      <c r="I884" s="311"/>
      <c r="J884" s="311"/>
      <c r="K884" s="311"/>
      <c r="L884" s="311"/>
      <c r="M884" s="311"/>
      <c r="N884" s="311"/>
      <c r="O884" s="311"/>
      <c r="P884" s="311"/>
      <c r="Q884" s="311"/>
      <c r="R884" s="311"/>
      <c r="S884" s="311"/>
      <c r="T884" s="311"/>
      <c r="U884" s="311"/>
      <c r="V884" s="311"/>
      <c r="W884" s="311"/>
      <c r="X884" s="311"/>
      <c r="Y884" s="24"/>
      <c r="Z884" s="24"/>
      <c r="AA884" s="24"/>
      <c r="AB884" s="24"/>
      <c r="AC884" s="24"/>
      <c r="AD884" s="24"/>
    </row>
    <row r="885" spans="1:30" ht="12.75">
      <c r="A885" s="313"/>
      <c r="B885" s="313"/>
      <c r="C885" s="314"/>
      <c r="D885" s="311"/>
      <c r="E885" s="311"/>
      <c r="F885" s="311"/>
      <c r="G885" s="311"/>
      <c r="H885" s="311"/>
      <c r="I885" s="311"/>
      <c r="J885" s="311"/>
      <c r="K885" s="311"/>
      <c r="L885" s="311"/>
      <c r="M885" s="311"/>
      <c r="N885" s="311"/>
      <c r="O885" s="311"/>
      <c r="P885" s="311"/>
      <c r="Q885" s="311"/>
      <c r="R885" s="311"/>
      <c r="S885" s="311"/>
      <c r="T885" s="311"/>
      <c r="U885" s="311"/>
      <c r="V885" s="311"/>
      <c r="W885" s="311"/>
      <c r="X885" s="311"/>
      <c r="Y885" s="24"/>
      <c r="Z885" s="24"/>
      <c r="AA885" s="24"/>
      <c r="AB885" s="24"/>
      <c r="AC885" s="24"/>
      <c r="AD885" s="24"/>
    </row>
    <row r="886" spans="1:30" ht="12.75">
      <c r="A886" s="313"/>
      <c r="B886" s="313"/>
      <c r="C886" s="314"/>
      <c r="D886" s="311"/>
      <c r="E886" s="311"/>
      <c r="F886" s="311"/>
      <c r="G886" s="311"/>
      <c r="H886" s="311"/>
      <c r="I886" s="311"/>
      <c r="J886" s="311"/>
      <c r="K886" s="311"/>
      <c r="L886" s="311"/>
      <c r="M886" s="311"/>
      <c r="N886" s="311"/>
      <c r="O886" s="311"/>
      <c r="P886" s="311"/>
      <c r="Q886" s="311"/>
      <c r="R886" s="311"/>
      <c r="S886" s="311"/>
      <c r="T886" s="311"/>
      <c r="U886" s="311"/>
      <c r="V886" s="311"/>
      <c r="W886" s="311"/>
      <c r="X886" s="311"/>
      <c r="Y886" s="24"/>
      <c r="Z886" s="24"/>
      <c r="AA886" s="24"/>
      <c r="AB886" s="24"/>
      <c r="AC886" s="24"/>
      <c r="AD886" s="24"/>
    </row>
    <row r="887" spans="1:30" ht="12.75">
      <c r="A887" s="313"/>
      <c r="B887" s="313"/>
      <c r="C887" s="314"/>
      <c r="D887" s="311"/>
      <c r="E887" s="311"/>
      <c r="F887" s="311"/>
      <c r="G887" s="311"/>
      <c r="H887" s="311"/>
      <c r="I887" s="311"/>
      <c r="J887" s="311"/>
      <c r="K887" s="311"/>
      <c r="L887" s="311"/>
      <c r="M887" s="311"/>
      <c r="N887" s="311"/>
      <c r="O887" s="311"/>
      <c r="P887" s="311"/>
      <c r="Q887" s="311"/>
      <c r="R887" s="311"/>
      <c r="S887" s="311"/>
      <c r="T887" s="311"/>
      <c r="U887" s="311"/>
      <c r="V887" s="311"/>
      <c r="W887" s="311"/>
      <c r="X887" s="311"/>
      <c r="Y887" s="24"/>
      <c r="Z887" s="24"/>
      <c r="AA887" s="24"/>
      <c r="AB887" s="24"/>
      <c r="AC887" s="24"/>
      <c r="AD887" s="24"/>
    </row>
    <row r="888" spans="1:30" ht="12.75">
      <c r="A888" s="313"/>
      <c r="B888" s="313"/>
      <c r="C888" s="314"/>
      <c r="D888" s="311"/>
      <c r="E888" s="311"/>
      <c r="F888" s="311"/>
      <c r="G888" s="311"/>
      <c r="H888" s="311"/>
      <c r="I888" s="311"/>
      <c r="J888" s="311"/>
      <c r="K888" s="311"/>
      <c r="L888" s="311"/>
      <c r="M888" s="311"/>
      <c r="N888" s="311"/>
      <c r="O888" s="311"/>
      <c r="P888" s="311"/>
      <c r="Q888" s="311"/>
      <c r="R888" s="311"/>
      <c r="S888" s="311"/>
      <c r="T888" s="311"/>
      <c r="U888" s="311"/>
      <c r="V888" s="311"/>
      <c r="W888" s="311"/>
      <c r="X888" s="311"/>
      <c r="Y888" s="24"/>
      <c r="Z888" s="24"/>
      <c r="AA888" s="24"/>
      <c r="AB888" s="24"/>
      <c r="AC888" s="24"/>
      <c r="AD888" s="24"/>
    </row>
    <row r="889" spans="1:30" ht="12.75">
      <c r="A889" s="313"/>
      <c r="B889" s="313"/>
      <c r="C889" s="314"/>
      <c r="D889" s="311"/>
      <c r="E889" s="311"/>
      <c r="F889" s="311"/>
      <c r="G889" s="311"/>
      <c r="H889" s="311"/>
      <c r="I889" s="311"/>
      <c r="J889" s="311"/>
      <c r="K889" s="311"/>
      <c r="L889" s="311"/>
      <c r="M889" s="311"/>
      <c r="N889" s="311"/>
      <c r="O889" s="311"/>
      <c r="P889" s="311"/>
      <c r="Q889" s="311"/>
      <c r="R889" s="311"/>
      <c r="S889" s="311"/>
      <c r="T889" s="311"/>
      <c r="U889" s="311"/>
      <c r="V889" s="311"/>
      <c r="W889" s="311"/>
      <c r="X889" s="311"/>
      <c r="Y889" s="24"/>
      <c r="Z889" s="24"/>
      <c r="AA889" s="24"/>
      <c r="AB889" s="24"/>
      <c r="AC889" s="24"/>
      <c r="AD889" s="24"/>
    </row>
    <row r="890" spans="1:30" ht="12.75">
      <c r="A890" s="313"/>
      <c r="B890" s="313"/>
      <c r="C890" s="314"/>
      <c r="D890" s="311"/>
      <c r="E890" s="311"/>
      <c r="F890" s="311"/>
      <c r="G890" s="311"/>
      <c r="H890" s="311"/>
      <c r="I890" s="311"/>
      <c r="J890" s="311"/>
      <c r="K890" s="311"/>
      <c r="L890" s="311"/>
      <c r="M890" s="311"/>
      <c r="N890" s="311"/>
      <c r="O890" s="311"/>
      <c r="P890" s="311"/>
      <c r="Q890" s="311"/>
      <c r="R890" s="311"/>
      <c r="S890" s="311"/>
      <c r="T890" s="311"/>
      <c r="U890" s="311"/>
      <c r="V890" s="311"/>
      <c r="W890" s="311"/>
      <c r="X890" s="311"/>
      <c r="Y890" s="24"/>
      <c r="Z890" s="24"/>
      <c r="AA890" s="24"/>
      <c r="AB890" s="24"/>
      <c r="AC890" s="24"/>
      <c r="AD890" s="24"/>
    </row>
    <row r="891" spans="1:30" ht="12.75">
      <c r="A891" s="313"/>
      <c r="B891" s="313"/>
      <c r="C891" s="314"/>
      <c r="D891" s="311"/>
      <c r="E891" s="311"/>
      <c r="F891" s="311"/>
      <c r="G891" s="311"/>
      <c r="H891" s="311"/>
      <c r="I891" s="311"/>
      <c r="J891" s="311"/>
      <c r="K891" s="311"/>
      <c r="L891" s="311"/>
      <c r="M891" s="311"/>
      <c r="N891" s="311"/>
      <c r="O891" s="311"/>
      <c r="P891" s="311"/>
      <c r="Q891" s="311"/>
      <c r="R891" s="311"/>
      <c r="S891" s="311"/>
      <c r="T891" s="311"/>
      <c r="U891" s="311"/>
      <c r="V891" s="311"/>
      <c r="W891" s="311"/>
      <c r="X891" s="311"/>
      <c r="Y891" s="24"/>
      <c r="Z891" s="24"/>
      <c r="AA891" s="24"/>
      <c r="AB891" s="24"/>
      <c r="AC891" s="24"/>
      <c r="AD891" s="24"/>
    </row>
    <row r="892" spans="1:30" ht="12.75">
      <c r="A892" s="313"/>
      <c r="B892" s="313"/>
      <c r="C892" s="314"/>
      <c r="D892" s="311"/>
      <c r="E892" s="311"/>
      <c r="F892" s="311"/>
      <c r="G892" s="311"/>
      <c r="H892" s="311"/>
      <c r="I892" s="311"/>
      <c r="J892" s="311"/>
      <c r="K892" s="311"/>
      <c r="L892" s="311"/>
      <c r="M892" s="311"/>
      <c r="N892" s="311"/>
      <c r="O892" s="311"/>
      <c r="P892" s="311"/>
      <c r="Q892" s="311"/>
      <c r="R892" s="311"/>
      <c r="S892" s="311"/>
      <c r="T892" s="311"/>
      <c r="U892" s="311"/>
      <c r="V892" s="311"/>
      <c r="W892" s="311"/>
      <c r="X892" s="311"/>
      <c r="Y892" s="24"/>
      <c r="Z892" s="24"/>
      <c r="AA892" s="24"/>
      <c r="AB892" s="24"/>
      <c r="AC892" s="24"/>
      <c r="AD892" s="24"/>
    </row>
    <row r="893" spans="1:30" ht="12.75">
      <c r="A893" s="313"/>
      <c r="B893" s="313"/>
      <c r="C893" s="314"/>
      <c r="D893" s="311"/>
      <c r="E893" s="311"/>
      <c r="F893" s="311"/>
      <c r="G893" s="311"/>
      <c r="H893" s="311"/>
      <c r="I893" s="311"/>
      <c r="J893" s="311"/>
      <c r="K893" s="311"/>
      <c r="L893" s="311"/>
      <c r="M893" s="311"/>
      <c r="N893" s="311"/>
      <c r="O893" s="311"/>
      <c r="P893" s="311"/>
      <c r="Q893" s="311"/>
      <c r="R893" s="311"/>
      <c r="S893" s="311"/>
      <c r="T893" s="311"/>
      <c r="U893" s="311"/>
      <c r="V893" s="311"/>
      <c r="W893" s="311"/>
      <c r="X893" s="311"/>
      <c r="Y893" s="24"/>
      <c r="Z893" s="24"/>
      <c r="AA893" s="24"/>
      <c r="AB893" s="24"/>
      <c r="AC893" s="24"/>
      <c r="AD893" s="24"/>
    </row>
    <row r="894" spans="1:30" ht="12.75">
      <c r="A894" s="313"/>
      <c r="B894" s="313"/>
      <c r="C894" s="314"/>
      <c r="D894" s="311"/>
      <c r="E894" s="311"/>
      <c r="F894" s="311"/>
      <c r="G894" s="311"/>
      <c r="H894" s="311"/>
      <c r="I894" s="311"/>
      <c r="J894" s="311"/>
      <c r="K894" s="311"/>
      <c r="L894" s="311"/>
      <c r="M894" s="311"/>
      <c r="N894" s="311"/>
      <c r="O894" s="311"/>
      <c r="P894" s="311"/>
      <c r="Q894" s="311"/>
      <c r="R894" s="311"/>
      <c r="S894" s="311"/>
      <c r="T894" s="311"/>
      <c r="U894" s="311"/>
      <c r="V894" s="311"/>
      <c r="W894" s="311"/>
      <c r="X894" s="311"/>
      <c r="Y894" s="24"/>
      <c r="Z894" s="24"/>
      <c r="AA894" s="24"/>
      <c r="AB894" s="24"/>
      <c r="AC894" s="24"/>
      <c r="AD894" s="24"/>
    </row>
    <row r="895" spans="1:30" ht="12.75">
      <c r="A895" s="313"/>
      <c r="B895" s="313"/>
      <c r="C895" s="314"/>
      <c r="D895" s="311"/>
      <c r="E895" s="311"/>
      <c r="F895" s="311"/>
      <c r="G895" s="311"/>
      <c r="H895" s="311"/>
      <c r="I895" s="311"/>
      <c r="J895" s="311"/>
      <c r="K895" s="311"/>
      <c r="L895" s="311"/>
      <c r="M895" s="311"/>
      <c r="N895" s="311"/>
      <c r="O895" s="311"/>
      <c r="P895" s="311"/>
      <c r="Q895" s="311"/>
      <c r="R895" s="311"/>
      <c r="S895" s="311"/>
      <c r="T895" s="311"/>
      <c r="U895" s="311"/>
      <c r="V895" s="311"/>
      <c r="W895" s="311"/>
      <c r="X895" s="311"/>
      <c r="Y895" s="24"/>
      <c r="Z895" s="24"/>
      <c r="AA895" s="24"/>
      <c r="AB895" s="24"/>
      <c r="AC895" s="24"/>
      <c r="AD895" s="24"/>
    </row>
    <row r="896" spans="1:30" ht="12.75">
      <c r="A896" s="313"/>
      <c r="B896" s="313"/>
      <c r="C896" s="314"/>
      <c r="D896" s="311"/>
      <c r="E896" s="311"/>
      <c r="F896" s="311"/>
      <c r="G896" s="311"/>
      <c r="H896" s="311"/>
      <c r="I896" s="311"/>
      <c r="J896" s="311"/>
      <c r="K896" s="311"/>
      <c r="L896" s="311"/>
      <c r="M896" s="311"/>
      <c r="N896" s="311"/>
      <c r="O896" s="311"/>
      <c r="P896" s="311"/>
      <c r="Q896" s="311"/>
      <c r="R896" s="311"/>
      <c r="S896" s="311"/>
      <c r="T896" s="311"/>
      <c r="U896" s="311"/>
      <c r="V896" s="311"/>
      <c r="W896" s="311"/>
      <c r="X896" s="311"/>
      <c r="Y896" s="24"/>
      <c r="Z896" s="24"/>
      <c r="AA896" s="24"/>
      <c r="AB896" s="24"/>
      <c r="AC896" s="24"/>
      <c r="AD896" s="24"/>
    </row>
    <row r="897" spans="1:30" ht="12.75">
      <c r="A897" s="313"/>
      <c r="B897" s="313"/>
      <c r="C897" s="314"/>
      <c r="D897" s="311"/>
      <c r="E897" s="311"/>
      <c r="F897" s="311"/>
      <c r="G897" s="311"/>
      <c r="H897" s="311"/>
      <c r="I897" s="311"/>
      <c r="J897" s="311"/>
      <c r="K897" s="311"/>
      <c r="L897" s="311"/>
      <c r="M897" s="311"/>
      <c r="N897" s="311"/>
      <c r="O897" s="311"/>
      <c r="P897" s="311"/>
      <c r="Q897" s="311"/>
      <c r="R897" s="311"/>
      <c r="S897" s="311"/>
      <c r="T897" s="311"/>
      <c r="U897" s="311"/>
      <c r="V897" s="311"/>
      <c r="W897" s="311"/>
      <c r="X897" s="311"/>
      <c r="Y897" s="24"/>
      <c r="Z897" s="24"/>
      <c r="AA897" s="24"/>
      <c r="AB897" s="24"/>
      <c r="AC897" s="24"/>
      <c r="AD897" s="24"/>
    </row>
    <row r="898" spans="1:30" ht="12.75">
      <c r="A898" s="313"/>
      <c r="B898" s="313"/>
      <c r="C898" s="314"/>
      <c r="D898" s="311"/>
      <c r="E898" s="311"/>
      <c r="F898" s="311"/>
      <c r="G898" s="311"/>
      <c r="H898" s="311"/>
      <c r="I898" s="311"/>
      <c r="J898" s="311"/>
      <c r="K898" s="311"/>
      <c r="L898" s="311"/>
      <c r="M898" s="311"/>
      <c r="N898" s="311"/>
      <c r="O898" s="311"/>
      <c r="P898" s="311"/>
      <c r="Q898" s="311"/>
      <c r="R898" s="311"/>
      <c r="S898" s="311"/>
      <c r="T898" s="311"/>
      <c r="U898" s="311"/>
      <c r="V898" s="311"/>
      <c r="W898" s="311"/>
      <c r="X898" s="311"/>
      <c r="Y898" s="24"/>
      <c r="Z898" s="24"/>
      <c r="AA898" s="24"/>
      <c r="AB898" s="24"/>
      <c r="AC898" s="24"/>
      <c r="AD898" s="24"/>
    </row>
    <row r="899" spans="1:30" ht="12.75">
      <c r="A899" s="313"/>
      <c r="B899" s="313"/>
      <c r="C899" s="314"/>
      <c r="D899" s="311"/>
      <c r="E899" s="311"/>
      <c r="F899" s="311"/>
      <c r="G899" s="311"/>
      <c r="H899" s="311"/>
      <c r="I899" s="311"/>
      <c r="J899" s="311"/>
      <c r="K899" s="311"/>
      <c r="L899" s="311"/>
      <c r="M899" s="311"/>
      <c r="N899" s="311"/>
      <c r="O899" s="311"/>
      <c r="P899" s="311"/>
      <c r="Q899" s="311"/>
      <c r="R899" s="311"/>
      <c r="S899" s="311"/>
      <c r="T899" s="311"/>
      <c r="U899" s="311"/>
      <c r="V899" s="311"/>
      <c r="W899" s="311"/>
      <c r="X899" s="311"/>
      <c r="Y899" s="24"/>
      <c r="Z899" s="24"/>
      <c r="AA899" s="24"/>
      <c r="AB899" s="24"/>
      <c r="AC899" s="24"/>
      <c r="AD899" s="24"/>
    </row>
    <row r="900" spans="1:30" ht="12.75">
      <c r="A900" s="313"/>
      <c r="B900" s="313"/>
      <c r="C900" s="314"/>
      <c r="D900" s="311"/>
      <c r="E900" s="311"/>
      <c r="F900" s="311"/>
      <c r="G900" s="311"/>
      <c r="H900" s="311"/>
      <c r="I900" s="311"/>
      <c r="J900" s="311"/>
      <c r="K900" s="311"/>
      <c r="L900" s="311"/>
      <c r="M900" s="311"/>
      <c r="N900" s="311"/>
      <c r="O900" s="311"/>
      <c r="P900" s="311"/>
      <c r="Q900" s="311"/>
      <c r="R900" s="311"/>
      <c r="S900" s="311"/>
      <c r="T900" s="311"/>
      <c r="U900" s="311"/>
      <c r="V900" s="311"/>
      <c r="W900" s="311"/>
      <c r="X900" s="311"/>
      <c r="Y900" s="24"/>
      <c r="Z900" s="24"/>
      <c r="AA900" s="24"/>
      <c r="AB900" s="24"/>
      <c r="AC900" s="24"/>
      <c r="AD900" s="24"/>
    </row>
    <row r="901" spans="1:30" ht="12.75">
      <c r="A901" s="313"/>
      <c r="B901" s="313"/>
      <c r="C901" s="314"/>
      <c r="D901" s="311"/>
      <c r="E901" s="311"/>
      <c r="F901" s="311"/>
      <c r="G901" s="311"/>
      <c r="H901" s="311"/>
      <c r="I901" s="311"/>
      <c r="J901" s="311"/>
      <c r="K901" s="311"/>
      <c r="L901" s="311"/>
      <c r="M901" s="311"/>
      <c r="N901" s="311"/>
      <c r="O901" s="311"/>
      <c r="P901" s="311"/>
      <c r="Q901" s="311"/>
      <c r="R901" s="311"/>
      <c r="S901" s="311"/>
      <c r="T901" s="311"/>
      <c r="U901" s="311"/>
      <c r="V901" s="311"/>
      <c r="W901" s="311"/>
      <c r="X901" s="311"/>
      <c r="Y901" s="24"/>
      <c r="Z901" s="24"/>
      <c r="AA901" s="24"/>
      <c r="AB901" s="24"/>
      <c r="AC901" s="24"/>
      <c r="AD901" s="24"/>
    </row>
    <row r="902" spans="1:30" ht="12.75">
      <c r="A902" s="313"/>
      <c r="B902" s="313"/>
      <c r="C902" s="314"/>
      <c r="D902" s="311"/>
      <c r="E902" s="311"/>
      <c r="F902" s="311"/>
      <c r="G902" s="311"/>
      <c r="H902" s="311"/>
      <c r="I902" s="311"/>
      <c r="J902" s="311"/>
      <c r="K902" s="311"/>
      <c r="L902" s="311"/>
      <c r="M902" s="311"/>
      <c r="N902" s="311"/>
      <c r="O902" s="311"/>
      <c r="P902" s="311"/>
      <c r="Q902" s="311"/>
      <c r="R902" s="311"/>
      <c r="S902" s="311"/>
      <c r="T902" s="311"/>
      <c r="U902" s="311"/>
      <c r="V902" s="311"/>
      <c r="W902" s="311"/>
      <c r="X902" s="311"/>
      <c r="Y902" s="24"/>
      <c r="Z902" s="24"/>
      <c r="AA902" s="24"/>
      <c r="AB902" s="24"/>
      <c r="AC902" s="24"/>
      <c r="AD902" s="24"/>
    </row>
    <row r="903" spans="1:30" ht="12.75">
      <c r="A903" s="313"/>
      <c r="B903" s="313"/>
      <c r="C903" s="314"/>
      <c r="D903" s="311"/>
      <c r="E903" s="311"/>
      <c r="F903" s="311"/>
      <c r="G903" s="311"/>
      <c r="H903" s="311"/>
      <c r="I903" s="311"/>
      <c r="J903" s="311"/>
      <c r="K903" s="311"/>
      <c r="L903" s="311"/>
      <c r="M903" s="311"/>
      <c r="N903" s="311"/>
      <c r="O903" s="311"/>
      <c r="P903" s="311"/>
      <c r="Q903" s="311"/>
      <c r="R903" s="311"/>
      <c r="S903" s="311"/>
      <c r="T903" s="311"/>
      <c r="U903" s="311"/>
      <c r="V903" s="311"/>
      <c r="W903" s="311"/>
      <c r="X903" s="311"/>
      <c r="Y903" s="24"/>
      <c r="Z903" s="24"/>
      <c r="AA903" s="24"/>
      <c r="AB903" s="24"/>
      <c r="AC903" s="24"/>
      <c r="AD903" s="24"/>
    </row>
    <row r="904" spans="1:30" ht="12.75">
      <c r="A904" s="313"/>
      <c r="B904" s="313"/>
      <c r="C904" s="314"/>
      <c r="D904" s="311"/>
      <c r="E904" s="311"/>
      <c r="F904" s="311"/>
      <c r="G904" s="311"/>
      <c r="H904" s="311"/>
      <c r="I904" s="311"/>
      <c r="J904" s="311"/>
      <c r="K904" s="311"/>
      <c r="L904" s="311"/>
      <c r="M904" s="311"/>
      <c r="N904" s="311"/>
      <c r="O904" s="311"/>
      <c r="P904" s="311"/>
      <c r="Q904" s="311"/>
      <c r="R904" s="311"/>
      <c r="S904" s="311"/>
      <c r="T904" s="311"/>
      <c r="U904" s="311"/>
      <c r="V904" s="311"/>
      <c r="W904" s="311"/>
      <c r="X904" s="311"/>
      <c r="Y904" s="24"/>
      <c r="Z904" s="24"/>
      <c r="AA904" s="24"/>
      <c r="AB904" s="24"/>
      <c r="AC904" s="24"/>
      <c r="AD904" s="24"/>
    </row>
    <row r="905" spans="1:30" ht="12.75">
      <c r="A905" s="313"/>
      <c r="B905" s="313"/>
      <c r="C905" s="314"/>
      <c r="D905" s="311"/>
      <c r="E905" s="311"/>
      <c r="F905" s="311"/>
      <c r="G905" s="311"/>
      <c r="H905" s="311"/>
      <c r="I905" s="311"/>
      <c r="J905" s="311"/>
      <c r="K905" s="311"/>
      <c r="L905" s="311"/>
      <c r="M905" s="311"/>
      <c r="N905" s="311"/>
      <c r="O905" s="311"/>
      <c r="P905" s="311"/>
      <c r="Q905" s="311"/>
      <c r="R905" s="311"/>
      <c r="S905" s="311"/>
      <c r="T905" s="311"/>
      <c r="U905" s="311"/>
      <c r="V905" s="311"/>
      <c r="W905" s="311"/>
      <c r="X905" s="311"/>
      <c r="Y905" s="24"/>
      <c r="Z905" s="24"/>
      <c r="AA905" s="24"/>
      <c r="AB905" s="24"/>
      <c r="AC905" s="24"/>
      <c r="AD905" s="24"/>
    </row>
    <row r="906" spans="1:30" ht="12.75">
      <c r="A906" s="313"/>
      <c r="B906" s="313"/>
      <c r="C906" s="314"/>
      <c r="D906" s="311"/>
      <c r="E906" s="311"/>
      <c r="F906" s="311"/>
      <c r="G906" s="311"/>
      <c r="H906" s="311"/>
      <c r="I906" s="311"/>
      <c r="J906" s="311"/>
      <c r="K906" s="311"/>
      <c r="L906" s="311"/>
      <c r="M906" s="311"/>
      <c r="N906" s="311"/>
      <c r="O906" s="311"/>
      <c r="P906" s="311"/>
      <c r="Q906" s="311"/>
      <c r="R906" s="311"/>
      <c r="S906" s="311"/>
      <c r="T906" s="311"/>
      <c r="U906" s="311"/>
      <c r="V906" s="311"/>
      <c r="W906" s="311"/>
      <c r="X906" s="311"/>
      <c r="Y906" s="24"/>
      <c r="Z906" s="24"/>
      <c r="AA906" s="24"/>
      <c r="AB906" s="24"/>
      <c r="AC906" s="24"/>
      <c r="AD906" s="24"/>
    </row>
    <row r="907" spans="1:30" ht="12.75">
      <c r="A907" s="313"/>
      <c r="B907" s="313"/>
      <c r="C907" s="314"/>
      <c r="D907" s="311"/>
      <c r="E907" s="311"/>
      <c r="F907" s="311"/>
      <c r="G907" s="311"/>
      <c r="H907" s="311"/>
      <c r="I907" s="311"/>
      <c r="J907" s="311"/>
      <c r="K907" s="311"/>
      <c r="L907" s="311"/>
      <c r="M907" s="311"/>
      <c r="N907" s="311"/>
      <c r="O907" s="311"/>
      <c r="P907" s="311"/>
      <c r="Q907" s="311"/>
      <c r="R907" s="311"/>
      <c r="S907" s="311"/>
      <c r="T907" s="311"/>
      <c r="U907" s="311"/>
      <c r="V907" s="311"/>
      <c r="W907" s="311"/>
      <c r="X907" s="311"/>
      <c r="Y907" s="24"/>
      <c r="Z907" s="24"/>
      <c r="AA907" s="24"/>
      <c r="AB907" s="24"/>
      <c r="AC907" s="24"/>
      <c r="AD907" s="24"/>
    </row>
    <row r="908" spans="1:30" ht="12.75">
      <c r="A908" s="313"/>
      <c r="B908" s="313"/>
      <c r="C908" s="314"/>
      <c r="D908" s="311"/>
      <c r="E908" s="311"/>
      <c r="F908" s="311"/>
      <c r="G908" s="311"/>
      <c r="H908" s="311"/>
      <c r="I908" s="311"/>
      <c r="J908" s="311"/>
      <c r="K908" s="311"/>
      <c r="L908" s="311"/>
      <c r="M908" s="311"/>
      <c r="N908" s="311"/>
      <c r="O908" s="311"/>
      <c r="P908" s="311"/>
      <c r="Q908" s="311"/>
      <c r="R908" s="311"/>
      <c r="S908" s="311"/>
      <c r="T908" s="311"/>
      <c r="U908" s="311"/>
      <c r="V908" s="311"/>
      <c r="W908" s="311"/>
      <c r="X908" s="311"/>
      <c r="Y908" s="24"/>
      <c r="Z908" s="24"/>
      <c r="AA908" s="24"/>
      <c r="AB908" s="24"/>
      <c r="AC908" s="24"/>
      <c r="AD908" s="24"/>
    </row>
    <row r="909" spans="1:30" ht="12.75">
      <c r="A909" s="313"/>
      <c r="B909" s="313"/>
      <c r="C909" s="314"/>
      <c r="D909" s="311"/>
      <c r="E909" s="311"/>
      <c r="F909" s="311"/>
      <c r="G909" s="311"/>
      <c r="H909" s="311"/>
      <c r="I909" s="311"/>
      <c r="J909" s="311"/>
      <c r="K909" s="311"/>
      <c r="L909" s="311"/>
      <c r="M909" s="311"/>
      <c r="N909" s="311"/>
      <c r="O909" s="311"/>
      <c r="P909" s="311"/>
      <c r="Q909" s="311"/>
      <c r="R909" s="311"/>
      <c r="S909" s="311"/>
      <c r="T909" s="311"/>
      <c r="U909" s="311"/>
      <c r="V909" s="311"/>
      <c r="W909" s="311"/>
      <c r="X909" s="311"/>
      <c r="Y909" s="24"/>
      <c r="Z909" s="24"/>
      <c r="AA909" s="24"/>
      <c r="AB909" s="24"/>
      <c r="AC909" s="24"/>
      <c r="AD909" s="24"/>
    </row>
    <row r="910" spans="1:30" ht="12.75">
      <c r="A910" s="313"/>
      <c r="B910" s="313"/>
      <c r="C910" s="314"/>
      <c r="D910" s="311"/>
      <c r="E910" s="311"/>
      <c r="F910" s="311"/>
      <c r="G910" s="311"/>
      <c r="H910" s="311"/>
      <c r="I910" s="311"/>
      <c r="J910" s="311"/>
      <c r="K910" s="311"/>
      <c r="L910" s="311"/>
      <c r="M910" s="311"/>
      <c r="N910" s="311"/>
      <c r="O910" s="311"/>
      <c r="P910" s="311"/>
      <c r="Q910" s="311"/>
      <c r="R910" s="311"/>
      <c r="S910" s="311"/>
      <c r="T910" s="311"/>
      <c r="U910" s="311"/>
      <c r="V910" s="311"/>
      <c r="W910" s="311"/>
      <c r="X910" s="311"/>
      <c r="Y910" s="24"/>
      <c r="Z910" s="24"/>
      <c r="AA910" s="24"/>
      <c r="AB910" s="24"/>
      <c r="AC910" s="24"/>
      <c r="AD910" s="24"/>
    </row>
    <row r="911" spans="1:30" ht="12.75">
      <c r="A911" s="313"/>
      <c r="B911" s="313"/>
      <c r="C911" s="314"/>
      <c r="D911" s="311"/>
      <c r="E911" s="311"/>
      <c r="F911" s="311"/>
      <c r="G911" s="311"/>
      <c r="H911" s="311"/>
      <c r="I911" s="311"/>
      <c r="J911" s="311"/>
      <c r="K911" s="311"/>
      <c r="L911" s="311"/>
      <c r="M911" s="311"/>
      <c r="N911" s="311"/>
      <c r="O911" s="311"/>
      <c r="P911" s="311"/>
      <c r="Q911" s="311"/>
      <c r="R911" s="311"/>
      <c r="S911" s="311"/>
      <c r="T911" s="311"/>
      <c r="U911" s="311"/>
      <c r="V911" s="311"/>
      <c r="W911" s="311"/>
      <c r="X911" s="311"/>
      <c r="Y911" s="24"/>
      <c r="Z911" s="24"/>
      <c r="AA911" s="24"/>
      <c r="AB911" s="24"/>
      <c r="AC911" s="24"/>
      <c r="AD911" s="24"/>
    </row>
    <row r="912" spans="1:30" ht="12.75">
      <c r="A912" s="313"/>
      <c r="B912" s="313"/>
      <c r="C912" s="314"/>
      <c r="D912" s="311"/>
      <c r="E912" s="311"/>
      <c r="F912" s="311"/>
      <c r="G912" s="311"/>
      <c r="H912" s="311"/>
      <c r="I912" s="311"/>
      <c r="J912" s="311"/>
      <c r="K912" s="311"/>
      <c r="L912" s="311"/>
      <c r="M912" s="311"/>
      <c r="N912" s="311"/>
      <c r="O912" s="311"/>
      <c r="P912" s="311"/>
      <c r="Q912" s="311"/>
      <c r="R912" s="311"/>
      <c r="S912" s="311"/>
      <c r="T912" s="311"/>
      <c r="U912" s="311"/>
      <c r="V912" s="311"/>
      <c r="W912" s="311"/>
      <c r="X912" s="311"/>
      <c r="Y912" s="24"/>
      <c r="Z912" s="24"/>
      <c r="AA912" s="24"/>
      <c r="AB912" s="24"/>
      <c r="AC912" s="24"/>
      <c r="AD912" s="24"/>
    </row>
    <row r="913" spans="1:30" ht="12.75">
      <c r="A913" s="313"/>
      <c r="B913" s="313"/>
      <c r="C913" s="314"/>
      <c r="D913" s="311"/>
      <c r="E913" s="311"/>
      <c r="F913" s="311"/>
      <c r="G913" s="311"/>
      <c r="H913" s="311"/>
      <c r="I913" s="311"/>
      <c r="J913" s="311"/>
      <c r="K913" s="311"/>
      <c r="L913" s="311"/>
      <c r="M913" s="311"/>
      <c r="N913" s="311"/>
      <c r="O913" s="311"/>
      <c r="P913" s="311"/>
      <c r="Q913" s="311"/>
      <c r="R913" s="311"/>
      <c r="S913" s="311"/>
      <c r="T913" s="311"/>
      <c r="U913" s="311"/>
      <c r="V913" s="311"/>
      <c r="W913" s="311"/>
      <c r="X913" s="311"/>
      <c r="Y913" s="24"/>
      <c r="Z913" s="24"/>
      <c r="AA913" s="24"/>
      <c r="AB913" s="24"/>
      <c r="AC913" s="24"/>
      <c r="AD913" s="24"/>
    </row>
    <row r="914" spans="1:30" ht="12.75">
      <c r="A914" s="313"/>
      <c r="B914" s="313"/>
      <c r="C914" s="314"/>
      <c r="D914" s="311"/>
      <c r="E914" s="311"/>
      <c r="F914" s="311"/>
      <c r="G914" s="311"/>
      <c r="H914" s="311"/>
      <c r="I914" s="311"/>
      <c r="J914" s="311"/>
      <c r="K914" s="311"/>
      <c r="L914" s="311"/>
      <c r="M914" s="311"/>
      <c r="N914" s="311"/>
      <c r="O914" s="311"/>
      <c r="P914" s="311"/>
      <c r="Q914" s="311"/>
      <c r="R914" s="311"/>
      <c r="S914" s="311"/>
      <c r="T914" s="311"/>
      <c r="U914" s="311"/>
      <c r="V914" s="311"/>
      <c r="W914" s="311"/>
      <c r="X914" s="311"/>
      <c r="Y914" s="24"/>
      <c r="Z914" s="24"/>
      <c r="AA914" s="24"/>
      <c r="AB914" s="24"/>
      <c r="AC914" s="24"/>
      <c r="AD914" s="24"/>
    </row>
    <row r="915" spans="1:30" ht="12.75">
      <c r="A915" s="313"/>
      <c r="B915" s="313"/>
      <c r="C915" s="314"/>
      <c r="D915" s="311"/>
      <c r="E915" s="311"/>
      <c r="F915" s="311"/>
      <c r="G915" s="311"/>
      <c r="H915" s="311"/>
      <c r="I915" s="311"/>
      <c r="J915" s="311"/>
      <c r="K915" s="311"/>
      <c r="L915" s="311"/>
      <c r="M915" s="311"/>
      <c r="N915" s="311"/>
      <c r="O915" s="311"/>
      <c r="P915" s="311"/>
      <c r="Q915" s="311"/>
      <c r="R915" s="311"/>
      <c r="S915" s="311"/>
      <c r="T915" s="311"/>
      <c r="U915" s="311"/>
      <c r="V915" s="311"/>
      <c r="W915" s="311"/>
      <c r="X915" s="311"/>
      <c r="Y915" s="24"/>
      <c r="Z915" s="24"/>
      <c r="AA915" s="24"/>
      <c r="AB915" s="24"/>
      <c r="AC915" s="24"/>
      <c r="AD915" s="24"/>
    </row>
    <row r="916" spans="1:30" ht="12.75">
      <c r="A916" s="313"/>
      <c r="B916" s="313"/>
      <c r="C916" s="314"/>
      <c r="D916" s="311"/>
      <c r="E916" s="311"/>
      <c r="F916" s="311"/>
      <c r="G916" s="311"/>
      <c r="H916" s="311"/>
      <c r="I916" s="311"/>
      <c r="J916" s="311"/>
      <c r="K916" s="311"/>
      <c r="L916" s="311"/>
      <c r="M916" s="311"/>
      <c r="N916" s="311"/>
      <c r="O916" s="311"/>
      <c r="P916" s="311"/>
      <c r="Q916" s="311"/>
      <c r="R916" s="311"/>
      <c r="S916" s="311"/>
      <c r="T916" s="311"/>
      <c r="U916" s="311"/>
      <c r="V916" s="311"/>
      <c r="W916" s="311"/>
      <c r="X916" s="311"/>
      <c r="Y916" s="24"/>
      <c r="Z916" s="24"/>
      <c r="AA916" s="24"/>
      <c r="AB916" s="24"/>
      <c r="AC916" s="24"/>
      <c r="AD916" s="24"/>
    </row>
    <row r="917" spans="1:30" ht="12.75">
      <c r="A917" s="313"/>
      <c r="B917" s="313"/>
      <c r="C917" s="314"/>
      <c r="D917" s="311"/>
      <c r="E917" s="311"/>
      <c r="F917" s="311"/>
      <c r="G917" s="311"/>
      <c r="H917" s="311"/>
      <c r="I917" s="311"/>
      <c r="J917" s="311"/>
      <c r="K917" s="311"/>
      <c r="L917" s="311"/>
      <c r="M917" s="311"/>
      <c r="N917" s="311"/>
      <c r="O917" s="311"/>
      <c r="P917" s="311"/>
      <c r="Q917" s="311"/>
      <c r="R917" s="311"/>
      <c r="S917" s="311"/>
      <c r="T917" s="311"/>
      <c r="U917" s="311"/>
      <c r="V917" s="311"/>
      <c r="W917" s="311"/>
      <c r="X917" s="311"/>
      <c r="Y917" s="24"/>
      <c r="Z917" s="24"/>
      <c r="AA917" s="24"/>
      <c r="AB917" s="24"/>
      <c r="AC917" s="24"/>
      <c r="AD917" s="24"/>
    </row>
    <row r="918" spans="1:30" ht="12.75">
      <c r="A918" s="313"/>
      <c r="B918" s="313"/>
      <c r="C918" s="314"/>
      <c r="D918" s="311"/>
      <c r="E918" s="311"/>
      <c r="F918" s="311"/>
      <c r="G918" s="311"/>
      <c r="H918" s="311"/>
      <c r="I918" s="311"/>
      <c r="J918" s="311"/>
      <c r="K918" s="311"/>
      <c r="L918" s="311"/>
      <c r="M918" s="311"/>
      <c r="N918" s="311"/>
      <c r="O918" s="311"/>
      <c r="P918" s="311"/>
      <c r="Q918" s="311"/>
      <c r="R918" s="311"/>
      <c r="S918" s="311"/>
      <c r="T918" s="311"/>
      <c r="U918" s="311"/>
      <c r="V918" s="311"/>
      <c r="W918" s="311"/>
      <c r="X918" s="311"/>
      <c r="Y918" s="24"/>
      <c r="Z918" s="24"/>
      <c r="AA918" s="24"/>
      <c r="AB918" s="24"/>
      <c r="AC918" s="24"/>
      <c r="AD918" s="24"/>
    </row>
    <row r="919" spans="1:30" ht="12.75">
      <c r="A919" s="313"/>
      <c r="B919" s="313"/>
      <c r="C919" s="314"/>
      <c r="D919" s="311"/>
      <c r="E919" s="311"/>
      <c r="F919" s="311"/>
      <c r="G919" s="311"/>
      <c r="H919" s="311"/>
      <c r="I919" s="311"/>
      <c r="J919" s="311"/>
      <c r="K919" s="311"/>
      <c r="L919" s="311"/>
      <c r="M919" s="311"/>
      <c r="N919" s="311"/>
      <c r="O919" s="311"/>
      <c r="P919" s="311"/>
      <c r="Q919" s="311"/>
      <c r="R919" s="311"/>
      <c r="S919" s="311"/>
      <c r="T919" s="311"/>
      <c r="U919" s="311"/>
      <c r="V919" s="311"/>
      <c r="W919" s="311"/>
      <c r="X919" s="311"/>
      <c r="Y919" s="24"/>
      <c r="Z919" s="24"/>
      <c r="AA919" s="24"/>
      <c r="AB919" s="24"/>
      <c r="AC919" s="24"/>
      <c r="AD919" s="24"/>
    </row>
    <row r="920" spans="1:30" ht="12.75">
      <c r="A920" s="313"/>
      <c r="B920" s="313"/>
      <c r="C920" s="314"/>
      <c r="D920" s="311"/>
      <c r="E920" s="311"/>
      <c r="F920" s="311"/>
      <c r="G920" s="311"/>
      <c r="H920" s="311"/>
      <c r="I920" s="311"/>
      <c r="J920" s="311"/>
      <c r="K920" s="311"/>
      <c r="L920" s="311"/>
      <c r="M920" s="311"/>
      <c r="N920" s="311"/>
      <c r="O920" s="311"/>
      <c r="P920" s="311"/>
      <c r="Q920" s="311"/>
      <c r="R920" s="311"/>
      <c r="S920" s="311"/>
      <c r="T920" s="311"/>
      <c r="U920" s="311"/>
      <c r="V920" s="311"/>
      <c r="W920" s="311"/>
      <c r="X920" s="311"/>
      <c r="Y920" s="24"/>
      <c r="Z920" s="24"/>
      <c r="AA920" s="24"/>
      <c r="AB920" s="24"/>
      <c r="AC920" s="24"/>
      <c r="AD920" s="24"/>
    </row>
    <row r="921" spans="1:30" ht="12.75">
      <c r="A921" s="313"/>
      <c r="B921" s="313"/>
      <c r="C921" s="314"/>
      <c r="D921" s="311"/>
      <c r="E921" s="311"/>
      <c r="F921" s="311"/>
      <c r="G921" s="311"/>
      <c r="H921" s="311"/>
      <c r="I921" s="311"/>
      <c r="J921" s="311"/>
      <c r="K921" s="311"/>
      <c r="L921" s="311"/>
      <c r="M921" s="311"/>
      <c r="N921" s="311"/>
      <c r="O921" s="311"/>
      <c r="P921" s="311"/>
      <c r="Q921" s="311"/>
      <c r="R921" s="311"/>
      <c r="S921" s="311"/>
      <c r="T921" s="311"/>
      <c r="U921" s="311"/>
      <c r="V921" s="311"/>
      <c r="W921" s="311"/>
      <c r="X921" s="311"/>
      <c r="Y921" s="24"/>
      <c r="Z921" s="24"/>
      <c r="AA921" s="24"/>
      <c r="AB921" s="24"/>
      <c r="AC921" s="24"/>
      <c r="AD921" s="24"/>
    </row>
    <row r="922" spans="1:30" ht="12.75">
      <c r="A922" s="313"/>
      <c r="B922" s="313"/>
      <c r="C922" s="314"/>
      <c r="D922" s="311"/>
      <c r="E922" s="311"/>
      <c r="F922" s="311"/>
      <c r="G922" s="311"/>
      <c r="H922" s="311"/>
      <c r="I922" s="311"/>
      <c r="J922" s="311"/>
      <c r="K922" s="311"/>
      <c r="L922" s="311"/>
      <c r="M922" s="311"/>
      <c r="N922" s="311"/>
      <c r="O922" s="311"/>
      <c r="P922" s="311"/>
      <c r="Q922" s="311"/>
      <c r="R922" s="311"/>
      <c r="S922" s="311"/>
      <c r="T922" s="311"/>
      <c r="U922" s="311"/>
      <c r="V922" s="311"/>
      <c r="W922" s="311"/>
      <c r="X922" s="311"/>
      <c r="Y922" s="24"/>
      <c r="Z922" s="24"/>
      <c r="AA922" s="24"/>
      <c r="AB922" s="24"/>
      <c r="AC922" s="24"/>
      <c r="AD922" s="24"/>
    </row>
    <row r="923" spans="1:30" ht="12.75">
      <c r="A923" s="313"/>
      <c r="B923" s="313"/>
      <c r="C923" s="314"/>
      <c r="D923" s="311"/>
      <c r="E923" s="311"/>
      <c r="F923" s="311"/>
      <c r="G923" s="311"/>
      <c r="H923" s="311"/>
      <c r="I923" s="311"/>
      <c r="J923" s="311"/>
      <c r="K923" s="311"/>
      <c r="L923" s="311"/>
      <c r="M923" s="311"/>
      <c r="N923" s="311"/>
      <c r="O923" s="311"/>
      <c r="P923" s="311"/>
      <c r="Q923" s="311"/>
      <c r="R923" s="311"/>
      <c r="S923" s="311"/>
      <c r="T923" s="311"/>
      <c r="U923" s="311"/>
      <c r="V923" s="311"/>
      <c r="W923" s="311"/>
      <c r="X923" s="311"/>
      <c r="Y923" s="24"/>
      <c r="Z923" s="24"/>
      <c r="AA923" s="24"/>
      <c r="AB923" s="24"/>
      <c r="AC923" s="24"/>
      <c r="AD923" s="24"/>
    </row>
    <row r="924" spans="1:30" ht="12.75">
      <c r="A924" s="313"/>
      <c r="B924" s="313"/>
      <c r="C924" s="314"/>
      <c r="D924" s="311"/>
      <c r="E924" s="311"/>
      <c r="F924" s="311"/>
      <c r="G924" s="311"/>
      <c r="H924" s="311"/>
      <c r="I924" s="311"/>
      <c r="J924" s="311"/>
      <c r="K924" s="311"/>
      <c r="L924" s="311"/>
      <c r="M924" s="311"/>
      <c r="N924" s="311"/>
      <c r="O924" s="311"/>
      <c r="P924" s="311"/>
      <c r="Q924" s="311"/>
      <c r="R924" s="311"/>
      <c r="S924" s="311"/>
      <c r="T924" s="311"/>
      <c r="U924" s="311"/>
      <c r="V924" s="311"/>
      <c r="W924" s="311"/>
      <c r="X924" s="311"/>
      <c r="Y924" s="24"/>
      <c r="Z924" s="24"/>
      <c r="AA924" s="24"/>
      <c r="AB924" s="24"/>
      <c r="AC924" s="24"/>
      <c r="AD924" s="24"/>
    </row>
    <row r="925" spans="1:30" ht="12.75">
      <c r="A925" s="313"/>
      <c r="B925" s="313"/>
      <c r="C925" s="314"/>
      <c r="D925" s="311"/>
      <c r="E925" s="311"/>
      <c r="F925" s="311"/>
      <c r="G925" s="311"/>
      <c r="H925" s="311"/>
      <c r="I925" s="311"/>
      <c r="J925" s="311"/>
      <c r="K925" s="311"/>
      <c r="L925" s="311"/>
      <c r="M925" s="311"/>
      <c r="N925" s="311"/>
      <c r="O925" s="311"/>
      <c r="P925" s="311"/>
      <c r="Q925" s="311"/>
      <c r="R925" s="311"/>
      <c r="S925" s="311"/>
      <c r="T925" s="311"/>
      <c r="U925" s="311"/>
      <c r="V925" s="311"/>
      <c r="W925" s="311"/>
      <c r="X925" s="311"/>
      <c r="Y925" s="24"/>
      <c r="Z925" s="24"/>
      <c r="AA925" s="24"/>
      <c r="AB925" s="24"/>
      <c r="AC925" s="24"/>
      <c r="AD925" s="24"/>
    </row>
    <row r="926" spans="1:30" ht="12.75">
      <c r="A926" s="313"/>
      <c r="B926" s="313"/>
      <c r="C926" s="314"/>
      <c r="D926" s="311"/>
      <c r="E926" s="311"/>
      <c r="F926" s="311"/>
      <c r="G926" s="311"/>
      <c r="H926" s="311"/>
      <c r="I926" s="311"/>
      <c r="J926" s="311"/>
      <c r="K926" s="311"/>
      <c r="L926" s="311"/>
      <c r="M926" s="311"/>
      <c r="N926" s="311"/>
      <c r="O926" s="311"/>
      <c r="P926" s="311"/>
      <c r="Q926" s="311"/>
      <c r="R926" s="311"/>
      <c r="S926" s="311"/>
      <c r="T926" s="311"/>
      <c r="U926" s="311"/>
      <c r="V926" s="311"/>
      <c r="W926" s="311"/>
      <c r="X926" s="311"/>
      <c r="Y926" s="24"/>
      <c r="Z926" s="24"/>
      <c r="AA926" s="24"/>
      <c r="AB926" s="24"/>
      <c r="AC926" s="24"/>
      <c r="AD926" s="24"/>
    </row>
    <row r="927" spans="1:30" ht="12.75">
      <c r="A927" s="313"/>
      <c r="B927" s="313"/>
      <c r="C927" s="314"/>
      <c r="D927" s="311"/>
      <c r="E927" s="311"/>
      <c r="F927" s="311"/>
      <c r="G927" s="311"/>
      <c r="H927" s="311"/>
      <c r="I927" s="311"/>
      <c r="J927" s="311"/>
      <c r="K927" s="311"/>
      <c r="L927" s="311"/>
      <c r="M927" s="311"/>
      <c r="N927" s="311"/>
      <c r="O927" s="311"/>
      <c r="P927" s="311"/>
      <c r="Q927" s="311"/>
      <c r="R927" s="311"/>
      <c r="S927" s="311"/>
      <c r="T927" s="311"/>
      <c r="U927" s="311"/>
      <c r="V927" s="311"/>
      <c r="W927" s="311"/>
      <c r="X927" s="311"/>
      <c r="Y927" s="24"/>
      <c r="Z927" s="24"/>
      <c r="AA927" s="24"/>
      <c r="AB927" s="24"/>
      <c r="AC927" s="24"/>
      <c r="AD927" s="24"/>
    </row>
    <row r="928" spans="1:30" ht="12.75">
      <c r="A928" s="313"/>
      <c r="B928" s="313"/>
      <c r="C928" s="314"/>
      <c r="D928" s="311"/>
      <c r="E928" s="311"/>
      <c r="F928" s="311"/>
      <c r="G928" s="311"/>
      <c r="H928" s="311"/>
      <c r="I928" s="311"/>
      <c r="J928" s="311"/>
      <c r="K928" s="311"/>
      <c r="L928" s="311"/>
      <c r="M928" s="311"/>
      <c r="N928" s="311"/>
      <c r="O928" s="311"/>
      <c r="P928" s="311"/>
      <c r="Q928" s="311"/>
      <c r="R928" s="311"/>
      <c r="S928" s="311"/>
      <c r="T928" s="311"/>
      <c r="U928" s="311"/>
      <c r="V928" s="311"/>
      <c r="W928" s="311"/>
      <c r="X928" s="311"/>
      <c r="Y928" s="24"/>
      <c r="Z928" s="24"/>
      <c r="AA928" s="24"/>
      <c r="AB928" s="24"/>
      <c r="AC928" s="24"/>
      <c r="AD928" s="24"/>
    </row>
    <row r="929" spans="1:30" ht="12.75">
      <c r="A929" s="313"/>
      <c r="B929" s="313"/>
      <c r="C929" s="314"/>
      <c r="D929" s="311"/>
      <c r="E929" s="311"/>
      <c r="F929" s="311"/>
      <c r="G929" s="311"/>
      <c r="H929" s="311"/>
      <c r="I929" s="311"/>
      <c r="J929" s="311"/>
      <c r="K929" s="311"/>
      <c r="L929" s="311"/>
      <c r="M929" s="311"/>
      <c r="N929" s="311"/>
      <c r="O929" s="311"/>
      <c r="P929" s="311"/>
      <c r="Q929" s="311"/>
      <c r="R929" s="311"/>
      <c r="S929" s="311"/>
      <c r="T929" s="311"/>
      <c r="U929" s="311"/>
      <c r="V929" s="311"/>
      <c r="W929" s="311"/>
      <c r="X929" s="311"/>
      <c r="Y929" s="24"/>
      <c r="Z929" s="24"/>
      <c r="AA929" s="24"/>
      <c r="AB929" s="24"/>
      <c r="AC929" s="24"/>
      <c r="AD929" s="24"/>
    </row>
    <row r="930" spans="1:30" ht="12.75">
      <c r="A930" s="313"/>
      <c r="B930" s="313"/>
      <c r="C930" s="314"/>
      <c r="D930" s="311"/>
      <c r="E930" s="311"/>
      <c r="F930" s="311"/>
      <c r="G930" s="311"/>
      <c r="H930" s="311"/>
      <c r="I930" s="311"/>
      <c r="J930" s="311"/>
      <c r="K930" s="311"/>
      <c r="L930" s="311"/>
      <c r="M930" s="311"/>
      <c r="N930" s="311"/>
      <c r="O930" s="311"/>
      <c r="P930" s="311"/>
      <c r="Q930" s="311"/>
      <c r="R930" s="311"/>
      <c r="S930" s="311"/>
      <c r="T930" s="311"/>
      <c r="U930" s="311"/>
      <c r="V930" s="311"/>
      <c r="W930" s="311"/>
      <c r="X930" s="311"/>
      <c r="Y930" s="24"/>
      <c r="Z930" s="24"/>
      <c r="AA930" s="24"/>
      <c r="AB930" s="24"/>
      <c r="AC930" s="24"/>
      <c r="AD930" s="24"/>
    </row>
    <row r="931" spans="1:30" ht="12.75">
      <c r="A931" s="313"/>
      <c r="B931" s="313"/>
      <c r="C931" s="314"/>
      <c r="D931" s="311"/>
      <c r="E931" s="311"/>
      <c r="F931" s="311"/>
      <c r="G931" s="311"/>
      <c r="H931" s="311"/>
      <c r="I931" s="311"/>
      <c r="J931" s="311"/>
      <c r="K931" s="311"/>
      <c r="L931" s="311"/>
      <c r="M931" s="311"/>
      <c r="N931" s="311"/>
      <c r="O931" s="311"/>
      <c r="P931" s="311"/>
      <c r="Q931" s="311"/>
      <c r="R931" s="311"/>
      <c r="S931" s="311"/>
      <c r="T931" s="311"/>
      <c r="U931" s="311"/>
      <c r="V931" s="311"/>
      <c r="W931" s="311"/>
      <c r="X931" s="311"/>
      <c r="Y931" s="24"/>
      <c r="Z931" s="24"/>
      <c r="AA931" s="24"/>
      <c r="AB931" s="24"/>
      <c r="AC931" s="24"/>
      <c r="AD931" s="24"/>
    </row>
    <row r="932" spans="1:30" ht="12.75">
      <c r="A932" s="313"/>
      <c r="B932" s="313"/>
      <c r="C932" s="314"/>
      <c r="D932" s="311"/>
      <c r="E932" s="311"/>
      <c r="F932" s="311"/>
      <c r="G932" s="311"/>
      <c r="H932" s="311"/>
      <c r="I932" s="311"/>
      <c r="J932" s="311"/>
      <c r="K932" s="311"/>
      <c r="L932" s="311"/>
      <c r="M932" s="311"/>
      <c r="N932" s="311"/>
      <c r="O932" s="311"/>
      <c r="P932" s="311"/>
      <c r="Q932" s="311"/>
      <c r="R932" s="311"/>
      <c r="S932" s="311"/>
      <c r="T932" s="311"/>
      <c r="U932" s="311"/>
      <c r="V932" s="311"/>
      <c r="W932" s="311"/>
      <c r="X932" s="311"/>
      <c r="Y932" s="24"/>
      <c r="Z932" s="24"/>
      <c r="AA932" s="24"/>
      <c r="AB932" s="24"/>
      <c r="AC932" s="24"/>
      <c r="AD932" s="24"/>
    </row>
    <row r="933" spans="1:30" ht="12.75">
      <c r="A933" s="313"/>
      <c r="B933" s="313"/>
      <c r="C933" s="314"/>
      <c r="D933" s="311"/>
      <c r="E933" s="311"/>
      <c r="F933" s="311"/>
      <c r="G933" s="311"/>
      <c r="H933" s="311"/>
      <c r="I933" s="311"/>
      <c r="J933" s="311"/>
      <c r="K933" s="311"/>
      <c r="L933" s="311"/>
      <c r="M933" s="311"/>
      <c r="N933" s="311"/>
      <c r="O933" s="311"/>
      <c r="P933" s="311"/>
      <c r="Q933" s="311"/>
      <c r="R933" s="311"/>
      <c r="S933" s="311"/>
      <c r="T933" s="311"/>
      <c r="U933" s="311"/>
      <c r="V933" s="311"/>
      <c r="W933" s="311"/>
      <c r="X933" s="311"/>
      <c r="Y933" s="24"/>
      <c r="Z933" s="24"/>
      <c r="AA933" s="24"/>
      <c r="AB933" s="24"/>
      <c r="AC933" s="24"/>
      <c r="AD933" s="24"/>
    </row>
    <row r="934" spans="1:30" ht="12.75">
      <c r="A934" s="313"/>
      <c r="B934" s="313"/>
      <c r="C934" s="314"/>
      <c r="D934" s="311"/>
      <c r="E934" s="311"/>
      <c r="F934" s="311"/>
      <c r="G934" s="311"/>
      <c r="H934" s="311"/>
      <c r="I934" s="311"/>
      <c r="J934" s="311"/>
      <c r="K934" s="311"/>
      <c r="L934" s="311"/>
      <c r="M934" s="311"/>
      <c r="N934" s="311"/>
      <c r="O934" s="311"/>
      <c r="P934" s="311"/>
      <c r="Q934" s="311"/>
      <c r="R934" s="311"/>
      <c r="S934" s="311"/>
      <c r="T934" s="311"/>
      <c r="U934" s="311"/>
      <c r="V934" s="311"/>
      <c r="W934" s="311"/>
      <c r="X934" s="311"/>
      <c r="Y934" s="24"/>
      <c r="Z934" s="24"/>
      <c r="AA934" s="24"/>
      <c r="AB934" s="24"/>
      <c r="AC934" s="24"/>
      <c r="AD934" s="24"/>
    </row>
    <row r="935" spans="1:30" ht="12.75">
      <c r="A935" s="313"/>
      <c r="B935" s="313"/>
      <c r="C935" s="314"/>
      <c r="D935" s="311"/>
      <c r="E935" s="311"/>
      <c r="F935" s="311"/>
      <c r="G935" s="311"/>
      <c r="H935" s="311"/>
      <c r="I935" s="311"/>
      <c r="J935" s="311"/>
      <c r="K935" s="311"/>
      <c r="L935" s="311"/>
      <c r="M935" s="311"/>
      <c r="N935" s="311"/>
      <c r="O935" s="311"/>
      <c r="P935" s="311"/>
      <c r="Q935" s="311"/>
      <c r="R935" s="311"/>
      <c r="S935" s="311"/>
      <c r="T935" s="311"/>
      <c r="U935" s="311"/>
      <c r="V935" s="311"/>
      <c r="W935" s="311"/>
      <c r="X935" s="311"/>
      <c r="Y935" s="24"/>
      <c r="Z935" s="24"/>
      <c r="AA935" s="24"/>
      <c r="AB935" s="24"/>
      <c r="AC935" s="24"/>
      <c r="AD935" s="24"/>
    </row>
    <row r="936" spans="1:30" ht="12.75">
      <c r="A936" s="313"/>
      <c r="B936" s="313"/>
      <c r="C936" s="314"/>
      <c r="D936" s="311"/>
      <c r="E936" s="311"/>
      <c r="F936" s="311"/>
      <c r="G936" s="311"/>
      <c r="H936" s="311"/>
      <c r="I936" s="311"/>
      <c r="J936" s="311"/>
      <c r="K936" s="311"/>
      <c r="L936" s="311"/>
      <c r="M936" s="311"/>
      <c r="N936" s="311"/>
      <c r="O936" s="311"/>
      <c r="P936" s="311"/>
      <c r="Q936" s="311"/>
      <c r="R936" s="311"/>
      <c r="S936" s="311"/>
      <c r="T936" s="311"/>
      <c r="U936" s="311"/>
      <c r="V936" s="311"/>
      <c r="W936" s="311"/>
      <c r="X936" s="311"/>
      <c r="Y936" s="24"/>
      <c r="Z936" s="24"/>
      <c r="AA936" s="24"/>
      <c r="AB936" s="24"/>
      <c r="AC936" s="24"/>
      <c r="AD936" s="24"/>
    </row>
    <row r="937" spans="1:30" ht="12.75">
      <c r="A937" s="313"/>
      <c r="B937" s="313"/>
      <c r="C937" s="314"/>
      <c r="D937" s="311"/>
      <c r="E937" s="311"/>
      <c r="F937" s="311"/>
      <c r="G937" s="311"/>
      <c r="H937" s="311"/>
      <c r="I937" s="311"/>
      <c r="J937" s="311"/>
      <c r="K937" s="311"/>
      <c r="L937" s="311"/>
      <c r="M937" s="311"/>
      <c r="N937" s="311"/>
      <c r="O937" s="311"/>
      <c r="P937" s="311"/>
      <c r="Q937" s="311"/>
      <c r="R937" s="311"/>
      <c r="S937" s="311"/>
      <c r="T937" s="311"/>
      <c r="U937" s="311"/>
      <c r="V937" s="311"/>
      <c r="W937" s="311"/>
      <c r="X937" s="311"/>
      <c r="Y937" s="24"/>
      <c r="Z937" s="24"/>
      <c r="AA937" s="24"/>
      <c r="AB937" s="24"/>
      <c r="AC937" s="24"/>
      <c r="AD937" s="24"/>
    </row>
    <row r="938" spans="1:30" ht="12.75">
      <c r="A938" s="313"/>
      <c r="B938" s="313"/>
      <c r="C938" s="314"/>
      <c r="D938" s="311"/>
      <c r="E938" s="311"/>
      <c r="F938" s="311"/>
      <c r="G938" s="311"/>
      <c r="H938" s="311"/>
      <c r="I938" s="311"/>
      <c r="J938" s="311"/>
      <c r="K938" s="311"/>
      <c r="L938" s="311"/>
      <c r="M938" s="311"/>
      <c r="N938" s="311"/>
      <c r="O938" s="311"/>
      <c r="P938" s="311"/>
      <c r="Q938" s="311"/>
      <c r="R938" s="311"/>
      <c r="S938" s="311"/>
      <c r="T938" s="311"/>
      <c r="U938" s="311"/>
      <c r="V938" s="311"/>
      <c r="W938" s="311"/>
      <c r="X938" s="311"/>
      <c r="Y938" s="24"/>
      <c r="Z938" s="24"/>
      <c r="AA938" s="24"/>
      <c r="AB938" s="24"/>
      <c r="AC938" s="24"/>
      <c r="AD938" s="24"/>
    </row>
    <row r="939" spans="1:30" ht="12.75">
      <c r="A939" s="313"/>
      <c r="B939" s="313"/>
      <c r="C939" s="314"/>
      <c r="D939" s="311"/>
      <c r="E939" s="311"/>
      <c r="F939" s="311"/>
      <c r="G939" s="311"/>
      <c r="H939" s="311"/>
      <c r="I939" s="311"/>
      <c r="J939" s="311"/>
      <c r="K939" s="311"/>
      <c r="L939" s="311"/>
      <c r="M939" s="311"/>
      <c r="N939" s="311"/>
      <c r="O939" s="311"/>
      <c r="P939" s="311"/>
      <c r="Q939" s="311"/>
      <c r="R939" s="311"/>
      <c r="S939" s="311"/>
      <c r="T939" s="311"/>
      <c r="U939" s="311"/>
      <c r="V939" s="311"/>
      <c r="W939" s="311"/>
      <c r="X939" s="311"/>
      <c r="Y939" s="24"/>
      <c r="Z939" s="24"/>
      <c r="AA939" s="24"/>
      <c r="AB939" s="24"/>
      <c r="AC939" s="24"/>
      <c r="AD939" s="24"/>
    </row>
    <row r="940" spans="1:30" ht="12.75">
      <c r="A940" s="313"/>
      <c r="B940" s="313"/>
      <c r="C940" s="314"/>
      <c r="D940" s="311"/>
      <c r="E940" s="311"/>
      <c r="F940" s="311"/>
      <c r="G940" s="311"/>
      <c r="H940" s="311"/>
      <c r="I940" s="311"/>
      <c r="J940" s="311"/>
      <c r="K940" s="311"/>
      <c r="L940" s="311"/>
      <c r="M940" s="311"/>
      <c r="N940" s="311"/>
      <c r="O940" s="311"/>
      <c r="P940" s="311"/>
      <c r="Q940" s="311"/>
      <c r="R940" s="311"/>
      <c r="S940" s="311"/>
      <c r="T940" s="311"/>
      <c r="U940" s="311"/>
      <c r="V940" s="311"/>
      <c r="W940" s="311"/>
      <c r="X940" s="311"/>
      <c r="Y940" s="24"/>
      <c r="Z940" s="24"/>
      <c r="AA940" s="24"/>
      <c r="AB940" s="24"/>
      <c r="AC940" s="24"/>
      <c r="AD940" s="24"/>
    </row>
    <row r="941" spans="1:30" ht="12.75">
      <c r="A941" s="313"/>
      <c r="B941" s="313"/>
      <c r="C941" s="314"/>
      <c r="D941" s="311"/>
      <c r="E941" s="311"/>
      <c r="F941" s="311"/>
      <c r="G941" s="311"/>
      <c r="H941" s="311"/>
      <c r="I941" s="311"/>
      <c r="J941" s="311"/>
      <c r="K941" s="311"/>
      <c r="L941" s="311"/>
      <c r="M941" s="311"/>
      <c r="N941" s="311"/>
      <c r="O941" s="311"/>
      <c r="P941" s="311"/>
      <c r="Q941" s="311"/>
      <c r="R941" s="311"/>
      <c r="S941" s="311"/>
      <c r="T941" s="311"/>
      <c r="U941" s="311"/>
      <c r="V941" s="311"/>
      <c r="W941" s="311"/>
      <c r="X941" s="311"/>
      <c r="Y941" s="24"/>
      <c r="Z941" s="24"/>
      <c r="AA941" s="24"/>
      <c r="AB941" s="24"/>
      <c r="AC941" s="24"/>
      <c r="AD941" s="24"/>
    </row>
    <row r="942" spans="1:30" ht="12.75">
      <c r="A942" s="313"/>
      <c r="B942" s="313"/>
      <c r="C942" s="314"/>
      <c r="D942" s="311"/>
      <c r="E942" s="311"/>
      <c r="F942" s="311"/>
      <c r="G942" s="311"/>
      <c r="H942" s="311"/>
      <c r="I942" s="311"/>
      <c r="J942" s="311"/>
      <c r="K942" s="311"/>
      <c r="L942" s="311"/>
      <c r="M942" s="311"/>
      <c r="N942" s="311"/>
      <c r="O942" s="311"/>
      <c r="P942" s="311"/>
      <c r="Q942" s="311"/>
      <c r="R942" s="311"/>
      <c r="S942" s="311"/>
      <c r="T942" s="311"/>
      <c r="U942" s="311"/>
      <c r="V942" s="311"/>
      <c r="W942" s="311"/>
      <c r="X942" s="311"/>
      <c r="Y942" s="24"/>
      <c r="Z942" s="24"/>
      <c r="AA942" s="24"/>
      <c r="AB942" s="24"/>
      <c r="AC942" s="24"/>
      <c r="AD942" s="24"/>
    </row>
    <row r="943" spans="1:30" ht="12.75">
      <c r="A943" s="313"/>
      <c r="B943" s="313"/>
      <c r="C943" s="314"/>
      <c r="D943" s="311"/>
      <c r="E943" s="311"/>
      <c r="F943" s="311"/>
      <c r="G943" s="311"/>
      <c r="H943" s="311"/>
      <c r="I943" s="311"/>
      <c r="J943" s="311"/>
      <c r="K943" s="311"/>
      <c r="L943" s="311"/>
      <c r="M943" s="311"/>
      <c r="N943" s="311"/>
      <c r="O943" s="311"/>
      <c r="P943" s="311"/>
      <c r="Q943" s="311"/>
      <c r="R943" s="311"/>
      <c r="S943" s="311"/>
      <c r="T943" s="311"/>
      <c r="U943" s="311"/>
      <c r="V943" s="311"/>
      <c r="W943" s="311"/>
      <c r="X943" s="311"/>
      <c r="Y943" s="24"/>
      <c r="Z943" s="24"/>
      <c r="AA943" s="24"/>
      <c r="AB943" s="24"/>
      <c r="AC943" s="24"/>
      <c r="AD943" s="24"/>
    </row>
    <row r="944" spans="1:30" ht="12.75">
      <c r="A944" s="313"/>
      <c r="B944" s="313"/>
      <c r="C944" s="314"/>
      <c r="D944" s="311"/>
      <c r="E944" s="311"/>
      <c r="F944" s="311"/>
      <c r="G944" s="311"/>
      <c r="H944" s="311"/>
      <c r="I944" s="311"/>
      <c r="J944" s="311"/>
      <c r="K944" s="311"/>
      <c r="L944" s="311"/>
      <c r="M944" s="311"/>
      <c r="N944" s="311"/>
      <c r="O944" s="311"/>
      <c r="P944" s="311"/>
      <c r="Q944" s="311"/>
      <c r="R944" s="311"/>
      <c r="S944" s="311"/>
      <c r="T944" s="311"/>
      <c r="U944" s="311"/>
      <c r="V944" s="311"/>
      <c r="W944" s="311"/>
      <c r="X944" s="311"/>
      <c r="Y944" s="24"/>
      <c r="Z944" s="24"/>
      <c r="AA944" s="24"/>
      <c r="AB944" s="24"/>
      <c r="AC944" s="24"/>
      <c r="AD944" s="24"/>
    </row>
    <row r="945" spans="1:30" ht="12.75">
      <c r="A945" s="313"/>
      <c r="B945" s="313"/>
      <c r="C945" s="314"/>
      <c r="D945" s="311"/>
      <c r="E945" s="311"/>
      <c r="F945" s="311"/>
      <c r="G945" s="311"/>
      <c r="H945" s="311"/>
      <c r="I945" s="311"/>
      <c r="J945" s="311"/>
      <c r="K945" s="311"/>
      <c r="L945" s="311"/>
      <c r="M945" s="311"/>
      <c r="N945" s="311"/>
      <c r="O945" s="311"/>
      <c r="P945" s="311"/>
      <c r="Q945" s="311"/>
      <c r="R945" s="311"/>
      <c r="S945" s="311"/>
      <c r="T945" s="311"/>
      <c r="U945" s="311"/>
      <c r="V945" s="311"/>
      <c r="W945" s="311"/>
      <c r="X945" s="311"/>
      <c r="Y945" s="24"/>
      <c r="Z945" s="24"/>
      <c r="AA945" s="24"/>
      <c r="AB945" s="24"/>
      <c r="AC945" s="24"/>
      <c r="AD945" s="24"/>
    </row>
    <row r="946" spans="1:30" ht="12.75">
      <c r="A946" s="313"/>
      <c r="B946" s="313"/>
      <c r="C946" s="314"/>
      <c r="D946" s="311"/>
      <c r="E946" s="311"/>
      <c r="F946" s="311"/>
      <c r="G946" s="311"/>
      <c r="H946" s="311"/>
      <c r="I946" s="311"/>
      <c r="J946" s="311"/>
      <c r="K946" s="311"/>
      <c r="L946" s="311"/>
      <c r="M946" s="311"/>
      <c r="N946" s="311"/>
      <c r="O946" s="311"/>
      <c r="P946" s="311"/>
      <c r="Q946" s="311"/>
      <c r="R946" s="311"/>
      <c r="S946" s="311"/>
      <c r="T946" s="311"/>
      <c r="U946" s="311"/>
      <c r="V946" s="311"/>
      <c r="W946" s="311"/>
      <c r="X946" s="311"/>
      <c r="Y946" s="24"/>
      <c r="Z946" s="24"/>
      <c r="AA946" s="24"/>
      <c r="AB946" s="24"/>
      <c r="AC946" s="24"/>
      <c r="AD946" s="24"/>
    </row>
    <row r="947" spans="1:30" ht="12.75">
      <c r="A947" s="313"/>
      <c r="B947" s="313"/>
      <c r="C947" s="314"/>
      <c r="D947" s="311"/>
      <c r="E947" s="311"/>
      <c r="F947" s="311"/>
      <c r="G947" s="311"/>
      <c r="H947" s="311"/>
      <c r="I947" s="311"/>
      <c r="J947" s="311"/>
      <c r="K947" s="311"/>
      <c r="L947" s="311"/>
      <c r="M947" s="311"/>
      <c r="N947" s="311"/>
      <c r="O947" s="311"/>
      <c r="P947" s="311"/>
      <c r="Q947" s="311"/>
      <c r="R947" s="311"/>
      <c r="S947" s="311"/>
      <c r="T947" s="311"/>
      <c r="U947" s="311"/>
      <c r="V947" s="311"/>
      <c r="W947" s="311"/>
      <c r="X947" s="311"/>
      <c r="Y947" s="24"/>
      <c r="Z947" s="24"/>
      <c r="AA947" s="24"/>
      <c r="AB947" s="24"/>
      <c r="AC947" s="24"/>
      <c r="AD947" s="24"/>
    </row>
    <row r="948" spans="1:30" ht="12.75">
      <c r="A948" s="313"/>
      <c r="B948" s="313"/>
      <c r="C948" s="314"/>
      <c r="D948" s="311"/>
      <c r="E948" s="311"/>
      <c r="F948" s="311"/>
      <c r="G948" s="311"/>
      <c r="H948" s="311"/>
      <c r="I948" s="311"/>
      <c r="J948" s="311"/>
      <c r="K948" s="311"/>
      <c r="L948" s="311"/>
      <c r="M948" s="311"/>
      <c r="N948" s="311"/>
      <c r="O948" s="311"/>
      <c r="P948" s="311"/>
      <c r="Q948" s="311"/>
      <c r="R948" s="311"/>
      <c r="S948" s="311"/>
      <c r="T948" s="311"/>
      <c r="U948" s="311"/>
      <c r="V948" s="311"/>
      <c r="W948" s="311"/>
      <c r="X948" s="311"/>
      <c r="Y948" s="24"/>
      <c r="Z948" s="24"/>
      <c r="AA948" s="24"/>
      <c r="AB948" s="24"/>
      <c r="AC948" s="24"/>
      <c r="AD948" s="24"/>
    </row>
    <row r="949" spans="1:30" ht="12.75">
      <c r="A949" s="313"/>
      <c r="B949" s="313"/>
      <c r="C949" s="314"/>
      <c r="D949" s="311"/>
      <c r="E949" s="311"/>
      <c r="F949" s="311"/>
      <c r="G949" s="311"/>
      <c r="H949" s="311"/>
      <c r="I949" s="311"/>
      <c r="J949" s="311"/>
      <c r="K949" s="311"/>
      <c r="L949" s="311"/>
      <c r="M949" s="311"/>
      <c r="N949" s="311"/>
      <c r="O949" s="311"/>
      <c r="P949" s="311"/>
      <c r="Q949" s="311"/>
      <c r="R949" s="311"/>
      <c r="S949" s="311"/>
      <c r="T949" s="311"/>
      <c r="U949" s="311"/>
      <c r="V949" s="311"/>
      <c r="W949" s="311"/>
      <c r="X949" s="311"/>
      <c r="Y949" s="24"/>
      <c r="Z949" s="24"/>
      <c r="AA949" s="24"/>
      <c r="AB949" s="24"/>
      <c r="AC949" s="24"/>
      <c r="AD949" s="24"/>
    </row>
    <row r="950" spans="1:30" ht="12.75">
      <c r="A950" s="313"/>
      <c r="B950" s="313"/>
      <c r="C950" s="314"/>
      <c r="D950" s="311"/>
      <c r="E950" s="311"/>
      <c r="F950" s="311"/>
      <c r="G950" s="311"/>
      <c r="H950" s="311"/>
      <c r="I950" s="311"/>
      <c r="J950" s="311"/>
      <c r="K950" s="311"/>
      <c r="L950" s="311"/>
      <c r="M950" s="311"/>
      <c r="N950" s="311"/>
      <c r="O950" s="311"/>
      <c r="P950" s="311"/>
      <c r="Q950" s="311"/>
      <c r="R950" s="311"/>
      <c r="S950" s="311"/>
      <c r="T950" s="311"/>
      <c r="U950" s="311"/>
      <c r="V950" s="311"/>
      <c r="W950" s="311"/>
      <c r="X950" s="311"/>
      <c r="Y950" s="24"/>
      <c r="Z950" s="24"/>
      <c r="AA950" s="24"/>
      <c r="AB950" s="24"/>
      <c r="AC950" s="24"/>
      <c r="AD950" s="24"/>
    </row>
    <row r="951" spans="1:30" ht="12.75">
      <c r="A951" s="313"/>
      <c r="B951" s="313"/>
      <c r="C951" s="314"/>
      <c r="D951" s="311"/>
      <c r="E951" s="311"/>
      <c r="F951" s="311"/>
      <c r="G951" s="311"/>
      <c r="H951" s="311"/>
      <c r="I951" s="311"/>
      <c r="J951" s="311"/>
      <c r="K951" s="311"/>
      <c r="L951" s="311"/>
      <c r="M951" s="311"/>
      <c r="N951" s="311"/>
      <c r="O951" s="311"/>
      <c r="P951" s="311"/>
      <c r="Q951" s="311"/>
      <c r="R951" s="311"/>
      <c r="S951" s="311"/>
      <c r="T951" s="311"/>
      <c r="U951" s="311"/>
      <c r="V951" s="311"/>
      <c r="W951" s="311"/>
      <c r="X951" s="311"/>
      <c r="Y951" s="24"/>
      <c r="Z951" s="24"/>
      <c r="AA951" s="24"/>
      <c r="AB951" s="24"/>
      <c r="AC951" s="24"/>
      <c r="AD951" s="24"/>
    </row>
    <row r="952" spans="1:30" ht="12.75">
      <c r="A952" s="313"/>
      <c r="B952" s="313"/>
      <c r="C952" s="314"/>
      <c r="D952" s="311"/>
      <c r="E952" s="311"/>
      <c r="F952" s="311"/>
      <c r="G952" s="311"/>
      <c r="H952" s="311"/>
      <c r="I952" s="311"/>
      <c r="J952" s="311"/>
      <c r="K952" s="311"/>
      <c r="L952" s="311"/>
      <c r="M952" s="311"/>
      <c r="N952" s="311"/>
      <c r="O952" s="311"/>
      <c r="P952" s="311"/>
      <c r="Q952" s="311"/>
      <c r="R952" s="311"/>
      <c r="S952" s="311"/>
      <c r="T952" s="311"/>
      <c r="U952" s="311"/>
      <c r="V952" s="311"/>
      <c r="W952" s="311"/>
      <c r="X952" s="311"/>
      <c r="Y952" s="24"/>
      <c r="Z952" s="24"/>
      <c r="AA952" s="24"/>
      <c r="AB952" s="24"/>
      <c r="AC952" s="24"/>
      <c r="AD952" s="24"/>
    </row>
    <row r="953" spans="1:30" ht="12.75">
      <c r="A953" s="313"/>
      <c r="B953" s="313"/>
      <c r="C953" s="314"/>
      <c r="D953" s="311"/>
      <c r="E953" s="311"/>
      <c r="F953" s="311"/>
      <c r="G953" s="311"/>
      <c r="H953" s="311"/>
      <c r="I953" s="311"/>
      <c r="J953" s="311"/>
      <c r="K953" s="311"/>
      <c r="L953" s="311"/>
      <c r="M953" s="311"/>
      <c r="N953" s="311"/>
      <c r="O953" s="311"/>
      <c r="P953" s="311"/>
      <c r="Q953" s="311"/>
      <c r="R953" s="311"/>
      <c r="S953" s="311"/>
      <c r="T953" s="311"/>
      <c r="U953" s="311"/>
      <c r="V953" s="311"/>
      <c r="W953" s="311"/>
      <c r="X953" s="311"/>
      <c r="Y953" s="24"/>
      <c r="Z953" s="24"/>
      <c r="AA953" s="24"/>
      <c r="AB953" s="24"/>
      <c r="AC953" s="24"/>
      <c r="AD953" s="24"/>
    </row>
    <row r="954" spans="1:30" ht="12.75">
      <c r="A954" s="313"/>
      <c r="B954" s="313"/>
      <c r="C954" s="314"/>
      <c r="D954" s="311"/>
      <c r="E954" s="311"/>
      <c r="F954" s="311"/>
      <c r="G954" s="311"/>
      <c r="H954" s="311"/>
      <c r="I954" s="311"/>
      <c r="J954" s="311"/>
      <c r="K954" s="311"/>
      <c r="L954" s="311"/>
      <c r="M954" s="311"/>
      <c r="N954" s="311"/>
      <c r="O954" s="311"/>
      <c r="P954" s="311"/>
      <c r="Q954" s="311"/>
      <c r="R954" s="311"/>
      <c r="S954" s="311"/>
      <c r="T954" s="311"/>
      <c r="U954" s="311"/>
      <c r="V954" s="311"/>
      <c r="W954" s="311"/>
      <c r="X954" s="311"/>
      <c r="Y954" s="24"/>
      <c r="Z954" s="24"/>
      <c r="AA954" s="24"/>
      <c r="AB954" s="24"/>
      <c r="AC954" s="24"/>
      <c r="AD954" s="24"/>
    </row>
    <row r="955" spans="1:30" ht="12.75">
      <c r="A955" s="313"/>
      <c r="B955" s="313"/>
      <c r="C955" s="314"/>
      <c r="D955" s="311"/>
      <c r="E955" s="311"/>
      <c r="F955" s="311"/>
      <c r="G955" s="311"/>
      <c r="H955" s="311"/>
      <c r="I955" s="311"/>
      <c r="J955" s="311"/>
      <c r="K955" s="311"/>
      <c r="L955" s="311"/>
      <c r="M955" s="311"/>
      <c r="N955" s="311"/>
      <c r="O955" s="311"/>
      <c r="P955" s="311"/>
      <c r="Q955" s="311"/>
      <c r="R955" s="311"/>
      <c r="S955" s="311"/>
      <c r="T955" s="311"/>
      <c r="U955" s="311"/>
      <c r="V955" s="311"/>
      <c r="W955" s="311"/>
      <c r="X955" s="311"/>
      <c r="Y955" s="24"/>
      <c r="Z955" s="24"/>
      <c r="AA955" s="24"/>
      <c r="AB955" s="24"/>
      <c r="AC955" s="24"/>
      <c r="AD955" s="24"/>
    </row>
    <row r="956" spans="1:30" ht="12.75">
      <c r="A956" s="313"/>
      <c r="B956" s="313"/>
      <c r="C956" s="314"/>
      <c r="D956" s="311"/>
      <c r="E956" s="311"/>
      <c r="F956" s="311"/>
      <c r="G956" s="311"/>
      <c r="H956" s="311"/>
      <c r="I956" s="311"/>
      <c r="J956" s="311"/>
      <c r="K956" s="311"/>
      <c r="L956" s="311"/>
      <c r="M956" s="311"/>
      <c r="N956" s="311"/>
      <c r="O956" s="311"/>
      <c r="P956" s="311"/>
      <c r="Q956" s="311"/>
      <c r="R956" s="311"/>
      <c r="S956" s="311"/>
      <c r="T956" s="311"/>
      <c r="U956" s="311"/>
      <c r="V956" s="311"/>
      <c r="W956" s="311"/>
      <c r="X956" s="311"/>
      <c r="Y956" s="24"/>
      <c r="Z956" s="24"/>
      <c r="AA956" s="24"/>
      <c r="AB956" s="24"/>
      <c r="AC956" s="24"/>
      <c r="AD956" s="24"/>
    </row>
    <row r="957" spans="1:30" ht="12.75">
      <c r="A957" s="313"/>
      <c r="B957" s="313"/>
      <c r="C957" s="314"/>
      <c r="D957" s="311"/>
      <c r="E957" s="311"/>
      <c r="F957" s="311"/>
      <c r="G957" s="311"/>
      <c r="H957" s="311"/>
      <c r="I957" s="311"/>
      <c r="J957" s="311"/>
      <c r="K957" s="311"/>
      <c r="L957" s="311"/>
      <c r="M957" s="311"/>
      <c r="N957" s="311"/>
      <c r="O957" s="311"/>
      <c r="P957" s="311"/>
      <c r="Q957" s="311"/>
      <c r="R957" s="311"/>
      <c r="S957" s="311"/>
      <c r="T957" s="311"/>
      <c r="U957" s="311"/>
      <c r="V957" s="311"/>
      <c r="W957" s="311"/>
      <c r="X957" s="311"/>
      <c r="Y957" s="24"/>
      <c r="Z957" s="24"/>
      <c r="AA957" s="24"/>
      <c r="AB957" s="24"/>
      <c r="AC957" s="24"/>
      <c r="AD957" s="24"/>
    </row>
    <row r="958" spans="1:30" ht="12.75">
      <c r="A958" s="313"/>
      <c r="B958" s="313"/>
      <c r="C958" s="314"/>
      <c r="D958" s="311"/>
      <c r="E958" s="311"/>
      <c r="F958" s="311"/>
      <c r="G958" s="311"/>
      <c r="H958" s="311"/>
      <c r="I958" s="311"/>
      <c r="J958" s="311"/>
      <c r="K958" s="311"/>
      <c r="L958" s="311"/>
      <c r="M958" s="311"/>
      <c r="N958" s="311"/>
      <c r="O958" s="311"/>
      <c r="P958" s="311"/>
      <c r="Q958" s="311"/>
      <c r="R958" s="311"/>
      <c r="S958" s="311"/>
      <c r="T958" s="311"/>
      <c r="U958" s="311"/>
      <c r="V958" s="311"/>
      <c r="W958" s="311"/>
      <c r="X958" s="311"/>
      <c r="Y958" s="24"/>
      <c r="Z958" s="24"/>
      <c r="AA958" s="24"/>
      <c r="AB958" s="24"/>
      <c r="AC958" s="24"/>
      <c r="AD958" s="24"/>
    </row>
    <row r="959" spans="1:30" ht="12.75">
      <c r="A959" s="313"/>
      <c r="B959" s="313"/>
      <c r="C959" s="314"/>
      <c r="D959" s="311"/>
      <c r="E959" s="311"/>
      <c r="F959" s="311"/>
      <c r="G959" s="311"/>
      <c r="H959" s="311"/>
      <c r="I959" s="311"/>
      <c r="J959" s="311"/>
      <c r="K959" s="311"/>
      <c r="L959" s="311"/>
      <c r="M959" s="311"/>
      <c r="N959" s="311"/>
      <c r="O959" s="311"/>
      <c r="P959" s="311"/>
      <c r="Q959" s="311"/>
      <c r="R959" s="311"/>
      <c r="S959" s="311"/>
      <c r="T959" s="311"/>
      <c r="U959" s="311"/>
      <c r="V959" s="311"/>
      <c r="W959" s="311"/>
      <c r="X959" s="311"/>
      <c r="Y959" s="24"/>
      <c r="Z959" s="24"/>
      <c r="AA959" s="24"/>
      <c r="AB959" s="24"/>
      <c r="AC959" s="24"/>
      <c r="AD959" s="24"/>
    </row>
    <row r="960" spans="1:30" ht="12.75">
      <c r="A960" s="313"/>
      <c r="B960" s="313"/>
      <c r="C960" s="314"/>
      <c r="D960" s="311"/>
      <c r="E960" s="311"/>
      <c r="F960" s="311"/>
      <c r="G960" s="311"/>
      <c r="H960" s="311"/>
      <c r="I960" s="311"/>
      <c r="J960" s="311"/>
      <c r="K960" s="311"/>
      <c r="L960" s="311"/>
      <c r="M960" s="311"/>
      <c r="N960" s="311"/>
      <c r="O960" s="311"/>
      <c r="P960" s="311"/>
      <c r="Q960" s="311"/>
      <c r="R960" s="311"/>
      <c r="S960" s="311"/>
      <c r="T960" s="311"/>
      <c r="U960" s="311"/>
      <c r="V960" s="311"/>
      <c r="W960" s="311"/>
      <c r="X960" s="311"/>
      <c r="Y960" s="24"/>
      <c r="Z960" s="24"/>
      <c r="AA960" s="24"/>
      <c r="AB960" s="24"/>
      <c r="AC960" s="24"/>
      <c r="AD960" s="24"/>
    </row>
    <row r="961" spans="1:30" ht="12.75">
      <c r="A961" s="313"/>
      <c r="B961" s="313"/>
      <c r="C961" s="314"/>
      <c r="D961" s="311"/>
      <c r="E961" s="311"/>
      <c r="F961" s="311"/>
      <c r="G961" s="311"/>
      <c r="H961" s="311"/>
      <c r="I961" s="311"/>
      <c r="J961" s="311"/>
      <c r="K961" s="311"/>
      <c r="L961" s="311"/>
      <c r="M961" s="311"/>
      <c r="N961" s="311"/>
      <c r="O961" s="311"/>
      <c r="P961" s="311"/>
      <c r="Q961" s="311"/>
      <c r="R961" s="311"/>
      <c r="S961" s="311"/>
      <c r="T961" s="311"/>
      <c r="U961" s="311"/>
      <c r="V961" s="311"/>
      <c r="W961" s="311"/>
      <c r="X961" s="311"/>
      <c r="Y961" s="24"/>
      <c r="Z961" s="24"/>
      <c r="AA961" s="24"/>
      <c r="AB961" s="24"/>
      <c r="AC961" s="24"/>
      <c r="AD961" s="24"/>
    </row>
    <row r="962" spans="1:30" ht="12.75">
      <c r="A962" s="313"/>
      <c r="B962" s="313"/>
      <c r="C962" s="314"/>
      <c r="D962" s="311"/>
      <c r="E962" s="311"/>
      <c r="F962" s="311"/>
      <c r="G962" s="311"/>
      <c r="H962" s="311"/>
      <c r="I962" s="311"/>
      <c r="J962" s="311"/>
      <c r="K962" s="311"/>
      <c r="L962" s="311"/>
      <c r="M962" s="311"/>
      <c r="N962" s="311"/>
      <c r="O962" s="311"/>
      <c r="P962" s="311"/>
      <c r="Q962" s="311"/>
      <c r="R962" s="311"/>
      <c r="S962" s="311"/>
      <c r="T962" s="311"/>
      <c r="U962" s="311"/>
      <c r="V962" s="311"/>
      <c r="W962" s="311"/>
      <c r="X962" s="311"/>
      <c r="Y962" s="24"/>
      <c r="Z962" s="24"/>
      <c r="AA962" s="24"/>
      <c r="AB962" s="24"/>
      <c r="AC962" s="24"/>
      <c r="AD962" s="24"/>
    </row>
    <row r="963" spans="1:30" ht="12.75">
      <c r="A963" s="313"/>
      <c r="B963" s="313"/>
      <c r="C963" s="314"/>
      <c r="D963" s="311"/>
      <c r="E963" s="311"/>
      <c r="F963" s="311"/>
      <c r="G963" s="311"/>
      <c r="H963" s="311"/>
      <c r="I963" s="311"/>
      <c r="J963" s="311"/>
      <c r="K963" s="311"/>
      <c r="L963" s="311"/>
      <c r="M963" s="311"/>
      <c r="N963" s="311"/>
      <c r="O963" s="311"/>
      <c r="P963" s="311"/>
      <c r="Q963" s="311"/>
      <c r="R963" s="311"/>
      <c r="S963" s="311"/>
      <c r="T963" s="311"/>
      <c r="U963" s="311"/>
      <c r="V963" s="311"/>
      <c r="W963" s="311"/>
      <c r="X963" s="311"/>
      <c r="Y963" s="24"/>
      <c r="Z963" s="24"/>
      <c r="AA963" s="24"/>
      <c r="AB963" s="24"/>
      <c r="AC963" s="24"/>
      <c r="AD963" s="24"/>
    </row>
    <row r="964" spans="1:30" ht="12.75">
      <c r="A964" s="313"/>
      <c r="B964" s="313"/>
      <c r="C964" s="314"/>
      <c r="D964" s="311"/>
      <c r="E964" s="311"/>
      <c r="F964" s="311"/>
      <c r="G964" s="311"/>
      <c r="H964" s="311"/>
      <c r="I964" s="311"/>
      <c r="J964" s="311"/>
      <c r="K964" s="311"/>
      <c r="L964" s="311"/>
      <c r="M964" s="311"/>
      <c r="N964" s="311"/>
      <c r="O964" s="311"/>
      <c r="P964" s="311"/>
      <c r="Q964" s="311"/>
      <c r="R964" s="311"/>
      <c r="S964" s="311"/>
      <c r="T964" s="311"/>
      <c r="U964" s="311"/>
      <c r="V964" s="311"/>
      <c r="W964" s="311"/>
      <c r="X964" s="311"/>
      <c r="Y964" s="24"/>
      <c r="Z964" s="24"/>
      <c r="AA964" s="24"/>
      <c r="AB964" s="24"/>
      <c r="AC964" s="24"/>
      <c r="AD964" s="24"/>
    </row>
    <row r="965" spans="1:30" ht="12.75">
      <c r="A965" s="313"/>
      <c r="B965" s="313"/>
      <c r="C965" s="314"/>
      <c r="D965" s="311"/>
      <c r="E965" s="311"/>
      <c r="F965" s="311"/>
      <c r="G965" s="311"/>
      <c r="H965" s="311"/>
      <c r="I965" s="311"/>
      <c r="J965" s="311"/>
      <c r="K965" s="311"/>
      <c r="L965" s="311"/>
      <c r="M965" s="311"/>
      <c r="N965" s="311"/>
      <c r="O965" s="311"/>
      <c r="P965" s="311"/>
      <c r="Q965" s="311"/>
      <c r="R965" s="311"/>
      <c r="S965" s="311"/>
      <c r="T965" s="311"/>
      <c r="U965" s="311"/>
      <c r="V965" s="311"/>
      <c r="W965" s="311"/>
      <c r="X965" s="311"/>
      <c r="Y965" s="24"/>
      <c r="Z965" s="24"/>
      <c r="AA965" s="24"/>
      <c r="AB965" s="24"/>
      <c r="AC965" s="24"/>
      <c r="AD965" s="24"/>
    </row>
    <row r="966" spans="1:30" ht="12.75">
      <c r="A966" s="313"/>
      <c r="B966" s="313"/>
      <c r="C966" s="314"/>
      <c r="D966" s="311"/>
      <c r="E966" s="311"/>
      <c r="F966" s="311"/>
      <c r="G966" s="311"/>
      <c r="H966" s="311"/>
      <c r="I966" s="311"/>
      <c r="J966" s="311"/>
      <c r="K966" s="311"/>
      <c r="L966" s="311"/>
      <c r="M966" s="311"/>
      <c r="N966" s="311"/>
      <c r="O966" s="311"/>
      <c r="P966" s="311"/>
      <c r="Q966" s="311"/>
      <c r="R966" s="311"/>
      <c r="S966" s="311"/>
      <c r="T966" s="311"/>
      <c r="U966" s="311"/>
      <c r="V966" s="311"/>
      <c r="W966" s="311"/>
      <c r="X966" s="311"/>
      <c r="Y966" s="24"/>
      <c r="Z966" s="24"/>
      <c r="AA966" s="24"/>
      <c r="AB966" s="24"/>
      <c r="AC966" s="24"/>
      <c r="AD966" s="24"/>
    </row>
    <row r="967" spans="1:30" ht="12.75">
      <c r="A967" s="313"/>
      <c r="B967" s="313"/>
      <c r="C967" s="314"/>
      <c r="D967" s="311"/>
      <c r="E967" s="311"/>
      <c r="F967" s="311"/>
      <c r="G967" s="311"/>
      <c r="H967" s="311"/>
      <c r="I967" s="311"/>
      <c r="J967" s="311"/>
      <c r="K967" s="311"/>
      <c r="L967" s="311"/>
      <c r="M967" s="311"/>
      <c r="N967" s="311"/>
      <c r="O967" s="311"/>
      <c r="P967" s="311"/>
      <c r="Q967" s="311"/>
      <c r="R967" s="311"/>
      <c r="S967" s="311"/>
      <c r="T967" s="311"/>
      <c r="U967" s="311"/>
      <c r="V967" s="311"/>
      <c r="W967" s="311"/>
      <c r="X967" s="311"/>
      <c r="Y967" s="24"/>
      <c r="Z967" s="24"/>
      <c r="AA967" s="24"/>
      <c r="AB967" s="24"/>
      <c r="AC967" s="24"/>
      <c r="AD967" s="24"/>
    </row>
    <row r="968" spans="1:30" ht="12.75">
      <c r="A968" s="313"/>
      <c r="B968" s="313"/>
      <c r="C968" s="314"/>
      <c r="D968" s="311"/>
      <c r="E968" s="311"/>
      <c r="F968" s="311"/>
      <c r="G968" s="311"/>
      <c r="H968" s="311"/>
      <c r="I968" s="311"/>
      <c r="J968" s="311"/>
      <c r="K968" s="311"/>
      <c r="L968" s="311"/>
      <c r="M968" s="311"/>
      <c r="N968" s="311"/>
      <c r="O968" s="311"/>
      <c r="P968" s="311"/>
      <c r="Q968" s="311"/>
      <c r="R968" s="311"/>
      <c r="S968" s="311"/>
      <c r="T968" s="311"/>
      <c r="U968" s="311"/>
      <c r="V968" s="311"/>
      <c r="W968" s="311"/>
      <c r="X968" s="311"/>
      <c r="Y968" s="24"/>
      <c r="Z968" s="24"/>
      <c r="AA968" s="24"/>
      <c r="AB968" s="24"/>
      <c r="AC968" s="24"/>
      <c r="AD968" s="24"/>
    </row>
    <row r="969" spans="1:30" ht="12.75">
      <c r="A969" s="313"/>
      <c r="B969" s="313"/>
      <c r="C969" s="314"/>
      <c r="D969" s="311"/>
      <c r="E969" s="311"/>
      <c r="F969" s="311"/>
      <c r="G969" s="311"/>
      <c r="H969" s="311"/>
      <c r="I969" s="311"/>
      <c r="J969" s="311"/>
      <c r="K969" s="311"/>
      <c r="L969" s="311"/>
      <c r="M969" s="311"/>
      <c r="N969" s="311"/>
      <c r="O969" s="311"/>
      <c r="P969" s="311"/>
      <c r="Q969" s="311"/>
      <c r="R969" s="311"/>
      <c r="S969" s="311"/>
      <c r="T969" s="311"/>
      <c r="U969" s="311"/>
      <c r="V969" s="311"/>
      <c r="W969" s="311"/>
      <c r="X969" s="311"/>
      <c r="Y969" s="24"/>
      <c r="Z969" s="24"/>
      <c r="AA969" s="24"/>
      <c r="AB969" s="24"/>
      <c r="AC969" s="24"/>
      <c r="AD969" s="24"/>
    </row>
    <row r="970" spans="1:30" ht="12.75">
      <c r="A970" s="313"/>
      <c r="B970" s="313"/>
      <c r="C970" s="314"/>
      <c r="D970" s="311"/>
      <c r="E970" s="311"/>
      <c r="F970" s="311"/>
      <c r="G970" s="311"/>
      <c r="H970" s="311"/>
      <c r="I970" s="311"/>
      <c r="J970" s="311"/>
      <c r="K970" s="311"/>
      <c r="L970" s="311"/>
      <c r="M970" s="311"/>
      <c r="N970" s="311"/>
      <c r="O970" s="311"/>
      <c r="P970" s="311"/>
      <c r="Q970" s="311"/>
      <c r="R970" s="311"/>
      <c r="S970" s="311"/>
      <c r="T970" s="311"/>
      <c r="U970" s="311"/>
      <c r="V970" s="311"/>
      <c r="W970" s="311"/>
      <c r="X970" s="311"/>
      <c r="Y970" s="24"/>
      <c r="Z970" s="24"/>
      <c r="AA970" s="24"/>
      <c r="AB970" s="24"/>
      <c r="AC970" s="24"/>
      <c r="AD970" s="24"/>
    </row>
    <row r="971" spans="1:30" ht="12.75">
      <c r="A971" s="313"/>
      <c r="B971" s="313"/>
      <c r="C971" s="314"/>
      <c r="D971" s="311"/>
      <c r="E971" s="311"/>
      <c r="F971" s="311"/>
      <c r="G971" s="311"/>
      <c r="H971" s="311"/>
      <c r="I971" s="311"/>
      <c r="J971" s="311"/>
      <c r="K971" s="311"/>
      <c r="L971" s="311"/>
      <c r="M971" s="311"/>
      <c r="N971" s="311"/>
      <c r="O971" s="311"/>
      <c r="P971" s="311"/>
      <c r="Q971" s="311"/>
      <c r="R971" s="311"/>
      <c r="S971" s="311"/>
      <c r="T971" s="311"/>
      <c r="U971" s="311"/>
      <c r="V971" s="311"/>
      <c r="W971" s="311"/>
      <c r="X971" s="311"/>
      <c r="Y971" s="24"/>
      <c r="Z971" s="24"/>
      <c r="AA971" s="24"/>
      <c r="AB971" s="24"/>
      <c r="AC971" s="24"/>
      <c r="AD971" s="24"/>
    </row>
    <row r="972" spans="1:30" ht="12.75">
      <c r="A972" s="313"/>
      <c r="B972" s="313"/>
      <c r="C972" s="314"/>
      <c r="D972" s="311"/>
      <c r="E972" s="311"/>
      <c r="F972" s="311"/>
      <c r="G972" s="311"/>
      <c r="H972" s="311"/>
      <c r="I972" s="311"/>
      <c r="J972" s="311"/>
      <c r="K972" s="311"/>
      <c r="L972" s="311"/>
      <c r="M972" s="311"/>
      <c r="N972" s="311"/>
      <c r="O972" s="311"/>
      <c r="P972" s="311"/>
      <c r="Q972" s="311"/>
      <c r="R972" s="311"/>
      <c r="S972" s="311"/>
      <c r="T972" s="311"/>
      <c r="U972" s="311"/>
      <c r="V972" s="311"/>
      <c r="W972" s="311"/>
      <c r="X972" s="311"/>
      <c r="Y972" s="24"/>
      <c r="Z972" s="24"/>
      <c r="AA972" s="24"/>
      <c r="AB972" s="24"/>
      <c r="AC972" s="24"/>
      <c r="AD972" s="24"/>
    </row>
    <row r="973" spans="1:30" ht="12.75">
      <c r="A973" s="313"/>
      <c r="B973" s="313"/>
      <c r="C973" s="314"/>
      <c r="D973" s="311"/>
      <c r="E973" s="311"/>
      <c r="F973" s="311"/>
      <c r="G973" s="311"/>
      <c r="H973" s="311"/>
      <c r="I973" s="311"/>
      <c r="J973" s="311"/>
      <c r="K973" s="311"/>
      <c r="L973" s="311"/>
      <c r="M973" s="311"/>
      <c r="N973" s="311"/>
      <c r="O973" s="311"/>
      <c r="P973" s="311"/>
      <c r="Q973" s="311"/>
      <c r="R973" s="311"/>
      <c r="S973" s="311"/>
      <c r="T973" s="311"/>
      <c r="U973" s="311"/>
      <c r="V973" s="311"/>
      <c r="W973" s="311"/>
      <c r="X973" s="311"/>
      <c r="Y973" s="24"/>
      <c r="Z973" s="24"/>
      <c r="AA973" s="24"/>
      <c r="AB973" s="24"/>
      <c r="AC973" s="24"/>
      <c r="AD973" s="24"/>
    </row>
    <row r="974" spans="1:30" ht="12.75">
      <c r="A974" s="313"/>
      <c r="B974" s="313"/>
      <c r="C974" s="314"/>
      <c r="D974" s="311"/>
      <c r="E974" s="311"/>
      <c r="F974" s="311"/>
      <c r="G974" s="311"/>
      <c r="H974" s="311"/>
      <c r="I974" s="311"/>
      <c r="J974" s="311"/>
      <c r="K974" s="311"/>
      <c r="L974" s="311"/>
      <c r="M974" s="311"/>
      <c r="N974" s="311"/>
      <c r="O974" s="311"/>
      <c r="P974" s="311"/>
      <c r="Q974" s="311"/>
      <c r="R974" s="311"/>
      <c r="S974" s="311"/>
      <c r="T974" s="311"/>
      <c r="U974" s="311"/>
      <c r="V974" s="311"/>
      <c r="W974" s="311"/>
      <c r="X974" s="311"/>
      <c r="Y974" s="24"/>
      <c r="Z974" s="24"/>
      <c r="AA974" s="24"/>
      <c r="AB974" s="24"/>
      <c r="AC974" s="24"/>
      <c r="AD974" s="24"/>
    </row>
    <row r="975" spans="1:30" ht="12.75">
      <c r="A975" s="313"/>
      <c r="B975" s="313"/>
      <c r="C975" s="314"/>
      <c r="D975" s="311"/>
      <c r="E975" s="311"/>
      <c r="F975" s="311"/>
      <c r="G975" s="311"/>
      <c r="H975" s="311"/>
      <c r="I975" s="311"/>
      <c r="J975" s="311"/>
      <c r="K975" s="311"/>
      <c r="L975" s="311"/>
      <c r="M975" s="311"/>
      <c r="N975" s="311"/>
      <c r="O975" s="311"/>
      <c r="P975" s="311"/>
      <c r="Q975" s="311"/>
      <c r="R975" s="311"/>
      <c r="S975" s="311"/>
      <c r="T975" s="311"/>
      <c r="U975" s="311"/>
      <c r="V975" s="311"/>
      <c r="W975" s="311"/>
      <c r="X975" s="311"/>
      <c r="Y975" s="24"/>
      <c r="Z975" s="24"/>
      <c r="AA975" s="24"/>
      <c r="AB975" s="24"/>
      <c r="AC975" s="24"/>
      <c r="AD975" s="24"/>
    </row>
    <row r="976" spans="1:30" ht="12.75">
      <c r="A976" s="313"/>
      <c r="B976" s="313"/>
      <c r="C976" s="314"/>
      <c r="D976" s="311"/>
      <c r="E976" s="311"/>
      <c r="F976" s="311"/>
      <c r="G976" s="311"/>
      <c r="H976" s="311"/>
      <c r="I976" s="311"/>
      <c r="J976" s="311"/>
      <c r="K976" s="311"/>
      <c r="L976" s="311"/>
      <c r="M976" s="311"/>
      <c r="N976" s="311"/>
      <c r="O976" s="311"/>
      <c r="P976" s="311"/>
      <c r="Q976" s="311"/>
      <c r="R976" s="311"/>
      <c r="S976" s="311"/>
      <c r="T976" s="311"/>
      <c r="U976" s="311"/>
      <c r="V976" s="311"/>
      <c r="W976" s="311"/>
      <c r="X976" s="311"/>
      <c r="Y976" s="24"/>
      <c r="Z976" s="24"/>
      <c r="AA976" s="24"/>
      <c r="AB976" s="24"/>
      <c r="AC976" s="24"/>
      <c r="AD976" s="24"/>
    </row>
    <row r="977" spans="1:30" ht="12.75">
      <c r="A977" s="313"/>
      <c r="B977" s="313"/>
      <c r="C977" s="314"/>
      <c r="D977" s="311"/>
      <c r="E977" s="311"/>
      <c r="F977" s="311"/>
      <c r="G977" s="311"/>
      <c r="H977" s="311"/>
      <c r="I977" s="311"/>
      <c r="J977" s="311"/>
      <c r="K977" s="311"/>
      <c r="L977" s="311"/>
      <c r="M977" s="311"/>
      <c r="N977" s="311"/>
      <c r="O977" s="311"/>
      <c r="P977" s="311"/>
      <c r="Q977" s="311"/>
      <c r="R977" s="311"/>
      <c r="S977" s="311"/>
      <c r="T977" s="311"/>
      <c r="U977" s="311"/>
      <c r="V977" s="311"/>
      <c r="W977" s="311"/>
      <c r="X977" s="311"/>
      <c r="Y977" s="24"/>
      <c r="Z977" s="24"/>
      <c r="AA977" s="24"/>
      <c r="AB977" s="24"/>
      <c r="AC977" s="24"/>
      <c r="AD977" s="24"/>
    </row>
    <row r="978" spans="1:30" ht="12.75">
      <c r="A978" s="313"/>
      <c r="B978" s="313"/>
      <c r="C978" s="314"/>
      <c r="D978" s="311"/>
      <c r="E978" s="311"/>
      <c r="F978" s="311"/>
      <c r="G978" s="311"/>
      <c r="H978" s="311"/>
      <c r="I978" s="311"/>
      <c r="J978" s="311"/>
      <c r="K978" s="311"/>
      <c r="L978" s="311"/>
      <c r="M978" s="311"/>
      <c r="N978" s="311"/>
      <c r="O978" s="311"/>
      <c r="P978" s="311"/>
      <c r="Q978" s="311"/>
      <c r="R978" s="311"/>
      <c r="S978" s="311"/>
      <c r="T978" s="311"/>
      <c r="U978" s="311"/>
      <c r="V978" s="311"/>
      <c r="W978" s="311"/>
      <c r="X978" s="311"/>
      <c r="Y978" s="24"/>
      <c r="Z978" s="24"/>
      <c r="AA978" s="24"/>
      <c r="AB978" s="24"/>
      <c r="AC978" s="24"/>
      <c r="AD978" s="24"/>
    </row>
    <row r="979" spans="1:30" ht="12.75">
      <c r="A979" s="313"/>
      <c r="B979" s="313"/>
      <c r="C979" s="314"/>
      <c r="D979" s="311"/>
      <c r="E979" s="311"/>
      <c r="F979" s="311"/>
      <c r="G979" s="311"/>
      <c r="H979" s="311"/>
      <c r="I979" s="311"/>
      <c r="J979" s="311"/>
      <c r="K979" s="311"/>
      <c r="L979" s="311"/>
      <c r="M979" s="311"/>
      <c r="N979" s="311"/>
      <c r="O979" s="311"/>
      <c r="P979" s="311"/>
      <c r="Q979" s="311"/>
      <c r="R979" s="311"/>
      <c r="S979" s="311"/>
      <c r="T979" s="311"/>
      <c r="U979" s="311"/>
      <c r="V979" s="311"/>
      <c r="W979" s="311"/>
      <c r="X979" s="311"/>
      <c r="Y979" s="24"/>
      <c r="Z979" s="24"/>
      <c r="AA979" s="24"/>
      <c r="AB979" s="24"/>
      <c r="AC979" s="24"/>
      <c r="AD979" s="24"/>
    </row>
    <row r="980" spans="1:30" ht="12.75">
      <c r="A980" s="313"/>
      <c r="B980" s="313"/>
      <c r="C980" s="314"/>
      <c r="D980" s="311"/>
      <c r="E980" s="311"/>
      <c r="F980" s="311"/>
      <c r="G980" s="311"/>
      <c r="H980" s="311"/>
      <c r="I980" s="311"/>
      <c r="J980" s="311"/>
      <c r="K980" s="311"/>
      <c r="L980" s="311"/>
      <c r="M980" s="311"/>
      <c r="N980" s="311"/>
      <c r="O980" s="311"/>
      <c r="P980" s="311"/>
      <c r="Q980" s="311"/>
      <c r="R980" s="311"/>
      <c r="S980" s="311"/>
      <c r="T980" s="311"/>
      <c r="U980" s="311"/>
      <c r="V980" s="311"/>
      <c r="W980" s="311"/>
      <c r="X980" s="311"/>
      <c r="Y980" s="24"/>
      <c r="Z980" s="24"/>
      <c r="AA980" s="24"/>
      <c r="AB980" s="24"/>
      <c r="AC980" s="24"/>
      <c r="AD980" s="24"/>
    </row>
    <row r="981" spans="1:30" ht="12.75">
      <c r="A981" s="313"/>
      <c r="B981" s="313"/>
      <c r="C981" s="314"/>
      <c r="D981" s="311"/>
      <c r="E981" s="311"/>
      <c r="F981" s="311"/>
      <c r="G981" s="311"/>
      <c r="H981" s="311"/>
      <c r="I981" s="311"/>
      <c r="J981" s="311"/>
      <c r="K981" s="311"/>
      <c r="L981" s="311"/>
      <c r="M981" s="311"/>
      <c r="N981" s="311"/>
      <c r="O981" s="311"/>
      <c r="P981" s="311"/>
      <c r="Q981" s="311"/>
      <c r="R981" s="311"/>
      <c r="S981" s="311"/>
      <c r="T981" s="311"/>
      <c r="U981" s="311"/>
      <c r="V981" s="311"/>
      <c r="W981" s="311"/>
      <c r="X981" s="311"/>
      <c r="Y981" s="24"/>
      <c r="Z981" s="24"/>
      <c r="AA981" s="24"/>
      <c r="AB981" s="24"/>
      <c r="AC981" s="24"/>
      <c r="AD981" s="24"/>
    </row>
    <row r="982" spans="1:30" ht="12.75">
      <c r="A982" s="313"/>
      <c r="B982" s="313"/>
      <c r="C982" s="314"/>
      <c r="D982" s="311"/>
      <c r="E982" s="311"/>
      <c r="F982" s="311"/>
      <c r="G982" s="311"/>
      <c r="H982" s="311"/>
      <c r="I982" s="311"/>
      <c r="J982" s="311"/>
      <c r="K982" s="311"/>
      <c r="L982" s="311"/>
      <c r="M982" s="311"/>
      <c r="N982" s="311"/>
      <c r="O982" s="311"/>
      <c r="P982" s="311"/>
      <c r="Q982" s="311"/>
      <c r="R982" s="311"/>
      <c r="S982" s="311"/>
      <c r="T982" s="311"/>
      <c r="U982" s="311"/>
      <c r="V982" s="311"/>
      <c r="W982" s="311"/>
      <c r="X982" s="311"/>
      <c r="Y982" s="24"/>
      <c r="Z982" s="24"/>
      <c r="AA982" s="24"/>
      <c r="AB982" s="24"/>
      <c r="AC982" s="24"/>
      <c r="AD982" s="24"/>
    </row>
    <row r="983" spans="1:30" ht="12.75">
      <c r="A983" s="313"/>
      <c r="B983" s="313"/>
      <c r="C983" s="314"/>
      <c r="D983" s="311"/>
      <c r="E983" s="311"/>
      <c r="F983" s="311"/>
      <c r="G983" s="311"/>
      <c r="H983" s="311"/>
      <c r="I983" s="311"/>
      <c r="J983" s="311"/>
      <c r="K983" s="311"/>
      <c r="L983" s="311"/>
      <c r="M983" s="311"/>
      <c r="N983" s="311"/>
      <c r="O983" s="311"/>
      <c r="P983" s="311"/>
      <c r="Q983" s="311"/>
      <c r="R983" s="311"/>
      <c r="S983" s="311"/>
      <c r="T983" s="311"/>
      <c r="U983" s="311"/>
      <c r="V983" s="311"/>
      <c r="W983" s="311"/>
      <c r="X983" s="311"/>
      <c r="Y983" s="24"/>
      <c r="Z983" s="24"/>
      <c r="AA983" s="24"/>
      <c r="AB983" s="24"/>
      <c r="AC983" s="24"/>
      <c r="AD983" s="24"/>
    </row>
    <row r="984" spans="1:30" ht="12.75">
      <c r="A984" s="313"/>
      <c r="B984" s="313"/>
      <c r="C984" s="314"/>
      <c r="D984" s="311"/>
      <c r="E984" s="311"/>
      <c r="F984" s="311"/>
      <c r="G984" s="311"/>
      <c r="H984" s="311"/>
      <c r="I984" s="311"/>
      <c r="J984" s="311"/>
      <c r="K984" s="311"/>
      <c r="L984" s="311"/>
      <c r="M984" s="311"/>
      <c r="N984" s="311"/>
      <c r="O984" s="311"/>
      <c r="P984" s="311"/>
      <c r="Q984" s="311"/>
      <c r="R984" s="311"/>
      <c r="S984" s="311"/>
      <c r="T984" s="311"/>
      <c r="U984" s="311"/>
      <c r="V984" s="311"/>
      <c r="W984" s="311"/>
      <c r="X984" s="311"/>
      <c r="Y984" s="24"/>
      <c r="Z984" s="24"/>
      <c r="AA984" s="24"/>
      <c r="AB984" s="24"/>
      <c r="AC984" s="24"/>
      <c r="AD984" s="24"/>
    </row>
    <row r="985" spans="1:30" ht="12.75">
      <c r="A985" s="313"/>
      <c r="B985" s="313"/>
      <c r="C985" s="314"/>
      <c r="D985" s="311"/>
      <c r="E985" s="311"/>
      <c r="F985" s="311"/>
      <c r="G985" s="311"/>
      <c r="H985" s="311"/>
      <c r="I985" s="311"/>
      <c r="J985" s="311"/>
      <c r="K985" s="311"/>
      <c r="L985" s="311"/>
      <c r="M985" s="311"/>
      <c r="N985" s="311"/>
      <c r="O985" s="311"/>
      <c r="P985" s="311"/>
      <c r="Q985" s="311"/>
      <c r="R985" s="311"/>
      <c r="S985" s="311"/>
      <c r="T985" s="311"/>
      <c r="U985" s="311"/>
      <c r="V985" s="311"/>
      <c r="W985" s="311"/>
      <c r="X985" s="311"/>
      <c r="Y985" s="24"/>
      <c r="Z985" s="24"/>
      <c r="AA985" s="24"/>
      <c r="AB985" s="24"/>
      <c r="AC985" s="24"/>
      <c r="AD985" s="24"/>
    </row>
    <row r="986" spans="1:30" ht="12.75">
      <c r="A986" s="313"/>
      <c r="B986" s="313"/>
      <c r="C986" s="314"/>
      <c r="D986" s="311"/>
      <c r="E986" s="311"/>
      <c r="F986" s="311"/>
      <c r="G986" s="311"/>
      <c r="H986" s="311"/>
      <c r="I986" s="311"/>
      <c r="J986" s="311"/>
      <c r="K986" s="311"/>
      <c r="L986" s="311"/>
      <c r="M986" s="311"/>
      <c r="N986" s="311"/>
      <c r="O986" s="311"/>
      <c r="P986" s="311"/>
      <c r="Q986" s="311"/>
      <c r="R986" s="311"/>
      <c r="S986" s="311"/>
      <c r="T986" s="311"/>
      <c r="U986" s="311"/>
      <c r="V986" s="311"/>
      <c r="W986" s="311"/>
      <c r="X986" s="311"/>
      <c r="Y986" s="24"/>
      <c r="Z986" s="24"/>
      <c r="AA986" s="24"/>
      <c r="AB986" s="24"/>
      <c r="AC986" s="24"/>
      <c r="AD986" s="24"/>
    </row>
    <row r="987" spans="1:30" ht="12.75">
      <c r="A987" s="313"/>
      <c r="B987" s="313"/>
      <c r="C987" s="314"/>
      <c r="D987" s="311"/>
      <c r="E987" s="311"/>
      <c r="F987" s="311"/>
      <c r="G987" s="311"/>
      <c r="H987" s="311"/>
      <c r="I987" s="311"/>
      <c r="J987" s="311"/>
      <c r="K987" s="311"/>
      <c r="L987" s="311"/>
      <c r="M987" s="311"/>
      <c r="N987" s="311"/>
      <c r="O987" s="311"/>
      <c r="P987" s="311"/>
      <c r="Q987" s="311"/>
      <c r="R987" s="311"/>
      <c r="S987" s="311"/>
      <c r="T987" s="311"/>
      <c r="U987" s="311"/>
      <c r="V987" s="311"/>
      <c r="W987" s="311"/>
      <c r="X987" s="311"/>
      <c r="Y987" s="24"/>
      <c r="Z987" s="24"/>
      <c r="AA987" s="24"/>
      <c r="AB987" s="24"/>
      <c r="AC987" s="24"/>
      <c r="AD987" s="24"/>
    </row>
    <row r="988" spans="1:30" ht="12.75">
      <c r="A988" s="313"/>
      <c r="B988" s="313"/>
      <c r="C988" s="314"/>
      <c r="D988" s="311"/>
      <c r="E988" s="311"/>
      <c r="F988" s="311"/>
      <c r="G988" s="311"/>
      <c r="H988" s="311"/>
      <c r="I988" s="311"/>
      <c r="J988" s="311"/>
      <c r="K988" s="311"/>
      <c r="L988" s="311"/>
      <c r="M988" s="311"/>
      <c r="N988" s="311"/>
      <c r="O988" s="311"/>
      <c r="P988" s="311"/>
      <c r="Q988" s="311"/>
      <c r="R988" s="311"/>
      <c r="S988" s="311"/>
      <c r="T988" s="311"/>
      <c r="U988" s="311"/>
      <c r="V988" s="311"/>
      <c r="W988" s="311"/>
      <c r="X988" s="311"/>
      <c r="Y988" s="24"/>
      <c r="Z988" s="24"/>
      <c r="AA988" s="24"/>
      <c r="AB988" s="24"/>
      <c r="AC988" s="24"/>
      <c r="AD988" s="24"/>
    </row>
    <row r="989" spans="1:30" ht="12.75">
      <c r="A989" s="313"/>
      <c r="B989" s="313"/>
      <c r="C989" s="314"/>
      <c r="D989" s="311"/>
      <c r="E989" s="311"/>
      <c r="F989" s="311"/>
      <c r="G989" s="311"/>
      <c r="H989" s="311"/>
      <c r="I989" s="311"/>
      <c r="J989" s="311"/>
      <c r="K989" s="311"/>
      <c r="L989" s="311"/>
      <c r="M989" s="311"/>
      <c r="N989" s="311"/>
      <c r="O989" s="311"/>
      <c r="P989" s="311"/>
      <c r="Q989" s="311"/>
      <c r="R989" s="311"/>
      <c r="S989" s="311"/>
      <c r="T989" s="311"/>
      <c r="U989" s="311"/>
      <c r="V989" s="311"/>
      <c r="W989" s="311"/>
      <c r="X989" s="311"/>
      <c r="Y989" s="24"/>
      <c r="Z989" s="24"/>
      <c r="AA989" s="24"/>
      <c r="AB989" s="24"/>
      <c r="AC989" s="24"/>
      <c r="AD989" s="24"/>
    </row>
    <row r="990" spans="1:30" ht="12.75">
      <c r="A990" s="313"/>
      <c r="B990" s="313"/>
      <c r="C990" s="314"/>
      <c r="D990" s="311"/>
      <c r="E990" s="311"/>
      <c r="F990" s="311"/>
      <c r="G990" s="311"/>
      <c r="H990" s="311"/>
      <c r="I990" s="311"/>
      <c r="J990" s="311"/>
      <c r="K990" s="311"/>
      <c r="L990" s="311"/>
      <c r="M990" s="311"/>
      <c r="N990" s="311"/>
      <c r="O990" s="311"/>
      <c r="P990" s="311"/>
      <c r="Q990" s="311"/>
      <c r="R990" s="311"/>
      <c r="S990" s="311"/>
      <c r="T990" s="311"/>
      <c r="U990" s="311"/>
      <c r="V990" s="311"/>
      <c r="W990" s="311"/>
      <c r="X990" s="311"/>
      <c r="Y990" s="24"/>
      <c r="Z990" s="24"/>
      <c r="AA990" s="24"/>
      <c r="AB990" s="24"/>
      <c r="AC990" s="24"/>
      <c r="AD990" s="24"/>
    </row>
    <row r="991" spans="1:30" ht="12.75">
      <c r="A991" s="313"/>
      <c r="B991" s="313"/>
      <c r="C991" s="314"/>
      <c r="D991" s="311"/>
      <c r="E991" s="311"/>
      <c r="F991" s="311"/>
      <c r="G991" s="311"/>
      <c r="H991" s="311"/>
      <c r="I991" s="311"/>
      <c r="J991" s="311"/>
      <c r="K991" s="311"/>
      <c r="L991" s="311"/>
      <c r="M991" s="311"/>
      <c r="N991" s="311"/>
      <c r="O991" s="311"/>
      <c r="P991" s="311"/>
      <c r="Q991" s="311"/>
      <c r="R991" s="311"/>
      <c r="S991" s="311"/>
      <c r="T991" s="311"/>
      <c r="U991" s="311"/>
      <c r="V991" s="311"/>
      <c r="W991" s="311"/>
      <c r="X991" s="311"/>
      <c r="Y991" s="24"/>
      <c r="Z991" s="24"/>
      <c r="AA991" s="24"/>
      <c r="AB991" s="24"/>
      <c r="AC991" s="24"/>
      <c r="AD991" s="24"/>
    </row>
    <row r="992" spans="1:30" ht="12.75">
      <c r="A992" s="313"/>
      <c r="B992" s="313"/>
      <c r="C992" s="314"/>
      <c r="D992" s="311"/>
      <c r="E992" s="311"/>
      <c r="F992" s="311"/>
      <c r="G992" s="311"/>
      <c r="H992" s="311"/>
      <c r="I992" s="311"/>
      <c r="J992" s="311"/>
      <c r="K992" s="311"/>
      <c r="L992" s="311"/>
      <c r="M992" s="311"/>
      <c r="N992" s="311"/>
      <c r="O992" s="311"/>
      <c r="P992" s="311"/>
      <c r="Q992" s="311"/>
      <c r="R992" s="311"/>
      <c r="S992" s="311"/>
      <c r="T992" s="311"/>
      <c r="U992" s="311"/>
      <c r="V992" s="311"/>
      <c r="W992" s="311"/>
      <c r="X992" s="311"/>
      <c r="Y992" s="24"/>
      <c r="Z992" s="24"/>
      <c r="AA992" s="24"/>
      <c r="AB992" s="24"/>
      <c r="AC992" s="24"/>
      <c r="AD992" s="24"/>
    </row>
    <row r="993" spans="1:30" ht="12.75">
      <c r="A993" s="313"/>
      <c r="B993" s="313"/>
      <c r="C993" s="314"/>
      <c r="D993" s="311"/>
      <c r="E993" s="311"/>
      <c r="F993" s="311"/>
      <c r="G993" s="311"/>
      <c r="H993" s="311"/>
      <c r="I993" s="311"/>
      <c r="J993" s="311"/>
      <c r="K993" s="311"/>
      <c r="L993" s="311"/>
      <c r="M993" s="311"/>
      <c r="N993" s="311"/>
      <c r="O993" s="311"/>
      <c r="P993" s="311"/>
      <c r="Q993" s="311"/>
      <c r="R993" s="311"/>
      <c r="S993" s="311"/>
      <c r="T993" s="311"/>
      <c r="U993" s="311"/>
      <c r="V993" s="311"/>
      <c r="W993" s="311"/>
      <c r="X993" s="311"/>
      <c r="Y993" s="24"/>
      <c r="Z993" s="24"/>
      <c r="AA993" s="24"/>
      <c r="AB993" s="24"/>
      <c r="AC993" s="24"/>
      <c r="AD993" s="24"/>
    </row>
    <row r="994" spans="1:30" ht="12.75">
      <c r="A994" s="313"/>
      <c r="B994" s="313"/>
      <c r="C994" s="314"/>
      <c r="D994" s="311"/>
      <c r="E994" s="311"/>
      <c r="F994" s="311"/>
      <c r="G994" s="311"/>
      <c r="H994" s="311"/>
      <c r="I994" s="311"/>
      <c r="J994" s="311"/>
      <c r="K994" s="311"/>
      <c r="L994" s="311"/>
      <c r="M994" s="311"/>
      <c r="N994" s="311"/>
      <c r="O994" s="311"/>
      <c r="P994" s="311"/>
      <c r="Q994" s="311"/>
      <c r="R994" s="311"/>
      <c r="S994" s="311"/>
      <c r="T994" s="311"/>
      <c r="U994" s="311"/>
      <c r="V994" s="311"/>
      <c r="W994" s="311"/>
      <c r="X994" s="311"/>
      <c r="Y994" s="24"/>
      <c r="Z994" s="24"/>
      <c r="AA994" s="24"/>
      <c r="AB994" s="24"/>
      <c r="AC994" s="24"/>
      <c r="AD994" s="24"/>
    </row>
    <row r="995" spans="1:30" ht="12.75">
      <c r="A995" s="313"/>
      <c r="B995" s="313"/>
      <c r="C995" s="314"/>
      <c r="D995" s="311"/>
      <c r="E995" s="311"/>
      <c r="F995" s="311"/>
      <c r="G995" s="311"/>
      <c r="H995" s="311"/>
      <c r="I995" s="311"/>
      <c r="J995" s="311"/>
      <c r="K995" s="311"/>
      <c r="L995" s="311"/>
      <c r="M995" s="311"/>
      <c r="N995" s="311"/>
      <c r="O995" s="311"/>
      <c r="P995" s="311"/>
      <c r="Q995" s="311"/>
      <c r="R995" s="311"/>
      <c r="S995" s="311"/>
      <c r="T995" s="311"/>
      <c r="U995" s="311"/>
      <c r="V995" s="311"/>
      <c r="W995" s="311"/>
      <c r="X995" s="311"/>
      <c r="Y995" s="24"/>
      <c r="Z995" s="24"/>
      <c r="AA995" s="24"/>
      <c r="AB995" s="24"/>
      <c r="AC995" s="24"/>
      <c r="AD995" s="24"/>
    </row>
    <row r="996" spans="1:30" ht="12.75">
      <c r="A996" s="313"/>
      <c r="B996" s="313"/>
      <c r="C996" s="314"/>
      <c r="D996" s="311"/>
      <c r="E996" s="311"/>
      <c r="F996" s="311"/>
      <c r="G996" s="311"/>
      <c r="H996" s="311"/>
      <c r="I996" s="311"/>
      <c r="J996" s="311"/>
      <c r="K996" s="311"/>
      <c r="L996" s="311"/>
      <c r="M996" s="311"/>
      <c r="N996" s="311"/>
      <c r="O996" s="311"/>
      <c r="P996" s="311"/>
      <c r="Q996" s="311"/>
      <c r="R996" s="311"/>
      <c r="S996" s="311"/>
      <c r="T996" s="311"/>
      <c r="U996" s="311"/>
      <c r="V996" s="311"/>
      <c r="W996" s="311"/>
      <c r="X996" s="311"/>
      <c r="Y996" s="24"/>
      <c r="Z996" s="24"/>
      <c r="AA996" s="24"/>
      <c r="AB996" s="24"/>
      <c r="AC996" s="24"/>
      <c r="AD996" s="24"/>
    </row>
    <row r="997" spans="1:30" ht="12.75">
      <c r="A997" s="313"/>
      <c r="B997" s="313"/>
      <c r="C997" s="314"/>
      <c r="D997" s="311"/>
      <c r="E997" s="311"/>
      <c r="F997" s="311"/>
      <c r="G997" s="311"/>
      <c r="H997" s="311"/>
      <c r="I997" s="311"/>
      <c r="J997" s="311"/>
      <c r="K997" s="311"/>
      <c r="L997" s="311"/>
      <c r="M997" s="311"/>
      <c r="N997" s="311"/>
      <c r="O997" s="311"/>
      <c r="P997" s="311"/>
      <c r="Q997" s="311"/>
      <c r="R997" s="311"/>
      <c r="S997" s="311"/>
      <c r="T997" s="311"/>
      <c r="U997" s="311"/>
      <c r="V997" s="311"/>
      <c r="W997" s="311"/>
      <c r="X997" s="311"/>
      <c r="Y997" s="24"/>
      <c r="Z997" s="24"/>
      <c r="AA997" s="24"/>
      <c r="AB997" s="24"/>
      <c r="AC997" s="24"/>
      <c r="AD997" s="24"/>
    </row>
    <row r="998" spans="1:30" ht="12.75">
      <c r="A998" s="313"/>
      <c r="B998" s="313"/>
      <c r="C998" s="314"/>
      <c r="D998" s="311"/>
      <c r="E998" s="311"/>
      <c r="F998" s="311"/>
      <c r="G998" s="311"/>
      <c r="H998" s="311"/>
      <c r="I998" s="311"/>
      <c r="J998" s="311"/>
      <c r="K998" s="311"/>
      <c r="L998" s="311"/>
      <c r="M998" s="311"/>
      <c r="N998" s="311"/>
      <c r="O998" s="311"/>
      <c r="P998" s="311"/>
      <c r="Q998" s="311"/>
      <c r="R998" s="311"/>
      <c r="S998" s="311"/>
      <c r="T998" s="311"/>
      <c r="U998" s="311"/>
      <c r="V998" s="311"/>
      <c r="W998" s="311"/>
      <c r="X998" s="311"/>
      <c r="Y998" s="24"/>
      <c r="Z998" s="24"/>
      <c r="AA998" s="24"/>
      <c r="AB998" s="24"/>
      <c r="AC998" s="24"/>
      <c r="AD998" s="24"/>
    </row>
    <row r="999" spans="1:30" ht="12.75">
      <c r="A999" s="313"/>
      <c r="B999" s="313"/>
      <c r="C999" s="314"/>
      <c r="D999" s="311"/>
      <c r="E999" s="311"/>
      <c r="F999" s="311"/>
      <c r="G999" s="311"/>
      <c r="H999" s="311"/>
      <c r="I999" s="311"/>
      <c r="J999" s="311"/>
      <c r="K999" s="311"/>
      <c r="L999" s="311"/>
      <c r="M999" s="311"/>
      <c r="N999" s="311"/>
      <c r="O999" s="311"/>
      <c r="P999" s="311"/>
      <c r="Q999" s="311"/>
      <c r="R999" s="311"/>
      <c r="S999" s="311"/>
      <c r="T999" s="311"/>
      <c r="U999" s="311"/>
      <c r="V999" s="311"/>
      <c r="W999" s="311"/>
      <c r="X999" s="311"/>
      <c r="Y999" s="24"/>
      <c r="Z999" s="24"/>
      <c r="AA999" s="24"/>
      <c r="AB999" s="24"/>
      <c r="AC999" s="24"/>
      <c r="AD999" s="24"/>
    </row>
    <row r="1000" spans="1:30" ht="12.75">
      <c r="A1000" s="313"/>
      <c r="B1000" s="313"/>
      <c r="C1000" s="314"/>
      <c r="D1000" s="311"/>
      <c r="E1000" s="311"/>
      <c r="F1000" s="311"/>
      <c r="G1000" s="311"/>
      <c r="H1000" s="311"/>
      <c r="I1000" s="311"/>
      <c r="J1000" s="311"/>
      <c r="K1000" s="311"/>
      <c r="L1000" s="311"/>
      <c r="M1000" s="311"/>
      <c r="N1000" s="311"/>
      <c r="O1000" s="311"/>
      <c r="P1000" s="311"/>
      <c r="Q1000" s="311"/>
      <c r="R1000" s="311"/>
      <c r="S1000" s="311"/>
      <c r="T1000" s="311"/>
      <c r="U1000" s="311"/>
      <c r="V1000" s="311"/>
      <c r="W1000" s="311"/>
      <c r="X1000" s="311"/>
      <c r="Y1000" s="24"/>
      <c r="Z1000" s="24"/>
      <c r="AA1000" s="24"/>
      <c r="AB1000" s="24"/>
      <c r="AC1000" s="24"/>
      <c r="AD1000" s="24"/>
    </row>
    <row r="1001" spans="1:30" ht="12.75">
      <c r="A1001" s="313"/>
      <c r="B1001" s="313"/>
      <c r="C1001" s="314"/>
      <c r="D1001" s="311"/>
      <c r="E1001" s="311"/>
      <c r="F1001" s="311"/>
      <c r="G1001" s="311"/>
      <c r="H1001" s="311"/>
      <c r="I1001" s="311"/>
      <c r="J1001" s="311"/>
      <c r="K1001" s="311"/>
      <c r="L1001" s="311"/>
      <c r="M1001" s="311"/>
      <c r="N1001" s="311"/>
      <c r="O1001" s="311"/>
      <c r="P1001" s="311"/>
      <c r="Q1001" s="311"/>
      <c r="R1001" s="311"/>
      <c r="S1001" s="311"/>
      <c r="T1001" s="311"/>
      <c r="U1001" s="311"/>
      <c r="V1001" s="311"/>
      <c r="W1001" s="311"/>
      <c r="X1001" s="311"/>
      <c r="Y1001" s="24"/>
      <c r="Z1001" s="24"/>
      <c r="AA1001" s="24"/>
      <c r="AB1001" s="24"/>
      <c r="AC1001" s="24"/>
      <c r="AD1001" s="24"/>
    </row>
    <row r="1002" spans="1:30" ht="12.75">
      <c r="A1002" s="313"/>
      <c r="B1002" s="313"/>
      <c r="C1002" s="314"/>
      <c r="D1002" s="311"/>
      <c r="E1002" s="311"/>
      <c r="F1002" s="311"/>
      <c r="G1002" s="311"/>
      <c r="H1002" s="311"/>
      <c r="I1002" s="311"/>
      <c r="J1002" s="311"/>
      <c r="K1002" s="311"/>
      <c r="L1002" s="311"/>
      <c r="M1002" s="311"/>
      <c r="N1002" s="311"/>
      <c r="O1002" s="311"/>
      <c r="P1002" s="311"/>
      <c r="Q1002" s="311"/>
      <c r="R1002" s="311"/>
      <c r="S1002" s="311"/>
      <c r="T1002" s="311"/>
      <c r="U1002" s="311"/>
      <c r="V1002" s="311"/>
      <c r="W1002" s="311"/>
      <c r="X1002" s="311"/>
      <c r="Y1002" s="24"/>
      <c r="Z1002" s="24"/>
      <c r="AA1002" s="24"/>
      <c r="AB1002" s="24"/>
      <c r="AC1002" s="24"/>
      <c r="AD1002" s="24"/>
    </row>
    <row r="1003" spans="1:30" ht="12.75">
      <c r="A1003" s="313"/>
      <c r="B1003" s="313"/>
      <c r="C1003" s="314"/>
      <c r="D1003" s="311"/>
      <c r="E1003" s="311"/>
      <c r="F1003" s="311"/>
      <c r="G1003" s="311"/>
      <c r="H1003" s="311"/>
      <c r="I1003" s="311"/>
      <c r="J1003" s="311"/>
      <c r="K1003" s="311"/>
      <c r="L1003" s="311"/>
      <c r="M1003" s="311"/>
      <c r="N1003" s="311"/>
      <c r="O1003" s="311"/>
      <c r="P1003" s="311"/>
      <c r="Q1003" s="311"/>
      <c r="R1003" s="311"/>
      <c r="S1003" s="311"/>
      <c r="T1003" s="311"/>
      <c r="U1003" s="311"/>
      <c r="V1003" s="311"/>
      <c r="W1003" s="311"/>
      <c r="X1003" s="311"/>
      <c r="Y1003" s="24"/>
      <c r="Z1003" s="24"/>
      <c r="AA1003" s="24"/>
      <c r="AB1003" s="24"/>
      <c r="AC1003" s="24"/>
      <c r="AD1003" s="24"/>
    </row>
    <row r="1004" spans="1:30" ht="12.75">
      <c r="A1004" s="313"/>
      <c r="B1004" s="313"/>
      <c r="C1004" s="314"/>
      <c r="D1004" s="311"/>
      <c r="E1004" s="311"/>
      <c r="F1004" s="311"/>
      <c r="G1004" s="311"/>
      <c r="H1004" s="311"/>
      <c r="I1004" s="311"/>
      <c r="J1004" s="311"/>
      <c r="K1004" s="311"/>
      <c r="L1004" s="311"/>
      <c r="M1004" s="311"/>
      <c r="N1004" s="311"/>
      <c r="O1004" s="311"/>
      <c r="P1004" s="311"/>
      <c r="Q1004" s="311"/>
      <c r="R1004" s="311"/>
      <c r="S1004" s="311"/>
      <c r="T1004" s="311"/>
      <c r="U1004" s="311"/>
      <c r="V1004" s="311"/>
      <c r="W1004" s="311"/>
      <c r="X1004" s="311"/>
      <c r="Y1004" s="24"/>
      <c r="Z1004" s="24"/>
      <c r="AA1004" s="24"/>
      <c r="AB1004" s="24"/>
      <c r="AC1004" s="24"/>
      <c r="AD1004" s="24"/>
    </row>
    <row r="1005" spans="1:30" ht="12.75">
      <c r="A1005" s="313"/>
      <c r="B1005" s="313"/>
      <c r="C1005" s="314"/>
      <c r="D1005" s="311"/>
      <c r="E1005" s="311"/>
      <c r="F1005" s="311"/>
      <c r="G1005" s="311"/>
      <c r="H1005" s="311"/>
      <c r="I1005" s="311"/>
      <c r="J1005" s="311"/>
      <c r="K1005" s="311"/>
      <c r="L1005" s="311"/>
      <c r="M1005" s="311"/>
      <c r="N1005" s="311"/>
      <c r="O1005" s="311"/>
      <c r="P1005" s="311"/>
      <c r="Q1005" s="311"/>
      <c r="R1005" s="311"/>
      <c r="S1005" s="311"/>
      <c r="T1005" s="311"/>
      <c r="U1005" s="311"/>
      <c r="V1005" s="311"/>
      <c r="W1005" s="311"/>
      <c r="X1005" s="311"/>
      <c r="Y1005" s="24"/>
      <c r="Z1005" s="24"/>
      <c r="AA1005" s="24"/>
      <c r="AB1005" s="24"/>
      <c r="AC1005" s="24"/>
      <c r="AD1005" s="24"/>
    </row>
    <row r="1006" spans="1:30" ht="12.75">
      <c r="A1006" s="313"/>
      <c r="B1006" s="313"/>
      <c r="C1006" s="314"/>
      <c r="D1006" s="311"/>
      <c r="E1006" s="311"/>
      <c r="F1006" s="311"/>
      <c r="G1006" s="311"/>
      <c r="H1006" s="311"/>
      <c r="I1006" s="311"/>
      <c r="J1006" s="311"/>
      <c r="K1006" s="311"/>
      <c r="L1006" s="311"/>
      <c r="M1006" s="311"/>
      <c r="N1006" s="311"/>
      <c r="O1006" s="311"/>
      <c r="P1006" s="311"/>
      <c r="Q1006" s="311"/>
      <c r="R1006" s="311"/>
      <c r="S1006" s="311"/>
      <c r="T1006" s="311"/>
      <c r="U1006" s="311"/>
      <c r="V1006" s="311"/>
      <c r="W1006" s="311"/>
      <c r="X1006" s="311"/>
      <c r="Y1006" s="24"/>
      <c r="Z1006" s="24"/>
      <c r="AA1006" s="24"/>
      <c r="AB1006" s="24"/>
      <c r="AC1006" s="24"/>
      <c r="AD1006" s="24"/>
    </row>
    <row r="1007" spans="1:30" ht="12.75">
      <c r="A1007" s="313"/>
      <c r="B1007" s="313"/>
      <c r="C1007" s="314"/>
      <c r="D1007" s="311"/>
      <c r="E1007" s="311"/>
      <c r="F1007" s="311"/>
      <c r="G1007" s="311"/>
      <c r="H1007" s="311"/>
      <c r="I1007" s="311"/>
      <c r="J1007" s="311"/>
      <c r="K1007" s="311"/>
      <c r="L1007" s="311"/>
      <c r="M1007" s="311"/>
      <c r="N1007" s="311"/>
      <c r="O1007" s="311"/>
      <c r="P1007" s="311"/>
      <c r="Q1007" s="311"/>
      <c r="R1007" s="311"/>
      <c r="S1007" s="311"/>
      <c r="T1007" s="311"/>
      <c r="U1007" s="311"/>
      <c r="V1007" s="311"/>
      <c r="W1007" s="311"/>
      <c r="X1007" s="311"/>
      <c r="Y1007" s="24"/>
      <c r="Z1007" s="24"/>
      <c r="AA1007" s="24"/>
      <c r="AB1007" s="24"/>
      <c r="AC1007" s="24"/>
      <c r="AD1007" s="24"/>
    </row>
    <row r="1008" spans="1:30" ht="12.75">
      <c r="A1008" s="313"/>
      <c r="B1008" s="313"/>
      <c r="C1008" s="314"/>
      <c r="D1008" s="311"/>
      <c r="E1008" s="311"/>
      <c r="F1008" s="311"/>
      <c r="G1008" s="311"/>
      <c r="H1008" s="311"/>
      <c r="I1008" s="311"/>
      <c r="J1008" s="311"/>
      <c r="K1008" s="311"/>
      <c r="L1008" s="311"/>
      <c r="M1008" s="311"/>
      <c r="N1008" s="311"/>
      <c r="O1008" s="311"/>
      <c r="P1008" s="311"/>
      <c r="Q1008" s="311"/>
      <c r="R1008" s="311"/>
      <c r="S1008" s="311"/>
      <c r="T1008" s="311"/>
      <c r="U1008" s="311"/>
      <c r="V1008" s="311"/>
      <c r="W1008" s="311"/>
      <c r="X1008" s="311"/>
      <c r="Y1008" s="24"/>
      <c r="Z1008" s="24"/>
      <c r="AA1008" s="24"/>
      <c r="AB1008" s="24"/>
      <c r="AC1008" s="24"/>
      <c r="AD1008" s="24"/>
    </row>
    <row r="1009" spans="1:30" ht="12.75">
      <c r="A1009" s="313"/>
      <c r="B1009" s="313"/>
      <c r="C1009" s="314"/>
      <c r="D1009" s="311"/>
      <c r="E1009" s="311"/>
      <c r="F1009" s="311"/>
      <c r="G1009" s="311"/>
      <c r="H1009" s="311"/>
      <c r="I1009" s="311"/>
      <c r="J1009" s="311"/>
      <c r="K1009" s="311"/>
      <c r="L1009" s="311"/>
      <c r="M1009" s="311"/>
      <c r="N1009" s="311"/>
      <c r="O1009" s="311"/>
      <c r="P1009" s="311"/>
      <c r="Q1009" s="311"/>
      <c r="R1009" s="311"/>
      <c r="S1009" s="311"/>
      <c r="T1009" s="311"/>
      <c r="U1009" s="311"/>
      <c r="V1009" s="311"/>
      <c r="W1009" s="311"/>
      <c r="X1009" s="311"/>
      <c r="Y1009" s="24"/>
      <c r="Z1009" s="24"/>
      <c r="AA1009" s="24"/>
      <c r="AB1009" s="24"/>
      <c r="AC1009" s="24"/>
      <c r="AD1009" s="24"/>
    </row>
    <row r="1010" spans="1:30" ht="12.75">
      <c r="A1010" s="313"/>
      <c r="B1010" s="313"/>
      <c r="C1010" s="314"/>
      <c r="D1010" s="311"/>
      <c r="E1010" s="311"/>
      <c r="F1010" s="311"/>
      <c r="G1010" s="311"/>
      <c r="H1010" s="311"/>
      <c r="I1010" s="311"/>
      <c r="J1010" s="311"/>
      <c r="K1010" s="311"/>
      <c r="L1010" s="311"/>
      <c r="M1010" s="311"/>
      <c r="N1010" s="311"/>
      <c r="O1010" s="311"/>
      <c r="P1010" s="311"/>
      <c r="Q1010" s="311"/>
      <c r="R1010" s="311"/>
      <c r="S1010" s="311"/>
      <c r="T1010" s="311"/>
      <c r="U1010" s="311"/>
      <c r="V1010" s="311"/>
      <c r="W1010" s="311"/>
      <c r="X1010" s="311"/>
      <c r="Y1010" s="24"/>
      <c r="Z1010" s="24"/>
      <c r="AA1010" s="24"/>
      <c r="AB1010" s="24"/>
      <c r="AC1010" s="24"/>
      <c r="AD1010" s="24"/>
    </row>
    <row r="1011" spans="1:30" ht="12.75">
      <c r="A1011" s="313"/>
      <c r="B1011" s="313"/>
      <c r="C1011" s="314"/>
      <c r="D1011" s="311"/>
      <c r="E1011" s="311"/>
      <c r="F1011" s="311"/>
      <c r="G1011" s="311"/>
      <c r="H1011" s="311"/>
      <c r="I1011" s="311"/>
      <c r="J1011" s="311"/>
      <c r="K1011" s="311"/>
      <c r="L1011" s="311"/>
      <c r="M1011" s="311"/>
      <c r="N1011" s="311"/>
      <c r="O1011" s="311"/>
      <c r="P1011" s="311"/>
      <c r="Q1011" s="311"/>
      <c r="R1011" s="311"/>
      <c r="S1011" s="311"/>
      <c r="T1011" s="311"/>
      <c r="U1011" s="311"/>
      <c r="V1011" s="311"/>
      <c r="W1011" s="311"/>
      <c r="X1011" s="311"/>
      <c r="Y1011" s="24"/>
      <c r="Z1011" s="24"/>
      <c r="AA1011" s="24"/>
      <c r="AB1011" s="24"/>
      <c r="AC1011" s="24"/>
      <c r="AD1011" s="24"/>
    </row>
    <row r="1012" spans="1:30" ht="12.75">
      <c r="A1012" s="313"/>
      <c r="B1012" s="313"/>
      <c r="C1012" s="314"/>
      <c r="D1012" s="311"/>
      <c r="E1012" s="311"/>
      <c r="F1012" s="311"/>
      <c r="G1012" s="311"/>
      <c r="H1012" s="311"/>
      <c r="I1012" s="311"/>
      <c r="J1012" s="311"/>
      <c r="K1012" s="311"/>
      <c r="L1012" s="311"/>
      <c r="M1012" s="311"/>
      <c r="N1012" s="311"/>
      <c r="O1012" s="311"/>
      <c r="P1012" s="311"/>
      <c r="Q1012" s="311"/>
      <c r="R1012" s="311"/>
      <c r="S1012" s="311"/>
      <c r="T1012" s="311"/>
      <c r="U1012" s="311"/>
      <c r="V1012" s="311"/>
      <c r="W1012" s="311"/>
      <c r="X1012" s="311"/>
      <c r="Y1012" s="24"/>
      <c r="Z1012" s="24"/>
      <c r="AA1012" s="24"/>
      <c r="AB1012" s="24"/>
      <c r="AC1012" s="24"/>
      <c r="AD1012" s="24"/>
    </row>
    <row r="1013" spans="1:30" ht="12.75">
      <c r="A1013" s="313"/>
      <c r="B1013" s="313"/>
      <c r="C1013" s="314"/>
      <c r="D1013" s="311"/>
      <c r="E1013" s="311"/>
      <c r="F1013" s="311"/>
      <c r="G1013" s="311"/>
      <c r="H1013" s="311"/>
      <c r="I1013" s="311"/>
      <c r="J1013" s="311"/>
      <c r="K1013" s="311"/>
      <c r="L1013" s="311"/>
      <c r="M1013" s="311"/>
      <c r="N1013" s="311"/>
      <c r="O1013" s="311"/>
      <c r="P1013" s="311"/>
      <c r="Q1013" s="311"/>
      <c r="R1013" s="311"/>
      <c r="S1013" s="311"/>
      <c r="T1013" s="311"/>
      <c r="U1013" s="311"/>
      <c r="V1013" s="311"/>
      <c r="W1013" s="311"/>
      <c r="X1013" s="311"/>
      <c r="Y1013" s="24"/>
      <c r="Z1013" s="24"/>
      <c r="AA1013" s="24"/>
      <c r="AB1013" s="24"/>
      <c r="AC1013" s="24"/>
      <c r="AD1013" s="24"/>
    </row>
    <row r="1014" spans="1:30" ht="12.75">
      <c r="A1014" s="313"/>
      <c r="B1014" s="313"/>
      <c r="C1014" s="314"/>
      <c r="D1014" s="311"/>
      <c r="E1014" s="311"/>
      <c r="F1014" s="311"/>
      <c r="G1014" s="311"/>
      <c r="H1014" s="311"/>
      <c r="I1014" s="311"/>
      <c r="J1014" s="311"/>
      <c r="K1014" s="311"/>
      <c r="L1014" s="311"/>
      <c r="M1014" s="311"/>
      <c r="N1014" s="311"/>
      <c r="O1014" s="311"/>
      <c r="P1014" s="311"/>
      <c r="Q1014" s="311"/>
      <c r="R1014" s="311"/>
      <c r="S1014" s="311"/>
      <c r="T1014" s="311"/>
      <c r="U1014" s="311"/>
      <c r="V1014" s="311"/>
      <c r="W1014" s="311"/>
      <c r="X1014" s="311"/>
      <c r="Y1014" s="24"/>
      <c r="Z1014" s="24"/>
      <c r="AA1014" s="24"/>
      <c r="AB1014" s="24"/>
      <c r="AC1014" s="24"/>
      <c r="AD1014" s="24"/>
    </row>
    <row r="1015" spans="1:30" ht="12.75">
      <c r="A1015" s="313"/>
      <c r="B1015" s="313"/>
      <c r="C1015" s="314"/>
      <c r="D1015" s="311"/>
      <c r="E1015" s="311"/>
      <c r="F1015" s="311"/>
      <c r="G1015" s="311"/>
      <c r="H1015" s="311"/>
      <c r="I1015" s="311"/>
      <c r="J1015" s="311"/>
      <c r="K1015" s="311"/>
      <c r="L1015" s="311"/>
      <c r="M1015" s="311"/>
      <c r="N1015" s="311"/>
      <c r="O1015" s="311"/>
      <c r="P1015" s="311"/>
      <c r="Q1015" s="311"/>
      <c r="R1015" s="311"/>
      <c r="S1015" s="311"/>
      <c r="T1015" s="311"/>
      <c r="U1015" s="311"/>
      <c r="V1015" s="311"/>
      <c r="W1015" s="311"/>
      <c r="X1015" s="311"/>
      <c r="Y1015" s="24"/>
      <c r="Z1015" s="24"/>
      <c r="AA1015" s="24"/>
      <c r="AB1015" s="24"/>
      <c r="AC1015" s="24"/>
      <c r="AD1015" s="24"/>
    </row>
    <row r="1016" spans="1:30" ht="12.75">
      <c r="A1016" s="313"/>
      <c r="B1016" s="313"/>
      <c r="C1016" s="314"/>
      <c r="D1016" s="311"/>
      <c r="E1016" s="311"/>
      <c r="F1016" s="311"/>
      <c r="G1016" s="311"/>
      <c r="H1016" s="311"/>
      <c r="I1016" s="311"/>
      <c r="J1016" s="311"/>
      <c r="K1016" s="311"/>
      <c r="L1016" s="311"/>
      <c r="M1016" s="311"/>
      <c r="N1016" s="311"/>
      <c r="O1016" s="311"/>
      <c r="P1016" s="311"/>
      <c r="Q1016" s="311"/>
      <c r="R1016" s="311"/>
      <c r="S1016" s="311"/>
      <c r="T1016" s="311"/>
      <c r="U1016" s="311"/>
      <c r="V1016" s="311"/>
      <c r="W1016" s="311"/>
      <c r="X1016" s="311"/>
      <c r="Y1016" s="24"/>
      <c r="Z1016" s="24"/>
      <c r="AA1016" s="24"/>
      <c r="AB1016" s="24"/>
      <c r="AC1016" s="24"/>
      <c r="AD1016" s="24"/>
    </row>
    <row r="1017" spans="1:30" ht="12.75">
      <c r="A1017" s="313"/>
      <c r="B1017" s="313"/>
      <c r="C1017" s="314"/>
      <c r="D1017" s="311"/>
      <c r="E1017" s="311"/>
      <c r="F1017" s="311"/>
      <c r="G1017" s="311"/>
      <c r="H1017" s="311"/>
      <c r="I1017" s="311"/>
      <c r="J1017" s="311"/>
      <c r="K1017" s="311"/>
      <c r="L1017" s="311"/>
      <c r="M1017" s="311"/>
      <c r="N1017" s="311"/>
      <c r="O1017" s="311"/>
      <c r="P1017" s="311"/>
      <c r="Q1017" s="311"/>
      <c r="R1017" s="311"/>
      <c r="S1017" s="311"/>
      <c r="T1017" s="311"/>
      <c r="U1017" s="311"/>
      <c r="V1017" s="311"/>
      <c r="W1017" s="311"/>
      <c r="X1017" s="311"/>
      <c r="Y1017" s="24"/>
      <c r="Z1017" s="24"/>
      <c r="AA1017" s="24"/>
      <c r="AB1017" s="24"/>
      <c r="AC1017" s="24"/>
      <c r="AD1017" s="24"/>
    </row>
    <row r="1018" spans="1:30" ht="12.75">
      <c r="A1018" s="313"/>
      <c r="B1018" s="313"/>
      <c r="C1018" s="314"/>
      <c r="D1018" s="311"/>
      <c r="E1018" s="311"/>
      <c r="F1018" s="311"/>
      <c r="G1018" s="311"/>
      <c r="H1018" s="311"/>
      <c r="I1018" s="311"/>
      <c r="J1018" s="311"/>
      <c r="K1018" s="311"/>
      <c r="L1018" s="311"/>
      <c r="M1018" s="311"/>
      <c r="N1018" s="311"/>
      <c r="O1018" s="311"/>
      <c r="P1018" s="311"/>
      <c r="Q1018" s="311"/>
      <c r="R1018" s="311"/>
      <c r="S1018" s="311"/>
      <c r="T1018" s="311"/>
      <c r="U1018" s="311"/>
      <c r="V1018" s="311"/>
      <c r="W1018" s="311"/>
      <c r="X1018" s="311"/>
      <c r="Y1018" s="24"/>
      <c r="Z1018" s="24"/>
      <c r="AA1018" s="24"/>
      <c r="AB1018" s="24"/>
      <c r="AC1018" s="24"/>
      <c r="AD1018" s="24"/>
    </row>
    <row r="1019" spans="1:30" ht="12.75">
      <c r="A1019" s="313"/>
      <c r="B1019" s="313"/>
      <c r="C1019" s="314"/>
      <c r="D1019" s="311"/>
      <c r="E1019" s="311"/>
      <c r="F1019" s="311"/>
      <c r="G1019" s="311"/>
      <c r="H1019" s="311"/>
      <c r="I1019" s="311"/>
      <c r="J1019" s="311"/>
      <c r="K1019" s="311"/>
      <c r="L1019" s="311"/>
      <c r="M1019" s="311"/>
      <c r="N1019" s="311"/>
      <c r="O1019" s="311"/>
      <c r="P1019" s="311"/>
      <c r="Q1019" s="311"/>
      <c r="R1019" s="311"/>
      <c r="S1019" s="311"/>
      <c r="T1019" s="311"/>
      <c r="U1019" s="311"/>
      <c r="V1019" s="311"/>
      <c r="W1019" s="311"/>
      <c r="X1019" s="311"/>
      <c r="Y1019" s="24"/>
      <c r="Z1019" s="24"/>
      <c r="AA1019" s="24"/>
      <c r="AB1019" s="24"/>
      <c r="AC1019" s="24"/>
      <c r="AD1019" s="24"/>
    </row>
    <row r="1020" spans="1:30" ht="12.75">
      <c r="A1020" s="313"/>
      <c r="B1020" s="313"/>
      <c r="C1020" s="314"/>
      <c r="D1020" s="311"/>
      <c r="E1020" s="311"/>
      <c r="F1020" s="311"/>
      <c r="G1020" s="311"/>
      <c r="H1020" s="311"/>
      <c r="I1020" s="311"/>
      <c r="J1020" s="311"/>
      <c r="K1020" s="311"/>
      <c r="L1020" s="311"/>
      <c r="M1020" s="311"/>
      <c r="N1020" s="311"/>
      <c r="O1020" s="311"/>
      <c r="P1020" s="311"/>
      <c r="Q1020" s="311"/>
      <c r="R1020" s="311"/>
      <c r="S1020" s="311"/>
      <c r="T1020" s="311"/>
      <c r="U1020" s="311"/>
      <c r="V1020" s="311"/>
      <c r="W1020" s="311"/>
      <c r="X1020" s="311"/>
      <c r="Y1020" s="24"/>
      <c r="Z1020" s="24"/>
      <c r="AA1020" s="24"/>
      <c r="AB1020" s="24"/>
      <c r="AC1020" s="24"/>
      <c r="AD1020" s="24"/>
    </row>
    <row r="1021" spans="1:30" ht="12.75">
      <c r="A1021" s="313"/>
      <c r="B1021" s="313"/>
      <c r="C1021" s="314"/>
      <c r="D1021" s="311"/>
      <c r="E1021" s="311"/>
      <c r="F1021" s="311"/>
      <c r="G1021" s="311"/>
      <c r="H1021" s="311"/>
      <c r="I1021" s="311"/>
      <c r="J1021" s="311"/>
      <c r="K1021" s="311"/>
      <c r="L1021" s="311"/>
      <c r="M1021" s="311"/>
      <c r="N1021" s="311"/>
      <c r="O1021" s="311"/>
      <c r="P1021" s="311"/>
      <c r="Q1021" s="311"/>
      <c r="R1021" s="311"/>
      <c r="S1021" s="311"/>
      <c r="T1021" s="311"/>
      <c r="U1021" s="311"/>
      <c r="V1021" s="311"/>
      <c r="W1021" s="311"/>
      <c r="X1021" s="311"/>
      <c r="Y1021" s="24"/>
      <c r="Z1021" s="24"/>
      <c r="AA1021" s="24"/>
      <c r="AB1021" s="24"/>
      <c r="AC1021" s="24"/>
      <c r="AD1021" s="24"/>
    </row>
    <row r="1022" spans="1:30" ht="12.75">
      <c r="A1022" s="313"/>
      <c r="B1022" s="313"/>
      <c r="C1022" s="314"/>
      <c r="D1022" s="311"/>
      <c r="E1022" s="311"/>
      <c r="F1022" s="311"/>
      <c r="G1022" s="311"/>
      <c r="H1022" s="311"/>
      <c r="I1022" s="311"/>
      <c r="J1022" s="311"/>
      <c r="K1022" s="311"/>
      <c r="L1022" s="311"/>
      <c r="M1022" s="311"/>
      <c r="N1022" s="311"/>
      <c r="O1022" s="311"/>
      <c r="P1022" s="311"/>
      <c r="Q1022" s="311"/>
      <c r="R1022" s="311"/>
      <c r="S1022" s="311"/>
      <c r="T1022" s="311"/>
      <c r="U1022" s="311"/>
      <c r="V1022" s="311"/>
      <c r="W1022" s="311"/>
      <c r="X1022" s="311"/>
      <c r="Y1022" s="24"/>
      <c r="Z1022" s="24"/>
      <c r="AA1022" s="24"/>
      <c r="AB1022" s="24"/>
      <c r="AC1022" s="24"/>
      <c r="AD1022" s="24"/>
    </row>
    <row r="1023" spans="1:30" ht="12.75">
      <c r="A1023" s="313"/>
      <c r="B1023" s="313"/>
      <c r="C1023" s="314"/>
      <c r="D1023" s="311"/>
      <c r="E1023" s="311"/>
      <c r="F1023" s="311"/>
      <c r="G1023" s="311"/>
      <c r="H1023" s="311"/>
      <c r="I1023" s="311"/>
      <c r="J1023" s="311"/>
      <c r="K1023" s="311"/>
      <c r="L1023" s="311"/>
      <c r="M1023" s="311"/>
      <c r="N1023" s="311"/>
      <c r="O1023" s="311"/>
      <c r="P1023" s="311"/>
      <c r="Q1023" s="311"/>
      <c r="R1023" s="311"/>
      <c r="S1023" s="311"/>
      <c r="T1023" s="311"/>
      <c r="U1023" s="311"/>
      <c r="V1023" s="311"/>
      <c r="W1023" s="311"/>
      <c r="X1023" s="311"/>
      <c r="Y1023" s="24"/>
      <c r="Z1023" s="24"/>
      <c r="AA1023" s="24"/>
      <c r="AB1023" s="24"/>
      <c r="AC1023" s="24"/>
      <c r="AD1023" s="24"/>
    </row>
    <row r="1024" spans="1:30" ht="12.75">
      <c r="A1024" s="313"/>
      <c r="B1024" s="313"/>
      <c r="C1024" s="314"/>
      <c r="D1024" s="311"/>
      <c r="E1024" s="311"/>
      <c r="F1024" s="311"/>
      <c r="G1024" s="311"/>
      <c r="H1024" s="311"/>
      <c r="I1024" s="311"/>
      <c r="J1024" s="311"/>
      <c r="K1024" s="311"/>
      <c r="L1024" s="311"/>
      <c r="M1024" s="311"/>
      <c r="N1024" s="311"/>
      <c r="O1024" s="311"/>
      <c r="P1024" s="311"/>
      <c r="Q1024" s="311"/>
      <c r="R1024" s="311"/>
      <c r="S1024" s="311"/>
      <c r="T1024" s="311"/>
      <c r="U1024" s="311"/>
      <c r="V1024" s="311"/>
      <c r="W1024" s="311"/>
      <c r="X1024" s="311"/>
      <c r="Y1024" s="24"/>
      <c r="Z1024" s="24"/>
      <c r="AA1024" s="24"/>
      <c r="AB1024" s="24"/>
      <c r="AC1024" s="24"/>
      <c r="AD1024" s="24"/>
    </row>
    <row r="1025" spans="1:30" ht="12.75">
      <c r="A1025" s="313"/>
      <c r="B1025" s="313"/>
      <c r="C1025" s="314"/>
      <c r="D1025" s="311"/>
      <c r="E1025" s="311"/>
      <c r="F1025" s="311"/>
      <c r="G1025" s="311"/>
      <c r="H1025" s="311"/>
      <c r="I1025" s="311"/>
      <c r="J1025" s="311"/>
      <c r="K1025" s="311"/>
      <c r="L1025" s="311"/>
      <c r="M1025" s="311"/>
      <c r="N1025" s="311"/>
      <c r="O1025" s="311"/>
      <c r="P1025" s="311"/>
      <c r="Q1025" s="311"/>
      <c r="R1025" s="311"/>
      <c r="S1025" s="311"/>
      <c r="T1025" s="311"/>
      <c r="U1025" s="311"/>
      <c r="V1025" s="311"/>
      <c r="W1025" s="311"/>
      <c r="X1025" s="311"/>
      <c r="Y1025" s="24"/>
      <c r="Z1025" s="24"/>
      <c r="AA1025" s="24"/>
      <c r="AB1025" s="24"/>
      <c r="AC1025" s="24"/>
      <c r="AD1025" s="24"/>
    </row>
    <row r="1026" spans="1:30" ht="12.75">
      <c r="A1026" s="313"/>
      <c r="B1026" s="313"/>
      <c r="C1026" s="314"/>
      <c r="D1026" s="311"/>
      <c r="E1026" s="311"/>
      <c r="F1026" s="311"/>
      <c r="G1026" s="311"/>
      <c r="H1026" s="311"/>
      <c r="I1026" s="311"/>
      <c r="J1026" s="311"/>
      <c r="K1026" s="311"/>
      <c r="L1026" s="311"/>
      <c r="M1026" s="311"/>
      <c r="N1026" s="311"/>
      <c r="O1026" s="311"/>
      <c r="P1026" s="311"/>
      <c r="Q1026" s="311"/>
      <c r="R1026" s="311"/>
      <c r="S1026" s="311"/>
      <c r="T1026" s="311"/>
      <c r="U1026" s="311"/>
      <c r="V1026" s="311"/>
      <c r="W1026" s="311"/>
      <c r="X1026" s="311"/>
      <c r="Y1026" s="24"/>
      <c r="Z1026" s="24"/>
      <c r="AA1026" s="24"/>
      <c r="AB1026" s="24"/>
      <c r="AC1026" s="24"/>
      <c r="AD1026" s="24"/>
    </row>
    <row r="1027" spans="1:30" ht="12.75">
      <c r="A1027" s="313"/>
      <c r="B1027" s="313"/>
      <c r="C1027" s="314"/>
      <c r="D1027" s="311"/>
      <c r="E1027" s="311"/>
      <c r="F1027" s="311"/>
      <c r="G1027" s="311"/>
      <c r="H1027" s="311"/>
      <c r="I1027" s="311"/>
      <c r="J1027" s="311"/>
      <c r="K1027" s="311"/>
      <c r="L1027" s="311"/>
      <c r="M1027" s="311"/>
      <c r="N1027" s="311"/>
      <c r="O1027" s="311"/>
      <c r="P1027" s="311"/>
      <c r="Q1027" s="311"/>
      <c r="R1027" s="311"/>
      <c r="S1027" s="311"/>
      <c r="T1027" s="311"/>
      <c r="U1027" s="311"/>
      <c r="V1027" s="311"/>
      <c r="W1027" s="311"/>
      <c r="X1027" s="311"/>
      <c r="Y1027" s="24"/>
      <c r="Z1027" s="24"/>
      <c r="AA1027" s="24"/>
      <c r="AB1027" s="24"/>
      <c r="AC1027" s="24"/>
      <c r="AD1027" s="24"/>
    </row>
    <row r="1028" spans="1:30" ht="12.75">
      <c r="A1028" s="313"/>
      <c r="B1028" s="313"/>
      <c r="C1028" s="314"/>
      <c r="D1028" s="311"/>
      <c r="E1028" s="311"/>
      <c r="F1028" s="311"/>
      <c r="G1028" s="311"/>
      <c r="H1028" s="311"/>
      <c r="I1028" s="311"/>
      <c r="J1028" s="311"/>
      <c r="K1028" s="311"/>
      <c r="L1028" s="311"/>
      <c r="M1028" s="311"/>
      <c r="N1028" s="311"/>
      <c r="O1028" s="311"/>
      <c r="P1028" s="311"/>
      <c r="Q1028" s="311"/>
      <c r="R1028" s="311"/>
      <c r="S1028" s="311"/>
      <c r="T1028" s="311"/>
      <c r="U1028" s="311"/>
      <c r="V1028" s="311"/>
      <c r="W1028" s="311"/>
      <c r="X1028" s="311"/>
      <c r="Y1028" s="24"/>
      <c r="Z1028" s="24"/>
      <c r="AA1028" s="24"/>
      <c r="AB1028" s="24"/>
      <c r="AC1028" s="24"/>
      <c r="AD1028" s="24"/>
    </row>
    <row r="1029" spans="1:30" ht="12.75">
      <c r="A1029" s="313"/>
      <c r="B1029" s="313"/>
      <c r="C1029" s="314"/>
      <c r="D1029" s="311"/>
      <c r="E1029" s="311"/>
      <c r="F1029" s="311"/>
      <c r="G1029" s="311"/>
      <c r="H1029" s="311"/>
      <c r="I1029" s="311"/>
      <c r="J1029" s="311"/>
      <c r="K1029" s="311"/>
      <c r="L1029" s="311"/>
      <c r="M1029" s="311"/>
      <c r="N1029" s="311"/>
      <c r="O1029" s="311"/>
      <c r="P1029" s="311"/>
      <c r="Q1029" s="311"/>
      <c r="R1029" s="311"/>
      <c r="S1029" s="311"/>
      <c r="T1029" s="311"/>
      <c r="U1029" s="311"/>
      <c r="V1029" s="311"/>
      <c r="W1029" s="311"/>
      <c r="X1029" s="311"/>
      <c r="Y1029" s="24"/>
      <c r="Z1029" s="24"/>
      <c r="AA1029" s="24"/>
      <c r="AB1029" s="24"/>
      <c r="AC1029" s="24"/>
      <c r="AD1029" s="24"/>
    </row>
    <row r="1030" spans="1:30" ht="12.75">
      <c r="A1030" s="313"/>
      <c r="B1030" s="313"/>
      <c r="C1030" s="314"/>
      <c r="D1030" s="311"/>
      <c r="E1030" s="311"/>
      <c r="F1030" s="311"/>
      <c r="G1030" s="311"/>
      <c r="H1030" s="311"/>
      <c r="I1030" s="311"/>
      <c r="J1030" s="311"/>
      <c r="K1030" s="311"/>
      <c r="L1030" s="311"/>
      <c r="M1030" s="311"/>
      <c r="N1030" s="311"/>
      <c r="O1030" s="311"/>
      <c r="P1030" s="311"/>
      <c r="Q1030" s="311"/>
      <c r="R1030" s="311"/>
      <c r="S1030" s="311"/>
      <c r="T1030" s="311"/>
      <c r="U1030" s="311"/>
      <c r="V1030" s="311"/>
      <c r="W1030" s="311"/>
      <c r="X1030" s="311"/>
      <c r="Y1030" s="24"/>
      <c r="Z1030" s="24"/>
      <c r="AA1030" s="24"/>
      <c r="AB1030" s="24"/>
      <c r="AC1030" s="24"/>
      <c r="AD1030" s="24"/>
    </row>
    <row r="1031" spans="1:30" ht="12.75">
      <c r="A1031" s="313"/>
      <c r="B1031" s="313"/>
      <c r="C1031" s="314"/>
      <c r="D1031" s="311"/>
      <c r="E1031" s="311"/>
      <c r="F1031" s="311"/>
      <c r="G1031" s="311"/>
      <c r="H1031" s="311"/>
      <c r="I1031" s="311"/>
      <c r="J1031" s="311"/>
      <c r="K1031" s="311"/>
      <c r="L1031" s="311"/>
      <c r="M1031" s="311"/>
      <c r="N1031" s="311"/>
      <c r="O1031" s="311"/>
      <c r="P1031" s="311"/>
      <c r="Q1031" s="311"/>
      <c r="R1031" s="311"/>
      <c r="S1031" s="311"/>
      <c r="T1031" s="311"/>
      <c r="U1031" s="311"/>
      <c r="V1031" s="311"/>
      <c r="W1031" s="311"/>
      <c r="X1031" s="311"/>
      <c r="Y1031" s="24"/>
      <c r="Z1031" s="24"/>
      <c r="AA1031" s="24"/>
      <c r="AB1031" s="24"/>
      <c r="AC1031" s="24"/>
      <c r="AD1031" s="24"/>
    </row>
    <row r="1032" spans="1:30" ht="12.75">
      <c r="A1032" s="313"/>
      <c r="B1032" s="313"/>
      <c r="C1032" s="314"/>
      <c r="D1032" s="311"/>
      <c r="E1032" s="311"/>
      <c r="F1032" s="311"/>
      <c r="G1032" s="311"/>
      <c r="H1032" s="311"/>
      <c r="I1032" s="311"/>
      <c r="J1032" s="311"/>
      <c r="K1032" s="311"/>
      <c r="L1032" s="311"/>
      <c r="M1032" s="311"/>
      <c r="N1032" s="311"/>
      <c r="O1032" s="311"/>
      <c r="P1032" s="311"/>
      <c r="Q1032" s="311"/>
      <c r="R1032" s="311"/>
      <c r="S1032" s="311"/>
      <c r="T1032" s="311"/>
      <c r="U1032" s="311"/>
      <c r="V1032" s="311"/>
      <c r="W1032" s="311"/>
      <c r="X1032" s="311"/>
      <c r="Y1032" s="24"/>
      <c r="Z1032" s="24"/>
      <c r="AA1032" s="24"/>
      <c r="AB1032" s="24"/>
      <c r="AC1032" s="24"/>
      <c r="AD1032" s="24"/>
    </row>
    <row r="1033" spans="1:30" ht="12.75">
      <c r="A1033" s="313"/>
      <c r="B1033" s="313"/>
      <c r="C1033" s="314"/>
      <c r="D1033" s="311"/>
      <c r="E1033" s="311"/>
      <c r="F1033" s="311"/>
      <c r="G1033" s="311"/>
      <c r="H1033" s="311"/>
      <c r="I1033" s="311"/>
      <c r="J1033" s="311"/>
      <c r="K1033" s="311"/>
      <c r="L1033" s="311"/>
      <c r="M1033" s="311"/>
      <c r="N1033" s="311"/>
      <c r="O1033" s="311"/>
      <c r="P1033" s="311"/>
      <c r="Q1033" s="311"/>
      <c r="R1033" s="311"/>
      <c r="S1033" s="311"/>
      <c r="T1033" s="311"/>
      <c r="U1033" s="311"/>
      <c r="V1033" s="311"/>
      <c r="W1033" s="311"/>
      <c r="X1033" s="311"/>
      <c r="Y1033" s="24"/>
      <c r="Z1033" s="24"/>
      <c r="AA1033" s="24"/>
      <c r="AB1033" s="24"/>
      <c r="AC1033" s="24"/>
      <c r="AD1033" s="24"/>
    </row>
    <row r="1034" spans="1:30" ht="12.75">
      <c r="A1034" s="313"/>
      <c r="B1034" s="313"/>
      <c r="C1034" s="314"/>
      <c r="D1034" s="311"/>
      <c r="E1034" s="311"/>
      <c r="F1034" s="311"/>
      <c r="G1034" s="311"/>
      <c r="H1034" s="311"/>
      <c r="I1034" s="311"/>
      <c r="J1034" s="311"/>
      <c r="K1034" s="311"/>
      <c r="L1034" s="311"/>
      <c r="M1034" s="311"/>
      <c r="N1034" s="311"/>
      <c r="O1034" s="311"/>
      <c r="P1034" s="311"/>
      <c r="Q1034" s="311"/>
      <c r="R1034" s="311"/>
      <c r="S1034" s="311"/>
      <c r="T1034" s="311"/>
      <c r="U1034" s="311"/>
      <c r="V1034" s="311"/>
      <c r="W1034" s="311"/>
      <c r="X1034" s="311"/>
      <c r="Y1034" s="24"/>
      <c r="Z1034" s="24"/>
      <c r="AA1034" s="24"/>
      <c r="AB1034" s="24"/>
      <c r="AC1034" s="24"/>
      <c r="AD1034" s="24"/>
    </row>
    <row r="1035" spans="1:30" ht="12.75">
      <c r="A1035" s="313"/>
      <c r="B1035" s="313"/>
      <c r="C1035" s="314"/>
      <c r="D1035" s="311"/>
      <c r="E1035" s="311"/>
      <c r="F1035" s="311"/>
      <c r="G1035" s="311"/>
      <c r="H1035" s="311"/>
      <c r="I1035" s="311"/>
      <c r="J1035" s="311"/>
      <c r="K1035" s="311"/>
      <c r="L1035" s="311"/>
      <c r="M1035" s="311"/>
      <c r="N1035" s="311"/>
      <c r="O1035" s="311"/>
      <c r="P1035" s="311"/>
      <c r="Q1035" s="311"/>
      <c r="R1035" s="311"/>
      <c r="S1035" s="311"/>
      <c r="T1035" s="311"/>
      <c r="U1035" s="311"/>
      <c r="V1035" s="311"/>
      <c r="W1035" s="311"/>
      <c r="X1035" s="311"/>
      <c r="Y1035" s="24"/>
      <c r="Z1035" s="24"/>
      <c r="AA1035" s="24"/>
      <c r="AB1035" s="24"/>
      <c r="AC1035" s="24"/>
      <c r="AD1035" s="24"/>
    </row>
    <row r="1036" spans="1:30" ht="12.75">
      <c r="A1036" s="313"/>
      <c r="B1036" s="313"/>
      <c r="C1036" s="314"/>
      <c r="D1036" s="311"/>
      <c r="E1036" s="311"/>
      <c r="F1036" s="311"/>
      <c r="G1036" s="311"/>
      <c r="H1036" s="311"/>
      <c r="I1036" s="311"/>
      <c r="J1036" s="311"/>
      <c r="K1036" s="311"/>
      <c r="L1036" s="311"/>
      <c r="M1036" s="311"/>
      <c r="N1036" s="311"/>
      <c r="O1036" s="311"/>
      <c r="P1036" s="311"/>
      <c r="Q1036" s="311"/>
      <c r="R1036" s="311"/>
      <c r="S1036" s="311"/>
      <c r="T1036" s="311"/>
      <c r="U1036" s="311"/>
      <c r="V1036" s="311"/>
      <c r="W1036" s="311"/>
      <c r="X1036" s="311"/>
      <c r="Y1036" s="24"/>
      <c r="Z1036" s="24"/>
      <c r="AA1036" s="24"/>
      <c r="AB1036" s="24"/>
      <c r="AC1036" s="24"/>
      <c r="AD1036" s="24"/>
    </row>
    <row r="1037" spans="1:30" ht="12.75">
      <c r="A1037" s="313"/>
      <c r="B1037" s="313"/>
      <c r="C1037" s="314"/>
      <c r="D1037" s="311"/>
      <c r="E1037" s="311"/>
      <c r="F1037" s="311"/>
      <c r="G1037" s="311"/>
      <c r="H1037" s="311"/>
      <c r="I1037" s="311"/>
      <c r="J1037" s="311"/>
      <c r="K1037" s="311"/>
      <c r="L1037" s="311"/>
      <c r="M1037" s="311"/>
      <c r="N1037" s="311"/>
      <c r="O1037" s="311"/>
      <c r="P1037" s="311"/>
      <c r="Q1037" s="311"/>
      <c r="R1037" s="311"/>
      <c r="S1037" s="311"/>
      <c r="T1037" s="311"/>
      <c r="U1037" s="311"/>
      <c r="V1037" s="311"/>
      <c r="W1037" s="311"/>
      <c r="X1037" s="311"/>
      <c r="Y1037" s="24"/>
      <c r="Z1037" s="24"/>
      <c r="AA1037" s="24"/>
      <c r="AB1037" s="24"/>
      <c r="AC1037" s="24"/>
      <c r="AD1037" s="24"/>
    </row>
    <row r="1038" spans="1:30" ht="12.75">
      <c r="A1038" s="313"/>
      <c r="B1038" s="313"/>
      <c r="C1038" s="314"/>
      <c r="D1038" s="311"/>
      <c r="E1038" s="311"/>
      <c r="F1038" s="311"/>
      <c r="G1038" s="311"/>
      <c r="H1038" s="311"/>
      <c r="I1038" s="311"/>
      <c r="J1038" s="311"/>
      <c r="K1038" s="311"/>
      <c r="L1038" s="311"/>
      <c r="M1038" s="311"/>
      <c r="N1038" s="311"/>
      <c r="O1038" s="311"/>
      <c r="P1038" s="311"/>
      <c r="Q1038" s="311"/>
      <c r="R1038" s="311"/>
      <c r="S1038" s="311"/>
      <c r="T1038" s="311"/>
      <c r="U1038" s="311"/>
      <c r="V1038" s="311"/>
      <c r="W1038" s="311"/>
      <c r="X1038" s="311"/>
      <c r="Y1038" s="24"/>
      <c r="Z1038" s="24"/>
      <c r="AA1038" s="24"/>
      <c r="AB1038" s="24"/>
      <c r="AC1038" s="24"/>
      <c r="AD1038" s="24"/>
    </row>
    <row r="1039" spans="1:30" ht="12.75">
      <c r="A1039" s="313"/>
      <c r="B1039" s="313"/>
      <c r="C1039" s="314"/>
      <c r="D1039" s="311"/>
      <c r="E1039" s="311"/>
      <c r="F1039" s="311"/>
      <c r="G1039" s="311"/>
      <c r="H1039" s="311"/>
      <c r="I1039" s="311"/>
      <c r="J1039" s="311"/>
      <c r="K1039" s="311"/>
      <c r="L1039" s="311"/>
      <c r="M1039" s="311"/>
      <c r="N1039" s="311"/>
      <c r="O1039" s="311"/>
      <c r="P1039" s="311"/>
      <c r="Q1039" s="311"/>
      <c r="R1039" s="311"/>
      <c r="S1039" s="311"/>
      <c r="T1039" s="311"/>
      <c r="U1039" s="311"/>
      <c r="V1039" s="311"/>
      <c r="W1039" s="311"/>
      <c r="X1039" s="311"/>
      <c r="Y1039" s="24"/>
      <c r="Z1039" s="24"/>
      <c r="AA1039" s="24"/>
      <c r="AB1039" s="24"/>
      <c r="AC1039" s="24"/>
      <c r="AD1039" s="24"/>
    </row>
    <row r="1040" spans="1:30" ht="12.75">
      <c r="A1040" s="313"/>
      <c r="B1040" s="313"/>
      <c r="C1040" s="314"/>
      <c r="D1040" s="311"/>
      <c r="E1040" s="311"/>
      <c r="F1040" s="311"/>
      <c r="G1040" s="311"/>
      <c r="H1040" s="311"/>
      <c r="I1040" s="311"/>
      <c r="J1040" s="311"/>
      <c r="K1040" s="311"/>
      <c r="L1040" s="311"/>
      <c r="M1040" s="311"/>
      <c r="N1040" s="311"/>
      <c r="O1040" s="311"/>
      <c r="P1040" s="311"/>
      <c r="Q1040" s="311"/>
      <c r="R1040" s="311"/>
      <c r="S1040" s="311"/>
      <c r="T1040" s="311"/>
      <c r="U1040" s="311"/>
      <c r="V1040" s="311"/>
      <c r="W1040" s="311"/>
      <c r="X1040" s="311"/>
      <c r="Y1040" s="24"/>
      <c r="Z1040" s="24"/>
      <c r="AA1040" s="24"/>
      <c r="AB1040" s="24"/>
      <c r="AC1040" s="24"/>
      <c r="AD1040" s="24"/>
    </row>
    <row r="1041" spans="1:30" ht="12.75">
      <c r="A1041" s="313"/>
      <c r="B1041" s="313"/>
      <c r="C1041" s="314"/>
      <c r="D1041" s="311"/>
      <c r="E1041" s="311"/>
      <c r="F1041" s="311"/>
      <c r="G1041" s="311"/>
      <c r="H1041" s="311"/>
      <c r="I1041" s="311"/>
      <c r="J1041" s="311"/>
      <c r="K1041" s="311"/>
      <c r="L1041" s="311"/>
      <c r="M1041" s="311"/>
      <c r="N1041" s="311"/>
      <c r="O1041" s="311"/>
      <c r="P1041" s="311"/>
      <c r="Q1041" s="311"/>
      <c r="R1041" s="311"/>
      <c r="S1041" s="311"/>
      <c r="T1041" s="311"/>
      <c r="U1041" s="311"/>
      <c r="V1041" s="311"/>
      <c r="W1041" s="311"/>
      <c r="X1041" s="311"/>
      <c r="Y1041" s="24"/>
      <c r="Z1041" s="24"/>
      <c r="AA1041" s="24"/>
      <c r="AB1041" s="24"/>
      <c r="AC1041" s="24"/>
      <c r="AD1041" s="24"/>
    </row>
    <row r="1042" spans="1:30" ht="12.75">
      <c r="A1042" s="313"/>
      <c r="B1042" s="313"/>
      <c r="C1042" s="314"/>
      <c r="D1042" s="311"/>
      <c r="E1042" s="311"/>
      <c r="F1042" s="311"/>
      <c r="G1042" s="311"/>
      <c r="H1042" s="311"/>
      <c r="I1042" s="311"/>
      <c r="J1042" s="311"/>
      <c r="K1042" s="311"/>
      <c r="L1042" s="311"/>
      <c r="M1042" s="311"/>
      <c r="N1042" s="311"/>
      <c r="O1042" s="311"/>
      <c r="P1042" s="311"/>
      <c r="Q1042" s="311"/>
      <c r="R1042" s="311"/>
      <c r="S1042" s="311"/>
      <c r="T1042" s="311"/>
      <c r="U1042" s="311"/>
      <c r="V1042" s="311"/>
      <c r="W1042" s="311"/>
      <c r="X1042" s="311"/>
      <c r="Y1042" s="24"/>
      <c r="Z1042" s="24"/>
      <c r="AA1042" s="24"/>
      <c r="AB1042" s="24"/>
      <c r="AC1042" s="24"/>
      <c r="AD1042" s="24"/>
    </row>
    <row r="1043" spans="1:30" ht="12.75">
      <c r="A1043" s="313"/>
      <c r="B1043" s="313"/>
      <c r="C1043" s="314"/>
      <c r="D1043" s="311"/>
      <c r="E1043" s="311"/>
      <c r="F1043" s="311"/>
      <c r="G1043" s="311"/>
      <c r="H1043" s="311"/>
      <c r="I1043" s="311"/>
      <c r="J1043" s="311"/>
      <c r="K1043" s="311"/>
      <c r="L1043" s="311"/>
      <c r="M1043" s="311"/>
      <c r="N1043" s="311"/>
      <c r="O1043" s="311"/>
      <c r="P1043" s="311"/>
      <c r="Q1043" s="311"/>
      <c r="R1043" s="311"/>
      <c r="S1043" s="311"/>
      <c r="T1043" s="311"/>
      <c r="U1043" s="311"/>
      <c r="V1043" s="311"/>
      <c r="W1043" s="311"/>
      <c r="X1043" s="311"/>
      <c r="Y1043" s="24"/>
      <c r="Z1043" s="24"/>
      <c r="AA1043" s="24"/>
      <c r="AB1043" s="24"/>
      <c r="AC1043" s="24"/>
      <c r="AD1043" s="24"/>
    </row>
    <row r="1044" spans="1:30" ht="12.75">
      <c r="A1044" s="313"/>
      <c r="B1044" s="313"/>
      <c r="C1044" s="314"/>
      <c r="D1044" s="311"/>
      <c r="E1044" s="311"/>
      <c r="F1044" s="311"/>
      <c r="G1044" s="311"/>
      <c r="H1044" s="311"/>
      <c r="I1044" s="311"/>
      <c r="J1044" s="311"/>
      <c r="K1044" s="311"/>
      <c r="L1044" s="311"/>
      <c r="M1044" s="311"/>
      <c r="N1044" s="311"/>
      <c r="O1044" s="311"/>
      <c r="P1044" s="311"/>
      <c r="Q1044" s="311"/>
      <c r="R1044" s="311"/>
      <c r="S1044" s="311"/>
      <c r="T1044" s="311"/>
      <c r="U1044" s="311"/>
      <c r="V1044" s="311"/>
      <c r="W1044" s="311"/>
      <c r="X1044" s="311"/>
      <c r="Y1044" s="24"/>
      <c r="Z1044" s="24"/>
      <c r="AA1044" s="24"/>
      <c r="AB1044" s="24"/>
      <c r="AC1044" s="24"/>
      <c r="AD1044" s="24"/>
    </row>
    <row r="1045" spans="1:30" ht="12.75">
      <c r="A1045" s="313"/>
      <c r="B1045" s="313"/>
      <c r="C1045" s="314"/>
      <c r="D1045" s="311"/>
      <c r="E1045" s="311"/>
      <c r="F1045" s="311"/>
      <c r="G1045" s="311"/>
      <c r="H1045" s="311"/>
      <c r="I1045" s="311"/>
      <c r="J1045" s="311"/>
      <c r="K1045" s="311"/>
      <c r="L1045" s="311"/>
      <c r="M1045" s="311"/>
      <c r="N1045" s="311"/>
      <c r="O1045" s="311"/>
      <c r="P1045" s="311"/>
      <c r="Q1045" s="311"/>
      <c r="R1045" s="311"/>
      <c r="S1045" s="311"/>
      <c r="T1045" s="311"/>
      <c r="U1045" s="311"/>
      <c r="V1045" s="311"/>
      <c r="W1045" s="311"/>
      <c r="X1045" s="311"/>
      <c r="Y1045" s="24"/>
      <c r="Z1045" s="24"/>
      <c r="AA1045" s="24"/>
      <c r="AB1045" s="24"/>
      <c r="AC1045" s="24"/>
      <c r="AD1045" s="24"/>
    </row>
    <row r="1046" spans="1:30" ht="12.75">
      <c r="A1046" s="313"/>
      <c r="B1046" s="313"/>
      <c r="C1046" s="314"/>
      <c r="D1046" s="311"/>
      <c r="E1046" s="311"/>
      <c r="F1046" s="311"/>
      <c r="G1046" s="311"/>
      <c r="H1046" s="311"/>
      <c r="I1046" s="311"/>
      <c r="J1046" s="311"/>
      <c r="K1046" s="311"/>
      <c r="L1046" s="311"/>
      <c r="M1046" s="311"/>
      <c r="N1046" s="311"/>
      <c r="O1046" s="311"/>
      <c r="P1046" s="311"/>
      <c r="Q1046" s="311"/>
      <c r="R1046" s="311"/>
      <c r="S1046" s="311"/>
      <c r="T1046" s="311"/>
      <c r="U1046" s="311"/>
      <c r="V1046" s="311"/>
      <c r="W1046" s="311"/>
      <c r="X1046" s="311"/>
      <c r="Y1046" s="24"/>
      <c r="Z1046" s="24"/>
      <c r="AA1046" s="24"/>
      <c r="AB1046" s="24"/>
      <c r="AC1046" s="24"/>
      <c r="AD1046" s="24"/>
    </row>
    <row r="1047" spans="1:30" ht="12.75">
      <c r="A1047" s="313"/>
      <c r="B1047" s="313"/>
      <c r="C1047" s="314"/>
      <c r="D1047" s="311"/>
      <c r="E1047" s="311"/>
      <c r="F1047" s="311"/>
      <c r="G1047" s="311"/>
      <c r="H1047" s="311"/>
      <c r="I1047" s="311"/>
      <c r="J1047" s="311"/>
      <c r="K1047" s="311"/>
      <c r="L1047" s="311"/>
      <c r="M1047" s="311"/>
      <c r="N1047" s="311"/>
      <c r="O1047" s="311"/>
      <c r="P1047" s="311"/>
      <c r="Q1047" s="311"/>
      <c r="R1047" s="311"/>
      <c r="S1047" s="311"/>
      <c r="T1047" s="311"/>
      <c r="U1047" s="311"/>
      <c r="V1047" s="311"/>
      <c r="W1047" s="311"/>
      <c r="X1047" s="311"/>
      <c r="Y1047" s="24"/>
      <c r="Z1047" s="24"/>
      <c r="AA1047" s="24"/>
      <c r="AB1047" s="24"/>
      <c r="AC1047" s="24"/>
      <c r="AD1047" s="24"/>
    </row>
    <row r="1048" spans="1:30" ht="12.75">
      <c r="A1048" s="313"/>
      <c r="B1048" s="313"/>
      <c r="C1048" s="314"/>
      <c r="D1048" s="311"/>
      <c r="E1048" s="311"/>
      <c r="F1048" s="311"/>
      <c r="G1048" s="311"/>
      <c r="H1048" s="311"/>
      <c r="I1048" s="311"/>
      <c r="J1048" s="311"/>
      <c r="K1048" s="311"/>
      <c r="L1048" s="311"/>
      <c r="M1048" s="311"/>
      <c r="N1048" s="311"/>
      <c r="O1048" s="311"/>
      <c r="P1048" s="311"/>
      <c r="Q1048" s="311"/>
      <c r="R1048" s="311"/>
      <c r="S1048" s="311"/>
      <c r="T1048" s="311"/>
      <c r="U1048" s="311"/>
      <c r="V1048" s="311"/>
      <c r="W1048" s="311"/>
      <c r="X1048" s="311"/>
      <c r="Y1048" s="24"/>
      <c r="Z1048" s="24"/>
      <c r="AA1048" s="24"/>
      <c r="AB1048" s="24"/>
      <c r="AC1048" s="24"/>
      <c r="AD1048" s="24"/>
    </row>
    <row r="1049" spans="1:30" ht="12.75">
      <c r="A1049" s="313"/>
      <c r="B1049" s="313"/>
      <c r="C1049" s="314"/>
      <c r="D1049" s="311"/>
      <c r="E1049" s="311"/>
      <c r="F1049" s="311"/>
      <c r="G1049" s="311"/>
      <c r="H1049" s="311"/>
      <c r="I1049" s="311"/>
      <c r="J1049" s="311"/>
      <c r="K1049" s="311"/>
      <c r="L1049" s="311"/>
      <c r="M1049" s="311"/>
      <c r="N1049" s="311"/>
      <c r="O1049" s="311"/>
      <c r="P1049" s="311"/>
      <c r="Q1049" s="311"/>
      <c r="R1049" s="311"/>
      <c r="S1049" s="311"/>
      <c r="T1049" s="311"/>
      <c r="U1049" s="311"/>
      <c r="V1049" s="311"/>
      <c r="W1049" s="311"/>
      <c r="X1049" s="311"/>
      <c r="Y1049" s="24"/>
      <c r="Z1049" s="24"/>
      <c r="AA1049" s="24"/>
      <c r="AB1049" s="24"/>
      <c r="AC1049" s="24"/>
      <c r="AD1049" s="24"/>
    </row>
    <row r="1050" spans="1:30" ht="12.75">
      <c r="A1050" s="313"/>
      <c r="B1050" s="313"/>
      <c r="C1050" s="314"/>
      <c r="D1050" s="311"/>
      <c r="E1050" s="311"/>
      <c r="F1050" s="311"/>
      <c r="G1050" s="311"/>
      <c r="H1050" s="311"/>
      <c r="I1050" s="311"/>
      <c r="J1050" s="311"/>
      <c r="K1050" s="311"/>
      <c r="L1050" s="311"/>
      <c r="M1050" s="311"/>
      <c r="N1050" s="311"/>
      <c r="O1050" s="311"/>
      <c r="P1050" s="311"/>
      <c r="Q1050" s="311"/>
      <c r="R1050" s="311"/>
      <c r="S1050" s="311"/>
      <c r="T1050" s="311"/>
      <c r="U1050" s="311"/>
      <c r="V1050" s="311"/>
      <c r="W1050" s="311"/>
      <c r="X1050" s="311"/>
      <c r="Y1050" s="24"/>
      <c r="Z1050" s="24"/>
      <c r="AA1050" s="24"/>
      <c r="AB1050" s="24"/>
      <c r="AC1050" s="24"/>
      <c r="AD1050" s="24"/>
    </row>
    <row r="1051" spans="1:30" ht="12.75">
      <c r="A1051" s="313"/>
      <c r="B1051" s="313"/>
      <c r="C1051" s="314"/>
      <c r="D1051" s="311"/>
      <c r="E1051" s="311"/>
      <c r="F1051" s="311"/>
      <c r="G1051" s="311"/>
      <c r="H1051" s="311"/>
      <c r="I1051" s="311"/>
      <c r="J1051" s="311"/>
      <c r="K1051" s="311"/>
      <c r="L1051" s="311"/>
      <c r="M1051" s="311"/>
      <c r="N1051" s="311"/>
      <c r="O1051" s="311"/>
      <c r="P1051" s="311"/>
      <c r="Q1051" s="311"/>
      <c r="R1051" s="311"/>
      <c r="S1051" s="311"/>
      <c r="T1051" s="311"/>
      <c r="U1051" s="311"/>
      <c r="V1051" s="311"/>
      <c r="W1051" s="311"/>
      <c r="X1051" s="311"/>
      <c r="Y1051" s="24"/>
      <c r="Z1051" s="24"/>
      <c r="AA1051" s="24"/>
      <c r="AB1051" s="24"/>
      <c r="AC1051" s="24"/>
      <c r="AD1051" s="24"/>
    </row>
    <row r="1052" spans="1:30" ht="12.75">
      <c r="A1052" s="313"/>
      <c r="B1052" s="313"/>
      <c r="C1052" s="314"/>
      <c r="D1052" s="311"/>
      <c r="E1052" s="311"/>
      <c r="F1052" s="311"/>
      <c r="G1052" s="311"/>
      <c r="H1052" s="311"/>
      <c r="I1052" s="311"/>
      <c r="J1052" s="311"/>
      <c r="K1052" s="311"/>
      <c r="L1052" s="311"/>
      <c r="M1052" s="311"/>
      <c r="N1052" s="311"/>
      <c r="O1052" s="311"/>
      <c r="P1052" s="311"/>
      <c r="Q1052" s="311"/>
      <c r="R1052" s="311"/>
      <c r="S1052" s="311"/>
      <c r="T1052" s="311"/>
      <c r="U1052" s="311"/>
      <c r="V1052" s="311"/>
      <c r="W1052" s="311"/>
      <c r="X1052" s="311"/>
      <c r="Y1052" s="24"/>
      <c r="Z1052" s="24"/>
      <c r="AA1052" s="24"/>
      <c r="AB1052" s="24"/>
      <c r="AC1052" s="24"/>
      <c r="AD1052" s="24"/>
    </row>
    <row r="1053" spans="1:30" ht="12.75">
      <c r="A1053" s="313"/>
      <c r="B1053" s="313"/>
      <c r="C1053" s="314"/>
      <c r="D1053" s="311"/>
      <c r="E1053" s="311"/>
      <c r="F1053" s="311"/>
      <c r="G1053" s="311"/>
      <c r="H1053" s="311"/>
      <c r="I1053" s="311"/>
      <c r="J1053" s="311"/>
      <c r="K1053" s="311"/>
      <c r="L1053" s="311"/>
      <c r="M1053" s="311"/>
      <c r="N1053" s="311"/>
      <c r="O1053" s="311"/>
      <c r="P1053" s="311"/>
      <c r="Q1053" s="311"/>
      <c r="R1053" s="311"/>
      <c r="S1053" s="311"/>
      <c r="T1053" s="311"/>
      <c r="U1053" s="311"/>
      <c r="V1053" s="311"/>
      <c r="W1053" s="311"/>
      <c r="X1053" s="311"/>
      <c r="Y1053" s="24"/>
      <c r="Z1053" s="24"/>
      <c r="AA1053" s="24"/>
      <c r="AB1053" s="24"/>
      <c r="AC1053" s="24"/>
      <c r="AD1053" s="24"/>
    </row>
    <row r="1054" spans="1:30" ht="12.75">
      <c r="A1054" s="313"/>
      <c r="B1054" s="313"/>
      <c r="C1054" s="314"/>
      <c r="D1054" s="311"/>
      <c r="E1054" s="311"/>
      <c r="F1054" s="311"/>
      <c r="G1054" s="311"/>
      <c r="H1054" s="311"/>
      <c r="I1054" s="311"/>
      <c r="J1054" s="311"/>
      <c r="K1054" s="311"/>
      <c r="L1054" s="311"/>
      <c r="M1054" s="311"/>
      <c r="N1054" s="311"/>
      <c r="O1054" s="311"/>
      <c r="P1054" s="311"/>
      <c r="Q1054" s="311"/>
      <c r="R1054" s="311"/>
      <c r="S1054" s="311"/>
      <c r="T1054" s="311"/>
      <c r="U1054" s="311"/>
      <c r="V1054" s="311"/>
      <c r="W1054" s="311"/>
      <c r="X1054" s="311"/>
      <c r="Y1054" s="24"/>
      <c r="Z1054" s="24"/>
      <c r="AA1054" s="24"/>
      <c r="AB1054" s="24"/>
      <c r="AC1054" s="24"/>
      <c r="AD1054" s="24"/>
    </row>
    <row r="1055" spans="1:30" ht="12.75">
      <c r="A1055" s="313"/>
      <c r="B1055" s="313"/>
      <c r="C1055" s="314"/>
      <c r="D1055" s="311"/>
      <c r="E1055" s="311"/>
      <c r="F1055" s="311"/>
      <c r="G1055" s="311"/>
      <c r="H1055" s="311"/>
      <c r="I1055" s="311"/>
      <c r="J1055" s="311"/>
      <c r="K1055" s="311"/>
      <c r="L1055" s="311"/>
      <c r="M1055" s="311"/>
      <c r="N1055" s="311"/>
      <c r="O1055" s="311"/>
      <c r="P1055" s="311"/>
      <c r="Q1055" s="311"/>
      <c r="R1055" s="311"/>
      <c r="S1055" s="311"/>
      <c r="T1055" s="311"/>
      <c r="U1055" s="311"/>
      <c r="V1055" s="311"/>
      <c r="W1055" s="311"/>
      <c r="X1055" s="311"/>
      <c r="Y1055" s="24"/>
      <c r="Z1055" s="24"/>
      <c r="AA1055" s="24"/>
      <c r="AB1055" s="24"/>
      <c r="AC1055" s="24"/>
      <c r="AD1055" s="24"/>
    </row>
    <row r="1056" spans="1:30" ht="12.75">
      <c r="A1056" s="313"/>
      <c r="B1056" s="313"/>
      <c r="C1056" s="314"/>
      <c r="D1056" s="311"/>
      <c r="E1056" s="311"/>
      <c r="F1056" s="311"/>
      <c r="G1056" s="311"/>
      <c r="H1056" s="311"/>
      <c r="I1056" s="311"/>
      <c r="J1056" s="311"/>
      <c r="K1056" s="311"/>
      <c r="L1056" s="311"/>
      <c r="M1056" s="311"/>
      <c r="N1056" s="311"/>
      <c r="O1056" s="311"/>
      <c r="P1056" s="311"/>
      <c r="Q1056" s="311"/>
      <c r="R1056" s="311"/>
      <c r="S1056" s="311"/>
      <c r="T1056" s="311"/>
      <c r="U1056" s="311"/>
      <c r="V1056" s="311"/>
      <c r="W1056" s="311"/>
      <c r="X1056" s="311"/>
      <c r="Y1056" s="24"/>
      <c r="Z1056" s="24"/>
      <c r="AA1056" s="24"/>
      <c r="AB1056" s="24"/>
      <c r="AC1056" s="24"/>
      <c r="AD1056" s="24"/>
    </row>
    <row r="1057" spans="1:30" ht="12.75">
      <c r="A1057" s="313"/>
      <c r="B1057" s="313"/>
      <c r="C1057" s="314"/>
      <c r="D1057" s="311"/>
      <c r="E1057" s="311"/>
      <c r="F1057" s="311"/>
      <c r="G1057" s="311"/>
      <c r="H1057" s="311"/>
      <c r="I1057" s="311"/>
      <c r="J1057" s="311"/>
      <c r="K1057" s="311"/>
      <c r="L1057" s="311"/>
      <c r="M1057" s="311"/>
      <c r="N1057" s="311"/>
      <c r="O1057" s="311"/>
      <c r="P1057" s="311"/>
      <c r="Q1057" s="311"/>
      <c r="R1057" s="311"/>
      <c r="S1057" s="311"/>
      <c r="T1057" s="311"/>
      <c r="U1057" s="311"/>
      <c r="V1057" s="311"/>
      <c r="W1057" s="311"/>
      <c r="X1057" s="311"/>
      <c r="Y1057" s="24"/>
      <c r="Z1057" s="24"/>
      <c r="AA1057" s="24"/>
      <c r="AB1057" s="24"/>
      <c r="AC1057" s="24"/>
      <c r="AD1057" s="24"/>
    </row>
    <row r="1058" spans="1:30" ht="12.75">
      <c r="A1058" s="313"/>
      <c r="B1058" s="313"/>
      <c r="C1058" s="314"/>
      <c r="D1058" s="311"/>
      <c r="E1058" s="311"/>
      <c r="F1058" s="311"/>
      <c r="G1058" s="311"/>
      <c r="H1058" s="311"/>
      <c r="I1058" s="311"/>
      <c r="J1058" s="311"/>
      <c r="K1058" s="311"/>
      <c r="L1058" s="311"/>
      <c r="M1058" s="311"/>
      <c r="N1058" s="311"/>
      <c r="O1058" s="311"/>
      <c r="P1058" s="311"/>
      <c r="Q1058" s="311"/>
      <c r="R1058" s="311"/>
      <c r="S1058" s="311"/>
      <c r="T1058" s="311"/>
      <c r="U1058" s="311"/>
      <c r="V1058" s="311"/>
      <c r="W1058" s="311"/>
      <c r="X1058" s="311"/>
      <c r="Y1058" s="24"/>
      <c r="Z1058" s="24"/>
      <c r="AA1058" s="24"/>
      <c r="AB1058" s="24"/>
      <c r="AC1058" s="24"/>
      <c r="AD1058" s="24"/>
    </row>
    <row r="1059" spans="1:30" ht="12.75">
      <c r="A1059" s="313"/>
      <c r="B1059" s="313"/>
      <c r="C1059" s="314"/>
      <c r="D1059" s="311"/>
      <c r="E1059" s="311"/>
      <c r="F1059" s="311"/>
      <c r="G1059" s="311"/>
      <c r="H1059" s="311"/>
      <c r="I1059" s="311"/>
      <c r="J1059" s="311"/>
      <c r="K1059" s="311"/>
      <c r="L1059" s="311"/>
      <c r="M1059" s="311"/>
      <c r="N1059" s="311"/>
      <c r="O1059" s="311"/>
      <c r="P1059" s="311"/>
      <c r="Q1059" s="311"/>
      <c r="R1059" s="311"/>
      <c r="S1059" s="311"/>
      <c r="T1059" s="311"/>
      <c r="U1059" s="311"/>
      <c r="V1059" s="311"/>
      <c r="W1059" s="311"/>
      <c r="X1059" s="311"/>
      <c r="Y1059" s="24"/>
      <c r="Z1059" s="24"/>
      <c r="AA1059" s="24"/>
      <c r="AB1059" s="24"/>
      <c r="AC1059" s="24"/>
      <c r="AD1059" s="24"/>
    </row>
    <row r="1060" spans="1:30" ht="12.75">
      <c r="A1060" s="313"/>
      <c r="B1060" s="313"/>
      <c r="C1060" s="314"/>
      <c r="D1060" s="311"/>
      <c r="E1060" s="311"/>
      <c r="F1060" s="311"/>
      <c r="G1060" s="311"/>
      <c r="H1060" s="311"/>
      <c r="I1060" s="311"/>
      <c r="J1060" s="311"/>
      <c r="K1060" s="311"/>
      <c r="L1060" s="311"/>
      <c r="M1060" s="311"/>
      <c r="N1060" s="311"/>
      <c r="O1060" s="311"/>
      <c r="P1060" s="311"/>
      <c r="Q1060" s="311"/>
      <c r="R1060" s="311"/>
      <c r="S1060" s="311"/>
      <c r="T1060" s="311"/>
      <c r="U1060" s="311"/>
      <c r="V1060" s="311"/>
      <c r="W1060" s="311"/>
      <c r="X1060" s="311"/>
      <c r="Y1060" s="24"/>
      <c r="Z1060" s="24"/>
      <c r="AA1060" s="24"/>
      <c r="AB1060" s="24"/>
      <c r="AC1060" s="24"/>
      <c r="AD1060" s="24"/>
    </row>
    <row r="1061" spans="1:30" ht="12.75">
      <c r="A1061" s="313"/>
      <c r="B1061" s="313"/>
      <c r="C1061" s="314"/>
      <c r="D1061" s="311"/>
      <c r="E1061" s="311"/>
      <c r="F1061" s="311"/>
      <c r="G1061" s="311"/>
      <c r="H1061" s="311"/>
      <c r="I1061" s="311"/>
      <c r="J1061" s="311"/>
      <c r="K1061" s="311"/>
      <c r="L1061" s="311"/>
      <c r="M1061" s="311"/>
      <c r="N1061" s="311"/>
      <c r="O1061" s="311"/>
      <c r="P1061" s="311"/>
      <c r="Q1061" s="311"/>
      <c r="R1061" s="311"/>
      <c r="S1061" s="311"/>
      <c r="T1061" s="311"/>
      <c r="U1061" s="311"/>
      <c r="V1061" s="311"/>
      <c r="W1061" s="311"/>
      <c r="X1061" s="311"/>
      <c r="Y1061" s="24"/>
      <c r="Z1061" s="24"/>
      <c r="AA1061" s="24"/>
      <c r="AB1061" s="24"/>
      <c r="AC1061" s="24"/>
      <c r="AD1061" s="24"/>
    </row>
    <row r="1062" spans="1:30" ht="12.75">
      <c r="A1062" s="313"/>
      <c r="B1062" s="313"/>
      <c r="C1062" s="314"/>
      <c r="D1062" s="311"/>
      <c r="E1062" s="311"/>
      <c r="F1062" s="311"/>
      <c r="G1062" s="311"/>
      <c r="H1062" s="311"/>
      <c r="I1062" s="311"/>
      <c r="J1062" s="311"/>
      <c r="K1062" s="311"/>
      <c r="L1062" s="311"/>
      <c r="M1062" s="311"/>
      <c r="N1062" s="311"/>
      <c r="O1062" s="311"/>
      <c r="P1062" s="311"/>
      <c r="Q1062" s="311"/>
      <c r="R1062" s="311"/>
      <c r="S1062" s="311"/>
      <c r="T1062" s="311"/>
      <c r="U1062" s="311"/>
      <c r="V1062" s="311"/>
      <c r="W1062" s="311"/>
      <c r="X1062" s="311"/>
      <c r="Y1062" s="24"/>
      <c r="Z1062" s="24"/>
      <c r="AA1062" s="24"/>
      <c r="AB1062" s="24"/>
      <c r="AC1062" s="24"/>
      <c r="AD1062" s="24"/>
    </row>
    <row r="1063" spans="1:30" ht="12.75">
      <c r="A1063" s="313"/>
      <c r="B1063" s="313"/>
      <c r="C1063" s="314"/>
      <c r="D1063" s="311"/>
      <c r="E1063" s="311"/>
      <c r="F1063" s="311"/>
      <c r="G1063" s="311"/>
      <c r="H1063" s="311"/>
      <c r="I1063" s="311"/>
      <c r="J1063" s="311"/>
      <c r="K1063" s="311"/>
      <c r="L1063" s="311"/>
      <c r="M1063" s="311"/>
      <c r="N1063" s="311"/>
      <c r="O1063" s="311"/>
      <c r="P1063" s="311"/>
      <c r="Q1063" s="311"/>
      <c r="R1063" s="311"/>
      <c r="S1063" s="311"/>
      <c r="T1063" s="311"/>
      <c r="U1063" s="311"/>
      <c r="V1063" s="311"/>
      <c r="W1063" s="311"/>
      <c r="X1063" s="311"/>
      <c r="Y1063" s="24"/>
      <c r="Z1063" s="24"/>
      <c r="AA1063" s="24"/>
      <c r="AB1063" s="24"/>
      <c r="AC1063" s="24"/>
      <c r="AD1063" s="24"/>
    </row>
    <row r="1064" spans="1:30" ht="12.75">
      <c r="A1064" s="313"/>
      <c r="B1064" s="313"/>
      <c r="C1064" s="314"/>
      <c r="D1064" s="311"/>
      <c r="E1064" s="311"/>
      <c r="F1064" s="311"/>
      <c r="G1064" s="311"/>
      <c r="H1064" s="311"/>
      <c r="I1064" s="311"/>
      <c r="J1064" s="311"/>
      <c r="K1064" s="311"/>
      <c r="L1064" s="311"/>
      <c r="M1064" s="311"/>
      <c r="N1064" s="311"/>
      <c r="O1064" s="311"/>
      <c r="P1064" s="311"/>
      <c r="Q1064" s="311"/>
      <c r="R1064" s="311"/>
      <c r="S1064" s="311"/>
      <c r="T1064" s="311"/>
      <c r="U1064" s="311"/>
      <c r="V1064" s="311"/>
      <c r="W1064" s="311"/>
      <c r="X1064" s="311"/>
      <c r="Y1064" s="24"/>
      <c r="Z1064" s="24"/>
      <c r="AA1064" s="24"/>
      <c r="AB1064" s="24"/>
      <c r="AC1064" s="24"/>
      <c r="AD1064" s="24"/>
    </row>
    <row r="1065" spans="1:30" ht="12.75">
      <c r="A1065" s="313"/>
      <c r="B1065" s="313"/>
      <c r="C1065" s="314"/>
      <c r="D1065" s="311"/>
      <c r="E1065" s="311"/>
      <c r="F1065" s="311"/>
      <c r="G1065" s="311"/>
      <c r="H1065" s="311"/>
      <c r="I1065" s="311"/>
      <c r="J1065" s="311"/>
      <c r="K1065" s="311"/>
      <c r="L1065" s="311"/>
      <c r="M1065" s="311"/>
      <c r="N1065" s="311"/>
      <c r="O1065" s="311"/>
      <c r="P1065" s="311"/>
      <c r="Q1065" s="311"/>
      <c r="R1065" s="311"/>
      <c r="S1065" s="311"/>
      <c r="T1065" s="311"/>
      <c r="U1065" s="311"/>
      <c r="V1065" s="311"/>
      <c r="W1065" s="311"/>
      <c r="X1065" s="311"/>
      <c r="Y1065" s="24"/>
      <c r="Z1065" s="24"/>
      <c r="AA1065" s="24"/>
      <c r="AB1065" s="24"/>
      <c r="AC1065" s="24"/>
      <c r="AD1065" s="24"/>
    </row>
    <row r="1066" spans="1:30" ht="12.75">
      <c r="A1066" s="313"/>
      <c r="B1066" s="313"/>
      <c r="C1066" s="314"/>
      <c r="D1066" s="311"/>
      <c r="E1066" s="311"/>
      <c r="F1066" s="311"/>
      <c r="G1066" s="311"/>
      <c r="H1066" s="311"/>
      <c r="I1066" s="311"/>
      <c r="J1066" s="311"/>
      <c r="K1066" s="311"/>
      <c r="L1066" s="311"/>
      <c r="M1066" s="311"/>
      <c r="N1066" s="311"/>
      <c r="O1066" s="311"/>
      <c r="P1066" s="311"/>
      <c r="Q1066" s="311"/>
      <c r="R1066" s="311"/>
      <c r="S1066" s="311"/>
      <c r="T1066" s="311"/>
      <c r="U1066" s="311"/>
      <c r="V1066" s="311"/>
      <c r="W1066" s="311"/>
      <c r="X1066" s="311"/>
      <c r="Y1066" s="24"/>
      <c r="Z1066" s="24"/>
      <c r="AA1066" s="24"/>
      <c r="AB1066" s="24"/>
      <c r="AC1066" s="24"/>
      <c r="AD1066" s="24"/>
    </row>
    <row r="1067" spans="1:30" ht="12.75">
      <c r="A1067" s="313"/>
      <c r="B1067" s="313"/>
      <c r="C1067" s="314"/>
      <c r="D1067" s="311"/>
      <c r="E1067" s="311"/>
      <c r="F1067" s="311"/>
      <c r="G1067" s="311"/>
      <c r="H1067" s="311"/>
      <c r="I1067" s="311"/>
      <c r="J1067" s="311"/>
      <c r="K1067" s="311"/>
      <c r="L1067" s="311"/>
      <c r="M1067" s="311"/>
      <c r="N1067" s="311"/>
      <c r="O1067" s="311"/>
      <c r="P1067" s="311"/>
      <c r="Q1067" s="311"/>
      <c r="R1067" s="311"/>
      <c r="S1067" s="311"/>
      <c r="T1067" s="311"/>
      <c r="U1067" s="311"/>
      <c r="V1067" s="311"/>
      <c r="W1067" s="311"/>
      <c r="X1067" s="311"/>
      <c r="Y1067" s="24"/>
      <c r="Z1067" s="24"/>
      <c r="AA1067" s="24"/>
      <c r="AB1067" s="24"/>
      <c r="AC1067" s="24"/>
      <c r="AD1067" s="24"/>
    </row>
    <row r="1068" spans="1:30" ht="12.75">
      <c r="A1068" s="313"/>
      <c r="B1068" s="313"/>
      <c r="C1068" s="314"/>
      <c r="D1068" s="311"/>
      <c r="E1068" s="311"/>
      <c r="F1068" s="311"/>
      <c r="G1068" s="311"/>
      <c r="H1068" s="311"/>
      <c r="I1068" s="311"/>
      <c r="J1068" s="311"/>
      <c r="K1068" s="311"/>
      <c r="L1068" s="311"/>
      <c r="M1068" s="311"/>
      <c r="N1068" s="311"/>
      <c r="O1068" s="311"/>
      <c r="P1068" s="311"/>
      <c r="Q1068" s="311"/>
      <c r="R1068" s="311"/>
      <c r="S1068" s="311"/>
      <c r="T1068" s="311"/>
      <c r="U1068" s="311"/>
      <c r="V1068" s="311"/>
      <c r="W1068" s="311"/>
      <c r="X1068" s="311"/>
      <c r="Y1068" s="24"/>
      <c r="Z1068" s="24"/>
      <c r="AA1068" s="24"/>
      <c r="AB1068" s="24"/>
      <c r="AC1068" s="24"/>
      <c r="AD1068" s="24"/>
    </row>
    <row r="1069" spans="1:30" ht="12.75">
      <c r="A1069" s="313"/>
      <c r="B1069" s="313"/>
      <c r="C1069" s="314"/>
      <c r="D1069" s="311"/>
      <c r="E1069" s="311"/>
      <c r="F1069" s="311"/>
      <c r="G1069" s="311"/>
      <c r="H1069" s="311"/>
      <c r="I1069" s="311"/>
      <c r="J1069" s="311"/>
      <c r="K1069" s="311"/>
      <c r="L1069" s="311"/>
      <c r="M1069" s="311"/>
      <c r="N1069" s="311"/>
      <c r="O1069" s="311"/>
      <c r="P1069" s="311"/>
      <c r="Q1069" s="311"/>
      <c r="R1069" s="311"/>
      <c r="S1069" s="311"/>
      <c r="T1069" s="311"/>
      <c r="U1069" s="311"/>
      <c r="V1069" s="311"/>
      <c r="W1069" s="311"/>
      <c r="X1069" s="311"/>
      <c r="Y1069" s="24"/>
      <c r="Z1069" s="24"/>
      <c r="AA1069" s="24"/>
      <c r="AB1069" s="24"/>
      <c r="AC1069" s="24"/>
      <c r="AD1069" s="24"/>
    </row>
    <row r="1070" spans="1:30" ht="12.75">
      <c r="A1070" s="313"/>
      <c r="B1070" s="313"/>
      <c r="C1070" s="314"/>
      <c r="D1070" s="311"/>
      <c r="E1070" s="311"/>
      <c r="F1070" s="311"/>
      <c r="G1070" s="311"/>
      <c r="H1070" s="311"/>
      <c r="I1070" s="311"/>
      <c r="J1070" s="311"/>
      <c r="K1070" s="311"/>
      <c r="L1070" s="311"/>
      <c r="M1070" s="311"/>
      <c r="N1070" s="311"/>
      <c r="O1070" s="311"/>
      <c r="P1070" s="311"/>
      <c r="Q1070" s="311"/>
      <c r="R1070" s="311"/>
      <c r="S1070" s="311"/>
      <c r="T1070" s="311"/>
      <c r="U1070" s="311"/>
      <c r="V1070" s="311"/>
      <c r="W1070" s="311"/>
      <c r="X1070" s="311"/>
      <c r="Y1070" s="24"/>
      <c r="Z1070" s="24"/>
      <c r="AA1070" s="24"/>
      <c r="AB1070" s="24"/>
      <c r="AC1070" s="24"/>
      <c r="AD1070" s="24"/>
    </row>
    <row r="1071" spans="1:30" ht="12.75">
      <c r="A1071" s="313"/>
      <c r="B1071" s="313"/>
      <c r="C1071" s="314"/>
      <c r="D1071" s="311"/>
      <c r="E1071" s="311"/>
      <c r="F1071" s="311"/>
      <c r="G1071" s="311"/>
      <c r="H1071" s="311"/>
      <c r="I1071" s="311"/>
      <c r="J1071" s="311"/>
      <c r="K1071" s="311"/>
      <c r="L1071" s="311"/>
      <c r="M1071" s="311"/>
      <c r="N1071" s="311"/>
      <c r="O1071" s="311"/>
      <c r="P1071" s="311"/>
      <c r="Q1071" s="311"/>
      <c r="R1071" s="311"/>
      <c r="S1071" s="311"/>
      <c r="T1071" s="311"/>
      <c r="U1071" s="311"/>
      <c r="V1071" s="311"/>
      <c r="W1071" s="311"/>
      <c r="X1071" s="311"/>
      <c r="Y1071" s="24"/>
      <c r="Z1071" s="24"/>
      <c r="AA1071" s="24"/>
      <c r="AB1071" s="24"/>
      <c r="AC1071" s="24"/>
      <c r="AD1071" s="24"/>
    </row>
    <row r="1072" spans="1:30" ht="12.75">
      <c r="A1072" s="313"/>
      <c r="B1072" s="313"/>
      <c r="C1072" s="314"/>
      <c r="D1072" s="311"/>
      <c r="E1072" s="311"/>
      <c r="F1072" s="311"/>
      <c r="G1072" s="311"/>
      <c r="H1072" s="311"/>
      <c r="I1072" s="311"/>
      <c r="J1072" s="311"/>
      <c r="K1072" s="311"/>
      <c r="L1072" s="311"/>
      <c r="M1072" s="311"/>
      <c r="N1072" s="311"/>
      <c r="O1072" s="311"/>
      <c r="P1072" s="311"/>
      <c r="Q1072" s="311"/>
      <c r="R1072" s="311"/>
      <c r="S1072" s="311"/>
      <c r="T1072" s="311"/>
      <c r="U1072" s="311"/>
      <c r="V1072" s="311"/>
      <c r="W1072" s="311"/>
      <c r="X1072" s="311"/>
      <c r="Y1072" s="24"/>
      <c r="Z1072" s="24"/>
      <c r="AA1072" s="24"/>
      <c r="AB1072" s="24"/>
      <c r="AC1072" s="24"/>
      <c r="AD1072" s="24"/>
    </row>
    <row r="1073" spans="1:30" ht="12.75">
      <c r="A1073" s="313"/>
      <c r="B1073" s="313"/>
      <c r="C1073" s="314"/>
      <c r="D1073" s="311"/>
      <c r="E1073" s="311"/>
      <c r="F1073" s="311"/>
      <c r="G1073" s="311"/>
      <c r="H1073" s="311"/>
      <c r="I1073" s="311"/>
      <c r="J1073" s="311"/>
      <c r="K1073" s="311"/>
      <c r="L1073" s="311"/>
      <c r="M1073" s="311"/>
      <c r="N1073" s="311"/>
      <c r="O1073" s="311"/>
      <c r="P1073" s="311"/>
      <c r="Q1073" s="311"/>
      <c r="R1073" s="311"/>
      <c r="S1073" s="311"/>
      <c r="T1073" s="311"/>
      <c r="U1073" s="311"/>
      <c r="V1073" s="311"/>
      <c r="W1073" s="311"/>
      <c r="X1073" s="311"/>
      <c r="Y1073" s="24"/>
      <c r="Z1073" s="24"/>
      <c r="AA1073" s="24"/>
      <c r="AB1073" s="24"/>
      <c r="AC1073" s="24"/>
      <c r="AD1073" s="24"/>
    </row>
    <row r="1074" spans="1:30" ht="12.75">
      <c r="A1074" s="313"/>
      <c r="B1074" s="313"/>
      <c r="C1074" s="314"/>
      <c r="D1074" s="311"/>
      <c r="E1074" s="311"/>
      <c r="F1074" s="311"/>
      <c r="G1074" s="311"/>
      <c r="H1074" s="311"/>
      <c r="I1074" s="311"/>
      <c r="J1074" s="311"/>
      <c r="K1074" s="311"/>
      <c r="L1074" s="311"/>
      <c r="M1074" s="311"/>
      <c r="N1074" s="311"/>
      <c r="O1074" s="311"/>
      <c r="P1074" s="311"/>
      <c r="Q1074" s="311"/>
      <c r="R1074" s="311"/>
      <c r="S1074" s="311"/>
      <c r="T1074" s="311"/>
      <c r="U1074" s="311"/>
      <c r="V1074" s="311"/>
      <c r="W1074" s="311"/>
      <c r="X1074" s="311"/>
      <c r="Y1074" s="24"/>
      <c r="Z1074" s="24"/>
      <c r="AA1074" s="24"/>
      <c r="AB1074" s="24"/>
      <c r="AC1074" s="24"/>
      <c r="AD1074" s="24"/>
    </row>
    <row r="1075" spans="1:30" ht="12.75">
      <c r="A1075" s="313"/>
      <c r="B1075" s="313"/>
      <c r="C1075" s="314"/>
      <c r="D1075" s="311"/>
      <c r="E1075" s="311"/>
      <c r="F1075" s="311"/>
      <c r="G1075" s="311"/>
      <c r="H1075" s="311"/>
      <c r="I1075" s="311"/>
      <c r="J1075" s="311"/>
      <c r="K1075" s="311"/>
      <c r="L1075" s="311"/>
      <c r="M1075" s="311"/>
      <c r="N1075" s="311"/>
      <c r="O1075" s="311"/>
      <c r="P1075" s="311"/>
      <c r="Q1075" s="311"/>
      <c r="R1075" s="311"/>
      <c r="S1075" s="311"/>
      <c r="T1075" s="311"/>
      <c r="U1075" s="311"/>
      <c r="V1075" s="311"/>
      <c r="W1075" s="311"/>
      <c r="X1075" s="311"/>
      <c r="Y1075" s="24"/>
      <c r="Z1075" s="24"/>
      <c r="AA1075" s="24"/>
      <c r="AB1075" s="24"/>
      <c r="AC1075" s="24"/>
      <c r="AD1075" s="24"/>
    </row>
    <row r="1076" spans="1:30" ht="12.75">
      <c r="A1076" s="313"/>
      <c r="B1076" s="313"/>
      <c r="C1076" s="314"/>
      <c r="D1076" s="311"/>
      <c r="E1076" s="311"/>
      <c r="F1076" s="311"/>
      <c r="G1076" s="311"/>
      <c r="H1076" s="311"/>
      <c r="I1076" s="311"/>
      <c r="J1076" s="311"/>
      <c r="K1076" s="311"/>
      <c r="L1076" s="311"/>
      <c r="M1076" s="311"/>
      <c r="N1076" s="311"/>
      <c r="O1076" s="311"/>
      <c r="P1076" s="311"/>
      <c r="Q1076" s="311"/>
      <c r="R1076" s="311"/>
      <c r="S1076" s="311"/>
      <c r="T1076" s="311"/>
      <c r="U1076" s="311"/>
      <c r="V1076" s="311"/>
      <c r="W1076" s="311"/>
      <c r="X1076" s="311"/>
      <c r="Y1076" s="24"/>
      <c r="Z1076" s="24"/>
      <c r="AA1076" s="24"/>
      <c r="AB1076" s="24"/>
      <c r="AC1076" s="24"/>
      <c r="AD1076" s="24"/>
    </row>
    <row r="1077" spans="1:30" ht="12.75">
      <c r="A1077" s="313"/>
      <c r="B1077" s="313"/>
      <c r="C1077" s="314"/>
      <c r="D1077" s="311"/>
      <c r="E1077" s="311"/>
      <c r="F1077" s="311"/>
      <c r="G1077" s="311"/>
      <c r="H1077" s="311"/>
      <c r="I1077" s="311"/>
      <c r="J1077" s="311"/>
      <c r="K1077" s="311"/>
      <c r="L1077" s="311"/>
      <c r="M1077" s="311"/>
      <c r="N1077" s="311"/>
      <c r="O1077" s="311"/>
      <c r="P1077" s="311"/>
      <c r="Q1077" s="311"/>
      <c r="R1077" s="311"/>
      <c r="S1077" s="311"/>
      <c r="T1077" s="311"/>
      <c r="U1077" s="311"/>
      <c r="V1077" s="311"/>
      <c r="W1077" s="311"/>
      <c r="X1077" s="311"/>
      <c r="Y1077" s="24"/>
      <c r="Z1077" s="24"/>
      <c r="AA1077" s="24"/>
      <c r="AB1077" s="24"/>
      <c r="AC1077" s="24"/>
      <c r="AD1077" s="24"/>
    </row>
    <row r="1078" spans="1:30" ht="12.75">
      <c r="A1078" s="313"/>
      <c r="B1078" s="313"/>
      <c r="C1078" s="314"/>
      <c r="D1078" s="311"/>
      <c r="E1078" s="311"/>
      <c r="F1078" s="311"/>
      <c r="G1078" s="311"/>
      <c r="H1078" s="311"/>
      <c r="I1078" s="311"/>
      <c r="J1078" s="311"/>
      <c r="K1078" s="311"/>
      <c r="L1078" s="311"/>
      <c r="M1078" s="311"/>
      <c r="N1078" s="311"/>
      <c r="O1078" s="311"/>
      <c r="P1078" s="311"/>
      <c r="Q1078" s="311"/>
      <c r="R1078" s="311"/>
      <c r="S1078" s="311"/>
      <c r="T1078" s="311"/>
      <c r="U1078" s="311"/>
      <c r="V1078" s="311"/>
      <c r="W1078" s="311"/>
      <c r="X1078" s="311"/>
      <c r="Y1078" s="24"/>
      <c r="Z1078" s="24"/>
      <c r="AA1078" s="24"/>
      <c r="AB1078" s="24"/>
      <c r="AC1078" s="24"/>
      <c r="AD1078" s="24"/>
    </row>
    <row r="1079" spans="1:30" ht="12.75">
      <c r="A1079" s="313"/>
      <c r="B1079" s="313"/>
      <c r="C1079" s="314"/>
      <c r="D1079" s="311"/>
      <c r="E1079" s="311"/>
      <c r="F1079" s="311"/>
      <c r="G1079" s="311"/>
      <c r="H1079" s="311"/>
      <c r="I1079" s="311"/>
      <c r="J1079" s="311"/>
      <c r="K1079" s="311"/>
      <c r="L1079" s="311"/>
      <c r="M1079" s="311"/>
      <c r="N1079" s="311"/>
      <c r="O1079" s="311"/>
      <c r="P1079" s="311"/>
      <c r="Q1079" s="311"/>
      <c r="R1079" s="311"/>
      <c r="S1079" s="311"/>
      <c r="T1079" s="311"/>
      <c r="U1079" s="311"/>
      <c r="V1079" s="311"/>
      <c r="W1079" s="311"/>
      <c r="X1079" s="311"/>
      <c r="Y1079" s="24"/>
      <c r="Z1079" s="24"/>
      <c r="AA1079" s="24"/>
      <c r="AB1079" s="24"/>
      <c r="AC1079" s="24"/>
      <c r="AD1079" s="24"/>
    </row>
    <row r="1080" spans="1:30" ht="12.75">
      <c r="A1080" s="313"/>
      <c r="B1080" s="313"/>
      <c r="C1080" s="314"/>
      <c r="D1080" s="311"/>
      <c r="E1080" s="311"/>
      <c r="F1080" s="311"/>
      <c r="G1080" s="311"/>
      <c r="H1080" s="311"/>
      <c r="I1080" s="311"/>
      <c r="J1080" s="311"/>
      <c r="K1080" s="311"/>
      <c r="L1080" s="311"/>
      <c r="M1080" s="311"/>
      <c r="N1080" s="311"/>
      <c r="O1080" s="311"/>
      <c r="P1080" s="311"/>
      <c r="Q1080" s="311"/>
      <c r="R1080" s="311"/>
      <c r="S1080" s="311"/>
      <c r="T1080" s="311"/>
      <c r="U1080" s="311"/>
      <c r="V1080" s="311"/>
      <c r="W1080" s="311"/>
      <c r="X1080" s="311"/>
      <c r="Y1080" s="24"/>
      <c r="Z1080" s="24"/>
      <c r="AA1080" s="24"/>
      <c r="AB1080" s="24"/>
      <c r="AC1080" s="24"/>
      <c r="AD1080" s="24"/>
    </row>
    <row r="1081" spans="1:30" ht="12.75">
      <c r="A1081" s="313"/>
      <c r="B1081" s="313"/>
      <c r="C1081" s="314"/>
      <c r="D1081" s="311"/>
      <c r="E1081" s="311"/>
      <c r="F1081" s="311"/>
      <c r="G1081" s="311"/>
      <c r="H1081" s="311"/>
      <c r="I1081" s="311"/>
      <c r="J1081" s="311"/>
      <c r="K1081" s="311"/>
      <c r="L1081" s="311"/>
      <c r="M1081" s="311"/>
      <c r="N1081" s="311"/>
      <c r="O1081" s="311"/>
      <c r="P1081" s="311"/>
      <c r="Q1081" s="311"/>
      <c r="R1081" s="311"/>
      <c r="S1081" s="311"/>
      <c r="T1081" s="311"/>
      <c r="U1081" s="311"/>
      <c r="V1081" s="311"/>
      <c r="W1081" s="311"/>
      <c r="X1081" s="311"/>
      <c r="Y1081" s="24"/>
      <c r="Z1081" s="24"/>
      <c r="AA1081" s="24"/>
      <c r="AB1081" s="24"/>
      <c r="AC1081" s="24"/>
      <c r="AD1081" s="24"/>
    </row>
    <row r="1082" spans="1:30" ht="12.75">
      <c r="A1082" s="313"/>
      <c r="B1082" s="313"/>
      <c r="C1082" s="314"/>
      <c r="D1082" s="311"/>
      <c r="E1082" s="311"/>
      <c r="F1082" s="311"/>
      <c r="G1082" s="311"/>
      <c r="H1082" s="311"/>
      <c r="I1082" s="311"/>
      <c r="J1082" s="311"/>
      <c r="K1082" s="311"/>
      <c r="L1082" s="311"/>
      <c r="M1082" s="311"/>
      <c r="N1082" s="311"/>
      <c r="O1082" s="311"/>
      <c r="P1082" s="311"/>
      <c r="Q1082" s="311"/>
      <c r="R1082" s="311"/>
      <c r="S1082" s="311"/>
      <c r="T1082" s="311"/>
      <c r="U1082" s="311"/>
      <c r="V1082" s="311"/>
      <c r="W1082" s="311"/>
      <c r="X1082" s="311"/>
      <c r="Y1082" s="24"/>
      <c r="Z1082" s="24"/>
      <c r="AA1082" s="24"/>
      <c r="AB1082" s="24"/>
      <c r="AC1082" s="24"/>
      <c r="AD1082" s="24"/>
    </row>
    <row r="1083" spans="1:30" ht="12.75">
      <c r="A1083" s="313"/>
      <c r="B1083" s="313"/>
      <c r="C1083" s="314"/>
      <c r="D1083" s="311"/>
      <c r="E1083" s="311"/>
      <c r="F1083" s="311"/>
      <c r="G1083" s="311"/>
      <c r="H1083" s="311"/>
      <c r="I1083" s="311"/>
      <c r="J1083" s="311"/>
      <c r="K1083" s="311"/>
      <c r="L1083" s="311"/>
      <c r="M1083" s="311"/>
      <c r="N1083" s="311"/>
      <c r="O1083" s="311"/>
      <c r="P1083" s="311"/>
      <c r="Q1083" s="311"/>
      <c r="R1083" s="311"/>
      <c r="S1083" s="311"/>
      <c r="T1083" s="311"/>
      <c r="U1083" s="311"/>
      <c r="V1083" s="311"/>
      <c r="W1083" s="311"/>
      <c r="X1083" s="311"/>
      <c r="Y1083" s="24"/>
      <c r="Z1083" s="24"/>
      <c r="AA1083" s="24"/>
      <c r="AB1083" s="24"/>
      <c r="AC1083" s="24"/>
      <c r="AD1083" s="24"/>
    </row>
    <row r="1084" spans="1:30" ht="12.75">
      <c r="A1084" s="313"/>
      <c r="B1084" s="313"/>
      <c r="C1084" s="314"/>
      <c r="D1084" s="311"/>
      <c r="E1084" s="311"/>
      <c r="F1084" s="311"/>
      <c r="G1084" s="311"/>
      <c r="H1084" s="311"/>
      <c r="I1084" s="311"/>
      <c r="J1084" s="311"/>
      <c r="K1084" s="311"/>
      <c r="L1084" s="311"/>
      <c r="M1084" s="311"/>
      <c r="N1084" s="311"/>
      <c r="O1084" s="311"/>
      <c r="P1084" s="311"/>
      <c r="Q1084" s="311"/>
      <c r="R1084" s="311"/>
      <c r="S1084" s="311"/>
      <c r="T1084" s="311"/>
      <c r="U1084" s="311"/>
      <c r="V1084" s="311"/>
      <c r="W1084" s="311"/>
      <c r="X1084" s="311"/>
      <c r="Y1084" s="24"/>
      <c r="Z1084" s="24"/>
      <c r="AA1084" s="24"/>
      <c r="AB1084" s="24"/>
      <c r="AC1084" s="24"/>
      <c r="AD1084" s="24"/>
    </row>
    <row r="1085" spans="1:30" ht="12.75">
      <c r="A1085" s="313"/>
      <c r="B1085" s="313"/>
      <c r="C1085" s="314"/>
      <c r="D1085" s="311"/>
      <c r="E1085" s="311"/>
      <c r="F1085" s="311"/>
      <c r="G1085" s="311"/>
      <c r="H1085" s="311"/>
      <c r="I1085" s="311"/>
      <c r="J1085" s="311"/>
      <c r="K1085" s="311"/>
      <c r="L1085" s="311"/>
      <c r="M1085" s="311"/>
      <c r="N1085" s="311"/>
      <c r="O1085" s="311"/>
      <c r="P1085" s="311"/>
      <c r="Q1085" s="311"/>
      <c r="R1085" s="311"/>
      <c r="S1085" s="311"/>
      <c r="T1085" s="311"/>
      <c r="U1085" s="311"/>
      <c r="V1085" s="311"/>
      <c r="W1085" s="311"/>
      <c r="X1085" s="311"/>
      <c r="Y1085" s="24"/>
      <c r="Z1085" s="24"/>
      <c r="AA1085" s="24"/>
      <c r="AB1085" s="24"/>
      <c r="AC1085" s="24"/>
      <c r="AD1085" s="24"/>
    </row>
    <row r="1086" spans="1:30" ht="12.75">
      <c r="A1086" s="313"/>
      <c r="B1086" s="313"/>
      <c r="C1086" s="314"/>
      <c r="D1086" s="311"/>
      <c r="E1086" s="311"/>
      <c r="F1086" s="311"/>
      <c r="G1086" s="311"/>
      <c r="H1086" s="311"/>
      <c r="I1086" s="311"/>
      <c r="J1086" s="311"/>
      <c r="K1086" s="311"/>
      <c r="L1086" s="311"/>
      <c r="M1086" s="311"/>
      <c r="N1086" s="311"/>
      <c r="O1086" s="311"/>
      <c r="P1086" s="311"/>
      <c r="Q1086" s="311"/>
      <c r="R1086" s="311"/>
      <c r="S1086" s="311"/>
      <c r="T1086" s="311"/>
      <c r="U1086" s="311"/>
      <c r="V1086" s="311"/>
      <c r="W1086" s="311"/>
      <c r="X1086" s="311"/>
      <c r="Y1086" s="24"/>
      <c r="Z1086" s="24"/>
      <c r="AA1086" s="24"/>
      <c r="AB1086" s="24"/>
      <c r="AC1086" s="24"/>
      <c r="AD1086" s="24"/>
    </row>
    <row r="1087" spans="1:30" ht="12.75">
      <c r="A1087" s="313"/>
      <c r="B1087" s="313"/>
      <c r="C1087" s="314"/>
      <c r="D1087" s="311"/>
      <c r="E1087" s="311"/>
      <c r="F1087" s="311"/>
      <c r="G1087" s="311"/>
      <c r="H1087" s="311"/>
      <c r="I1087" s="311"/>
      <c r="J1087" s="311"/>
      <c r="K1087" s="311"/>
      <c r="L1087" s="311"/>
      <c r="M1087" s="311"/>
      <c r="N1087" s="311"/>
      <c r="O1087" s="311"/>
      <c r="P1087" s="311"/>
      <c r="Q1087" s="311"/>
      <c r="R1087" s="311"/>
      <c r="S1087" s="311"/>
      <c r="T1087" s="311"/>
      <c r="U1087" s="311"/>
      <c r="V1087" s="311"/>
      <c r="W1087" s="311"/>
      <c r="X1087" s="311"/>
      <c r="Y1087" s="24"/>
      <c r="Z1087" s="24"/>
      <c r="AA1087" s="24"/>
      <c r="AB1087" s="24"/>
      <c r="AC1087" s="24"/>
      <c r="AD1087" s="24"/>
    </row>
    <row r="1088" spans="1:30" ht="12.75">
      <c r="A1088" s="313"/>
      <c r="B1088" s="313"/>
      <c r="C1088" s="314"/>
      <c r="D1088" s="311"/>
      <c r="E1088" s="311"/>
      <c r="F1088" s="311"/>
      <c r="G1088" s="311"/>
      <c r="H1088" s="311"/>
      <c r="I1088" s="311"/>
      <c r="J1088" s="311"/>
      <c r="K1088" s="311"/>
      <c r="L1088" s="311"/>
      <c r="M1088" s="311"/>
      <c r="N1088" s="311"/>
      <c r="O1088" s="311"/>
      <c r="P1088" s="311"/>
      <c r="Q1088" s="311"/>
      <c r="R1088" s="311"/>
      <c r="S1088" s="311"/>
      <c r="T1088" s="311"/>
      <c r="U1088" s="311"/>
      <c r="V1088" s="311"/>
      <c r="W1088" s="311"/>
      <c r="X1088" s="311"/>
      <c r="Y1088" s="24"/>
      <c r="Z1088" s="24"/>
      <c r="AA1088" s="24"/>
      <c r="AB1088" s="24"/>
      <c r="AC1088" s="24"/>
      <c r="AD1088" s="24"/>
    </row>
    <row r="1089" spans="1:30" ht="12.75">
      <c r="A1089" s="313"/>
      <c r="B1089" s="313"/>
      <c r="C1089" s="314"/>
      <c r="D1089" s="311"/>
      <c r="E1089" s="311"/>
      <c r="F1089" s="311"/>
      <c r="G1089" s="311"/>
      <c r="H1089" s="311"/>
      <c r="I1089" s="311"/>
      <c r="J1089" s="311"/>
      <c r="K1089" s="311"/>
      <c r="L1089" s="311"/>
      <c r="M1089" s="311"/>
      <c r="N1089" s="311"/>
      <c r="O1089" s="311"/>
      <c r="P1089" s="311"/>
      <c r="Q1089" s="311"/>
      <c r="R1089" s="311"/>
      <c r="S1089" s="311"/>
      <c r="T1089" s="311"/>
      <c r="U1089" s="311"/>
      <c r="V1089" s="311"/>
      <c r="W1089" s="311"/>
      <c r="X1089" s="311"/>
      <c r="Y1089" s="24"/>
      <c r="Z1089" s="24"/>
      <c r="AA1089" s="24"/>
      <c r="AB1089" s="24"/>
      <c r="AC1089" s="24"/>
      <c r="AD1089" s="24"/>
    </row>
    <row r="1090" spans="1:30" ht="12.75">
      <c r="A1090" s="313"/>
      <c r="B1090" s="313"/>
      <c r="C1090" s="314"/>
      <c r="D1090" s="311"/>
      <c r="E1090" s="311"/>
      <c r="F1090" s="311"/>
      <c r="G1090" s="311"/>
      <c r="H1090" s="311"/>
      <c r="I1090" s="311"/>
      <c r="J1090" s="311"/>
      <c r="K1090" s="311"/>
      <c r="L1090" s="311"/>
      <c r="M1090" s="311"/>
      <c r="N1090" s="311"/>
      <c r="O1090" s="311"/>
      <c r="P1090" s="311"/>
      <c r="Q1090" s="311"/>
      <c r="R1090" s="311"/>
      <c r="S1090" s="311"/>
      <c r="T1090" s="311"/>
      <c r="U1090" s="311"/>
      <c r="V1090" s="311"/>
      <c r="W1090" s="311"/>
      <c r="X1090" s="311"/>
      <c r="Y1090" s="24"/>
      <c r="Z1090" s="24"/>
      <c r="AA1090" s="24"/>
      <c r="AB1090" s="24"/>
      <c r="AC1090" s="24"/>
      <c r="AD1090" s="24"/>
    </row>
    <row r="1091" spans="1:30" ht="12.75">
      <c r="A1091" s="313"/>
      <c r="B1091" s="313"/>
      <c r="C1091" s="314"/>
      <c r="D1091" s="311"/>
      <c r="E1091" s="311"/>
      <c r="F1091" s="311"/>
      <c r="G1091" s="311"/>
      <c r="H1091" s="311"/>
      <c r="I1091" s="311"/>
      <c r="J1091" s="311"/>
      <c r="K1091" s="311"/>
      <c r="L1091" s="311"/>
      <c r="M1091" s="311"/>
      <c r="N1091" s="311"/>
      <c r="O1091" s="311"/>
      <c r="P1091" s="311"/>
      <c r="Q1091" s="311"/>
      <c r="R1091" s="311"/>
      <c r="S1091" s="311"/>
      <c r="T1091" s="311"/>
      <c r="U1091" s="311"/>
      <c r="V1091" s="311"/>
      <c r="W1091" s="311"/>
      <c r="X1091" s="311"/>
      <c r="Y1091" s="24"/>
      <c r="Z1091" s="24"/>
      <c r="AA1091" s="24"/>
      <c r="AB1091" s="24"/>
      <c r="AC1091" s="24"/>
      <c r="AD1091" s="24"/>
    </row>
    <row r="1092" spans="1:30" ht="12.75">
      <c r="A1092" s="313"/>
      <c r="B1092" s="313"/>
      <c r="C1092" s="314"/>
      <c r="D1092" s="311"/>
      <c r="E1092" s="311"/>
      <c r="F1092" s="311"/>
      <c r="G1092" s="311"/>
      <c r="H1092" s="311"/>
      <c r="I1092" s="311"/>
      <c r="J1092" s="311"/>
      <c r="K1092" s="311"/>
      <c r="L1092" s="311"/>
      <c r="M1092" s="311"/>
      <c r="N1092" s="311"/>
      <c r="O1092" s="311"/>
      <c r="P1092" s="311"/>
      <c r="Q1092" s="311"/>
      <c r="R1092" s="311"/>
      <c r="S1092" s="311"/>
      <c r="T1092" s="311"/>
      <c r="U1092" s="311"/>
      <c r="V1092" s="311"/>
      <c r="W1092" s="311"/>
      <c r="X1092" s="311"/>
      <c r="Y1092" s="24"/>
      <c r="Z1092" s="24"/>
      <c r="AA1092" s="24"/>
      <c r="AB1092" s="24"/>
      <c r="AC1092" s="24"/>
      <c r="AD1092" s="24"/>
    </row>
    <row r="1093" spans="1:30" ht="12.75">
      <c r="A1093" s="313"/>
      <c r="B1093" s="313"/>
      <c r="C1093" s="314"/>
      <c r="D1093" s="311"/>
      <c r="E1093" s="311"/>
      <c r="F1093" s="311"/>
      <c r="G1093" s="311"/>
      <c r="H1093" s="311"/>
      <c r="I1093" s="311"/>
      <c r="J1093" s="311"/>
      <c r="K1093" s="311"/>
      <c r="L1093" s="311"/>
      <c r="M1093" s="311"/>
      <c r="N1093" s="311"/>
      <c r="O1093" s="311"/>
      <c r="P1093" s="311"/>
      <c r="Q1093" s="311"/>
      <c r="R1093" s="311"/>
      <c r="S1093" s="311"/>
      <c r="T1093" s="311"/>
      <c r="U1093" s="311"/>
      <c r="V1093" s="311"/>
      <c r="W1093" s="311"/>
      <c r="X1093" s="311"/>
      <c r="Y1093" s="24"/>
      <c r="Z1093" s="24"/>
      <c r="AA1093" s="24"/>
      <c r="AB1093" s="24"/>
      <c r="AC1093" s="24"/>
      <c r="AD1093" s="24"/>
    </row>
    <row r="1094" spans="1:30" ht="12.75">
      <c r="A1094" s="313"/>
      <c r="B1094" s="313"/>
      <c r="C1094" s="314"/>
      <c r="D1094" s="311"/>
      <c r="E1094" s="311"/>
      <c r="F1094" s="311"/>
      <c r="G1094" s="311"/>
      <c r="H1094" s="311"/>
      <c r="I1094" s="311"/>
      <c r="J1094" s="311"/>
      <c r="K1094" s="311"/>
      <c r="L1094" s="311"/>
      <c r="M1094" s="311"/>
      <c r="N1094" s="311"/>
      <c r="O1094" s="311"/>
      <c r="P1094" s="311"/>
      <c r="Q1094" s="311"/>
      <c r="R1094" s="311"/>
      <c r="S1094" s="311"/>
      <c r="T1094" s="311"/>
      <c r="U1094" s="311"/>
      <c r="V1094" s="311"/>
      <c r="W1094" s="311"/>
      <c r="X1094" s="311"/>
      <c r="Y1094" s="24"/>
      <c r="Z1094" s="24"/>
      <c r="AA1094" s="24"/>
      <c r="AB1094" s="24"/>
      <c r="AC1094" s="24"/>
      <c r="AD1094" s="24"/>
    </row>
    <row r="1095" spans="1:30" ht="12.75">
      <c r="A1095" s="313"/>
      <c r="B1095" s="313"/>
      <c r="C1095" s="314"/>
      <c r="D1095" s="311"/>
      <c r="E1095" s="311"/>
      <c r="F1095" s="311"/>
      <c r="G1095" s="311"/>
      <c r="H1095" s="311"/>
      <c r="I1095" s="311"/>
      <c r="J1095" s="311"/>
      <c r="K1095" s="311"/>
      <c r="L1095" s="311"/>
      <c r="M1095" s="311"/>
      <c r="N1095" s="311"/>
      <c r="O1095" s="311"/>
      <c r="P1095" s="311"/>
      <c r="Q1095" s="311"/>
      <c r="R1095" s="311"/>
      <c r="S1095" s="311"/>
      <c r="T1095" s="311"/>
      <c r="U1095" s="311"/>
      <c r="V1095" s="311"/>
      <c r="W1095" s="311"/>
      <c r="X1095" s="311"/>
      <c r="Y1095" s="24"/>
      <c r="Z1095" s="24"/>
      <c r="AA1095" s="24"/>
      <c r="AB1095" s="24"/>
      <c r="AC1095" s="24"/>
      <c r="AD1095" s="24"/>
    </row>
    <row r="1096" spans="1:30" ht="12.75">
      <c r="A1096" s="313"/>
      <c r="B1096" s="313"/>
      <c r="C1096" s="314"/>
      <c r="D1096" s="311"/>
      <c r="E1096" s="311"/>
      <c r="F1096" s="311"/>
      <c r="G1096" s="311"/>
      <c r="H1096" s="311"/>
      <c r="I1096" s="311"/>
      <c r="J1096" s="311"/>
      <c r="K1096" s="311"/>
      <c r="L1096" s="311"/>
      <c r="M1096" s="311"/>
      <c r="N1096" s="311"/>
      <c r="O1096" s="311"/>
      <c r="P1096" s="311"/>
      <c r="Q1096" s="311"/>
      <c r="R1096" s="311"/>
      <c r="S1096" s="311"/>
      <c r="T1096" s="311"/>
      <c r="U1096" s="311"/>
      <c r="V1096" s="311"/>
      <c r="W1096" s="311"/>
      <c r="X1096" s="311"/>
      <c r="Y1096" s="24"/>
      <c r="Z1096" s="24"/>
      <c r="AA1096" s="24"/>
      <c r="AB1096" s="24"/>
      <c r="AC1096" s="24"/>
      <c r="AD1096" s="24"/>
    </row>
    <row r="1097" spans="1:30" ht="12.75">
      <c r="A1097" s="313"/>
      <c r="B1097" s="313"/>
      <c r="C1097" s="314"/>
      <c r="D1097" s="311"/>
      <c r="E1097" s="311"/>
      <c r="F1097" s="311"/>
      <c r="G1097" s="311"/>
      <c r="H1097" s="311"/>
      <c r="I1097" s="311"/>
      <c r="J1097" s="311"/>
      <c r="K1097" s="311"/>
      <c r="L1097" s="311"/>
      <c r="M1097" s="311"/>
      <c r="N1097" s="311"/>
      <c r="O1097" s="311"/>
      <c r="P1097" s="311"/>
      <c r="Q1097" s="311"/>
      <c r="R1097" s="311"/>
      <c r="S1097" s="311"/>
      <c r="T1097" s="311"/>
      <c r="U1097" s="311"/>
      <c r="V1097" s="311"/>
      <c r="W1097" s="311"/>
      <c r="X1097" s="311"/>
      <c r="Y1097" s="24"/>
      <c r="Z1097" s="24"/>
      <c r="AA1097" s="24"/>
      <c r="AB1097" s="24"/>
      <c r="AC1097" s="24"/>
      <c r="AD1097" s="24"/>
    </row>
    <row r="1098" spans="1:30" ht="12.75">
      <c r="A1098" s="313"/>
      <c r="B1098" s="313"/>
      <c r="C1098" s="314"/>
      <c r="D1098" s="311"/>
      <c r="E1098" s="311"/>
      <c r="F1098" s="311"/>
      <c r="G1098" s="311"/>
      <c r="H1098" s="311"/>
      <c r="I1098" s="311"/>
      <c r="J1098" s="311"/>
      <c r="K1098" s="311"/>
      <c r="L1098" s="311"/>
      <c r="M1098" s="311"/>
      <c r="N1098" s="311"/>
      <c r="O1098" s="311"/>
      <c r="P1098" s="311"/>
      <c r="Q1098" s="311"/>
      <c r="R1098" s="311"/>
      <c r="S1098" s="311"/>
      <c r="T1098" s="311"/>
      <c r="U1098" s="311"/>
      <c r="V1098" s="311"/>
      <c r="W1098" s="311"/>
      <c r="X1098" s="311"/>
      <c r="Y1098" s="24"/>
      <c r="Z1098" s="24"/>
      <c r="AA1098" s="24"/>
      <c r="AB1098" s="24"/>
      <c r="AC1098" s="24"/>
      <c r="AD1098" s="24"/>
    </row>
    <row r="1099" spans="1:30" ht="12.75">
      <c r="A1099" s="313"/>
      <c r="B1099" s="313"/>
      <c r="C1099" s="314"/>
      <c r="D1099" s="311"/>
      <c r="E1099" s="311"/>
      <c r="F1099" s="311"/>
      <c r="G1099" s="311"/>
      <c r="H1099" s="311"/>
      <c r="I1099" s="311"/>
      <c r="J1099" s="311"/>
      <c r="K1099" s="311"/>
      <c r="L1099" s="311"/>
      <c r="M1099" s="311"/>
      <c r="N1099" s="311"/>
      <c r="O1099" s="311"/>
      <c r="P1099" s="311"/>
      <c r="Q1099" s="311"/>
      <c r="R1099" s="311"/>
      <c r="S1099" s="311"/>
      <c r="T1099" s="311"/>
      <c r="U1099" s="311"/>
      <c r="V1099" s="311"/>
      <c r="W1099" s="311"/>
      <c r="X1099" s="311"/>
      <c r="Y1099" s="24"/>
      <c r="Z1099" s="24"/>
      <c r="AA1099" s="24"/>
      <c r="AB1099" s="24"/>
      <c r="AC1099" s="24"/>
      <c r="AD1099" s="24"/>
    </row>
    <row r="1100" spans="1:30" ht="12.75">
      <c r="A1100" s="313"/>
      <c r="B1100" s="313"/>
      <c r="C1100" s="314"/>
      <c r="D1100" s="311"/>
      <c r="E1100" s="311"/>
      <c r="F1100" s="311"/>
      <c r="G1100" s="311"/>
      <c r="H1100" s="311"/>
      <c r="I1100" s="311"/>
      <c r="J1100" s="311"/>
      <c r="K1100" s="311"/>
      <c r="L1100" s="311"/>
      <c r="M1100" s="311"/>
      <c r="N1100" s="311"/>
      <c r="O1100" s="311"/>
      <c r="P1100" s="311"/>
      <c r="Q1100" s="311"/>
      <c r="R1100" s="311"/>
      <c r="S1100" s="311"/>
      <c r="T1100" s="311"/>
      <c r="U1100" s="311"/>
      <c r="V1100" s="311"/>
      <c r="W1100" s="311"/>
      <c r="X1100" s="311"/>
      <c r="Y1100" s="24"/>
      <c r="Z1100" s="24"/>
      <c r="AA1100" s="24"/>
      <c r="AB1100" s="24"/>
      <c r="AC1100" s="24"/>
      <c r="AD1100" s="24"/>
    </row>
    <row r="1101" spans="1:30" ht="12.75">
      <c r="A1101" s="313"/>
      <c r="B1101" s="313"/>
      <c r="C1101" s="314"/>
      <c r="D1101" s="311"/>
      <c r="E1101" s="311"/>
      <c r="F1101" s="311"/>
      <c r="G1101" s="311"/>
      <c r="H1101" s="311"/>
      <c r="I1101" s="311"/>
      <c r="J1101" s="311"/>
      <c r="K1101" s="311"/>
      <c r="L1101" s="311"/>
      <c r="M1101" s="311"/>
      <c r="N1101" s="311"/>
      <c r="O1101" s="311"/>
      <c r="P1101" s="311"/>
      <c r="Q1101" s="311"/>
      <c r="R1101" s="311"/>
      <c r="S1101" s="311"/>
      <c r="T1101" s="311"/>
      <c r="U1101" s="311"/>
      <c r="V1101" s="311"/>
      <c r="W1101" s="311"/>
      <c r="X1101" s="311"/>
      <c r="Y1101" s="24"/>
      <c r="Z1101" s="24"/>
      <c r="AA1101" s="24"/>
      <c r="AB1101" s="24"/>
      <c r="AC1101" s="24"/>
      <c r="AD1101" s="24"/>
    </row>
    <row r="1102" spans="1:30" ht="12.75">
      <c r="A1102" s="313"/>
      <c r="B1102" s="313"/>
      <c r="C1102" s="314"/>
      <c r="D1102" s="311"/>
      <c r="E1102" s="311"/>
      <c r="F1102" s="311"/>
      <c r="G1102" s="311"/>
      <c r="H1102" s="311"/>
      <c r="I1102" s="311"/>
      <c r="J1102" s="311"/>
      <c r="K1102" s="311"/>
      <c r="L1102" s="311"/>
      <c r="M1102" s="311"/>
      <c r="N1102" s="311"/>
      <c r="O1102" s="311"/>
      <c r="P1102" s="311"/>
      <c r="Q1102" s="311"/>
      <c r="R1102" s="311"/>
      <c r="S1102" s="311"/>
      <c r="T1102" s="311"/>
      <c r="U1102" s="311"/>
      <c r="V1102" s="311"/>
      <c r="W1102" s="311"/>
      <c r="X1102" s="311"/>
      <c r="Y1102" s="24"/>
      <c r="Z1102" s="24"/>
      <c r="AA1102" s="24"/>
      <c r="AB1102" s="24"/>
      <c r="AC1102" s="24"/>
      <c r="AD1102" s="24"/>
    </row>
    <row r="1103" spans="1:30" ht="12.75">
      <c r="A1103" s="313"/>
      <c r="B1103" s="313"/>
      <c r="C1103" s="314"/>
      <c r="D1103" s="311"/>
      <c r="E1103" s="311"/>
      <c r="F1103" s="311"/>
      <c r="G1103" s="311"/>
      <c r="H1103" s="311"/>
      <c r="I1103" s="311"/>
      <c r="J1103" s="311"/>
      <c r="K1103" s="311"/>
      <c r="L1103" s="311"/>
      <c r="M1103" s="311"/>
      <c r="N1103" s="311"/>
      <c r="O1103" s="311"/>
      <c r="P1103" s="311"/>
      <c r="Q1103" s="311"/>
      <c r="R1103" s="311"/>
      <c r="S1103" s="311"/>
      <c r="T1103" s="311"/>
      <c r="U1103" s="311"/>
      <c r="V1103" s="311"/>
      <c r="W1103" s="311"/>
      <c r="X1103" s="311"/>
      <c r="Y1103" s="24"/>
      <c r="Z1103" s="24"/>
      <c r="AA1103" s="24"/>
      <c r="AB1103" s="24"/>
      <c r="AC1103" s="24"/>
      <c r="AD1103" s="24"/>
    </row>
    <row r="1104" spans="1:30" ht="12.75">
      <c r="A1104" s="313"/>
      <c r="B1104" s="313"/>
      <c r="C1104" s="314"/>
      <c r="D1104" s="311"/>
      <c r="E1104" s="311"/>
      <c r="F1104" s="311"/>
      <c r="G1104" s="311"/>
      <c r="H1104" s="311"/>
      <c r="I1104" s="311"/>
      <c r="J1104" s="311"/>
      <c r="K1104" s="311"/>
      <c r="L1104" s="311"/>
      <c r="M1104" s="311"/>
      <c r="N1104" s="311"/>
      <c r="O1104" s="311"/>
      <c r="P1104" s="311"/>
      <c r="Q1104" s="311"/>
      <c r="R1104" s="311"/>
      <c r="S1104" s="311"/>
      <c r="T1104" s="311"/>
      <c r="U1104" s="311"/>
      <c r="V1104" s="311"/>
      <c r="W1104" s="311"/>
      <c r="X1104" s="311"/>
      <c r="Y1104" s="24"/>
      <c r="Z1104" s="24"/>
      <c r="AA1104" s="24"/>
      <c r="AB1104" s="24"/>
      <c r="AC1104" s="24"/>
      <c r="AD1104" s="24"/>
    </row>
    <row r="1105" spans="1:30" ht="12.75">
      <c r="A1105" s="313"/>
      <c r="B1105" s="313"/>
      <c r="C1105" s="314"/>
      <c r="D1105" s="311"/>
      <c r="E1105" s="311"/>
      <c r="F1105" s="311"/>
      <c r="G1105" s="311"/>
      <c r="H1105" s="311"/>
      <c r="I1105" s="311"/>
      <c r="J1105" s="311"/>
      <c r="K1105" s="311"/>
      <c r="L1105" s="311"/>
      <c r="M1105" s="311"/>
      <c r="N1105" s="311"/>
      <c r="O1105" s="311"/>
      <c r="P1105" s="311"/>
      <c r="Q1105" s="311"/>
      <c r="R1105" s="311"/>
      <c r="S1105" s="311"/>
      <c r="T1105" s="311"/>
      <c r="U1105" s="311"/>
      <c r="V1105" s="311"/>
      <c r="W1105" s="311"/>
      <c r="X1105" s="311"/>
      <c r="Y1105" s="24"/>
      <c r="Z1105" s="24"/>
      <c r="AA1105" s="24"/>
      <c r="AB1105" s="24"/>
      <c r="AC1105" s="24"/>
      <c r="AD1105" s="24"/>
    </row>
    <row r="1106" spans="1:30" ht="12.75">
      <c r="A1106" s="313"/>
      <c r="B1106" s="313"/>
      <c r="C1106" s="314"/>
      <c r="D1106" s="311"/>
      <c r="E1106" s="311"/>
      <c r="F1106" s="311"/>
      <c r="G1106" s="311"/>
      <c r="H1106" s="311"/>
      <c r="I1106" s="311"/>
      <c r="J1106" s="311"/>
      <c r="K1106" s="311"/>
      <c r="L1106" s="311"/>
      <c r="M1106" s="311"/>
      <c r="N1106" s="311"/>
      <c r="O1106" s="311"/>
      <c r="P1106" s="311"/>
      <c r="Q1106" s="311"/>
      <c r="R1106" s="311"/>
      <c r="S1106" s="311"/>
      <c r="T1106" s="311"/>
      <c r="U1106" s="311"/>
      <c r="V1106" s="311"/>
      <c r="W1106" s="311"/>
      <c r="X1106" s="311"/>
      <c r="Y1106" s="24"/>
      <c r="Z1106" s="24"/>
      <c r="AA1106" s="24"/>
      <c r="AB1106" s="24"/>
      <c r="AC1106" s="24"/>
      <c r="AD1106" s="24"/>
    </row>
    <row r="1107" spans="1:30" ht="12.75">
      <c r="A1107" s="313"/>
      <c r="B1107" s="313"/>
      <c r="C1107" s="314"/>
      <c r="D1107" s="311"/>
      <c r="E1107" s="311"/>
      <c r="F1107" s="311"/>
      <c r="G1107" s="311"/>
      <c r="H1107" s="311"/>
      <c r="I1107" s="311"/>
      <c r="J1107" s="311"/>
      <c r="K1107" s="311"/>
      <c r="L1107" s="311"/>
      <c r="M1107" s="311"/>
      <c r="N1107" s="311"/>
      <c r="O1107" s="311"/>
      <c r="P1107" s="311"/>
      <c r="Q1107" s="311"/>
      <c r="R1107" s="311"/>
      <c r="S1107" s="311"/>
      <c r="T1107" s="311"/>
      <c r="U1107" s="311"/>
      <c r="V1107" s="311"/>
      <c r="W1107" s="311"/>
      <c r="X1107" s="311"/>
      <c r="Y1107" s="24"/>
      <c r="Z1107" s="24"/>
      <c r="AA1107" s="24"/>
      <c r="AB1107" s="24"/>
      <c r="AC1107" s="24"/>
      <c r="AD1107" s="24"/>
    </row>
    <row r="1108" spans="1:30" ht="12.75">
      <c r="A1108" s="313"/>
      <c r="B1108" s="313"/>
      <c r="C1108" s="314"/>
      <c r="D1108" s="311"/>
      <c r="E1108" s="311"/>
      <c r="F1108" s="311"/>
      <c r="G1108" s="311"/>
      <c r="H1108" s="311"/>
      <c r="I1108" s="311"/>
      <c r="J1108" s="311"/>
      <c r="K1108" s="311"/>
      <c r="L1108" s="311"/>
      <c r="M1108" s="311"/>
      <c r="N1108" s="311"/>
      <c r="O1108" s="311"/>
      <c r="P1108" s="311"/>
      <c r="Q1108" s="311"/>
      <c r="R1108" s="311"/>
      <c r="S1108" s="311"/>
      <c r="T1108" s="311"/>
      <c r="U1108" s="311"/>
      <c r="V1108" s="311"/>
      <c r="W1108" s="311"/>
      <c r="X1108" s="311"/>
      <c r="Y1108" s="24"/>
      <c r="Z1108" s="24"/>
      <c r="AA1108" s="24"/>
      <c r="AB1108" s="24"/>
      <c r="AC1108" s="24"/>
      <c r="AD1108" s="24"/>
    </row>
    <row r="1109" spans="1:30" ht="12.75">
      <c r="A1109" s="313"/>
      <c r="B1109" s="313"/>
      <c r="C1109" s="314"/>
      <c r="D1109" s="311"/>
      <c r="E1109" s="311"/>
      <c r="F1109" s="311"/>
      <c r="G1109" s="311"/>
      <c r="H1109" s="311"/>
      <c r="I1109" s="311"/>
      <c r="J1109" s="311"/>
      <c r="K1109" s="311"/>
      <c r="L1109" s="311"/>
      <c r="M1109" s="311"/>
      <c r="N1109" s="311"/>
      <c r="O1109" s="311"/>
      <c r="P1109" s="311"/>
      <c r="Q1109" s="311"/>
      <c r="R1109" s="311"/>
      <c r="S1109" s="311"/>
      <c r="T1109" s="311"/>
      <c r="U1109" s="311"/>
      <c r="V1109" s="311"/>
      <c r="W1109" s="311"/>
      <c r="X1109" s="311"/>
      <c r="Y1109" s="24"/>
      <c r="Z1109" s="24"/>
      <c r="AA1109" s="24"/>
      <c r="AB1109" s="24"/>
      <c r="AC1109" s="24"/>
      <c r="AD1109" s="24"/>
    </row>
    <row r="1110" spans="1:30" ht="12.75">
      <c r="A1110" s="313"/>
      <c r="B1110" s="313"/>
      <c r="C1110" s="314"/>
      <c r="D1110" s="311"/>
      <c r="E1110" s="311"/>
      <c r="F1110" s="311"/>
      <c r="G1110" s="311"/>
      <c r="H1110" s="311"/>
      <c r="I1110" s="311"/>
      <c r="J1110" s="311"/>
      <c r="K1110" s="311"/>
      <c r="L1110" s="311"/>
      <c r="M1110" s="311"/>
      <c r="N1110" s="311"/>
      <c r="O1110" s="311"/>
      <c r="P1110" s="311"/>
      <c r="Q1110" s="311"/>
      <c r="R1110" s="311"/>
      <c r="S1110" s="311"/>
      <c r="T1110" s="311"/>
      <c r="U1110" s="311"/>
      <c r="V1110" s="311"/>
      <c r="W1110" s="311"/>
      <c r="X1110" s="311"/>
      <c r="Y1110" s="24"/>
      <c r="Z1110" s="24"/>
      <c r="AA1110" s="24"/>
      <c r="AB1110" s="24"/>
      <c r="AC1110" s="24"/>
      <c r="AD1110" s="24"/>
    </row>
    <row r="1111" spans="1:30" ht="12.75">
      <c r="A1111" s="313"/>
      <c r="B1111" s="313"/>
      <c r="C1111" s="314"/>
      <c r="D1111" s="311"/>
      <c r="E1111" s="311"/>
      <c r="F1111" s="311"/>
      <c r="G1111" s="311"/>
      <c r="H1111" s="311"/>
      <c r="I1111" s="311"/>
      <c r="J1111" s="311"/>
      <c r="K1111" s="311"/>
      <c r="L1111" s="311"/>
      <c r="M1111" s="311"/>
      <c r="N1111" s="311"/>
      <c r="O1111" s="311"/>
      <c r="P1111" s="311"/>
      <c r="Q1111" s="311"/>
      <c r="R1111" s="311"/>
      <c r="S1111" s="311"/>
      <c r="T1111" s="311"/>
      <c r="U1111" s="311"/>
      <c r="V1111" s="311"/>
      <c r="W1111" s="311"/>
      <c r="X1111" s="311"/>
      <c r="Y1111" s="24"/>
      <c r="Z1111" s="24"/>
      <c r="AA1111" s="24"/>
      <c r="AB1111" s="24"/>
      <c r="AC1111" s="24"/>
      <c r="AD1111" s="24"/>
    </row>
    <row r="1112" spans="1:30" ht="12.75">
      <c r="A1112" s="313"/>
      <c r="B1112" s="313"/>
      <c r="C1112" s="314"/>
      <c r="D1112" s="311"/>
      <c r="E1112" s="311"/>
      <c r="F1112" s="311"/>
      <c r="G1112" s="311"/>
      <c r="H1112" s="311"/>
      <c r="I1112" s="311"/>
      <c r="J1112" s="311"/>
      <c r="K1112" s="311"/>
      <c r="L1112" s="311"/>
      <c r="M1112" s="311"/>
      <c r="N1112" s="311"/>
      <c r="O1112" s="311"/>
      <c r="P1112" s="311"/>
      <c r="Q1112" s="311"/>
      <c r="R1112" s="311"/>
      <c r="S1112" s="311"/>
      <c r="T1112" s="311"/>
      <c r="U1112" s="311"/>
      <c r="V1112" s="311"/>
      <c r="W1112" s="311"/>
      <c r="X1112" s="311"/>
      <c r="Y1112" s="24"/>
      <c r="Z1112" s="24"/>
      <c r="AA1112" s="24"/>
      <c r="AB1112" s="24"/>
      <c r="AC1112" s="24"/>
      <c r="AD1112" s="24"/>
    </row>
    <row r="1113" spans="1:30" ht="12.75">
      <c r="A1113" s="313"/>
      <c r="B1113" s="313"/>
      <c r="C1113" s="314"/>
      <c r="D1113" s="311"/>
      <c r="E1113" s="311"/>
      <c r="F1113" s="311"/>
      <c r="G1113" s="311"/>
      <c r="H1113" s="311"/>
      <c r="I1113" s="311"/>
      <c r="J1113" s="311"/>
      <c r="K1113" s="311"/>
      <c r="L1113" s="311"/>
      <c r="M1113" s="311"/>
      <c r="N1113" s="311"/>
      <c r="O1113" s="311"/>
      <c r="P1113" s="311"/>
      <c r="Q1113" s="311"/>
      <c r="R1113" s="311"/>
      <c r="S1113" s="311"/>
      <c r="T1113" s="311"/>
      <c r="U1113" s="311"/>
      <c r="V1113" s="311"/>
      <c r="W1113" s="311"/>
      <c r="X1113" s="311"/>
      <c r="Y1113" s="24"/>
      <c r="Z1113" s="24"/>
      <c r="AA1113" s="24"/>
      <c r="AB1113" s="24"/>
      <c r="AC1113" s="24"/>
      <c r="AD1113" s="24"/>
    </row>
    <row r="1114" spans="1:30" ht="12.75">
      <c r="A1114" s="313"/>
      <c r="B1114" s="313"/>
      <c r="C1114" s="314"/>
      <c r="D1114" s="311"/>
      <c r="E1114" s="311"/>
      <c r="F1114" s="311"/>
      <c r="G1114" s="311"/>
      <c r="H1114" s="311"/>
      <c r="I1114" s="311"/>
      <c r="J1114" s="311"/>
      <c r="K1114" s="311"/>
      <c r="L1114" s="311"/>
      <c r="M1114" s="311"/>
      <c r="N1114" s="311"/>
      <c r="O1114" s="311"/>
      <c r="P1114" s="311"/>
      <c r="Q1114" s="311"/>
      <c r="R1114" s="311"/>
      <c r="S1114" s="311"/>
      <c r="T1114" s="311"/>
      <c r="U1114" s="311"/>
      <c r="V1114" s="311"/>
      <c r="W1114" s="311"/>
      <c r="X1114" s="311"/>
      <c r="Y1114" s="24"/>
      <c r="Z1114" s="24"/>
      <c r="AA1114" s="24"/>
      <c r="AB1114" s="24"/>
      <c r="AC1114" s="24"/>
      <c r="AD1114" s="24"/>
    </row>
    <row r="1115" spans="1:30" ht="12.75">
      <c r="A1115" s="313"/>
      <c r="B1115" s="313"/>
      <c r="C1115" s="314"/>
      <c r="D1115" s="311"/>
      <c r="E1115" s="311"/>
      <c r="F1115" s="311"/>
      <c r="G1115" s="311"/>
      <c r="H1115" s="311"/>
      <c r="I1115" s="311"/>
      <c r="J1115" s="311"/>
      <c r="K1115" s="311"/>
      <c r="L1115" s="311"/>
      <c r="M1115" s="311"/>
      <c r="N1115" s="311"/>
      <c r="O1115" s="311"/>
      <c r="P1115" s="311"/>
      <c r="Q1115" s="311"/>
      <c r="R1115" s="311"/>
      <c r="S1115" s="311"/>
      <c r="T1115" s="311"/>
      <c r="U1115" s="311"/>
      <c r="V1115" s="311"/>
      <c r="W1115" s="311"/>
      <c r="X1115" s="311"/>
      <c r="Y1115" s="24"/>
      <c r="Z1115" s="24"/>
      <c r="AA1115" s="24"/>
      <c r="AB1115" s="24"/>
      <c r="AC1115" s="24"/>
      <c r="AD1115" s="24"/>
    </row>
    <row r="1116" spans="1:30" ht="12.75">
      <c r="A1116" s="313"/>
      <c r="B1116" s="313"/>
      <c r="C1116" s="314"/>
      <c r="D1116" s="311"/>
      <c r="E1116" s="311"/>
      <c r="F1116" s="311"/>
      <c r="G1116" s="311"/>
      <c r="H1116" s="311"/>
      <c r="I1116" s="311"/>
      <c r="J1116" s="311"/>
      <c r="K1116" s="311"/>
      <c r="L1116" s="311"/>
      <c r="M1116" s="311"/>
      <c r="N1116" s="311"/>
      <c r="O1116" s="311"/>
      <c r="P1116" s="311"/>
      <c r="Q1116" s="311"/>
      <c r="R1116" s="311"/>
      <c r="S1116" s="311"/>
      <c r="T1116" s="311"/>
      <c r="U1116" s="311"/>
      <c r="V1116" s="311"/>
      <c r="W1116" s="311"/>
      <c r="X1116" s="311"/>
      <c r="Y1116" s="24"/>
      <c r="Z1116" s="24"/>
      <c r="AA1116" s="24"/>
      <c r="AB1116" s="24"/>
      <c r="AC1116" s="24"/>
      <c r="AD1116" s="24"/>
    </row>
    <row r="1117" spans="1:30" ht="12.75">
      <c r="A1117" s="313"/>
      <c r="B1117" s="313"/>
      <c r="C1117" s="314"/>
      <c r="D1117" s="311"/>
      <c r="E1117" s="311"/>
      <c r="F1117" s="311"/>
      <c r="G1117" s="311"/>
      <c r="H1117" s="311"/>
      <c r="I1117" s="311"/>
      <c r="J1117" s="311"/>
      <c r="K1117" s="311"/>
      <c r="L1117" s="311"/>
      <c r="M1117" s="311"/>
      <c r="N1117" s="311"/>
      <c r="O1117" s="311"/>
      <c r="P1117" s="311"/>
      <c r="Q1117" s="311"/>
      <c r="R1117" s="311"/>
      <c r="S1117" s="311"/>
      <c r="T1117" s="311"/>
      <c r="U1117" s="311"/>
      <c r="V1117" s="311"/>
      <c r="W1117" s="311"/>
      <c r="X1117" s="311"/>
      <c r="Y1117" s="24"/>
      <c r="Z1117" s="24"/>
      <c r="AA1117" s="24"/>
      <c r="AB1117" s="24"/>
      <c r="AC1117" s="24"/>
      <c r="AD1117" s="24"/>
    </row>
    <row r="1118" spans="1:30" ht="12.75">
      <c r="A1118" s="313"/>
      <c r="B1118" s="313"/>
      <c r="C1118" s="314"/>
      <c r="D1118" s="311"/>
      <c r="E1118" s="311"/>
      <c r="F1118" s="311"/>
      <c r="G1118" s="311"/>
      <c r="H1118" s="311"/>
      <c r="I1118" s="311"/>
      <c r="J1118" s="311"/>
      <c r="K1118" s="311"/>
      <c r="L1118" s="311"/>
      <c r="M1118" s="311"/>
      <c r="N1118" s="311"/>
      <c r="O1118" s="311"/>
      <c r="P1118" s="311"/>
      <c r="Q1118" s="311"/>
      <c r="R1118" s="311"/>
      <c r="S1118" s="311"/>
      <c r="T1118" s="311"/>
      <c r="U1118" s="311"/>
      <c r="V1118" s="311"/>
      <c r="W1118" s="311"/>
      <c r="X1118" s="311"/>
      <c r="Y1118" s="24"/>
      <c r="Z1118" s="24"/>
      <c r="AA1118" s="24"/>
      <c r="AB1118" s="24"/>
      <c r="AC1118" s="24"/>
      <c r="AD1118" s="24"/>
    </row>
    <row r="1119" spans="1:30" ht="12.75">
      <c r="A1119" s="313"/>
      <c r="B1119" s="313"/>
      <c r="C1119" s="314"/>
      <c r="D1119" s="311"/>
      <c r="E1119" s="311"/>
      <c r="F1119" s="311"/>
      <c r="G1119" s="311"/>
      <c r="H1119" s="311"/>
      <c r="I1119" s="311"/>
      <c r="J1119" s="311"/>
      <c r="K1119" s="311"/>
      <c r="L1119" s="311"/>
      <c r="M1119" s="311"/>
      <c r="N1119" s="311"/>
      <c r="O1119" s="311"/>
      <c r="P1119" s="311"/>
      <c r="Q1119" s="311"/>
      <c r="R1119" s="311"/>
      <c r="S1119" s="311"/>
      <c r="T1119" s="311"/>
      <c r="U1119" s="311"/>
      <c r="V1119" s="311"/>
      <c r="W1119" s="311"/>
      <c r="X1119" s="311"/>
      <c r="Y1119" s="24"/>
      <c r="Z1119" s="24"/>
      <c r="AA1119" s="24"/>
      <c r="AB1119" s="24"/>
      <c r="AC1119" s="24"/>
      <c r="AD1119" s="24"/>
    </row>
    <row r="1120" spans="1:30" ht="12.75">
      <c r="A1120" s="313"/>
      <c r="B1120" s="313"/>
      <c r="C1120" s="314"/>
      <c r="D1120" s="311"/>
      <c r="E1120" s="311"/>
      <c r="F1120" s="311"/>
      <c r="G1120" s="311"/>
      <c r="H1120" s="311"/>
      <c r="I1120" s="311"/>
      <c r="J1120" s="311"/>
      <c r="K1120" s="311"/>
      <c r="L1120" s="311"/>
      <c r="M1120" s="311"/>
      <c r="N1120" s="311"/>
      <c r="O1120" s="311"/>
      <c r="P1120" s="311"/>
      <c r="Q1120" s="311"/>
      <c r="R1120" s="311"/>
      <c r="S1120" s="311"/>
      <c r="T1120" s="311"/>
      <c r="U1120" s="311"/>
      <c r="V1120" s="311"/>
      <c r="W1120" s="311"/>
      <c r="X1120" s="311"/>
      <c r="Y1120" s="24"/>
      <c r="Z1120" s="24"/>
      <c r="AA1120" s="24"/>
      <c r="AB1120" s="24"/>
      <c r="AC1120" s="24"/>
      <c r="AD1120" s="24"/>
    </row>
    <row r="1121" spans="1:30" ht="12.75">
      <c r="A1121" s="313"/>
      <c r="B1121" s="313"/>
      <c r="C1121" s="314"/>
      <c r="D1121" s="311"/>
      <c r="E1121" s="311"/>
      <c r="F1121" s="311"/>
      <c r="G1121" s="311"/>
      <c r="H1121" s="311"/>
      <c r="I1121" s="311"/>
      <c r="J1121" s="311"/>
      <c r="K1121" s="311"/>
      <c r="L1121" s="311"/>
      <c r="M1121" s="311"/>
      <c r="N1121" s="311"/>
      <c r="O1121" s="311"/>
      <c r="P1121" s="311"/>
      <c r="Q1121" s="311"/>
      <c r="R1121" s="311"/>
      <c r="S1121" s="311"/>
      <c r="T1121" s="311"/>
      <c r="U1121" s="311"/>
      <c r="V1121" s="311"/>
      <c r="W1121" s="311"/>
      <c r="X1121" s="311"/>
      <c r="Y1121" s="24"/>
      <c r="Z1121" s="24"/>
      <c r="AA1121" s="24"/>
      <c r="AB1121" s="24"/>
      <c r="AC1121" s="24"/>
      <c r="AD1121" s="24"/>
    </row>
    <row r="1122" spans="1:30" ht="12.75">
      <c r="A1122" s="313"/>
      <c r="B1122" s="313"/>
      <c r="C1122" s="314"/>
      <c r="D1122" s="311"/>
      <c r="E1122" s="311"/>
      <c r="F1122" s="311"/>
      <c r="G1122" s="311"/>
      <c r="H1122" s="311"/>
      <c r="I1122" s="311"/>
      <c r="J1122" s="311"/>
      <c r="K1122" s="311"/>
      <c r="L1122" s="311"/>
      <c r="M1122" s="311"/>
      <c r="N1122" s="311"/>
      <c r="O1122" s="311"/>
      <c r="P1122" s="311"/>
      <c r="Q1122" s="311"/>
      <c r="R1122" s="311"/>
      <c r="S1122" s="311"/>
      <c r="T1122" s="311"/>
      <c r="U1122" s="311"/>
      <c r="V1122" s="311"/>
      <c r="W1122" s="311"/>
      <c r="X1122" s="311"/>
      <c r="Y1122" s="24"/>
      <c r="Z1122" s="24"/>
      <c r="AA1122" s="24"/>
      <c r="AB1122" s="24"/>
      <c r="AC1122" s="24"/>
      <c r="AD1122" s="24"/>
    </row>
    <row r="1123" spans="1:30" ht="12.75">
      <c r="A1123" s="313"/>
      <c r="B1123" s="313"/>
      <c r="C1123" s="314"/>
      <c r="D1123" s="311"/>
      <c r="E1123" s="311"/>
      <c r="F1123" s="311"/>
      <c r="G1123" s="311"/>
      <c r="H1123" s="311"/>
      <c r="I1123" s="311"/>
      <c r="J1123" s="311"/>
      <c r="K1123" s="311"/>
      <c r="L1123" s="311"/>
      <c r="M1123" s="311"/>
      <c r="N1123" s="311"/>
      <c r="O1123" s="311"/>
      <c r="P1123" s="311"/>
      <c r="Q1123" s="311"/>
      <c r="R1123" s="311"/>
      <c r="S1123" s="311"/>
      <c r="T1123" s="311"/>
      <c r="U1123" s="311"/>
      <c r="V1123" s="311"/>
      <c r="W1123" s="311"/>
      <c r="X1123" s="311"/>
      <c r="Y1123" s="24"/>
      <c r="Z1123" s="24"/>
      <c r="AA1123" s="24"/>
      <c r="AB1123" s="24"/>
      <c r="AC1123" s="24"/>
      <c r="AD1123" s="24"/>
    </row>
    <row r="1124" spans="1:30" ht="12.75">
      <c r="A1124" s="313"/>
      <c r="B1124" s="313"/>
      <c r="C1124" s="314"/>
      <c r="D1124" s="311"/>
      <c r="E1124" s="311"/>
      <c r="F1124" s="311"/>
      <c r="G1124" s="311"/>
      <c r="H1124" s="311"/>
      <c r="I1124" s="311"/>
      <c r="J1124" s="311"/>
      <c r="K1124" s="311"/>
      <c r="L1124" s="311"/>
      <c r="M1124" s="311"/>
      <c r="N1124" s="311"/>
      <c r="O1124" s="311"/>
      <c r="P1124" s="311"/>
      <c r="Q1124" s="311"/>
      <c r="R1124" s="311"/>
      <c r="S1124" s="311"/>
      <c r="T1124" s="311"/>
      <c r="U1124" s="311"/>
      <c r="V1124" s="311"/>
      <c r="W1124" s="311"/>
      <c r="X1124" s="311"/>
      <c r="Y1124" s="24"/>
      <c r="Z1124" s="24"/>
      <c r="AA1124" s="24"/>
      <c r="AB1124" s="24"/>
      <c r="AC1124" s="24"/>
      <c r="AD1124" s="24"/>
    </row>
    <row r="1125" spans="1:30" ht="12.75">
      <c r="A1125" s="313"/>
      <c r="B1125" s="313"/>
      <c r="C1125" s="314"/>
      <c r="D1125" s="311"/>
      <c r="E1125" s="311"/>
      <c r="F1125" s="311"/>
      <c r="G1125" s="311"/>
      <c r="H1125" s="311"/>
      <c r="I1125" s="311"/>
      <c r="J1125" s="311"/>
      <c r="K1125" s="311"/>
      <c r="L1125" s="311"/>
      <c r="M1125" s="311"/>
      <c r="N1125" s="311"/>
      <c r="O1125" s="311"/>
      <c r="P1125" s="311"/>
      <c r="Q1125" s="311"/>
      <c r="R1125" s="311"/>
      <c r="S1125" s="311"/>
      <c r="T1125" s="311"/>
      <c r="U1125" s="311"/>
      <c r="V1125" s="311"/>
      <c r="W1125" s="311"/>
      <c r="X1125" s="311"/>
      <c r="Y1125" s="24"/>
      <c r="Z1125" s="24"/>
      <c r="AA1125" s="24"/>
      <c r="AB1125" s="24"/>
      <c r="AC1125" s="24"/>
      <c r="AD1125" s="24"/>
    </row>
    <row r="1126" spans="1:30" ht="12.75">
      <c r="A1126" s="313"/>
      <c r="B1126" s="313"/>
      <c r="C1126" s="314"/>
      <c r="D1126" s="311"/>
      <c r="E1126" s="311"/>
      <c r="F1126" s="311"/>
      <c r="G1126" s="311"/>
      <c r="H1126" s="311"/>
      <c r="I1126" s="311"/>
      <c r="J1126" s="311"/>
      <c r="K1126" s="311"/>
      <c r="L1126" s="311"/>
      <c r="M1126" s="311"/>
      <c r="N1126" s="311"/>
      <c r="O1126" s="311"/>
      <c r="P1126" s="311"/>
      <c r="Q1126" s="311"/>
      <c r="R1126" s="311"/>
      <c r="S1126" s="311"/>
      <c r="T1126" s="311"/>
      <c r="U1126" s="311"/>
      <c r="V1126" s="311"/>
      <c r="W1126" s="311"/>
      <c r="X1126" s="311"/>
      <c r="Y1126" s="24"/>
      <c r="Z1126" s="24"/>
      <c r="AA1126" s="24"/>
      <c r="AB1126" s="24"/>
      <c r="AC1126" s="24"/>
      <c r="AD1126" s="24"/>
    </row>
    <row r="1127" spans="1:30" ht="12.75">
      <c r="A1127" s="313"/>
      <c r="B1127" s="313"/>
      <c r="C1127" s="314"/>
      <c r="D1127" s="311"/>
      <c r="E1127" s="311"/>
      <c r="F1127" s="311"/>
      <c r="G1127" s="311"/>
      <c r="H1127" s="311"/>
      <c r="I1127" s="311"/>
      <c r="J1127" s="311"/>
      <c r="K1127" s="311"/>
      <c r="L1127" s="311"/>
      <c r="M1127" s="311"/>
      <c r="N1127" s="311"/>
      <c r="O1127" s="311"/>
      <c r="P1127" s="311"/>
      <c r="Q1127" s="311"/>
      <c r="R1127" s="311"/>
      <c r="S1127" s="311"/>
      <c r="T1127" s="311"/>
      <c r="U1127" s="311"/>
      <c r="V1127" s="311"/>
      <c r="W1127" s="311"/>
      <c r="X1127" s="311"/>
      <c r="Y1127" s="24"/>
      <c r="Z1127" s="24"/>
      <c r="AA1127" s="24"/>
      <c r="AB1127" s="24"/>
      <c r="AC1127" s="24"/>
      <c r="AD1127" s="24"/>
    </row>
    <row r="1128" spans="1:30" ht="12.75">
      <c r="A1128" s="313"/>
      <c r="B1128" s="313"/>
      <c r="C1128" s="314"/>
      <c r="D1128" s="311"/>
      <c r="E1128" s="311"/>
      <c r="F1128" s="311"/>
      <c r="G1128" s="311"/>
      <c r="H1128" s="311"/>
      <c r="I1128" s="311"/>
      <c r="J1128" s="311"/>
      <c r="K1128" s="311"/>
      <c r="L1128" s="311"/>
      <c r="M1128" s="311"/>
      <c r="N1128" s="311"/>
      <c r="O1128" s="311"/>
      <c r="P1128" s="311"/>
      <c r="Q1128" s="311"/>
      <c r="R1128" s="311"/>
      <c r="S1128" s="311"/>
      <c r="T1128" s="311"/>
      <c r="U1128" s="311"/>
      <c r="V1128" s="311"/>
      <c r="W1128" s="311"/>
      <c r="X1128" s="311"/>
      <c r="Y1128" s="24"/>
      <c r="Z1128" s="24"/>
      <c r="AA1128" s="24"/>
      <c r="AB1128" s="24"/>
      <c r="AC1128" s="24"/>
      <c r="AD1128" s="24"/>
    </row>
    <row r="1129" spans="1:30" ht="12.75">
      <c r="A1129" s="313"/>
      <c r="B1129" s="313"/>
      <c r="C1129" s="314"/>
      <c r="D1129" s="311"/>
      <c r="E1129" s="311"/>
      <c r="F1129" s="311"/>
      <c r="G1129" s="311"/>
      <c r="H1129" s="311"/>
      <c r="I1129" s="311"/>
      <c r="J1129" s="311"/>
      <c r="K1129" s="311"/>
      <c r="L1129" s="311"/>
      <c r="M1129" s="311"/>
      <c r="N1129" s="311"/>
      <c r="O1129" s="311"/>
      <c r="P1129" s="311"/>
      <c r="Q1129" s="311"/>
      <c r="R1129" s="311"/>
      <c r="S1129" s="311"/>
      <c r="T1129" s="311"/>
      <c r="U1129" s="311"/>
      <c r="V1129" s="311"/>
      <c r="W1129" s="311"/>
      <c r="X1129" s="311"/>
      <c r="Y1129" s="24"/>
      <c r="Z1129" s="24"/>
      <c r="AA1129" s="24"/>
      <c r="AB1129" s="24"/>
      <c r="AC1129" s="24"/>
      <c r="AD1129" s="24"/>
    </row>
    <row r="1130" spans="1:30" ht="12.75">
      <c r="A1130" s="313"/>
      <c r="B1130" s="313"/>
      <c r="C1130" s="314"/>
      <c r="D1130" s="311"/>
      <c r="E1130" s="311"/>
      <c r="F1130" s="311"/>
      <c r="G1130" s="311"/>
      <c r="H1130" s="311"/>
      <c r="I1130" s="311"/>
      <c r="J1130" s="311"/>
      <c r="K1130" s="311"/>
      <c r="L1130" s="311"/>
      <c r="M1130" s="311"/>
      <c r="N1130" s="311"/>
      <c r="O1130" s="311"/>
      <c r="P1130" s="311"/>
      <c r="Q1130" s="311"/>
      <c r="R1130" s="311"/>
      <c r="S1130" s="311"/>
      <c r="T1130" s="311"/>
      <c r="U1130" s="311"/>
      <c r="V1130" s="311"/>
      <c r="W1130" s="311"/>
      <c r="X1130" s="311"/>
      <c r="Y1130" s="24"/>
      <c r="Z1130" s="24"/>
      <c r="AA1130" s="24"/>
      <c r="AB1130" s="24"/>
      <c r="AC1130" s="24"/>
      <c r="AD1130" s="24"/>
    </row>
    <row r="1131" spans="1:30" ht="12.75">
      <c r="A1131" s="313"/>
      <c r="B1131" s="313"/>
      <c r="C1131" s="314"/>
      <c r="D1131" s="311"/>
      <c r="E1131" s="311"/>
      <c r="F1131" s="311"/>
      <c r="G1131" s="311"/>
      <c r="H1131" s="311"/>
      <c r="I1131" s="311"/>
      <c r="J1131" s="311"/>
      <c r="K1131" s="311"/>
      <c r="L1131" s="311"/>
      <c r="M1131" s="311"/>
      <c r="N1131" s="311"/>
      <c r="O1131" s="311"/>
      <c r="P1131" s="311"/>
      <c r="Q1131" s="311"/>
      <c r="R1131" s="311"/>
      <c r="S1131" s="311"/>
      <c r="T1131" s="311"/>
      <c r="U1131" s="311"/>
      <c r="V1131" s="311"/>
      <c r="W1131" s="311"/>
      <c r="X1131" s="311"/>
      <c r="Y1131" s="24"/>
      <c r="Z1131" s="24"/>
      <c r="AA1131" s="24"/>
      <c r="AB1131" s="24"/>
      <c r="AC1131" s="24"/>
      <c r="AD1131" s="24"/>
    </row>
    <row r="1132" spans="1:30" ht="12.75">
      <c r="A1132" s="313"/>
      <c r="B1132" s="313"/>
      <c r="C1132" s="314"/>
      <c r="D1132" s="311"/>
      <c r="E1132" s="311"/>
      <c r="F1132" s="311"/>
      <c r="G1132" s="311"/>
      <c r="H1132" s="311"/>
      <c r="I1132" s="311"/>
      <c r="J1132" s="311"/>
      <c r="K1132" s="311"/>
      <c r="L1132" s="311"/>
      <c r="M1132" s="311"/>
      <c r="N1132" s="311"/>
      <c r="O1132" s="311"/>
      <c r="P1132" s="311"/>
      <c r="Q1132" s="311"/>
      <c r="R1132" s="311"/>
      <c r="S1132" s="311"/>
      <c r="T1132" s="311"/>
      <c r="U1132" s="311"/>
      <c r="V1132" s="311"/>
      <c r="W1132" s="311"/>
      <c r="X1132" s="311"/>
      <c r="Y1132" s="24"/>
      <c r="Z1132" s="24"/>
      <c r="AA1132" s="24"/>
      <c r="AB1132" s="24"/>
      <c r="AC1132" s="24"/>
      <c r="AD1132" s="24"/>
    </row>
    <row r="1133" spans="1:30" ht="12.75">
      <c r="A1133" s="313"/>
      <c r="B1133" s="313"/>
      <c r="C1133" s="314"/>
      <c r="D1133" s="311"/>
      <c r="E1133" s="311"/>
      <c r="F1133" s="311"/>
      <c r="G1133" s="311"/>
      <c r="H1133" s="311"/>
      <c r="I1133" s="311"/>
      <c r="J1133" s="311"/>
      <c r="K1133" s="311"/>
      <c r="L1133" s="311"/>
      <c r="M1133" s="311"/>
      <c r="N1133" s="311"/>
      <c r="O1133" s="311"/>
      <c r="P1133" s="311"/>
      <c r="Q1133" s="311"/>
      <c r="R1133" s="311"/>
      <c r="S1133" s="311"/>
      <c r="T1133" s="311"/>
      <c r="U1133" s="311"/>
      <c r="V1133" s="311"/>
      <c r="W1133" s="311"/>
      <c r="X1133" s="311"/>
      <c r="Y1133" s="24"/>
      <c r="Z1133" s="24"/>
      <c r="AA1133" s="24"/>
      <c r="AB1133" s="24"/>
      <c r="AC1133" s="24"/>
      <c r="AD1133" s="24"/>
    </row>
    <row r="1134" spans="1:30" ht="12.75">
      <c r="A1134" s="313"/>
      <c r="B1134" s="313"/>
      <c r="C1134" s="314"/>
      <c r="D1134" s="311"/>
      <c r="E1134" s="311"/>
      <c r="F1134" s="311"/>
      <c r="G1134" s="311"/>
      <c r="H1134" s="311"/>
      <c r="I1134" s="311"/>
      <c r="J1134" s="311"/>
      <c r="K1134" s="311"/>
      <c r="L1134" s="311"/>
      <c r="M1134" s="311"/>
      <c r="N1134" s="311"/>
      <c r="O1134" s="311"/>
      <c r="P1134" s="311"/>
      <c r="Q1134" s="311"/>
      <c r="R1134" s="311"/>
      <c r="S1134" s="311"/>
      <c r="T1134" s="311"/>
      <c r="U1134" s="311"/>
      <c r="V1134" s="311"/>
      <c r="W1134" s="311"/>
      <c r="X1134" s="311"/>
      <c r="Y1134" s="24"/>
      <c r="Z1134" s="24"/>
      <c r="AA1134" s="24"/>
      <c r="AB1134" s="24"/>
      <c r="AC1134" s="24"/>
      <c r="AD1134" s="24"/>
    </row>
    <row r="1135" spans="1:30" ht="12.75">
      <c r="A1135" s="313"/>
      <c r="B1135" s="313"/>
      <c r="C1135" s="314"/>
      <c r="D1135" s="311"/>
      <c r="E1135" s="311"/>
      <c r="F1135" s="311"/>
      <c r="G1135" s="311"/>
      <c r="H1135" s="311"/>
      <c r="I1135" s="311"/>
      <c r="J1135" s="311"/>
      <c r="K1135" s="311"/>
      <c r="L1135" s="311"/>
      <c r="M1135" s="311"/>
      <c r="N1135" s="311"/>
      <c r="O1135" s="311"/>
      <c r="P1135" s="311"/>
      <c r="Q1135" s="311"/>
      <c r="R1135" s="311"/>
      <c r="S1135" s="311"/>
      <c r="T1135" s="311"/>
      <c r="U1135" s="311"/>
      <c r="V1135" s="311"/>
      <c r="W1135" s="311"/>
      <c r="X1135" s="311"/>
      <c r="Y1135" s="24"/>
      <c r="Z1135" s="24"/>
      <c r="AA1135" s="24"/>
      <c r="AB1135" s="24"/>
      <c r="AC1135" s="24"/>
      <c r="AD1135" s="24"/>
    </row>
    <row r="1136" spans="1:30" ht="12.75">
      <c r="A1136" s="313"/>
      <c r="B1136" s="313"/>
      <c r="C1136" s="314"/>
      <c r="D1136" s="311"/>
      <c r="E1136" s="311"/>
      <c r="F1136" s="311"/>
      <c r="G1136" s="311"/>
      <c r="H1136" s="311"/>
      <c r="I1136" s="311"/>
      <c r="J1136" s="311"/>
      <c r="K1136" s="311"/>
      <c r="L1136" s="311"/>
      <c r="M1136" s="311"/>
      <c r="N1136" s="311"/>
      <c r="O1136" s="311"/>
      <c r="P1136" s="311"/>
      <c r="Q1136" s="311"/>
      <c r="R1136" s="311"/>
      <c r="S1136" s="311"/>
      <c r="T1136" s="311"/>
      <c r="U1136" s="311"/>
      <c r="V1136" s="311"/>
      <c r="W1136" s="311"/>
      <c r="X1136" s="311"/>
      <c r="Y1136" s="24"/>
      <c r="Z1136" s="24"/>
      <c r="AA1136" s="24"/>
      <c r="AB1136" s="24"/>
      <c r="AC1136" s="24"/>
      <c r="AD1136" s="24"/>
    </row>
    <row r="1137" spans="1:30" ht="12.75">
      <c r="A1137" s="313"/>
      <c r="B1137" s="313"/>
      <c r="C1137" s="314"/>
      <c r="D1137" s="311"/>
      <c r="E1137" s="311"/>
      <c r="F1137" s="311"/>
      <c r="G1137" s="311"/>
      <c r="H1137" s="311"/>
      <c r="I1137" s="311"/>
      <c r="J1137" s="311"/>
      <c r="K1137" s="311"/>
      <c r="L1137" s="311"/>
      <c r="M1137" s="311"/>
      <c r="N1137" s="311"/>
      <c r="O1137" s="311"/>
      <c r="P1137" s="311"/>
      <c r="Q1137" s="311"/>
      <c r="R1137" s="311"/>
      <c r="S1137" s="311"/>
      <c r="T1137" s="311"/>
      <c r="U1137" s="311"/>
      <c r="V1137" s="311"/>
      <c r="W1137" s="311"/>
      <c r="X1137" s="311"/>
      <c r="Y1137" s="24"/>
      <c r="Z1137" s="24"/>
      <c r="AA1137" s="24"/>
      <c r="AB1137" s="24"/>
      <c r="AC1137" s="24"/>
      <c r="AD1137" s="24"/>
    </row>
    <row r="1138" spans="1:30" ht="12.75">
      <c r="A1138" s="313"/>
      <c r="B1138" s="313"/>
      <c r="C1138" s="314"/>
      <c r="D1138" s="311"/>
      <c r="E1138" s="311"/>
      <c r="F1138" s="311"/>
      <c r="G1138" s="311"/>
      <c r="H1138" s="311"/>
      <c r="I1138" s="311"/>
      <c r="J1138" s="311"/>
      <c r="K1138" s="311"/>
      <c r="L1138" s="311"/>
      <c r="M1138" s="311"/>
      <c r="N1138" s="311"/>
      <c r="O1138" s="311"/>
      <c r="P1138" s="311"/>
      <c r="Q1138" s="311"/>
      <c r="R1138" s="311"/>
      <c r="S1138" s="311"/>
      <c r="T1138" s="311"/>
      <c r="U1138" s="311"/>
      <c r="V1138" s="311"/>
      <c r="W1138" s="311"/>
      <c r="X1138" s="311"/>
      <c r="Y1138" s="24"/>
      <c r="Z1138" s="24"/>
      <c r="AA1138" s="24"/>
      <c r="AB1138" s="24"/>
      <c r="AC1138" s="24"/>
      <c r="AD1138" s="24"/>
    </row>
    <row r="1139" spans="1:30" ht="12.75">
      <c r="A1139" s="313"/>
      <c r="B1139" s="313"/>
      <c r="C1139" s="314"/>
      <c r="D1139" s="311"/>
      <c r="E1139" s="311"/>
      <c r="F1139" s="311"/>
      <c r="G1139" s="311"/>
      <c r="H1139" s="311"/>
      <c r="I1139" s="311"/>
      <c r="J1139" s="311"/>
      <c r="K1139" s="311"/>
      <c r="L1139" s="311"/>
      <c r="M1139" s="311"/>
      <c r="N1139" s="311"/>
      <c r="O1139" s="311"/>
      <c r="P1139" s="311"/>
      <c r="Q1139" s="311"/>
      <c r="R1139" s="311"/>
      <c r="S1139" s="311"/>
      <c r="T1139" s="311"/>
      <c r="U1139" s="311"/>
      <c r="V1139" s="311"/>
      <c r="W1139" s="311"/>
      <c r="X1139" s="311"/>
      <c r="Y1139" s="24"/>
      <c r="Z1139" s="24"/>
      <c r="AA1139" s="24"/>
      <c r="AB1139" s="24"/>
      <c r="AC1139" s="24"/>
      <c r="AD1139" s="24"/>
    </row>
    <row r="1140" spans="1:30" ht="12.75">
      <c r="A1140" s="313"/>
      <c r="B1140" s="313"/>
      <c r="C1140" s="314"/>
      <c r="D1140" s="311"/>
      <c r="E1140" s="311"/>
      <c r="F1140" s="311"/>
      <c r="G1140" s="311"/>
      <c r="H1140" s="311"/>
      <c r="I1140" s="311"/>
      <c r="J1140" s="311"/>
      <c r="K1140" s="311"/>
      <c r="L1140" s="311"/>
      <c r="M1140" s="311"/>
      <c r="N1140" s="311"/>
      <c r="O1140" s="311"/>
      <c r="P1140" s="311"/>
      <c r="Q1140" s="311"/>
      <c r="R1140" s="311"/>
      <c r="S1140" s="311"/>
      <c r="T1140" s="311"/>
      <c r="U1140" s="311"/>
      <c r="V1140" s="311"/>
      <c r="W1140" s="311"/>
      <c r="X1140" s="311"/>
      <c r="Y1140" s="24"/>
      <c r="Z1140" s="24"/>
      <c r="AA1140" s="24"/>
      <c r="AB1140" s="24"/>
      <c r="AC1140" s="24"/>
      <c r="AD1140" s="24"/>
    </row>
    <row r="1141" spans="1:30" ht="12.75">
      <c r="A1141" s="313"/>
      <c r="B1141" s="313"/>
      <c r="C1141" s="314"/>
      <c r="D1141" s="311"/>
      <c r="E1141" s="311"/>
      <c r="F1141" s="311"/>
      <c r="G1141" s="311"/>
      <c r="H1141" s="311"/>
      <c r="I1141" s="311"/>
      <c r="J1141" s="311"/>
      <c r="K1141" s="311"/>
      <c r="L1141" s="311"/>
      <c r="M1141" s="311"/>
      <c r="N1141" s="311"/>
      <c r="O1141" s="311"/>
      <c r="P1141" s="311"/>
      <c r="Q1141" s="311"/>
      <c r="R1141" s="311"/>
      <c r="S1141" s="311"/>
      <c r="T1141" s="311"/>
      <c r="U1141" s="311"/>
      <c r="V1141" s="311"/>
      <c r="W1141" s="311"/>
      <c r="X1141" s="311"/>
      <c r="Y1141" s="24"/>
      <c r="Z1141" s="24"/>
      <c r="AA1141" s="24"/>
      <c r="AB1141" s="24"/>
      <c r="AC1141" s="24"/>
      <c r="AD1141" s="24"/>
    </row>
    <row r="1142" spans="1:30" ht="12.75">
      <c r="A1142" s="313"/>
      <c r="B1142" s="313"/>
      <c r="C1142" s="314"/>
      <c r="D1142" s="311"/>
      <c r="E1142" s="311"/>
      <c r="F1142" s="311"/>
      <c r="G1142" s="311"/>
      <c r="H1142" s="311"/>
      <c r="I1142" s="311"/>
      <c r="J1142" s="311"/>
      <c r="K1142" s="311"/>
      <c r="L1142" s="311"/>
      <c r="M1142" s="311"/>
      <c r="N1142" s="311"/>
      <c r="O1142" s="311"/>
      <c r="P1142" s="311"/>
      <c r="Q1142" s="311"/>
      <c r="R1142" s="311"/>
      <c r="S1142" s="311"/>
      <c r="T1142" s="311"/>
      <c r="U1142" s="311"/>
      <c r="V1142" s="311"/>
      <c r="W1142" s="311"/>
      <c r="X1142" s="311"/>
      <c r="Y1142" s="24"/>
      <c r="Z1142" s="24"/>
      <c r="AA1142" s="24"/>
      <c r="AB1142" s="24"/>
      <c r="AC1142" s="24"/>
      <c r="AD1142" s="24"/>
    </row>
    <row r="1143" spans="1:30" ht="12.75">
      <c r="A1143" s="313"/>
      <c r="B1143" s="313"/>
      <c r="C1143" s="314"/>
      <c r="D1143" s="311"/>
      <c r="E1143" s="311"/>
      <c r="F1143" s="311"/>
      <c r="G1143" s="311"/>
      <c r="H1143" s="311"/>
      <c r="I1143" s="311"/>
      <c r="J1143" s="311"/>
      <c r="K1143" s="311"/>
      <c r="L1143" s="311"/>
      <c r="M1143" s="311"/>
      <c r="N1143" s="311"/>
      <c r="O1143" s="311"/>
      <c r="P1143" s="311"/>
      <c r="Q1143" s="311"/>
      <c r="R1143" s="311"/>
      <c r="S1143" s="311"/>
      <c r="T1143" s="311"/>
      <c r="U1143" s="311"/>
      <c r="V1143" s="311"/>
      <c r="W1143" s="311"/>
      <c r="X1143" s="311"/>
      <c r="Y1143" s="24"/>
      <c r="Z1143" s="24"/>
      <c r="AA1143" s="24"/>
      <c r="AB1143" s="24"/>
      <c r="AC1143" s="24"/>
      <c r="AD1143" s="24"/>
    </row>
    <row r="1144" spans="1:30" ht="12.75">
      <c r="A1144" s="313"/>
      <c r="B1144" s="313"/>
      <c r="C1144" s="314"/>
      <c r="D1144" s="311"/>
      <c r="E1144" s="311"/>
      <c r="F1144" s="311"/>
      <c r="G1144" s="311"/>
      <c r="H1144" s="311"/>
      <c r="I1144" s="311"/>
      <c r="J1144" s="311"/>
      <c r="K1144" s="311"/>
      <c r="L1144" s="311"/>
      <c r="M1144" s="311"/>
      <c r="N1144" s="311"/>
      <c r="O1144" s="311"/>
      <c r="P1144" s="311"/>
      <c r="Q1144" s="311"/>
      <c r="R1144" s="311"/>
      <c r="S1144" s="311"/>
      <c r="T1144" s="311"/>
      <c r="U1144" s="311"/>
      <c r="V1144" s="311"/>
      <c r="W1144" s="311"/>
      <c r="X1144" s="311"/>
      <c r="Y1144" s="24"/>
      <c r="Z1144" s="24"/>
      <c r="AA1144" s="24"/>
      <c r="AB1144" s="24"/>
      <c r="AC1144" s="24"/>
      <c r="AD1144" s="24"/>
    </row>
    <row r="1145" spans="1:30" ht="12.75">
      <c r="A1145" s="313"/>
      <c r="B1145" s="313"/>
      <c r="C1145" s="314"/>
      <c r="D1145" s="311"/>
      <c r="E1145" s="311"/>
      <c r="F1145" s="311"/>
      <c r="G1145" s="311"/>
      <c r="H1145" s="311"/>
      <c r="I1145" s="311"/>
      <c r="J1145" s="311"/>
      <c r="K1145" s="311"/>
      <c r="L1145" s="311"/>
      <c r="M1145" s="311"/>
      <c r="N1145" s="311"/>
      <c r="O1145" s="311"/>
      <c r="P1145" s="311"/>
      <c r="Q1145" s="311"/>
      <c r="R1145" s="311"/>
      <c r="S1145" s="311"/>
      <c r="T1145" s="311"/>
      <c r="U1145" s="311"/>
      <c r="V1145" s="311"/>
      <c r="W1145" s="311"/>
      <c r="X1145" s="311"/>
      <c r="Y1145" s="24"/>
      <c r="Z1145" s="24"/>
      <c r="AA1145" s="24"/>
      <c r="AB1145" s="24"/>
      <c r="AC1145" s="24"/>
      <c r="AD1145" s="24"/>
    </row>
    <row r="1146" spans="1:30" ht="12.75">
      <c r="A1146" s="313"/>
      <c r="B1146" s="313"/>
      <c r="C1146" s="314"/>
      <c r="D1146" s="311"/>
      <c r="E1146" s="311"/>
      <c r="F1146" s="311"/>
      <c r="G1146" s="311"/>
      <c r="H1146" s="311"/>
      <c r="I1146" s="311"/>
      <c r="J1146" s="311"/>
      <c r="K1146" s="311"/>
      <c r="L1146" s="311"/>
      <c r="M1146" s="311"/>
      <c r="N1146" s="311"/>
      <c r="O1146" s="311"/>
      <c r="P1146" s="311"/>
      <c r="Q1146" s="311"/>
      <c r="R1146" s="311"/>
      <c r="S1146" s="311"/>
      <c r="T1146" s="311"/>
      <c r="U1146" s="311"/>
      <c r="V1146" s="311"/>
      <c r="W1146" s="311"/>
      <c r="X1146" s="311"/>
      <c r="Y1146" s="24"/>
      <c r="Z1146" s="24"/>
      <c r="AA1146" s="24"/>
      <c r="AB1146" s="24"/>
      <c r="AC1146" s="24"/>
      <c r="AD1146" s="24"/>
    </row>
    <row r="1147" spans="1:30" ht="12.75">
      <c r="A1147" s="313"/>
      <c r="B1147" s="313"/>
      <c r="C1147" s="314"/>
      <c r="D1147" s="311"/>
      <c r="E1147" s="311"/>
      <c r="F1147" s="311"/>
      <c r="G1147" s="311"/>
      <c r="H1147" s="311"/>
      <c r="I1147" s="311"/>
      <c r="J1147" s="311"/>
      <c r="K1147" s="311"/>
      <c r="L1147" s="311"/>
      <c r="M1147" s="311"/>
      <c r="N1147" s="311"/>
      <c r="O1147" s="311"/>
      <c r="P1147" s="311"/>
      <c r="Q1147" s="311"/>
      <c r="R1147" s="311"/>
      <c r="S1147" s="311"/>
      <c r="T1147" s="311"/>
      <c r="U1147" s="311"/>
      <c r="V1147" s="311"/>
      <c r="W1147" s="311"/>
      <c r="X1147" s="311"/>
      <c r="Y1147" s="24"/>
      <c r="Z1147" s="24"/>
      <c r="AA1147" s="24"/>
      <c r="AB1147" s="24"/>
      <c r="AC1147" s="24"/>
      <c r="AD1147" s="24"/>
    </row>
    <row r="1148" spans="1:30" ht="12.75">
      <c r="A1148" s="313"/>
      <c r="B1148" s="313"/>
      <c r="C1148" s="314"/>
      <c r="D1148" s="311"/>
      <c r="E1148" s="311"/>
      <c r="F1148" s="311"/>
      <c r="G1148" s="311"/>
      <c r="H1148" s="311"/>
      <c r="I1148" s="311"/>
      <c r="J1148" s="311"/>
      <c r="K1148" s="311"/>
      <c r="L1148" s="311"/>
      <c r="M1148" s="311"/>
      <c r="N1148" s="311"/>
      <c r="O1148" s="311"/>
      <c r="P1148" s="311"/>
      <c r="Q1148" s="311"/>
      <c r="R1148" s="311"/>
      <c r="S1148" s="311"/>
      <c r="T1148" s="311"/>
      <c r="U1148" s="311"/>
      <c r="V1148" s="311"/>
      <c r="W1148" s="311"/>
      <c r="X1148" s="311"/>
      <c r="Y1148" s="24"/>
      <c r="Z1148" s="24"/>
      <c r="AA1148" s="24"/>
      <c r="AB1148" s="24"/>
      <c r="AC1148" s="24"/>
      <c r="AD1148" s="24"/>
    </row>
    <row r="1149" spans="1:30" ht="12.75">
      <c r="A1149" s="313"/>
      <c r="B1149" s="313"/>
      <c r="C1149" s="314"/>
      <c r="D1149" s="311"/>
      <c r="E1149" s="311"/>
      <c r="F1149" s="311"/>
      <c r="G1149" s="311"/>
      <c r="H1149" s="311"/>
      <c r="I1149" s="311"/>
      <c r="J1149" s="311"/>
      <c r="K1149" s="311"/>
      <c r="L1149" s="311"/>
      <c r="M1149" s="311"/>
      <c r="N1149" s="311"/>
      <c r="O1149" s="311"/>
      <c r="P1149" s="311"/>
      <c r="Q1149" s="311"/>
      <c r="R1149" s="311"/>
      <c r="S1149" s="311"/>
      <c r="T1149" s="311"/>
      <c r="U1149" s="311"/>
      <c r="V1149" s="311"/>
      <c r="W1149" s="311"/>
      <c r="X1149" s="311"/>
      <c r="Y1149" s="24"/>
      <c r="Z1149" s="24"/>
      <c r="AA1149" s="24"/>
      <c r="AB1149" s="24"/>
      <c r="AC1149" s="24"/>
      <c r="AD1149" s="24"/>
    </row>
  </sheetData>
  <customSheetViews>
    <customSheetView guid="{F2AE6411-00CA-459F-B4D0-791254FC581E}" filter="1" showAutoFilter="1">
      <pageMargins left="0.7" right="0.7" top="0.75" bottom="0.75" header="0.3" footer="0.3"/>
      <autoFilter ref="B1:B1149" xr:uid="{B7FD00A9-76E9-4733-9391-562DC0482A51}"/>
    </customSheetView>
  </customSheetViews>
  <mergeCells count="5">
    <mergeCell ref="K1:L1"/>
    <mergeCell ref="M1:N1"/>
    <mergeCell ref="O1:P1"/>
    <mergeCell ref="Q1:R1"/>
    <mergeCell ref="S1:T1"/>
  </mergeCells>
  <hyperlinks>
    <hyperlink ref="E137" r:id="rId1" xr:uid="{00000000-0004-0000-0200-000000000000}"/>
    <hyperlink ref="E142" r:id="rId2" xr:uid="{00000000-0004-0000-0200-000001000000}"/>
    <hyperlink ref="E147" r:id="rId3" xr:uid="{00000000-0004-0000-0200-000002000000}"/>
    <hyperlink ref="E148" r:id="rId4" xr:uid="{00000000-0004-0000-0200-000003000000}"/>
    <hyperlink ref="E170" r:id="rId5" xr:uid="{00000000-0004-0000-0200-000004000000}"/>
    <hyperlink ref="E171" r:id="rId6" xr:uid="{00000000-0004-0000-0200-000005000000}"/>
    <hyperlink ref="E172" r:id="rId7" xr:uid="{00000000-0004-0000-0200-000006000000}"/>
    <hyperlink ref="E173" r:id="rId8" xr:uid="{00000000-0004-0000-0200-000007000000}"/>
    <hyperlink ref="E174" r:id="rId9" xr:uid="{00000000-0004-0000-0200-000008000000}"/>
    <hyperlink ref="E175" r:id="rId10" xr:uid="{00000000-0004-0000-0200-000009000000}"/>
    <hyperlink ref="E176" r:id="rId11" xr:uid="{00000000-0004-0000-0200-00000A000000}"/>
    <hyperlink ref="E177" r:id="rId12" xr:uid="{00000000-0004-0000-0200-00000B000000}"/>
    <hyperlink ref="E178" r:id="rId13" xr:uid="{00000000-0004-0000-0200-00000C000000}"/>
    <hyperlink ref="E179" r:id="rId14" xr:uid="{00000000-0004-0000-0200-00000D000000}"/>
    <hyperlink ref="E180" r:id="rId15" xr:uid="{00000000-0004-0000-0200-00000E000000}"/>
    <hyperlink ref="E181" r:id="rId16" xr:uid="{00000000-0004-0000-0200-00000F000000}"/>
    <hyperlink ref="E182" r:id="rId17" xr:uid="{00000000-0004-0000-0200-000010000000}"/>
    <hyperlink ref="E183" r:id="rId18" xr:uid="{00000000-0004-0000-0200-000011000000}"/>
    <hyperlink ref="E184" r:id="rId19" xr:uid="{00000000-0004-0000-0200-000012000000}"/>
    <hyperlink ref="E185" r:id="rId20" xr:uid="{00000000-0004-0000-0200-000013000000}"/>
    <hyperlink ref="E189" r:id="rId21" xr:uid="{00000000-0004-0000-0200-000014000000}"/>
    <hyperlink ref="E190" r:id="rId22" xr:uid="{00000000-0004-0000-0200-000015000000}"/>
    <hyperlink ref="E191" r:id="rId23" xr:uid="{00000000-0004-0000-0200-000016000000}"/>
  </hyperlinks>
  <pageMargins left="0.7" right="0.7" top="0.75" bottom="0.75" header="0.3" footer="0.3"/>
  <legacyDrawing r:id="rId24"/>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outlinePr summaryBelow="0" summaryRight="0"/>
  </sheetPr>
  <dimension ref="A1:E28"/>
  <sheetViews>
    <sheetView workbookViewId="0"/>
  </sheetViews>
  <sheetFormatPr baseColWidth="10" defaultColWidth="14.42578125" defaultRowHeight="15.75" customHeight="1"/>
  <cols>
    <col min="1" max="2" width="35" customWidth="1"/>
    <col min="3" max="3" width="17.85546875" customWidth="1"/>
    <col min="4" max="4" width="36.42578125" customWidth="1"/>
    <col min="5" max="5" width="21.140625" customWidth="1"/>
  </cols>
  <sheetData>
    <row r="1" spans="1:5">
      <c r="A1" s="324" t="s">
        <v>11</v>
      </c>
      <c r="B1" s="324" t="s">
        <v>1749</v>
      </c>
      <c r="C1" s="324" t="s">
        <v>12</v>
      </c>
      <c r="D1" s="324" t="s">
        <v>13</v>
      </c>
      <c r="E1" s="324" t="s">
        <v>14</v>
      </c>
    </row>
    <row r="2" spans="1:5" ht="12.75">
      <c r="A2" s="17" t="s">
        <v>493</v>
      </c>
      <c r="B2" s="17" t="s">
        <v>1750</v>
      </c>
      <c r="C2" s="17" t="s">
        <v>1751</v>
      </c>
      <c r="D2" s="17" t="s">
        <v>1752</v>
      </c>
      <c r="E2" s="17" t="s">
        <v>1753</v>
      </c>
    </row>
    <row r="3" spans="1:5" ht="12.75">
      <c r="A3" s="17" t="s">
        <v>521</v>
      </c>
      <c r="B3" s="325" t="s">
        <v>1754</v>
      </c>
      <c r="C3" s="17" t="s">
        <v>1755</v>
      </c>
      <c r="D3" s="17" t="s">
        <v>1756</v>
      </c>
      <c r="E3" s="17" t="s">
        <v>1757</v>
      </c>
    </row>
    <row r="4" spans="1:5" ht="18" customHeight="1">
      <c r="A4" s="17" t="s">
        <v>1758</v>
      </c>
      <c r="B4" s="17" t="s">
        <v>1626</v>
      </c>
      <c r="C4" s="17" t="s">
        <v>713</v>
      </c>
      <c r="D4" s="17" t="s">
        <v>1759</v>
      </c>
      <c r="E4" s="17" t="s">
        <v>1760</v>
      </c>
    </row>
    <row r="5" spans="1:5" ht="12.75">
      <c r="A5" s="17" t="s">
        <v>1761</v>
      </c>
      <c r="B5" s="17" t="s">
        <v>1031</v>
      </c>
      <c r="C5" s="17" t="s">
        <v>504</v>
      </c>
      <c r="D5" s="17" t="s">
        <v>1762</v>
      </c>
      <c r="E5" s="326" t="s">
        <v>1763</v>
      </c>
    </row>
    <row r="6" spans="1:5" ht="12.75">
      <c r="A6" s="17" t="s">
        <v>1764</v>
      </c>
      <c r="C6" s="17" t="s">
        <v>1765</v>
      </c>
      <c r="D6" s="17" t="s">
        <v>1766</v>
      </c>
    </row>
    <row r="7" spans="1:5" ht="15" customHeight="1">
      <c r="B7" s="17" t="s">
        <v>1767</v>
      </c>
      <c r="C7" s="17" t="s">
        <v>1768</v>
      </c>
      <c r="D7" s="17" t="s">
        <v>1769</v>
      </c>
    </row>
    <row r="8" spans="1:5" ht="12.75">
      <c r="A8" s="17" t="s">
        <v>1767</v>
      </c>
      <c r="B8" s="17"/>
      <c r="C8" s="17" t="s">
        <v>1620</v>
      </c>
      <c r="D8" s="17" t="s">
        <v>1770</v>
      </c>
      <c r="E8" s="17" t="s">
        <v>1767</v>
      </c>
    </row>
    <row r="9" spans="1:5" ht="12.75">
      <c r="B9" s="17"/>
      <c r="C9" s="17" t="s">
        <v>1771</v>
      </c>
      <c r="D9" s="17" t="s">
        <v>1772</v>
      </c>
    </row>
    <row r="10" spans="1:5" ht="12.75">
      <c r="B10" s="17"/>
      <c r="C10" s="17" t="s">
        <v>1773</v>
      </c>
    </row>
    <row r="11" spans="1:5" ht="12.75">
      <c r="C11" s="17" t="s">
        <v>1774</v>
      </c>
      <c r="D11" s="17" t="s">
        <v>1767</v>
      </c>
    </row>
    <row r="12" spans="1:5" ht="12.75">
      <c r="C12" s="17" t="s">
        <v>1775</v>
      </c>
    </row>
    <row r="13" spans="1:5" ht="12.75">
      <c r="C13" s="17" t="s">
        <v>511</v>
      </c>
    </row>
    <row r="14" spans="1:5" ht="17.25" customHeight="1">
      <c r="B14" t="s">
        <v>1621</v>
      </c>
      <c r="C14" s="17" t="s">
        <v>1776</v>
      </c>
    </row>
    <row r="15" spans="1:5" ht="12.75">
      <c r="C15" s="17" t="s">
        <v>665</v>
      </c>
    </row>
    <row r="16" spans="1:5" ht="12.75">
      <c r="C16" s="17" t="s">
        <v>1777</v>
      </c>
    </row>
    <row r="17" spans="1:3" ht="12.75">
      <c r="C17" s="17" t="s">
        <v>1363</v>
      </c>
    </row>
    <row r="18" spans="1:3" ht="17.25" customHeight="1"/>
    <row r="19" spans="1:3" ht="12.75">
      <c r="C19" s="17" t="s">
        <v>1767</v>
      </c>
    </row>
    <row r="24" spans="1:3" ht="12.75">
      <c r="A24" s="17" t="s">
        <v>1778</v>
      </c>
    </row>
    <row r="25" spans="1:3" ht="18" customHeight="1">
      <c r="A25" s="17" t="s">
        <v>1779</v>
      </c>
    </row>
    <row r="26" spans="1:3" ht="12.75">
      <c r="A26" s="17" t="s">
        <v>1780</v>
      </c>
    </row>
    <row r="28" spans="1:3" ht="20.25" customHeight="1"/>
  </sheetData>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AD1022"/>
  <sheetViews>
    <sheetView workbookViewId="0">
      <pane ySplit="1" topLeftCell="A2" activePane="bottomLeft" state="frozen"/>
      <selection pane="bottomLeft" activeCell="B3" sqref="B3"/>
    </sheetView>
  </sheetViews>
  <sheetFormatPr baseColWidth="10" defaultColWidth="14.42578125" defaultRowHeight="15.75" customHeight="1"/>
  <cols>
    <col min="1" max="1" width="11" customWidth="1"/>
    <col min="2" max="2" width="16" customWidth="1"/>
    <col min="4" max="4" width="35.7109375" hidden="1" customWidth="1"/>
    <col min="5" max="5" width="43.28515625" hidden="1" customWidth="1"/>
    <col min="6" max="6" width="33.28515625" hidden="1" customWidth="1"/>
    <col min="7" max="8" width="33" customWidth="1"/>
    <col min="9" max="9" width="31.7109375" customWidth="1"/>
    <col min="10" max="10" width="36.140625" customWidth="1"/>
    <col min="11" max="11" width="31.7109375" customWidth="1"/>
  </cols>
  <sheetData>
    <row r="1" spans="1:30" ht="15.75" customHeight="1">
      <c r="A1" s="327" t="s">
        <v>1781</v>
      </c>
      <c r="B1" s="12" t="s">
        <v>1782</v>
      </c>
      <c r="C1" s="12" t="s">
        <v>1783</v>
      </c>
      <c r="D1" s="12" t="s">
        <v>1778</v>
      </c>
      <c r="E1" s="12" t="s">
        <v>1784</v>
      </c>
      <c r="F1" s="12" t="s">
        <v>1785</v>
      </c>
      <c r="G1" s="12" t="s">
        <v>1786</v>
      </c>
      <c r="H1" s="12" t="s">
        <v>1787</v>
      </c>
      <c r="I1" s="12" t="s">
        <v>1788</v>
      </c>
      <c r="J1" s="12" t="s">
        <v>1789</v>
      </c>
      <c r="K1" s="12" t="s">
        <v>1790</v>
      </c>
      <c r="L1" s="13"/>
      <c r="M1" s="13"/>
      <c r="N1" s="13"/>
      <c r="O1" s="13"/>
      <c r="P1" s="13"/>
      <c r="Q1" s="13"/>
      <c r="R1" s="13"/>
      <c r="S1" s="13"/>
      <c r="T1" s="13"/>
      <c r="U1" s="13"/>
      <c r="V1" s="13"/>
      <c r="W1" s="13"/>
      <c r="X1" s="13"/>
      <c r="Y1" s="13"/>
      <c r="Z1" s="13"/>
      <c r="AA1" s="13"/>
      <c r="AB1" s="13"/>
      <c r="AC1" s="13"/>
      <c r="AD1" s="13"/>
    </row>
    <row r="2" spans="1:30" ht="15.75" customHeight="1">
      <c r="A2" s="328"/>
    </row>
    <row r="3" spans="1:30" ht="15.75" customHeight="1">
      <c r="A3" s="329"/>
      <c r="B3" s="17"/>
      <c r="C3" s="17" t="s">
        <v>1753</v>
      </c>
    </row>
    <row r="4" spans="1:30" ht="15.75" customHeight="1">
      <c r="A4" s="329"/>
      <c r="B4" s="17"/>
      <c r="C4" s="17"/>
    </row>
    <row r="5" spans="1:30" ht="15.75" customHeight="1">
      <c r="A5" s="329"/>
      <c r="B5" s="17"/>
      <c r="C5" s="17"/>
    </row>
    <row r="6" spans="1:30" ht="15.75" customHeight="1">
      <c r="A6" s="329"/>
      <c r="B6" s="17"/>
      <c r="C6" s="17"/>
    </row>
    <row r="7" spans="1:30" ht="15.75" customHeight="1">
      <c r="A7" s="329"/>
      <c r="B7" s="17"/>
      <c r="C7" s="17"/>
    </row>
    <row r="8" spans="1:30" ht="15.75" customHeight="1">
      <c r="A8" s="329"/>
      <c r="B8" s="17"/>
      <c r="C8" s="17"/>
    </row>
    <row r="9" spans="1:30" ht="15.75" customHeight="1">
      <c r="A9" s="329"/>
      <c r="B9" s="17"/>
      <c r="C9" s="17"/>
    </row>
    <row r="10" spans="1:30" ht="15.75" customHeight="1">
      <c r="A10" s="329"/>
      <c r="B10" s="17"/>
      <c r="C10" s="17"/>
    </row>
    <row r="11" spans="1:30" ht="15.75" customHeight="1">
      <c r="A11" s="329"/>
      <c r="B11" s="17"/>
      <c r="C11" s="17"/>
    </row>
    <row r="12" spans="1:30" ht="15.75" customHeight="1">
      <c r="A12" s="329"/>
      <c r="B12" s="17"/>
      <c r="C12" s="17"/>
    </row>
    <row r="13" spans="1:30" ht="15.75" customHeight="1">
      <c r="A13" s="329"/>
      <c r="B13" s="17"/>
      <c r="C13" s="17"/>
    </row>
    <row r="14" spans="1:30" ht="15.75" customHeight="1">
      <c r="A14" s="329"/>
      <c r="B14" s="17"/>
      <c r="C14" s="17" t="s">
        <v>1757</v>
      </c>
    </row>
    <row r="15" spans="1:30" ht="15.75" customHeight="1">
      <c r="A15" s="329"/>
      <c r="B15" s="17"/>
      <c r="C15" s="17"/>
    </row>
    <row r="16" spans="1:30" ht="15.75" customHeight="1">
      <c r="A16" s="329"/>
      <c r="B16" s="17"/>
      <c r="C16" s="17"/>
    </row>
    <row r="17" spans="1:3" ht="15.75" customHeight="1">
      <c r="A17" s="329"/>
      <c r="B17" s="17"/>
      <c r="C17" s="17"/>
    </row>
    <row r="18" spans="1:3" ht="15.75" customHeight="1">
      <c r="A18" s="329"/>
      <c r="B18" s="17"/>
      <c r="C18" s="17"/>
    </row>
    <row r="19" spans="1:3" ht="15.75" customHeight="1">
      <c r="A19" s="329"/>
      <c r="B19" s="17"/>
      <c r="C19" s="17"/>
    </row>
    <row r="20" spans="1:3" ht="15.75" customHeight="1">
      <c r="A20" s="329"/>
      <c r="B20" s="17"/>
      <c r="C20" s="17"/>
    </row>
    <row r="21" spans="1:3" ht="15.75" customHeight="1">
      <c r="A21" s="329"/>
      <c r="B21" s="17"/>
      <c r="C21" s="17"/>
    </row>
    <row r="22" spans="1:3" ht="15.75" customHeight="1">
      <c r="A22" s="329"/>
      <c r="B22" s="17"/>
      <c r="C22" s="17"/>
    </row>
    <row r="23" spans="1:3" ht="15.75" customHeight="1">
      <c r="A23" s="329"/>
      <c r="B23" s="17"/>
      <c r="C23" s="17"/>
    </row>
    <row r="24" spans="1:3" ht="12.75">
      <c r="A24" s="329"/>
      <c r="B24" s="17"/>
      <c r="C24" s="17"/>
    </row>
    <row r="25" spans="1:3" ht="12.75">
      <c r="A25" s="329"/>
      <c r="B25" s="17"/>
      <c r="C25" s="17"/>
    </row>
    <row r="26" spans="1:3" ht="12.75">
      <c r="A26" s="329"/>
      <c r="B26" s="17"/>
      <c r="C26" s="17" t="s">
        <v>1760</v>
      </c>
    </row>
    <row r="27" spans="1:3" ht="12.75">
      <c r="A27" s="328"/>
    </row>
    <row r="28" spans="1:3" ht="12.75">
      <c r="A28" s="328"/>
    </row>
    <row r="29" spans="1:3" ht="12.75">
      <c r="A29" s="328"/>
    </row>
    <row r="30" spans="1:3" ht="12.75">
      <c r="A30" s="328"/>
    </row>
    <row r="31" spans="1:3" ht="12.75">
      <c r="A31" s="328"/>
    </row>
    <row r="32" spans="1:3" ht="14.25">
      <c r="A32" s="330"/>
      <c r="B32" s="331" t="s">
        <v>149</v>
      </c>
      <c r="C32" s="17" t="s">
        <v>1791</v>
      </c>
    </row>
    <row r="33" spans="1:10" ht="12.75">
      <c r="A33" s="332" t="s">
        <v>1792</v>
      </c>
      <c r="B33" s="23" t="str">
        <f>HYPERLINK("https://doi.org/10.1007/s00202-019-00869-8"," 10.1007/s00202-019-00869-8")</f>
        <v xml:space="preserve"> 10.1007/s00202-019-00869-8</v>
      </c>
      <c r="C33" s="17" t="s">
        <v>1614</v>
      </c>
      <c r="G33" s="17" t="s">
        <v>715</v>
      </c>
      <c r="H33" s="17" t="s">
        <v>1793</v>
      </c>
      <c r="I33" s="17" t="s">
        <v>1794</v>
      </c>
      <c r="J33" s="17" t="s">
        <v>1795</v>
      </c>
    </row>
    <row r="34" spans="1:10" ht="12.75">
      <c r="A34" s="328"/>
    </row>
    <row r="35" spans="1:10" ht="12.75">
      <c r="A35" s="328"/>
    </row>
    <row r="36" spans="1:10" ht="12.75">
      <c r="A36" s="328"/>
    </row>
    <row r="37" spans="1:10" ht="12.75">
      <c r="A37" s="328"/>
    </row>
    <row r="38" spans="1:10" ht="12.75">
      <c r="A38" s="328"/>
    </row>
    <row r="39" spans="1:10" ht="12.75">
      <c r="A39" s="328"/>
    </row>
    <row r="40" spans="1:10" ht="12.75">
      <c r="A40" s="328"/>
    </row>
    <row r="41" spans="1:10" ht="12.75">
      <c r="A41" s="333"/>
      <c r="B41" s="326"/>
      <c r="C41" s="326"/>
    </row>
    <row r="42" spans="1:10" ht="12.75">
      <c r="A42" s="333"/>
      <c r="B42" s="326"/>
      <c r="C42" s="326" t="s">
        <v>1763</v>
      </c>
    </row>
    <row r="43" spans="1:10" ht="12.75">
      <c r="A43" s="328"/>
    </row>
    <row r="44" spans="1:10" ht="12.75">
      <c r="A44" s="328"/>
    </row>
    <row r="45" spans="1:10" ht="12.75">
      <c r="A45" s="328"/>
    </row>
    <row r="46" spans="1:10" ht="12.75">
      <c r="A46" s="328"/>
    </row>
    <row r="47" spans="1:10" ht="12.75">
      <c r="A47" s="328"/>
    </row>
    <row r="48" spans="1:10" ht="12.75">
      <c r="A48" s="328"/>
    </row>
    <row r="49" spans="1:1" ht="12.75">
      <c r="A49" s="328"/>
    </row>
    <row r="50" spans="1:1" ht="12.75">
      <c r="A50" s="328"/>
    </row>
    <row r="51" spans="1:1" ht="12.75">
      <c r="A51" s="328"/>
    </row>
    <row r="52" spans="1:1" ht="12.75">
      <c r="A52" s="328"/>
    </row>
    <row r="53" spans="1:1" ht="12.75">
      <c r="A53" s="328"/>
    </row>
    <row r="54" spans="1:1" ht="12.75">
      <c r="A54" s="328"/>
    </row>
    <row r="55" spans="1:1" ht="12.75">
      <c r="A55" s="328"/>
    </row>
    <row r="56" spans="1:1" ht="12.75">
      <c r="A56" s="328"/>
    </row>
    <row r="57" spans="1:1" ht="12.75">
      <c r="A57" s="328"/>
    </row>
    <row r="58" spans="1:1" ht="12.75">
      <c r="A58" s="328"/>
    </row>
    <row r="59" spans="1:1" ht="12.75">
      <c r="A59" s="328"/>
    </row>
    <row r="60" spans="1:1" ht="12.75">
      <c r="A60" s="328"/>
    </row>
    <row r="61" spans="1:1" ht="12.75">
      <c r="A61" s="328"/>
    </row>
    <row r="62" spans="1:1" ht="12.75">
      <c r="A62" s="328"/>
    </row>
    <row r="63" spans="1:1" ht="12.75">
      <c r="A63" s="328"/>
    </row>
    <row r="64" spans="1:1" ht="12.75">
      <c r="A64" s="328"/>
    </row>
    <row r="65" spans="1:3" ht="12.75">
      <c r="A65" s="328"/>
    </row>
    <row r="66" spans="1:3" ht="12.75">
      <c r="A66" s="328"/>
    </row>
    <row r="67" spans="1:3" ht="12.75">
      <c r="A67" s="328"/>
    </row>
    <row r="68" spans="1:3" ht="12.75">
      <c r="A68" s="328"/>
    </row>
    <row r="69" spans="1:3" ht="12.75">
      <c r="A69" s="328"/>
    </row>
    <row r="70" spans="1:3" ht="12.75">
      <c r="A70" s="328"/>
    </row>
    <row r="71" spans="1:3" ht="12.75">
      <c r="A71" s="328"/>
    </row>
    <row r="72" spans="1:3" ht="12.75">
      <c r="A72" s="328"/>
    </row>
    <row r="73" spans="1:3" ht="12.75">
      <c r="A73" s="329"/>
      <c r="B73" s="17"/>
      <c r="C73" s="17" t="s">
        <v>1767</v>
      </c>
    </row>
    <row r="74" spans="1:3" ht="12.75">
      <c r="A74" s="328"/>
    </row>
    <row r="75" spans="1:3" ht="12.75">
      <c r="A75" s="328"/>
    </row>
    <row r="76" spans="1:3" ht="12.75">
      <c r="A76" s="328"/>
    </row>
    <row r="77" spans="1:3" ht="12.75">
      <c r="A77" s="328"/>
    </row>
    <row r="78" spans="1:3" ht="12.75">
      <c r="A78" s="328"/>
    </row>
    <row r="79" spans="1:3" ht="12.75">
      <c r="A79" s="328"/>
    </row>
    <row r="80" spans="1:3" ht="12.75">
      <c r="A80" s="328"/>
    </row>
    <row r="81" spans="1:1" ht="12.75">
      <c r="A81" s="328"/>
    </row>
    <row r="82" spans="1:1" ht="12.75">
      <c r="A82" s="328"/>
    </row>
    <row r="83" spans="1:1" ht="12.75">
      <c r="A83" s="328"/>
    </row>
    <row r="84" spans="1:1" ht="12.75">
      <c r="A84" s="328"/>
    </row>
    <row r="85" spans="1:1" ht="12.75">
      <c r="A85" s="328"/>
    </row>
    <row r="86" spans="1:1" ht="12.75">
      <c r="A86" s="328"/>
    </row>
    <row r="87" spans="1:1" ht="12.75">
      <c r="A87" s="328"/>
    </row>
    <row r="88" spans="1:1" ht="12.75">
      <c r="A88" s="328"/>
    </row>
    <row r="89" spans="1:1" ht="12.75">
      <c r="A89" s="328"/>
    </row>
    <row r="90" spans="1:1" ht="12.75">
      <c r="A90" s="328"/>
    </row>
    <row r="91" spans="1:1" ht="12.75">
      <c r="A91" s="328"/>
    </row>
    <row r="92" spans="1:1" ht="12.75">
      <c r="A92" s="328"/>
    </row>
    <row r="93" spans="1:1" ht="12.75">
      <c r="A93" s="328"/>
    </row>
    <row r="94" spans="1:1" ht="12.75">
      <c r="A94" s="328"/>
    </row>
    <row r="95" spans="1:1" ht="12.75">
      <c r="A95" s="328"/>
    </row>
    <row r="96" spans="1:1" ht="12.75">
      <c r="A96" s="328"/>
    </row>
    <row r="97" spans="1:1" ht="12.75">
      <c r="A97" s="328"/>
    </row>
    <row r="98" spans="1:1" ht="12.75">
      <c r="A98" s="328"/>
    </row>
    <row r="99" spans="1:1" ht="12.75">
      <c r="A99" s="328"/>
    </row>
    <row r="100" spans="1:1" ht="12.75">
      <c r="A100" s="328"/>
    </row>
    <row r="101" spans="1:1" ht="12.75">
      <c r="A101" s="328"/>
    </row>
    <row r="102" spans="1:1" ht="12.75">
      <c r="A102" s="328"/>
    </row>
    <row r="103" spans="1:1" ht="12.75">
      <c r="A103" s="328"/>
    </row>
    <row r="104" spans="1:1" ht="12.75">
      <c r="A104" s="328"/>
    </row>
    <row r="105" spans="1:1" ht="12.75">
      <c r="A105" s="328"/>
    </row>
    <row r="106" spans="1:1" ht="12.75">
      <c r="A106" s="328"/>
    </row>
    <row r="107" spans="1:1" ht="12.75">
      <c r="A107" s="328"/>
    </row>
    <row r="108" spans="1:1" ht="12.75">
      <c r="A108" s="328"/>
    </row>
    <row r="109" spans="1:1" ht="12.75">
      <c r="A109" s="328"/>
    </row>
    <row r="110" spans="1:1" ht="12.75">
      <c r="A110" s="328"/>
    </row>
    <row r="111" spans="1:1" ht="12.75">
      <c r="A111" s="328"/>
    </row>
    <row r="112" spans="1:1" ht="12.75">
      <c r="A112" s="328"/>
    </row>
    <row r="113" spans="1:1" ht="12.75">
      <c r="A113" s="328"/>
    </row>
    <row r="114" spans="1:1" ht="12.75">
      <c r="A114" s="328"/>
    </row>
    <row r="115" spans="1:1" ht="12.75">
      <c r="A115" s="328"/>
    </row>
    <row r="116" spans="1:1" ht="12.75">
      <c r="A116" s="328"/>
    </row>
    <row r="117" spans="1:1" ht="12.75">
      <c r="A117" s="328"/>
    </row>
    <row r="118" spans="1:1" ht="12.75">
      <c r="A118" s="328"/>
    </row>
    <row r="119" spans="1:1" ht="12.75">
      <c r="A119" s="328"/>
    </row>
    <row r="120" spans="1:1" ht="12.75">
      <c r="A120" s="328"/>
    </row>
    <row r="121" spans="1:1" ht="12.75">
      <c r="A121" s="328"/>
    </row>
    <row r="122" spans="1:1" ht="12.75">
      <c r="A122" s="328"/>
    </row>
    <row r="123" spans="1:1" ht="12.75">
      <c r="A123" s="328"/>
    </row>
    <row r="124" spans="1:1" ht="12.75">
      <c r="A124" s="328"/>
    </row>
    <row r="125" spans="1:1" ht="12.75">
      <c r="A125" s="328"/>
    </row>
    <row r="126" spans="1:1" ht="12.75">
      <c r="A126" s="328"/>
    </row>
    <row r="127" spans="1:1" ht="12.75">
      <c r="A127" s="328"/>
    </row>
    <row r="128" spans="1:1" ht="12.75">
      <c r="A128" s="328"/>
    </row>
    <row r="129" spans="1:1" ht="12.75">
      <c r="A129" s="328"/>
    </row>
    <row r="130" spans="1:1" ht="12.75">
      <c r="A130" s="328"/>
    </row>
    <row r="131" spans="1:1" ht="12.75">
      <c r="A131" s="328"/>
    </row>
    <row r="132" spans="1:1" ht="12.75">
      <c r="A132" s="328"/>
    </row>
    <row r="133" spans="1:1" ht="12.75">
      <c r="A133" s="328"/>
    </row>
    <row r="134" spans="1:1" ht="12.75">
      <c r="A134" s="328"/>
    </row>
    <row r="135" spans="1:1" ht="12.75">
      <c r="A135" s="328"/>
    </row>
    <row r="136" spans="1:1" ht="12.75">
      <c r="A136" s="328"/>
    </row>
    <row r="137" spans="1:1" ht="12.75">
      <c r="A137" s="328"/>
    </row>
    <row r="138" spans="1:1" ht="12.75">
      <c r="A138" s="328"/>
    </row>
    <row r="139" spans="1:1" ht="12.75">
      <c r="A139" s="328"/>
    </row>
    <row r="140" spans="1:1" ht="12.75">
      <c r="A140" s="328"/>
    </row>
    <row r="141" spans="1:1" ht="12.75">
      <c r="A141" s="328"/>
    </row>
    <row r="142" spans="1:1" ht="12.75">
      <c r="A142" s="328"/>
    </row>
    <row r="143" spans="1:1" ht="12.75">
      <c r="A143" s="328"/>
    </row>
    <row r="144" spans="1:1" ht="12.75">
      <c r="A144" s="328"/>
    </row>
    <row r="145" spans="1:1" ht="12.75">
      <c r="A145" s="328"/>
    </row>
    <row r="146" spans="1:1" ht="12.75">
      <c r="A146" s="328"/>
    </row>
    <row r="147" spans="1:1" ht="12.75">
      <c r="A147" s="328"/>
    </row>
    <row r="148" spans="1:1" ht="12.75">
      <c r="A148" s="328"/>
    </row>
    <row r="149" spans="1:1" ht="12.75">
      <c r="A149" s="328"/>
    </row>
    <row r="150" spans="1:1" ht="12.75">
      <c r="A150" s="328"/>
    </row>
    <row r="151" spans="1:1" ht="12.75">
      <c r="A151" s="328"/>
    </row>
    <row r="152" spans="1:1" ht="12.75">
      <c r="A152" s="328"/>
    </row>
    <row r="153" spans="1:1" ht="12.75">
      <c r="A153" s="328"/>
    </row>
    <row r="154" spans="1:1" ht="12.75">
      <c r="A154" s="328"/>
    </row>
    <row r="155" spans="1:1" ht="12.75">
      <c r="A155" s="328"/>
    </row>
    <row r="156" spans="1:1" ht="12.75">
      <c r="A156" s="328"/>
    </row>
    <row r="157" spans="1:1" ht="12.75">
      <c r="A157" s="328"/>
    </row>
    <row r="158" spans="1:1" ht="12.75">
      <c r="A158" s="328"/>
    </row>
    <row r="159" spans="1:1" ht="12.75">
      <c r="A159" s="328"/>
    </row>
    <row r="160" spans="1:1" ht="12.75">
      <c r="A160" s="328"/>
    </row>
    <row r="161" spans="1:1" ht="12.75">
      <c r="A161" s="328"/>
    </row>
    <row r="162" spans="1:1" ht="12.75">
      <c r="A162" s="328"/>
    </row>
    <row r="163" spans="1:1" ht="12.75">
      <c r="A163" s="328"/>
    </row>
    <row r="164" spans="1:1" ht="12.75">
      <c r="A164" s="328"/>
    </row>
    <row r="165" spans="1:1" ht="12.75">
      <c r="A165" s="328"/>
    </row>
    <row r="166" spans="1:1" ht="12.75">
      <c r="A166" s="328"/>
    </row>
    <row r="167" spans="1:1" ht="12.75">
      <c r="A167" s="328"/>
    </row>
    <row r="168" spans="1:1" ht="12.75">
      <c r="A168" s="328"/>
    </row>
    <row r="169" spans="1:1" ht="12.75">
      <c r="A169" s="328"/>
    </row>
    <row r="170" spans="1:1" ht="12.75">
      <c r="A170" s="328"/>
    </row>
    <row r="171" spans="1:1" ht="12.75">
      <c r="A171" s="328"/>
    </row>
    <row r="172" spans="1:1" ht="12.75">
      <c r="A172" s="328"/>
    </row>
    <row r="173" spans="1:1" ht="12.75">
      <c r="A173" s="328"/>
    </row>
    <row r="174" spans="1:1" ht="12.75">
      <c r="A174" s="328"/>
    </row>
    <row r="175" spans="1:1" ht="12.75">
      <c r="A175" s="328"/>
    </row>
    <row r="176" spans="1:1" ht="12.75">
      <c r="A176" s="328"/>
    </row>
    <row r="177" spans="1:1" ht="12.75">
      <c r="A177" s="328"/>
    </row>
    <row r="178" spans="1:1" ht="12.75">
      <c r="A178" s="328"/>
    </row>
    <row r="179" spans="1:1" ht="12.75">
      <c r="A179" s="328"/>
    </row>
    <row r="180" spans="1:1" ht="12.75">
      <c r="A180" s="328"/>
    </row>
    <row r="181" spans="1:1" ht="12.75">
      <c r="A181" s="328"/>
    </row>
    <row r="182" spans="1:1" ht="12.75">
      <c r="A182" s="328"/>
    </row>
    <row r="183" spans="1:1" ht="12.75">
      <c r="A183" s="328"/>
    </row>
    <row r="184" spans="1:1" ht="12.75">
      <c r="A184" s="328"/>
    </row>
    <row r="185" spans="1:1" ht="12.75">
      <c r="A185" s="328"/>
    </row>
    <row r="186" spans="1:1" ht="12.75">
      <c r="A186" s="328"/>
    </row>
    <row r="187" spans="1:1" ht="12.75">
      <c r="A187" s="328"/>
    </row>
    <row r="188" spans="1:1" ht="12.75">
      <c r="A188" s="328"/>
    </row>
    <row r="189" spans="1:1" ht="12.75">
      <c r="A189" s="328"/>
    </row>
    <row r="190" spans="1:1" ht="12.75">
      <c r="A190" s="328"/>
    </row>
    <row r="191" spans="1:1" ht="12.75">
      <c r="A191" s="328"/>
    </row>
    <row r="192" spans="1:1" ht="12.75">
      <c r="A192" s="328"/>
    </row>
    <row r="193" spans="1:1" ht="12.75">
      <c r="A193" s="328"/>
    </row>
    <row r="194" spans="1:1" ht="12.75">
      <c r="A194" s="328"/>
    </row>
    <row r="195" spans="1:1" ht="12.75">
      <c r="A195" s="328"/>
    </row>
    <row r="196" spans="1:1" ht="12.75">
      <c r="A196" s="328"/>
    </row>
    <row r="197" spans="1:1" ht="12.75">
      <c r="A197" s="328"/>
    </row>
    <row r="198" spans="1:1" ht="12.75">
      <c r="A198" s="328"/>
    </row>
    <row r="199" spans="1:1" ht="12.75">
      <c r="A199" s="328"/>
    </row>
    <row r="200" spans="1:1" ht="12.75">
      <c r="A200" s="328"/>
    </row>
    <row r="201" spans="1:1" ht="12.75">
      <c r="A201" s="328"/>
    </row>
    <row r="202" spans="1:1" ht="12.75">
      <c r="A202" s="328"/>
    </row>
    <row r="203" spans="1:1" ht="12.75">
      <c r="A203" s="328"/>
    </row>
    <row r="204" spans="1:1" ht="12.75">
      <c r="A204" s="328"/>
    </row>
    <row r="205" spans="1:1" ht="12.75">
      <c r="A205" s="328"/>
    </row>
    <row r="206" spans="1:1" ht="12.75">
      <c r="A206" s="328"/>
    </row>
    <row r="207" spans="1:1" ht="12.75">
      <c r="A207" s="328"/>
    </row>
    <row r="208" spans="1:1" ht="12.75">
      <c r="A208" s="328"/>
    </row>
    <row r="209" spans="1:1" ht="12.75">
      <c r="A209" s="328"/>
    </row>
    <row r="210" spans="1:1" ht="12.75">
      <c r="A210" s="328"/>
    </row>
    <row r="211" spans="1:1" ht="12.75">
      <c r="A211" s="328"/>
    </row>
    <row r="212" spans="1:1" ht="12.75">
      <c r="A212" s="328"/>
    </row>
    <row r="213" spans="1:1" ht="12.75">
      <c r="A213" s="328"/>
    </row>
    <row r="214" spans="1:1" ht="12.75">
      <c r="A214" s="328"/>
    </row>
    <row r="215" spans="1:1" ht="12.75">
      <c r="A215" s="328"/>
    </row>
    <row r="216" spans="1:1" ht="12.75">
      <c r="A216" s="328"/>
    </row>
    <row r="217" spans="1:1" ht="12.75">
      <c r="A217" s="328"/>
    </row>
    <row r="218" spans="1:1" ht="12.75">
      <c r="A218" s="328"/>
    </row>
    <row r="219" spans="1:1" ht="12.75">
      <c r="A219" s="328"/>
    </row>
    <row r="220" spans="1:1" ht="12.75">
      <c r="A220" s="328"/>
    </row>
    <row r="221" spans="1:1" ht="12.75">
      <c r="A221" s="328"/>
    </row>
    <row r="222" spans="1:1" ht="12.75">
      <c r="A222" s="328"/>
    </row>
    <row r="223" spans="1:1" ht="12.75">
      <c r="A223" s="328"/>
    </row>
    <row r="224" spans="1:1" ht="12.75">
      <c r="A224" s="328"/>
    </row>
    <row r="225" spans="1:1" ht="12.75">
      <c r="A225" s="328"/>
    </row>
    <row r="226" spans="1:1" ht="12.75">
      <c r="A226" s="328"/>
    </row>
    <row r="227" spans="1:1" ht="12.75">
      <c r="A227" s="328"/>
    </row>
    <row r="228" spans="1:1" ht="12.75">
      <c r="A228" s="328"/>
    </row>
    <row r="229" spans="1:1" ht="12.75">
      <c r="A229" s="328"/>
    </row>
    <row r="230" spans="1:1" ht="12.75">
      <c r="A230" s="328"/>
    </row>
    <row r="231" spans="1:1" ht="12.75">
      <c r="A231" s="328"/>
    </row>
    <row r="232" spans="1:1" ht="12.75">
      <c r="A232" s="328"/>
    </row>
    <row r="233" spans="1:1" ht="12.75">
      <c r="A233" s="328"/>
    </row>
    <row r="234" spans="1:1" ht="12.75">
      <c r="A234" s="328"/>
    </row>
    <row r="235" spans="1:1" ht="12.75">
      <c r="A235" s="328"/>
    </row>
    <row r="236" spans="1:1" ht="12.75">
      <c r="A236" s="328"/>
    </row>
    <row r="237" spans="1:1" ht="12.75">
      <c r="A237" s="328"/>
    </row>
    <row r="238" spans="1:1" ht="12.75">
      <c r="A238" s="328"/>
    </row>
    <row r="239" spans="1:1" ht="12.75">
      <c r="A239" s="328"/>
    </row>
    <row r="240" spans="1:1" ht="12.75">
      <c r="A240" s="328"/>
    </row>
    <row r="241" spans="1:1" ht="12.75">
      <c r="A241" s="328"/>
    </row>
    <row r="242" spans="1:1" ht="12.75">
      <c r="A242" s="328"/>
    </row>
    <row r="243" spans="1:1" ht="12.75">
      <c r="A243" s="328"/>
    </row>
    <row r="244" spans="1:1" ht="12.75">
      <c r="A244" s="328"/>
    </row>
    <row r="245" spans="1:1" ht="12.75">
      <c r="A245" s="328"/>
    </row>
    <row r="246" spans="1:1" ht="12.75">
      <c r="A246" s="328"/>
    </row>
    <row r="247" spans="1:1" ht="12.75">
      <c r="A247" s="328"/>
    </row>
    <row r="248" spans="1:1" ht="12.75">
      <c r="A248" s="328"/>
    </row>
    <row r="249" spans="1:1" ht="12.75">
      <c r="A249" s="328"/>
    </row>
    <row r="250" spans="1:1" ht="12.75">
      <c r="A250" s="328"/>
    </row>
    <row r="251" spans="1:1" ht="12.75">
      <c r="A251" s="328"/>
    </row>
    <row r="252" spans="1:1" ht="12.75">
      <c r="A252" s="328"/>
    </row>
    <row r="253" spans="1:1" ht="12.75">
      <c r="A253" s="328"/>
    </row>
    <row r="254" spans="1:1" ht="12.75">
      <c r="A254" s="328"/>
    </row>
    <row r="255" spans="1:1" ht="12.75">
      <c r="A255" s="328"/>
    </row>
    <row r="256" spans="1:1" ht="12.75">
      <c r="A256" s="328"/>
    </row>
    <row r="257" spans="1:1" ht="12.75">
      <c r="A257" s="328"/>
    </row>
    <row r="258" spans="1:1" ht="12.75">
      <c r="A258" s="328"/>
    </row>
    <row r="259" spans="1:1" ht="12.75">
      <c r="A259" s="328"/>
    </row>
    <row r="260" spans="1:1" ht="12.75">
      <c r="A260" s="328"/>
    </row>
    <row r="261" spans="1:1" ht="12.75">
      <c r="A261" s="328"/>
    </row>
    <row r="262" spans="1:1" ht="12.75">
      <c r="A262" s="328"/>
    </row>
    <row r="263" spans="1:1" ht="12.75">
      <c r="A263" s="328"/>
    </row>
    <row r="264" spans="1:1" ht="12.75">
      <c r="A264" s="328"/>
    </row>
    <row r="265" spans="1:1" ht="12.75">
      <c r="A265" s="328"/>
    </row>
    <row r="266" spans="1:1" ht="12.75">
      <c r="A266" s="328"/>
    </row>
    <row r="267" spans="1:1" ht="12.75">
      <c r="A267" s="328"/>
    </row>
    <row r="268" spans="1:1" ht="12.75">
      <c r="A268" s="328"/>
    </row>
    <row r="269" spans="1:1" ht="12.75">
      <c r="A269" s="328"/>
    </row>
    <row r="270" spans="1:1" ht="12.75">
      <c r="A270" s="328"/>
    </row>
    <row r="271" spans="1:1" ht="12.75">
      <c r="A271" s="328"/>
    </row>
    <row r="272" spans="1:1" ht="12.75">
      <c r="A272" s="328"/>
    </row>
    <row r="273" spans="1:1" ht="12.75">
      <c r="A273" s="328"/>
    </row>
    <row r="274" spans="1:1" ht="12.75">
      <c r="A274" s="328"/>
    </row>
    <row r="275" spans="1:1" ht="12.75">
      <c r="A275" s="328"/>
    </row>
    <row r="276" spans="1:1" ht="12.75">
      <c r="A276" s="328"/>
    </row>
    <row r="277" spans="1:1" ht="12.75">
      <c r="A277" s="328"/>
    </row>
    <row r="278" spans="1:1" ht="12.75">
      <c r="A278" s="328"/>
    </row>
    <row r="279" spans="1:1" ht="12.75">
      <c r="A279" s="328"/>
    </row>
    <row r="280" spans="1:1" ht="12.75">
      <c r="A280" s="328"/>
    </row>
    <row r="281" spans="1:1" ht="12.75">
      <c r="A281" s="328"/>
    </row>
    <row r="282" spans="1:1" ht="12.75">
      <c r="A282" s="328"/>
    </row>
    <row r="283" spans="1:1" ht="12.75">
      <c r="A283" s="328"/>
    </row>
    <row r="284" spans="1:1" ht="12.75">
      <c r="A284" s="328"/>
    </row>
    <row r="285" spans="1:1" ht="12.75">
      <c r="A285" s="328"/>
    </row>
    <row r="286" spans="1:1" ht="12.75">
      <c r="A286" s="328"/>
    </row>
    <row r="287" spans="1:1" ht="12.75">
      <c r="A287" s="328"/>
    </row>
    <row r="288" spans="1:1" ht="12.75">
      <c r="A288" s="328"/>
    </row>
    <row r="289" spans="1:1" ht="12.75">
      <c r="A289" s="328"/>
    </row>
    <row r="290" spans="1:1" ht="12.75">
      <c r="A290" s="328"/>
    </row>
    <row r="291" spans="1:1" ht="12.75">
      <c r="A291" s="328"/>
    </row>
    <row r="292" spans="1:1" ht="12.75">
      <c r="A292" s="328"/>
    </row>
    <row r="293" spans="1:1" ht="12.75">
      <c r="A293" s="328"/>
    </row>
    <row r="294" spans="1:1" ht="12.75">
      <c r="A294" s="328"/>
    </row>
    <row r="295" spans="1:1" ht="12.75">
      <c r="A295" s="328"/>
    </row>
    <row r="296" spans="1:1" ht="12.75">
      <c r="A296" s="328"/>
    </row>
    <row r="297" spans="1:1" ht="12.75">
      <c r="A297" s="328"/>
    </row>
    <row r="298" spans="1:1" ht="12.75">
      <c r="A298" s="328"/>
    </row>
    <row r="299" spans="1:1" ht="12.75">
      <c r="A299" s="328"/>
    </row>
    <row r="300" spans="1:1" ht="12.75">
      <c r="A300" s="328"/>
    </row>
    <row r="301" spans="1:1" ht="12.75">
      <c r="A301" s="328"/>
    </row>
    <row r="302" spans="1:1" ht="12.75">
      <c r="A302" s="328"/>
    </row>
    <row r="303" spans="1:1" ht="12.75">
      <c r="A303" s="328"/>
    </row>
    <row r="304" spans="1:1" ht="12.75">
      <c r="A304" s="328"/>
    </row>
    <row r="305" spans="1:1" ht="12.75">
      <c r="A305" s="328"/>
    </row>
    <row r="306" spans="1:1" ht="12.75">
      <c r="A306" s="328"/>
    </row>
    <row r="307" spans="1:1" ht="12.75">
      <c r="A307" s="328"/>
    </row>
    <row r="308" spans="1:1" ht="12.75">
      <c r="A308" s="328"/>
    </row>
    <row r="309" spans="1:1" ht="12.75">
      <c r="A309" s="328"/>
    </row>
    <row r="310" spans="1:1" ht="12.75">
      <c r="A310" s="328"/>
    </row>
    <row r="311" spans="1:1" ht="12.75">
      <c r="A311" s="328"/>
    </row>
    <row r="312" spans="1:1" ht="12.75">
      <c r="A312" s="328"/>
    </row>
    <row r="313" spans="1:1" ht="12.75">
      <c r="A313" s="328"/>
    </row>
    <row r="314" spans="1:1" ht="12.75">
      <c r="A314" s="328"/>
    </row>
    <row r="315" spans="1:1" ht="12.75">
      <c r="A315" s="328"/>
    </row>
    <row r="316" spans="1:1" ht="12.75">
      <c r="A316" s="328"/>
    </row>
    <row r="317" spans="1:1" ht="12.75">
      <c r="A317" s="328"/>
    </row>
    <row r="318" spans="1:1" ht="12.75">
      <c r="A318" s="328"/>
    </row>
    <row r="319" spans="1:1" ht="12.75">
      <c r="A319" s="328"/>
    </row>
    <row r="320" spans="1:1" ht="12.75">
      <c r="A320" s="328"/>
    </row>
    <row r="321" spans="1:1" ht="12.75">
      <c r="A321" s="328"/>
    </row>
    <row r="322" spans="1:1" ht="12.75">
      <c r="A322" s="328"/>
    </row>
    <row r="323" spans="1:1" ht="12.75">
      <c r="A323" s="328"/>
    </row>
    <row r="324" spans="1:1" ht="12.75">
      <c r="A324" s="328"/>
    </row>
    <row r="325" spans="1:1" ht="12.75">
      <c r="A325" s="328"/>
    </row>
    <row r="326" spans="1:1" ht="12.75">
      <c r="A326" s="328"/>
    </row>
    <row r="327" spans="1:1" ht="12.75">
      <c r="A327" s="328"/>
    </row>
    <row r="328" spans="1:1" ht="12.75">
      <c r="A328" s="328"/>
    </row>
    <row r="329" spans="1:1" ht="12.75">
      <c r="A329" s="328"/>
    </row>
    <row r="330" spans="1:1" ht="12.75">
      <c r="A330" s="328"/>
    </row>
    <row r="331" spans="1:1" ht="12.75">
      <c r="A331" s="328"/>
    </row>
    <row r="332" spans="1:1" ht="12.75">
      <c r="A332" s="328"/>
    </row>
    <row r="333" spans="1:1" ht="12.75">
      <c r="A333" s="328"/>
    </row>
    <row r="334" spans="1:1" ht="12.75">
      <c r="A334" s="328"/>
    </row>
    <row r="335" spans="1:1" ht="12.75">
      <c r="A335" s="328"/>
    </row>
    <row r="336" spans="1:1" ht="12.75">
      <c r="A336" s="328"/>
    </row>
    <row r="337" spans="1:1" ht="12.75">
      <c r="A337" s="328"/>
    </row>
    <row r="338" spans="1:1" ht="12.75">
      <c r="A338" s="328"/>
    </row>
    <row r="339" spans="1:1" ht="12.75">
      <c r="A339" s="328"/>
    </row>
    <row r="340" spans="1:1" ht="12.75">
      <c r="A340" s="328"/>
    </row>
    <row r="341" spans="1:1" ht="12.75">
      <c r="A341" s="328"/>
    </row>
    <row r="342" spans="1:1" ht="12.75">
      <c r="A342" s="328"/>
    </row>
    <row r="343" spans="1:1" ht="12.75">
      <c r="A343" s="328"/>
    </row>
    <row r="344" spans="1:1" ht="12.75">
      <c r="A344" s="328"/>
    </row>
    <row r="345" spans="1:1" ht="12.75">
      <c r="A345" s="328"/>
    </row>
    <row r="346" spans="1:1" ht="12.75">
      <c r="A346" s="328"/>
    </row>
    <row r="347" spans="1:1" ht="12.75">
      <c r="A347" s="328"/>
    </row>
    <row r="348" spans="1:1" ht="12.75">
      <c r="A348" s="328"/>
    </row>
    <row r="349" spans="1:1" ht="12.75">
      <c r="A349" s="328"/>
    </row>
    <row r="350" spans="1:1" ht="12.75">
      <c r="A350" s="328"/>
    </row>
    <row r="351" spans="1:1" ht="12.75">
      <c r="A351" s="328"/>
    </row>
    <row r="352" spans="1:1" ht="12.75">
      <c r="A352" s="328"/>
    </row>
    <row r="353" spans="1:1" ht="12.75">
      <c r="A353" s="328"/>
    </row>
    <row r="354" spans="1:1" ht="12.75">
      <c r="A354" s="328"/>
    </row>
    <row r="355" spans="1:1" ht="12.75">
      <c r="A355" s="328"/>
    </row>
    <row r="356" spans="1:1" ht="12.75">
      <c r="A356" s="328"/>
    </row>
    <row r="357" spans="1:1" ht="12.75">
      <c r="A357" s="328"/>
    </row>
    <row r="358" spans="1:1" ht="12.75">
      <c r="A358" s="328"/>
    </row>
    <row r="359" spans="1:1" ht="12.75">
      <c r="A359" s="328"/>
    </row>
    <row r="360" spans="1:1" ht="12.75">
      <c r="A360" s="328"/>
    </row>
    <row r="361" spans="1:1" ht="12.75">
      <c r="A361" s="328"/>
    </row>
    <row r="362" spans="1:1" ht="12.75">
      <c r="A362" s="328"/>
    </row>
    <row r="363" spans="1:1" ht="12.75">
      <c r="A363" s="328"/>
    </row>
    <row r="364" spans="1:1" ht="12.75">
      <c r="A364" s="328"/>
    </row>
    <row r="365" spans="1:1" ht="12.75">
      <c r="A365" s="328"/>
    </row>
    <row r="366" spans="1:1" ht="12.75">
      <c r="A366" s="328"/>
    </row>
    <row r="367" spans="1:1" ht="12.75">
      <c r="A367" s="328"/>
    </row>
    <row r="368" spans="1:1" ht="12.75">
      <c r="A368" s="328"/>
    </row>
    <row r="369" spans="1:1" ht="12.75">
      <c r="A369" s="328"/>
    </row>
    <row r="370" spans="1:1" ht="12.75">
      <c r="A370" s="328"/>
    </row>
    <row r="371" spans="1:1" ht="12.75">
      <c r="A371" s="328"/>
    </row>
    <row r="372" spans="1:1" ht="12.75">
      <c r="A372" s="328"/>
    </row>
    <row r="373" spans="1:1" ht="12.75">
      <c r="A373" s="328"/>
    </row>
    <row r="374" spans="1:1" ht="12.75">
      <c r="A374" s="328"/>
    </row>
    <row r="375" spans="1:1" ht="12.75">
      <c r="A375" s="328"/>
    </row>
    <row r="376" spans="1:1" ht="12.75">
      <c r="A376" s="328"/>
    </row>
    <row r="377" spans="1:1" ht="12.75">
      <c r="A377" s="328"/>
    </row>
    <row r="378" spans="1:1" ht="12.75">
      <c r="A378" s="328"/>
    </row>
    <row r="379" spans="1:1" ht="12.75">
      <c r="A379" s="328"/>
    </row>
    <row r="380" spans="1:1" ht="12.75">
      <c r="A380" s="328"/>
    </row>
    <row r="381" spans="1:1" ht="12.75">
      <c r="A381" s="328"/>
    </row>
    <row r="382" spans="1:1" ht="12.75">
      <c r="A382" s="328"/>
    </row>
    <row r="383" spans="1:1" ht="12.75">
      <c r="A383" s="328"/>
    </row>
    <row r="384" spans="1:1" ht="12.75">
      <c r="A384" s="328"/>
    </row>
    <row r="385" spans="1:1" ht="12.75">
      <c r="A385" s="328"/>
    </row>
    <row r="386" spans="1:1" ht="12.75">
      <c r="A386" s="328"/>
    </row>
    <row r="387" spans="1:1" ht="12.75">
      <c r="A387" s="328"/>
    </row>
    <row r="388" spans="1:1" ht="12.75">
      <c r="A388" s="328"/>
    </row>
    <row r="389" spans="1:1" ht="12.75">
      <c r="A389" s="328"/>
    </row>
    <row r="390" spans="1:1" ht="12.75">
      <c r="A390" s="328"/>
    </row>
    <row r="391" spans="1:1" ht="12.75">
      <c r="A391" s="328"/>
    </row>
    <row r="392" spans="1:1" ht="12.75">
      <c r="A392" s="328"/>
    </row>
    <row r="393" spans="1:1" ht="12.75">
      <c r="A393" s="328"/>
    </row>
    <row r="394" spans="1:1" ht="12.75">
      <c r="A394" s="328"/>
    </row>
    <row r="395" spans="1:1" ht="12.75">
      <c r="A395" s="328"/>
    </row>
    <row r="396" spans="1:1" ht="12.75">
      <c r="A396" s="328"/>
    </row>
    <row r="397" spans="1:1" ht="12.75">
      <c r="A397" s="328"/>
    </row>
    <row r="398" spans="1:1" ht="12.75">
      <c r="A398" s="328"/>
    </row>
    <row r="399" spans="1:1" ht="12.75">
      <c r="A399" s="328"/>
    </row>
    <row r="400" spans="1:1" ht="12.75">
      <c r="A400" s="328"/>
    </row>
    <row r="401" spans="1:1" ht="12.75">
      <c r="A401" s="328"/>
    </row>
    <row r="402" spans="1:1" ht="12.75">
      <c r="A402" s="328"/>
    </row>
    <row r="403" spans="1:1" ht="12.75">
      <c r="A403" s="328"/>
    </row>
    <row r="404" spans="1:1" ht="12.75">
      <c r="A404" s="328"/>
    </row>
    <row r="405" spans="1:1" ht="12.75">
      <c r="A405" s="328"/>
    </row>
    <row r="406" spans="1:1" ht="12.75">
      <c r="A406" s="328"/>
    </row>
    <row r="407" spans="1:1" ht="12.75">
      <c r="A407" s="328"/>
    </row>
    <row r="408" spans="1:1" ht="12.75">
      <c r="A408" s="328"/>
    </row>
    <row r="409" spans="1:1" ht="12.75">
      <c r="A409" s="328"/>
    </row>
    <row r="410" spans="1:1" ht="12.75">
      <c r="A410" s="328"/>
    </row>
    <row r="411" spans="1:1" ht="12.75">
      <c r="A411" s="328"/>
    </row>
    <row r="412" spans="1:1" ht="12.75">
      <c r="A412" s="328"/>
    </row>
    <row r="413" spans="1:1" ht="12.75">
      <c r="A413" s="328"/>
    </row>
    <row r="414" spans="1:1" ht="12.75">
      <c r="A414" s="328"/>
    </row>
    <row r="415" spans="1:1" ht="12.75">
      <c r="A415" s="328"/>
    </row>
    <row r="416" spans="1:1" ht="12.75">
      <c r="A416" s="328"/>
    </row>
    <row r="417" spans="1:1" ht="12.75">
      <c r="A417" s="328"/>
    </row>
    <row r="418" spans="1:1" ht="12.75">
      <c r="A418" s="328"/>
    </row>
    <row r="419" spans="1:1" ht="12.75">
      <c r="A419" s="328"/>
    </row>
    <row r="420" spans="1:1" ht="12.75">
      <c r="A420" s="328"/>
    </row>
    <row r="421" spans="1:1" ht="12.75">
      <c r="A421" s="328"/>
    </row>
    <row r="422" spans="1:1" ht="12.75">
      <c r="A422" s="328"/>
    </row>
    <row r="423" spans="1:1" ht="12.75">
      <c r="A423" s="328"/>
    </row>
    <row r="424" spans="1:1" ht="12.75">
      <c r="A424" s="328"/>
    </row>
    <row r="425" spans="1:1" ht="12.75">
      <c r="A425" s="328"/>
    </row>
    <row r="426" spans="1:1" ht="12.75">
      <c r="A426" s="328"/>
    </row>
    <row r="427" spans="1:1" ht="12.75">
      <c r="A427" s="328"/>
    </row>
    <row r="428" spans="1:1" ht="12.75">
      <c r="A428" s="328"/>
    </row>
    <row r="429" spans="1:1" ht="12.75">
      <c r="A429" s="328"/>
    </row>
    <row r="430" spans="1:1" ht="12.75">
      <c r="A430" s="328"/>
    </row>
    <row r="431" spans="1:1" ht="12.75">
      <c r="A431" s="328"/>
    </row>
    <row r="432" spans="1:1" ht="12.75">
      <c r="A432" s="328"/>
    </row>
    <row r="433" spans="1:1" ht="12.75">
      <c r="A433" s="328"/>
    </row>
    <row r="434" spans="1:1" ht="12.75">
      <c r="A434" s="328"/>
    </row>
    <row r="435" spans="1:1" ht="12.75">
      <c r="A435" s="328"/>
    </row>
    <row r="436" spans="1:1" ht="12.75">
      <c r="A436" s="328"/>
    </row>
    <row r="437" spans="1:1" ht="12.75">
      <c r="A437" s="328"/>
    </row>
    <row r="438" spans="1:1" ht="12.75">
      <c r="A438" s="328"/>
    </row>
    <row r="439" spans="1:1" ht="12.75">
      <c r="A439" s="328"/>
    </row>
    <row r="440" spans="1:1" ht="12.75">
      <c r="A440" s="328"/>
    </row>
    <row r="441" spans="1:1" ht="12.75">
      <c r="A441" s="328"/>
    </row>
    <row r="442" spans="1:1" ht="12.75">
      <c r="A442" s="328"/>
    </row>
    <row r="443" spans="1:1" ht="12.75">
      <c r="A443" s="328"/>
    </row>
    <row r="444" spans="1:1" ht="12.75">
      <c r="A444" s="328"/>
    </row>
    <row r="445" spans="1:1" ht="12.75">
      <c r="A445" s="328"/>
    </row>
    <row r="446" spans="1:1" ht="12.75">
      <c r="A446" s="328"/>
    </row>
    <row r="447" spans="1:1" ht="12.75">
      <c r="A447" s="328"/>
    </row>
    <row r="448" spans="1:1" ht="12.75">
      <c r="A448" s="328"/>
    </row>
    <row r="449" spans="1:1" ht="12.75">
      <c r="A449" s="328"/>
    </row>
    <row r="450" spans="1:1" ht="12.75">
      <c r="A450" s="328"/>
    </row>
    <row r="451" spans="1:1" ht="12.75">
      <c r="A451" s="328"/>
    </row>
    <row r="452" spans="1:1" ht="12.75">
      <c r="A452" s="328"/>
    </row>
    <row r="453" spans="1:1" ht="12.75">
      <c r="A453" s="328"/>
    </row>
    <row r="454" spans="1:1" ht="12.75">
      <c r="A454" s="328"/>
    </row>
    <row r="455" spans="1:1" ht="12.75">
      <c r="A455" s="328"/>
    </row>
    <row r="456" spans="1:1" ht="12.75">
      <c r="A456" s="328"/>
    </row>
    <row r="457" spans="1:1" ht="12.75">
      <c r="A457" s="328"/>
    </row>
    <row r="458" spans="1:1" ht="12.75">
      <c r="A458" s="328"/>
    </row>
    <row r="459" spans="1:1" ht="12.75">
      <c r="A459" s="328"/>
    </row>
    <row r="460" spans="1:1" ht="12.75">
      <c r="A460" s="328"/>
    </row>
    <row r="461" spans="1:1" ht="12.75">
      <c r="A461" s="328"/>
    </row>
    <row r="462" spans="1:1" ht="12.75">
      <c r="A462" s="328"/>
    </row>
    <row r="463" spans="1:1" ht="12.75">
      <c r="A463" s="328"/>
    </row>
    <row r="464" spans="1:1" ht="12.75">
      <c r="A464" s="328"/>
    </row>
    <row r="465" spans="1:1" ht="12.75">
      <c r="A465" s="328"/>
    </row>
    <row r="466" spans="1:1" ht="12.75">
      <c r="A466" s="328"/>
    </row>
    <row r="467" spans="1:1" ht="12.75">
      <c r="A467" s="328"/>
    </row>
    <row r="468" spans="1:1" ht="12.75">
      <c r="A468" s="328"/>
    </row>
    <row r="469" spans="1:1" ht="12.75">
      <c r="A469" s="328"/>
    </row>
    <row r="470" spans="1:1" ht="12.75">
      <c r="A470" s="328"/>
    </row>
    <row r="471" spans="1:1" ht="12.75">
      <c r="A471" s="328"/>
    </row>
    <row r="472" spans="1:1" ht="12.75">
      <c r="A472" s="328"/>
    </row>
    <row r="473" spans="1:1" ht="12.75">
      <c r="A473" s="328"/>
    </row>
    <row r="474" spans="1:1" ht="12.75">
      <c r="A474" s="328"/>
    </row>
    <row r="475" spans="1:1" ht="12.75">
      <c r="A475" s="328"/>
    </row>
    <row r="476" spans="1:1" ht="12.75">
      <c r="A476" s="328"/>
    </row>
    <row r="477" spans="1:1" ht="12.75">
      <c r="A477" s="328"/>
    </row>
    <row r="478" spans="1:1" ht="12.75">
      <c r="A478" s="328"/>
    </row>
    <row r="479" spans="1:1" ht="12.75">
      <c r="A479" s="328"/>
    </row>
    <row r="480" spans="1:1" ht="12.75">
      <c r="A480" s="328"/>
    </row>
    <row r="481" spans="1:1" ht="12.75">
      <c r="A481" s="328"/>
    </row>
    <row r="482" spans="1:1" ht="12.75">
      <c r="A482" s="328"/>
    </row>
    <row r="483" spans="1:1" ht="12.75">
      <c r="A483" s="328"/>
    </row>
    <row r="484" spans="1:1" ht="12.75">
      <c r="A484" s="328"/>
    </row>
    <row r="485" spans="1:1" ht="12.75">
      <c r="A485" s="328"/>
    </row>
    <row r="486" spans="1:1" ht="12.75">
      <c r="A486" s="328"/>
    </row>
    <row r="487" spans="1:1" ht="12.75">
      <c r="A487" s="328"/>
    </row>
    <row r="488" spans="1:1" ht="12.75">
      <c r="A488" s="328"/>
    </row>
    <row r="489" spans="1:1" ht="12.75">
      <c r="A489" s="328"/>
    </row>
    <row r="490" spans="1:1" ht="12.75">
      <c r="A490" s="328"/>
    </row>
    <row r="491" spans="1:1" ht="12.75">
      <c r="A491" s="328"/>
    </row>
    <row r="492" spans="1:1" ht="12.75">
      <c r="A492" s="328"/>
    </row>
    <row r="493" spans="1:1" ht="12.75">
      <c r="A493" s="328"/>
    </row>
    <row r="494" spans="1:1" ht="12.75">
      <c r="A494" s="328"/>
    </row>
    <row r="495" spans="1:1" ht="12.75">
      <c r="A495" s="328"/>
    </row>
    <row r="496" spans="1:1" ht="12.75">
      <c r="A496" s="328"/>
    </row>
    <row r="497" spans="1:1" ht="12.75">
      <c r="A497" s="328"/>
    </row>
    <row r="498" spans="1:1" ht="12.75">
      <c r="A498" s="328"/>
    </row>
    <row r="499" spans="1:1" ht="12.75">
      <c r="A499" s="328"/>
    </row>
    <row r="500" spans="1:1" ht="12.75">
      <c r="A500" s="328"/>
    </row>
    <row r="501" spans="1:1" ht="12.75">
      <c r="A501" s="328"/>
    </row>
    <row r="502" spans="1:1" ht="12.75">
      <c r="A502" s="328"/>
    </row>
    <row r="503" spans="1:1" ht="12.75">
      <c r="A503" s="328"/>
    </row>
    <row r="504" spans="1:1" ht="12.75">
      <c r="A504" s="328"/>
    </row>
    <row r="505" spans="1:1" ht="12.75">
      <c r="A505" s="328"/>
    </row>
    <row r="506" spans="1:1" ht="12.75">
      <c r="A506" s="328"/>
    </row>
    <row r="507" spans="1:1" ht="12.75">
      <c r="A507" s="328"/>
    </row>
    <row r="508" spans="1:1" ht="12.75">
      <c r="A508" s="328"/>
    </row>
    <row r="509" spans="1:1" ht="12.75">
      <c r="A509" s="328"/>
    </row>
    <row r="510" spans="1:1" ht="12.75">
      <c r="A510" s="328"/>
    </row>
    <row r="511" spans="1:1" ht="12.75">
      <c r="A511" s="328"/>
    </row>
    <row r="512" spans="1:1" ht="12.75">
      <c r="A512" s="328"/>
    </row>
    <row r="513" spans="1:1" ht="12.75">
      <c r="A513" s="328"/>
    </row>
    <row r="514" spans="1:1" ht="12.75">
      <c r="A514" s="328"/>
    </row>
    <row r="515" spans="1:1" ht="12.75">
      <c r="A515" s="328"/>
    </row>
    <row r="516" spans="1:1" ht="12.75">
      <c r="A516" s="328"/>
    </row>
    <row r="517" spans="1:1" ht="12.75">
      <c r="A517" s="328"/>
    </row>
    <row r="518" spans="1:1" ht="12.75">
      <c r="A518" s="328"/>
    </row>
    <row r="519" spans="1:1" ht="12.75">
      <c r="A519" s="328"/>
    </row>
    <row r="520" spans="1:1" ht="12.75">
      <c r="A520" s="328"/>
    </row>
    <row r="521" spans="1:1" ht="12.75">
      <c r="A521" s="328"/>
    </row>
    <row r="522" spans="1:1" ht="12.75">
      <c r="A522" s="328"/>
    </row>
    <row r="523" spans="1:1" ht="12.75">
      <c r="A523" s="328"/>
    </row>
    <row r="524" spans="1:1" ht="12.75">
      <c r="A524" s="328"/>
    </row>
    <row r="525" spans="1:1" ht="12.75">
      <c r="A525" s="328"/>
    </row>
    <row r="526" spans="1:1" ht="12.75">
      <c r="A526" s="328"/>
    </row>
    <row r="527" spans="1:1" ht="12.75">
      <c r="A527" s="328"/>
    </row>
    <row r="528" spans="1:1" ht="12.75">
      <c r="A528" s="328"/>
    </row>
    <row r="529" spans="1:1" ht="12.75">
      <c r="A529" s="328"/>
    </row>
    <row r="530" spans="1:1" ht="12.75">
      <c r="A530" s="328"/>
    </row>
    <row r="531" spans="1:1" ht="12.75">
      <c r="A531" s="328"/>
    </row>
    <row r="532" spans="1:1" ht="12.75">
      <c r="A532" s="328"/>
    </row>
    <row r="533" spans="1:1" ht="12.75">
      <c r="A533" s="328"/>
    </row>
    <row r="534" spans="1:1" ht="12.75">
      <c r="A534" s="328"/>
    </row>
    <row r="535" spans="1:1" ht="12.75">
      <c r="A535" s="328"/>
    </row>
    <row r="536" spans="1:1" ht="12.75">
      <c r="A536" s="328"/>
    </row>
    <row r="537" spans="1:1" ht="12.75">
      <c r="A537" s="328"/>
    </row>
    <row r="538" spans="1:1" ht="12.75">
      <c r="A538" s="328"/>
    </row>
    <row r="539" spans="1:1" ht="12.75">
      <c r="A539" s="328"/>
    </row>
    <row r="540" spans="1:1" ht="12.75">
      <c r="A540" s="328"/>
    </row>
    <row r="541" spans="1:1" ht="12.75">
      <c r="A541" s="328"/>
    </row>
    <row r="542" spans="1:1" ht="12.75">
      <c r="A542" s="328"/>
    </row>
    <row r="543" spans="1:1" ht="12.75">
      <c r="A543" s="328"/>
    </row>
    <row r="544" spans="1:1" ht="12.75">
      <c r="A544" s="328"/>
    </row>
    <row r="545" spans="1:1" ht="12.75">
      <c r="A545" s="328"/>
    </row>
    <row r="546" spans="1:1" ht="12.75">
      <c r="A546" s="328"/>
    </row>
    <row r="547" spans="1:1" ht="12.75">
      <c r="A547" s="328"/>
    </row>
    <row r="548" spans="1:1" ht="12.75">
      <c r="A548" s="328"/>
    </row>
    <row r="549" spans="1:1" ht="12.75">
      <c r="A549" s="328"/>
    </row>
    <row r="550" spans="1:1" ht="12.75">
      <c r="A550" s="328"/>
    </row>
    <row r="551" spans="1:1" ht="12.75">
      <c r="A551" s="328"/>
    </row>
    <row r="552" spans="1:1" ht="12.75">
      <c r="A552" s="328"/>
    </row>
    <row r="553" spans="1:1" ht="12.75">
      <c r="A553" s="328"/>
    </row>
    <row r="554" spans="1:1" ht="12.75">
      <c r="A554" s="328"/>
    </row>
    <row r="555" spans="1:1" ht="12.75">
      <c r="A555" s="328"/>
    </row>
    <row r="556" spans="1:1" ht="12.75">
      <c r="A556" s="328"/>
    </row>
    <row r="557" spans="1:1" ht="12.75">
      <c r="A557" s="328"/>
    </row>
    <row r="558" spans="1:1" ht="12.75">
      <c r="A558" s="328"/>
    </row>
    <row r="559" spans="1:1" ht="12.75">
      <c r="A559" s="328"/>
    </row>
    <row r="560" spans="1:1" ht="12.75">
      <c r="A560" s="328"/>
    </row>
    <row r="561" spans="1:1" ht="12.75">
      <c r="A561" s="328"/>
    </row>
    <row r="562" spans="1:1" ht="12.75">
      <c r="A562" s="328"/>
    </row>
    <row r="563" spans="1:1" ht="12.75">
      <c r="A563" s="328"/>
    </row>
    <row r="564" spans="1:1" ht="12.75">
      <c r="A564" s="328"/>
    </row>
    <row r="565" spans="1:1" ht="12.75">
      <c r="A565" s="328"/>
    </row>
    <row r="566" spans="1:1" ht="12.75">
      <c r="A566" s="328"/>
    </row>
    <row r="567" spans="1:1" ht="12.75">
      <c r="A567" s="328"/>
    </row>
    <row r="568" spans="1:1" ht="12.75">
      <c r="A568" s="328"/>
    </row>
    <row r="569" spans="1:1" ht="12.75">
      <c r="A569" s="328"/>
    </row>
    <row r="570" spans="1:1" ht="12.75">
      <c r="A570" s="328"/>
    </row>
    <row r="571" spans="1:1" ht="12.75">
      <c r="A571" s="328"/>
    </row>
    <row r="572" spans="1:1" ht="12.75">
      <c r="A572" s="328"/>
    </row>
    <row r="573" spans="1:1" ht="12.75">
      <c r="A573" s="328"/>
    </row>
    <row r="574" spans="1:1" ht="12.75">
      <c r="A574" s="328"/>
    </row>
    <row r="575" spans="1:1" ht="12.75">
      <c r="A575" s="328"/>
    </row>
    <row r="576" spans="1:1" ht="12.75">
      <c r="A576" s="328"/>
    </row>
    <row r="577" spans="1:1" ht="12.75">
      <c r="A577" s="328"/>
    </row>
    <row r="578" spans="1:1" ht="12.75">
      <c r="A578" s="328"/>
    </row>
    <row r="579" spans="1:1" ht="12.75">
      <c r="A579" s="328"/>
    </row>
    <row r="580" spans="1:1" ht="12.75">
      <c r="A580" s="328"/>
    </row>
    <row r="581" spans="1:1" ht="12.75">
      <c r="A581" s="328"/>
    </row>
    <row r="582" spans="1:1" ht="12.75">
      <c r="A582" s="328"/>
    </row>
    <row r="583" spans="1:1" ht="12.75">
      <c r="A583" s="328"/>
    </row>
    <row r="584" spans="1:1" ht="12.75">
      <c r="A584" s="328"/>
    </row>
    <row r="585" spans="1:1" ht="12.75">
      <c r="A585" s="328"/>
    </row>
    <row r="586" spans="1:1" ht="12.75">
      <c r="A586" s="328"/>
    </row>
    <row r="587" spans="1:1" ht="12.75">
      <c r="A587" s="328"/>
    </row>
    <row r="588" spans="1:1" ht="12.75">
      <c r="A588" s="328"/>
    </row>
    <row r="589" spans="1:1" ht="12.75">
      <c r="A589" s="328"/>
    </row>
    <row r="590" spans="1:1" ht="12.75">
      <c r="A590" s="328"/>
    </row>
    <row r="591" spans="1:1" ht="12.75">
      <c r="A591" s="328"/>
    </row>
    <row r="592" spans="1:1" ht="12.75">
      <c r="A592" s="328"/>
    </row>
    <row r="593" spans="1:1" ht="12.75">
      <c r="A593" s="328"/>
    </row>
    <row r="594" spans="1:1" ht="12.75">
      <c r="A594" s="328"/>
    </row>
    <row r="595" spans="1:1" ht="12.75">
      <c r="A595" s="328"/>
    </row>
    <row r="596" spans="1:1" ht="12.75">
      <c r="A596" s="328"/>
    </row>
    <row r="597" spans="1:1" ht="12.75">
      <c r="A597" s="328"/>
    </row>
    <row r="598" spans="1:1" ht="12.75">
      <c r="A598" s="328"/>
    </row>
    <row r="599" spans="1:1" ht="12.75">
      <c r="A599" s="328"/>
    </row>
    <row r="600" spans="1:1" ht="12.75">
      <c r="A600" s="328"/>
    </row>
    <row r="601" spans="1:1" ht="12.75">
      <c r="A601" s="328"/>
    </row>
    <row r="602" spans="1:1" ht="12.75">
      <c r="A602" s="328"/>
    </row>
    <row r="603" spans="1:1" ht="12.75">
      <c r="A603" s="328"/>
    </row>
    <row r="604" spans="1:1" ht="12.75">
      <c r="A604" s="328"/>
    </row>
    <row r="605" spans="1:1" ht="12.75">
      <c r="A605" s="328"/>
    </row>
    <row r="606" spans="1:1" ht="12.75">
      <c r="A606" s="328"/>
    </row>
    <row r="607" spans="1:1" ht="12.75">
      <c r="A607" s="328"/>
    </row>
    <row r="608" spans="1:1" ht="12.75">
      <c r="A608" s="328"/>
    </row>
    <row r="609" spans="1:1" ht="12.75">
      <c r="A609" s="328"/>
    </row>
    <row r="610" spans="1:1" ht="12.75">
      <c r="A610" s="328"/>
    </row>
    <row r="611" spans="1:1" ht="12.75">
      <c r="A611" s="328"/>
    </row>
    <row r="612" spans="1:1" ht="12.75">
      <c r="A612" s="328"/>
    </row>
    <row r="613" spans="1:1" ht="12.75">
      <c r="A613" s="328"/>
    </row>
    <row r="614" spans="1:1" ht="12.75">
      <c r="A614" s="328"/>
    </row>
    <row r="615" spans="1:1" ht="12.75">
      <c r="A615" s="328"/>
    </row>
    <row r="616" spans="1:1" ht="12.75">
      <c r="A616" s="328"/>
    </row>
    <row r="617" spans="1:1" ht="12.75">
      <c r="A617" s="328"/>
    </row>
    <row r="618" spans="1:1" ht="12.75">
      <c r="A618" s="328"/>
    </row>
    <row r="619" spans="1:1" ht="12.75">
      <c r="A619" s="328"/>
    </row>
    <row r="620" spans="1:1" ht="12.75">
      <c r="A620" s="328"/>
    </row>
    <row r="621" spans="1:1" ht="12.75">
      <c r="A621" s="328"/>
    </row>
    <row r="622" spans="1:1" ht="12.75">
      <c r="A622" s="328"/>
    </row>
    <row r="623" spans="1:1" ht="12.75">
      <c r="A623" s="328"/>
    </row>
    <row r="624" spans="1:1" ht="12.75">
      <c r="A624" s="328"/>
    </row>
    <row r="625" spans="1:1" ht="12.75">
      <c r="A625" s="328"/>
    </row>
    <row r="626" spans="1:1" ht="12.75">
      <c r="A626" s="328"/>
    </row>
    <row r="627" spans="1:1" ht="12.75">
      <c r="A627" s="328"/>
    </row>
    <row r="628" spans="1:1" ht="12.75">
      <c r="A628" s="328"/>
    </row>
    <row r="629" spans="1:1" ht="12.75">
      <c r="A629" s="328"/>
    </row>
    <row r="630" spans="1:1" ht="12.75">
      <c r="A630" s="328"/>
    </row>
    <row r="631" spans="1:1" ht="12.75">
      <c r="A631" s="328"/>
    </row>
    <row r="632" spans="1:1" ht="12.75">
      <c r="A632" s="328"/>
    </row>
    <row r="633" spans="1:1" ht="12.75">
      <c r="A633" s="328"/>
    </row>
    <row r="634" spans="1:1" ht="12.75">
      <c r="A634" s="328"/>
    </row>
    <row r="635" spans="1:1" ht="12.75">
      <c r="A635" s="328"/>
    </row>
    <row r="636" spans="1:1" ht="12.75">
      <c r="A636" s="328"/>
    </row>
    <row r="637" spans="1:1" ht="12.75">
      <c r="A637" s="328"/>
    </row>
    <row r="638" spans="1:1" ht="12.75">
      <c r="A638" s="328"/>
    </row>
    <row r="639" spans="1:1" ht="12.75">
      <c r="A639" s="328"/>
    </row>
    <row r="640" spans="1:1" ht="12.75">
      <c r="A640" s="328"/>
    </row>
    <row r="641" spans="1:1" ht="12.75">
      <c r="A641" s="328"/>
    </row>
    <row r="642" spans="1:1" ht="12.75">
      <c r="A642" s="328"/>
    </row>
    <row r="643" spans="1:1" ht="12.75">
      <c r="A643" s="328"/>
    </row>
    <row r="644" spans="1:1" ht="12.75">
      <c r="A644" s="328"/>
    </row>
    <row r="645" spans="1:1" ht="12.75">
      <c r="A645" s="328"/>
    </row>
    <row r="646" spans="1:1" ht="12.75">
      <c r="A646" s="328"/>
    </row>
    <row r="647" spans="1:1" ht="12.75">
      <c r="A647" s="328"/>
    </row>
    <row r="648" spans="1:1" ht="12.75">
      <c r="A648" s="328"/>
    </row>
    <row r="649" spans="1:1" ht="12.75">
      <c r="A649" s="328"/>
    </row>
    <row r="650" spans="1:1" ht="12.75">
      <c r="A650" s="328"/>
    </row>
    <row r="651" spans="1:1" ht="12.75">
      <c r="A651" s="328"/>
    </row>
    <row r="652" spans="1:1" ht="12.75">
      <c r="A652" s="328"/>
    </row>
    <row r="653" spans="1:1" ht="12.75">
      <c r="A653" s="328"/>
    </row>
    <row r="654" spans="1:1" ht="12.75">
      <c r="A654" s="328"/>
    </row>
    <row r="655" spans="1:1" ht="12.75">
      <c r="A655" s="328"/>
    </row>
    <row r="656" spans="1:1" ht="12.75">
      <c r="A656" s="328"/>
    </row>
    <row r="657" spans="1:1" ht="12.75">
      <c r="A657" s="328"/>
    </row>
    <row r="658" spans="1:1" ht="12.75">
      <c r="A658" s="328"/>
    </row>
    <row r="659" spans="1:1" ht="12.75">
      <c r="A659" s="328"/>
    </row>
    <row r="660" spans="1:1" ht="12.75">
      <c r="A660" s="328"/>
    </row>
    <row r="661" spans="1:1" ht="12.75">
      <c r="A661" s="328"/>
    </row>
    <row r="662" spans="1:1" ht="12.75">
      <c r="A662" s="328"/>
    </row>
    <row r="663" spans="1:1" ht="12.75">
      <c r="A663" s="328"/>
    </row>
    <row r="664" spans="1:1" ht="12.75">
      <c r="A664" s="328"/>
    </row>
    <row r="665" spans="1:1" ht="12.75">
      <c r="A665" s="328"/>
    </row>
    <row r="666" spans="1:1" ht="12.75">
      <c r="A666" s="328"/>
    </row>
    <row r="667" spans="1:1" ht="12.75">
      <c r="A667" s="328"/>
    </row>
    <row r="668" spans="1:1" ht="12.75">
      <c r="A668" s="328"/>
    </row>
    <row r="669" spans="1:1" ht="12.75">
      <c r="A669" s="328"/>
    </row>
    <row r="670" spans="1:1" ht="12.75">
      <c r="A670" s="328"/>
    </row>
    <row r="671" spans="1:1" ht="12.75">
      <c r="A671" s="328"/>
    </row>
    <row r="672" spans="1:1" ht="12.75">
      <c r="A672" s="328"/>
    </row>
    <row r="673" spans="1:1" ht="12.75">
      <c r="A673" s="328"/>
    </row>
    <row r="674" spans="1:1" ht="12.75">
      <c r="A674" s="328"/>
    </row>
    <row r="675" spans="1:1" ht="12.75">
      <c r="A675" s="328"/>
    </row>
    <row r="676" spans="1:1" ht="12.75">
      <c r="A676" s="328"/>
    </row>
    <row r="677" spans="1:1" ht="12.75">
      <c r="A677" s="328"/>
    </row>
    <row r="678" spans="1:1" ht="12.75">
      <c r="A678" s="328"/>
    </row>
    <row r="679" spans="1:1" ht="12.75">
      <c r="A679" s="328"/>
    </row>
    <row r="680" spans="1:1" ht="12.75">
      <c r="A680" s="328"/>
    </row>
    <row r="681" spans="1:1" ht="12.75">
      <c r="A681" s="328"/>
    </row>
    <row r="682" spans="1:1" ht="12.75">
      <c r="A682" s="328"/>
    </row>
    <row r="683" spans="1:1" ht="12.75">
      <c r="A683" s="328"/>
    </row>
    <row r="684" spans="1:1" ht="12.75">
      <c r="A684" s="328"/>
    </row>
    <row r="685" spans="1:1" ht="12.75">
      <c r="A685" s="328"/>
    </row>
    <row r="686" spans="1:1" ht="12.75">
      <c r="A686" s="328"/>
    </row>
    <row r="687" spans="1:1" ht="12.75">
      <c r="A687" s="328"/>
    </row>
    <row r="688" spans="1:1" ht="12.75">
      <c r="A688" s="328"/>
    </row>
    <row r="689" spans="1:1" ht="12.75">
      <c r="A689" s="328"/>
    </row>
    <row r="690" spans="1:1" ht="12.75">
      <c r="A690" s="328"/>
    </row>
    <row r="691" spans="1:1" ht="12.75">
      <c r="A691" s="328"/>
    </row>
    <row r="692" spans="1:1" ht="12.75">
      <c r="A692" s="328"/>
    </row>
    <row r="693" spans="1:1" ht="12.75">
      <c r="A693" s="328"/>
    </row>
    <row r="694" spans="1:1" ht="12.75">
      <c r="A694" s="328"/>
    </row>
    <row r="695" spans="1:1" ht="12.75">
      <c r="A695" s="328"/>
    </row>
    <row r="696" spans="1:1" ht="12.75">
      <c r="A696" s="328"/>
    </row>
    <row r="697" spans="1:1" ht="12.75">
      <c r="A697" s="328"/>
    </row>
    <row r="698" spans="1:1" ht="12.75">
      <c r="A698" s="328"/>
    </row>
    <row r="699" spans="1:1" ht="12.75">
      <c r="A699" s="328"/>
    </row>
    <row r="700" spans="1:1" ht="12.75">
      <c r="A700" s="328"/>
    </row>
    <row r="701" spans="1:1" ht="12.75">
      <c r="A701" s="328"/>
    </row>
    <row r="702" spans="1:1" ht="12.75">
      <c r="A702" s="328"/>
    </row>
    <row r="703" spans="1:1" ht="12.75">
      <c r="A703" s="328"/>
    </row>
    <row r="704" spans="1:1" ht="12.75">
      <c r="A704" s="328"/>
    </row>
    <row r="705" spans="1:1" ht="12.75">
      <c r="A705" s="328"/>
    </row>
    <row r="706" spans="1:1" ht="12.75">
      <c r="A706" s="328"/>
    </row>
    <row r="707" spans="1:1" ht="12.75">
      <c r="A707" s="328"/>
    </row>
    <row r="708" spans="1:1" ht="12.75">
      <c r="A708" s="328"/>
    </row>
    <row r="709" spans="1:1" ht="12.75">
      <c r="A709" s="328"/>
    </row>
    <row r="710" spans="1:1" ht="12.75">
      <c r="A710" s="328"/>
    </row>
    <row r="711" spans="1:1" ht="12.75">
      <c r="A711" s="328"/>
    </row>
    <row r="712" spans="1:1" ht="12.75">
      <c r="A712" s="328"/>
    </row>
    <row r="713" spans="1:1" ht="12.75">
      <c r="A713" s="328"/>
    </row>
    <row r="714" spans="1:1" ht="12.75">
      <c r="A714" s="328"/>
    </row>
    <row r="715" spans="1:1" ht="12.75">
      <c r="A715" s="328"/>
    </row>
    <row r="716" spans="1:1" ht="12.75">
      <c r="A716" s="328"/>
    </row>
    <row r="717" spans="1:1" ht="12.75">
      <c r="A717" s="328"/>
    </row>
    <row r="718" spans="1:1" ht="12.75">
      <c r="A718" s="328"/>
    </row>
    <row r="719" spans="1:1" ht="12.75">
      <c r="A719" s="328"/>
    </row>
    <row r="720" spans="1:1" ht="12.75">
      <c r="A720" s="328"/>
    </row>
    <row r="721" spans="1:1" ht="12.75">
      <c r="A721" s="328"/>
    </row>
    <row r="722" spans="1:1" ht="12.75">
      <c r="A722" s="328"/>
    </row>
    <row r="723" spans="1:1" ht="12.75">
      <c r="A723" s="328"/>
    </row>
    <row r="724" spans="1:1" ht="12.75">
      <c r="A724" s="328"/>
    </row>
    <row r="725" spans="1:1" ht="12.75">
      <c r="A725" s="328"/>
    </row>
    <row r="726" spans="1:1" ht="12.75">
      <c r="A726" s="328"/>
    </row>
    <row r="727" spans="1:1" ht="12.75">
      <c r="A727" s="328"/>
    </row>
    <row r="728" spans="1:1" ht="12.75">
      <c r="A728" s="328"/>
    </row>
    <row r="729" spans="1:1" ht="12.75">
      <c r="A729" s="328"/>
    </row>
    <row r="730" spans="1:1" ht="12.75">
      <c r="A730" s="328"/>
    </row>
    <row r="731" spans="1:1" ht="12.75">
      <c r="A731" s="328"/>
    </row>
    <row r="732" spans="1:1" ht="12.75">
      <c r="A732" s="328"/>
    </row>
    <row r="733" spans="1:1" ht="12.75">
      <c r="A733" s="328"/>
    </row>
    <row r="734" spans="1:1" ht="12.75">
      <c r="A734" s="328"/>
    </row>
    <row r="735" spans="1:1" ht="12.75">
      <c r="A735" s="328"/>
    </row>
    <row r="736" spans="1:1" ht="12.75">
      <c r="A736" s="328"/>
    </row>
    <row r="737" spans="1:1" ht="12.75">
      <c r="A737" s="328"/>
    </row>
    <row r="738" spans="1:1" ht="12.75">
      <c r="A738" s="328"/>
    </row>
    <row r="739" spans="1:1" ht="12.75">
      <c r="A739" s="328"/>
    </row>
    <row r="740" spans="1:1" ht="12.75">
      <c r="A740" s="328"/>
    </row>
    <row r="741" spans="1:1" ht="12.75">
      <c r="A741" s="328"/>
    </row>
    <row r="742" spans="1:1" ht="12.75">
      <c r="A742" s="328"/>
    </row>
    <row r="743" spans="1:1" ht="12.75">
      <c r="A743" s="328"/>
    </row>
    <row r="744" spans="1:1" ht="12.75">
      <c r="A744" s="328"/>
    </row>
    <row r="745" spans="1:1" ht="12.75">
      <c r="A745" s="328"/>
    </row>
    <row r="746" spans="1:1" ht="12.75">
      <c r="A746" s="328"/>
    </row>
    <row r="747" spans="1:1" ht="12.75">
      <c r="A747" s="328"/>
    </row>
    <row r="748" spans="1:1" ht="12.75">
      <c r="A748" s="328"/>
    </row>
    <row r="749" spans="1:1" ht="12.75">
      <c r="A749" s="328"/>
    </row>
    <row r="750" spans="1:1" ht="12.75">
      <c r="A750" s="328"/>
    </row>
    <row r="751" spans="1:1" ht="12.75">
      <c r="A751" s="328"/>
    </row>
    <row r="752" spans="1:1" ht="12.75">
      <c r="A752" s="328"/>
    </row>
    <row r="753" spans="1:1" ht="12.75">
      <c r="A753" s="328"/>
    </row>
    <row r="754" spans="1:1" ht="12.75">
      <c r="A754" s="328"/>
    </row>
    <row r="755" spans="1:1" ht="12.75">
      <c r="A755" s="328"/>
    </row>
    <row r="756" spans="1:1" ht="12.75">
      <c r="A756" s="328"/>
    </row>
    <row r="757" spans="1:1" ht="12.75">
      <c r="A757" s="328"/>
    </row>
    <row r="758" spans="1:1" ht="12.75">
      <c r="A758" s="328"/>
    </row>
    <row r="759" spans="1:1" ht="12.75">
      <c r="A759" s="328"/>
    </row>
    <row r="760" spans="1:1" ht="12.75">
      <c r="A760" s="328"/>
    </row>
    <row r="761" spans="1:1" ht="12.75">
      <c r="A761" s="328"/>
    </row>
    <row r="762" spans="1:1" ht="12.75">
      <c r="A762" s="328"/>
    </row>
    <row r="763" spans="1:1" ht="12.75">
      <c r="A763" s="328"/>
    </row>
    <row r="764" spans="1:1" ht="12.75">
      <c r="A764" s="328"/>
    </row>
    <row r="765" spans="1:1" ht="12.75">
      <c r="A765" s="328"/>
    </row>
    <row r="766" spans="1:1" ht="12.75">
      <c r="A766" s="328"/>
    </row>
    <row r="767" spans="1:1" ht="12.75">
      <c r="A767" s="328"/>
    </row>
    <row r="768" spans="1:1" ht="12.75">
      <c r="A768" s="328"/>
    </row>
    <row r="769" spans="1:1" ht="12.75">
      <c r="A769" s="328"/>
    </row>
    <row r="770" spans="1:1" ht="12.75">
      <c r="A770" s="328"/>
    </row>
    <row r="771" spans="1:1" ht="12.75">
      <c r="A771" s="328"/>
    </row>
    <row r="772" spans="1:1" ht="12.75">
      <c r="A772" s="328"/>
    </row>
    <row r="773" spans="1:1" ht="12.75">
      <c r="A773" s="328"/>
    </row>
    <row r="774" spans="1:1" ht="12.75">
      <c r="A774" s="328"/>
    </row>
    <row r="775" spans="1:1" ht="12.75">
      <c r="A775" s="328"/>
    </row>
    <row r="776" spans="1:1" ht="12.75">
      <c r="A776" s="328"/>
    </row>
    <row r="777" spans="1:1" ht="12.75">
      <c r="A777" s="328"/>
    </row>
    <row r="778" spans="1:1" ht="12.75">
      <c r="A778" s="328"/>
    </row>
    <row r="779" spans="1:1" ht="12.75">
      <c r="A779" s="328"/>
    </row>
    <row r="780" spans="1:1" ht="12.75">
      <c r="A780" s="328"/>
    </row>
    <row r="781" spans="1:1" ht="12.75">
      <c r="A781" s="328"/>
    </row>
    <row r="782" spans="1:1" ht="12.75">
      <c r="A782" s="328"/>
    </row>
    <row r="783" spans="1:1" ht="12.75">
      <c r="A783" s="328"/>
    </row>
    <row r="784" spans="1:1" ht="12.75">
      <c r="A784" s="328"/>
    </row>
    <row r="785" spans="1:1" ht="12.75">
      <c r="A785" s="328"/>
    </row>
    <row r="786" spans="1:1" ht="12.75">
      <c r="A786" s="328"/>
    </row>
    <row r="787" spans="1:1" ht="12.75">
      <c r="A787" s="328"/>
    </row>
    <row r="788" spans="1:1" ht="12.75">
      <c r="A788" s="328"/>
    </row>
    <row r="789" spans="1:1" ht="12.75">
      <c r="A789" s="328"/>
    </row>
    <row r="790" spans="1:1" ht="12.75">
      <c r="A790" s="328"/>
    </row>
    <row r="791" spans="1:1" ht="12.75">
      <c r="A791" s="328"/>
    </row>
    <row r="792" spans="1:1" ht="12.75">
      <c r="A792" s="328"/>
    </row>
    <row r="793" spans="1:1" ht="12.75">
      <c r="A793" s="328"/>
    </row>
    <row r="794" spans="1:1" ht="12.75">
      <c r="A794" s="328"/>
    </row>
    <row r="795" spans="1:1" ht="12.75">
      <c r="A795" s="328"/>
    </row>
    <row r="796" spans="1:1" ht="12.75">
      <c r="A796" s="328"/>
    </row>
    <row r="797" spans="1:1" ht="12.75">
      <c r="A797" s="328"/>
    </row>
    <row r="798" spans="1:1" ht="12.75">
      <c r="A798" s="328"/>
    </row>
    <row r="799" spans="1:1" ht="12.75">
      <c r="A799" s="328"/>
    </row>
    <row r="800" spans="1:1" ht="12.75">
      <c r="A800" s="328"/>
    </row>
    <row r="801" spans="1:1" ht="12.75">
      <c r="A801" s="328"/>
    </row>
    <row r="802" spans="1:1" ht="12.75">
      <c r="A802" s="328"/>
    </row>
    <row r="803" spans="1:1" ht="12.75">
      <c r="A803" s="328"/>
    </row>
    <row r="804" spans="1:1" ht="12.75">
      <c r="A804" s="328"/>
    </row>
    <row r="805" spans="1:1" ht="12.75">
      <c r="A805" s="328"/>
    </row>
    <row r="806" spans="1:1" ht="12.75">
      <c r="A806" s="328"/>
    </row>
    <row r="807" spans="1:1" ht="12.75">
      <c r="A807" s="328"/>
    </row>
    <row r="808" spans="1:1" ht="12.75">
      <c r="A808" s="328"/>
    </row>
    <row r="809" spans="1:1" ht="12.75">
      <c r="A809" s="328"/>
    </row>
    <row r="810" spans="1:1" ht="12.75">
      <c r="A810" s="328"/>
    </row>
    <row r="811" spans="1:1" ht="12.75">
      <c r="A811" s="328"/>
    </row>
    <row r="812" spans="1:1" ht="12.75">
      <c r="A812" s="328"/>
    </row>
    <row r="813" spans="1:1" ht="12.75">
      <c r="A813" s="328"/>
    </row>
    <row r="814" spans="1:1" ht="12.75">
      <c r="A814" s="328"/>
    </row>
    <row r="815" spans="1:1" ht="12.75">
      <c r="A815" s="328"/>
    </row>
    <row r="816" spans="1:1" ht="12.75">
      <c r="A816" s="328"/>
    </row>
    <row r="817" spans="1:1" ht="12.75">
      <c r="A817" s="328"/>
    </row>
    <row r="818" spans="1:1" ht="12.75">
      <c r="A818" s="328"/>
    </row>
    <row r="819" spans="1:1" ht="12.75">
      <c r="A819" s="328"/>
    </row>
    <row r="820" spans="1:1" ht="12.75">
      <c r="A820" s="328"/>
    </row>
    <row r="821" spans="1:1" ht="12.75">
      <c r="A821" s="328"/>
    </row>
    <row r="822" spans="1:1" ht="12.75">
      <c r="A822" s="328"/>
    </row>
    <row r="823" spans="1:1" ht="12.75">
      <c r="A823" s="328"/>
    </row>
    <row r="824" spans="1:1" ht="12.75">
      <c r="A824" s="328"/>
    </row>
    <row r="825" spans="1:1" ht="12.75">
      <c r="A825" s="328"/>
    </row>
    <row r="826" spans="1:1" ht="12.75">
      <c r="A826" s="328"/>
    </row>
    <row r="827" spans="1:1" ht="12.75">
      <c r="A827" s="328"/>
    </row>
    <row r="828" spans="1:1" ht="12.75">
      <c r="A828" s="328"/>
    </row>
    <row r="829" spans="1:1" ht="12.75">
      <c r="A829" s="328"/>
    </row>
    <row r="830" spans="1:1" ht="12.75">
      <c r="A830" s="328"/>
    </row>
    <row r="831" spans="1:1" ht="12.75">
      <c r="A831" s="328"/>
    </row>
    <row r="832" spans="1:1" ht="12.75">
      <c r="A832" s="328"/>
    </row>
    <row r="833" spans="1:1" ht="12.75">
      <c r="A833" s="328"/>
    </row>
    <row r="834" spans="1:1" ht="12.75">
      <c r="A834" s="328"/>
    </row>
    <row r="835" spans="1:1" ht="12.75">
      <c r="A835" s="328"/>
    </row>
    <row r="836" spans="1:1" ht="12.75">
      <c r="A836" s="328"/>
    </row>
    <row r="837" spans="1:1" ht="12.75">
      <c r="A837" s="328"/>
    </row>
    <row r="838" spans="1:1" ht="12.75">
      <c r="A838" s="328"/>
    </row>
    <row r="839" spans="1:1" ht="12.75">
      <c r="A839" s="328"/>
    </row>
    <row r="840" spans="1:1" ht="12.75">
      <c r="A840" s="328"/>
    </row>
    <row r="841" spans="1:1" ht="12.75">
      <c r="A841" s="328"/>
    </row>
    <row r="842" spans="1:1" ht="12.75">
      <c r="A842" s="328"/>
    </row>
    <row r="843" spans="1:1" ht="12.75">
      <c r="A843" s="328"/>
    </row>
    <row r="844" spans="1:1" ht="12.75">
      <c r="A844" s="328"/>
    </row>
    <row r="845" spans="1:1" ht="12.75">
      <c r="A845" s="328"/>
    </row>
    <row r="846" spans="1:1" ht="12.75">
      <c r="A846" s="328"/>
    </row>
    <row r="847" spans="1:1" ht="12.75">
      <c r="A847" s="328"/>
    </row>
    <row r="848" spans="1:1" ht="12.75">
      <c r="A848" s="328"/>
    </row>
    <row r="849" spans="1:1" ht="12.75">
      <c r="A849" s="328"/>
    </row>
    <row r="850" spans="1:1" ht="12.75">
      <c r="A850" s="328"/>
    </row>
    <row r="851" spans="1:1" ht="12.75">
      <c r="A851" s="328"/>
    </row>
    <row r="852" spans="1:1" ht="12.75">
      <c r="A852" s="328"/>
    </row>
    <row r="853" spans="1:1" ht="12.75">
      <c r="A853" s="328"/>
    </row>
    <row r="854" spans="1:1" ht="12.75">
      <c r="A854" s="328"/>
    </row>
    <row r="855" spans="1:1" ht="12.75">
      <c r="A855" s="328"/>
    </row>
    <row r="856" spans="1:1" ht="12.75">
      <c r="A856" s="328"/>
    </row>
    <row r="857" spans="1:1" ht="12.75">
      <c r="A857" s="328"/>
    </row>
    <row r="858" spans="1:1" ht="12.75">
      <c r="A858" s="328"/>
    </row>
    <row r="859" spans="1:1" ht="12.75">
      <c r="A859" s="328"/>
    </row>
    <row r="860" spans="1:1" ht="12.75">
      <c r="A860" s="328"/>
    </row>
    <row r="861" spans="1:1" ht="12.75">
      <c r="A861" s="328"/>
    </row>
    <row r="862" spans="1:1" ht="12.75">
      <c r="A862" s="328"/>
    </row>
    <row r="863" spans="1:1" ht="12.75">
      <c r="A863" s="328"/>
    </row>
    <row r="864" spans="1:1" ht="12.75">
      <c r="A864" s="328"/>
    </row>
    <row r="865" spans="1:1" ht="12.75">
      <c r="A865" s="328"/>
    </row>
    <row r="866" spans="1:1" ht="12.75">
      <c r="A866" s="328"/>
    </row>
    <row r="867" spans="1:1" ht="12.75">
      <c r="A867" s="328"/>
    </row>
    <row r="868" spans="1:1" ht="12.75">
      <c r="A868" s="328"/>
    </row>
    <row r="869" spans="1:1" ht="12.75">
      <c r="A869" s="328"/>
    </row>
    <row r="870" spans="1:1" ht="12.75">
      <c r="A870" s="328"/>
    </row>
    <row r="871" spans="1:1" ht="12.75">
      <c r="A871" s="328"/>
    </row>
    <row r="872" spans="1:1" ht="12.75">
      <c r="A872" s="328"/>
    </row>
    <row r="873" spans="1:1" ht="12.75">
      <c r="A873" s="328"/>
    </row>
    <row r="874" spans="1:1" ht="12.75">
      <c r="A874" s="328"/>
    </row>
    <row r="875" spans="1:1" ht="12.75">
      <c r="A875" s="328"/>
    </row>
    <row r="876" spans="1:1" ht="12.75">
      <c r="A876" s="328"/>
    </row>
    <row r="877" spans="1:1" ht="12.75">
      <c r="A877" s="328"/>
    </row>
    <row r="878" spans="1:1" ht="12.75">
      <c r="A878" s="328"/>
    </row>
    <row r="879" spans="1:1" ht="12.75">
      <c r="A879" s="328"/>
    </row>
    <row r="880" spans="1:1" ht="12.75">
      <c r="A880" s="328"/>
    </row>
    <row r="881" spans="1:1" ht="12.75">
      <c r="A881" s="328"/>
    </row>
    <row r="882" spans="1:1" ht="12.75">
      <c r="A882" s="328"/>
    </row>
    <row r="883" spans="1:1" ht="12.75">
      <c r="A883" s="328"/>
    </row>
    <row r="884" spans="1:1" ht="12.75">
      <c r="A884" s="328"/>
    </row>
    <row r="885" spans="1:1" ht="12.75">
      <c r="A885" s="328"/>
    </row>
    <row r="886" spans="1:1" ht="12.75">
      <c r="A886" s="328"/>
    </row>
    <row r="887" spans="1:1" ht="12.75">
      <c r="A887" s="328"/>
    </row>
    <row r="888" spans="1:1" ht="12.75">
      <c r="A888" s="328"/>
    </row>
    <row r="889" spans="1:1" ht="12.75">
      <c r="A889" s="328"/>
    </row>
    <row r="890" spans="1:1" ht="12.75">
      <c r="A890" s="328"/>
    </row>
    <row r="891" spans="1:1" ht="12.75">
      <c r="A891" s="328"/>
    </row>
    <row r="892" spans="1:1" ht="12.75">
      <c r="A892" s="328"/>
    </row>
    <row r="893" spans="1:1" ht="12.75">
      <c r="A893" s="328"/>
    </row>
    <row r="894" spans="1:1" ht="12.75">
      <c r="A894" s="328"/>
    </row>
    <row r="895" spans="1:1" ht="12.75">
      <c r="A895" s="328"/>
    </row>
    <row r="896" spans="1:1" ht="12.75">
      <c r="A896" s="328"/>
    </row>
    <row r="897" spans="1:1" ht="12.75">
      <c r="A897" s="328"/>
    </row>
    <row r="898" spans="1:1" ht="12.75">
      <c r="A898" s="328"/>
    </row>
    <row r="899" spans="1:1" ht="12.75">
      <c r="A899" s="328"/>
    </row>
    <row r="900" spans="1:1" ht="12.75">
      <c r="A900" s="328"/>
    </row>
    <row r="901" spans="1:1" ht="12.75">
      <c r="A901" s="328"/>
    </row>
    <row r="902" spans="1:1" ht="12.75">
      <c r="A902" s="328"/>
    </row>
    <row r="903" spans="1:1" ht="12.75">
      <c r="A903" s="328"/>
    </row>
    <row r="904" spans="1:1" ht="12.75">
      <c r="A904" s="328"/>
    </row>
    <row r="905" spans="1:1" ht="12.75">
      <c r="A905" s="328"/>
    </row>
    <row r="906" spans="1:1" ht="12.75">
      <c r="A906" s="328"/>
    </row>
    <row r="907" spans="1:1" ht="12.75">
      <c r="A907" s="328"/>
    </row>
    <row r="908" spans="1:1" ht="12.75">
      <c r="A908" s="328"/>
    </row>
    <row r="909" spans="1:1" ht="12.75">
      <c r="A909" s="328"/>
    </row>
    <row r="910" spans="1:1" ht="12.75">
      <c r="A910" s="328"/>
    </row>
    <row r="911" spans="1:1" ht="12.75">
      <c r="A911" s="328"/>
    </row>
    <row r="912" spans="1:1" ht="12.75">
      <c r="A912" s="328"/>
    </row>
    <row r="913" spans="1:1" ht="12.75">
      <c r="A913" s="328"/>
    </row>
    <row r="914" spans="1:1" ht="12.75">
      <c r="A914" s="328"/>
    </row>
    <row r="915" spans="1:1" ht="12.75">
      <c r="A915" s="328"/>
    </row>
    <row r="916" spans="1:1" ht="12.75">
      <c r="A916" s="328"/>
    </row>
    <row r="917" spans="1:1" ht="12.75">
      <c r="A917" s="328"/>
    </row>
    <row r="918" spans="1:1" ht="12.75">
      <c r="A918" s="328"/>
    </row>
    <row r="919" spans="1:1" ht="12.75">
      <c r="A919" s="328"/>
    </row>
    <row r="920" spans="1:1" ht="12.75">
      <c r="A920" s="328"/>
    </row>
    <row r="921" spans="1:1" ht="12.75">
      <c r="A921" s="328"/>
    </row>
    <row r="922" spans="1:1" ht="12.75">
      <c r="A922" s="328"/>
    </row>
    <row r="923" spans="1:1" ht="12.75">
      <c r="A923" s="328"/>
    </row>
    <row r="924" spans="1:1" ht="12.75">
      <c r="A924" s="328"/>
    </row>
    <row r="925" spans="1:1" ht="12.75">
      <c r="A925" s="328"/>
    </row>
    <row r="926" spans="1:1" ht="12.75">
      <c r="A926" s="328"/>
    </row>
    <row r="927" spans="1:1" ht="12.75">
      <c r="A927" s="328"/>
    </row>
    <row r="928" spans="1:1" ht="12.75">
      <c r="A928" s="328"/>
    </row>
    <row r="929" spans="1:1" ht="12.75">
      <c r="A929" s="328"/>
    </row>
    <row r="930" spans="1:1" ht="12.75">
      <c r="A930" s="328"/>
    </row>
    <row r="931" spans="1:1" ht="12.75">
      <c r="A931" s="328"/>
    </row>
    <row r="932" spans="1:1" ht="12.75">
      <c r="A932" s="328"/>
    </row>
    <row r="933" spans="1:1" ht="12.75">
      <c r="A933" s="328"/>
    </row>
    <row r="934" spans="1:1" ht="12.75">
      <c r="A934" s="328"/>
    </row>
    <row r="935" spans="1:1" ht="12.75">
      <c r="A935" s="328"/>
    </row>
    <row r="936" spans="1:1" ht="12.75">
      <c r="A936" s="328"/>
    </row>
    <row r="937" spans="1:1" ht="12.75">
      <c r="A937" s="328"/>
    </row>
    <row r="938" spans="1:1" ht="12.75">
      <c r="A938" s="328"/>
    </row>
    <row r="939" spans="1:1" ht="12.75">
      <c r="A939" s="328"/>
    </row>
    <row r="940" spans="1:1" ht="12.75">
      <c r="A940" s="328"/>
    </row>
    <row r="941" spans="1:1" ht="12.75">
      <c r="A941" s="328"/>
    </row>
    <row r="942" spans="1:1" ht="12.75">
      <c r="A942" s="328"/>
    </row>
    <row r="943" spans="1:1" ht="12.75">
      <c r="A943" s="328"/>
    </row>
    <row r="944" spans="1:1" ht="12.75">
      <c r="A944" s="328"/>
    </row>
    <row r="945" spans="1:1" ht="12.75">
      <c r="A945" s="328"/>
    </row>
    <row r="946" spans="1:1" ht="12.75">
      <c r="A946" s="328"/>
    </row>
    <row r="947" spans="1:1" ht="12.75">
      <c r="A947" s="328"/>
    </row>
    <row r="948" spans="1:1" ht="12.75">
      <c r="A948" s="328"/>
    </row>
    <row r="949" spans="1:1" ht="12.75">
      <c r="A949" s="328"/>
    </row>
    <row r="950" spans="1:1" ht="12.75">
      <c r="A950" s="328"/>
    </row>
    <row r="951" spans="1:1" ht="12.75">
      <c r="A951" s="328"/>
    </row>
    <row r="952" spans="1:1" ht="12.75">
      <c r="A952" s="328"/>
    </row>
    <row r="953" spans="1:1" ht="12.75">
      <c r="A953" s="328"/>
    </row>
    <row r="954" spans="1:1" ht="12.75">
      <c r="A954" s="328"/>
    </row>
    <row r="955" spans="1:1" ht="12.75">
      <c r="A955" s="328"/>
    </row>
    <row r="956" spans="1:1" ht="12.75">
      <c r="A956" s="328"/>
    </row>
    <row r="957" spans="1:1" ht="12.75">
      <c r="A957" s="328"/>
    </row>
    <row r="958" spans="1:1" ht="12.75">
      <c r="A958" s="328"/>
    </row>
    <row r="959" spans="1:1" ht="12.75">
      <c r="A959" s="328"/>
    </row>
    <row r="960" spans="1:1" ht="12.75">
      <c r="A960" s="328"/>
    </row>
    <row r="961" spans="1:1" ht="12.75">
      <c r="A961" s="328"/>
    </row>
    <row r="962" spans="1:1" ht="12.75">
      <c r="A962" s="328"/>
    </row>
    <row r="963" spans="1:1" ht="12.75">
      <c r="A963" s="328"/>
    </row>
    <row r="964" spans="1:1" ht="12.75">
      <c r="A964" s="328"/>
    </row>
    <row r="965" spans="1:1" ht="12.75">
      <c r="A965" s="328"/>
    </row>
    <row r="966" spans="1:1" ht="12.75">
      <c r="A966" s="328"/>
    </row>
    <row r="967" spans="1:1" ht="12.75">
      <c r="A967" s="328"/>
    </row>
    <row r="968" spans="1:1" ht="12.75">
      <c r="A968" s="328"/>
    </row>
    <row r="969" spans="1:1" ht="12.75">
      <c r="A969" s="328"/>
    </row>
    <row r="970" spans="1:1" ht="12.75">
      <c r="A970" s="328"/>
    </row>
    <row r="971" spans="1:1" ht="12.75">
      <c r="A971" s="328"/>
    </row>
    <row r="972" spans="1:1" ht="12.75">
      <c r="A972" s="328"/>
    </row>
    <row r="973" spans="1:1" ht="12.75">
      <c r="A973" s="328"/>
    </row>
    <row r="974" spans="1:1" ht="12.75">
      <c r="A974" s="328"/>
    </row>
    <row r="975" spans="1:1" ht="12.75">
      <c r="A975" s="328"/>
    </row>
    <row r="976" spans="1:1" ht="12.75">
      <c r="A976" s="328"/>
    </row>
    <row r="977" spans="1:1" ht="12.75">
      <c r="A977" s="328"/>
    </row>
    <row r="978" spans="1:1" ht="12.75">
      <c r="A978" s="328"/>
    </row>
    <row r="979" spans="1:1" ht="12.75">
      <c r="A979" s="328"/>
    </row>
    <row r="980" spans="1:1" ht="12.75">
      <c r="A980" s="328"/>
    </row>
    <row r="981" spans="1:1" ht="12.75">
      <c r="A981" s="328"/>
    </row>
    <row r="982" spans="1:1" ht="12.75">
      <c r="A982" s="328"/>
    </row>
    <row r="983" spans="1:1" ht="12.75">
      <c r="A983" s="328"/>
    </row>
    <row r="984" spans="1:1" ht="12.75">
      <c r="A984" s="328"/>
    </row>
    <row r="985" spans="1:1" ht="12.75">
      <c r="A985" s="328"/>
    </row>
    <row r="986" spans="1:1" ht="12.75">
      <c r="A986" s="328"/>
    </row>
    <row r="987" spans="1:1" ht="12.75">
      <c r="A987" s="328"/>
    </row>
    <row r="988" spans="1:1" ht="12.75">
      <c r="A988" s="328"/>
    </row>
    <row r="989" spans="1:1" ht="12.75">
      <c r="A989" s="328"/>
    </row>
    <row r="990" spans="1:1" ht="12.75">
      <c r="A990" s="328"/>
    </row>
    <row r="991" spans="1:1" ht="12.75">
      <c r="A991" s="328"/>
    </row>
    <row r="992" spans="1:1" ht="12.75">
      <c r="A992" s="328"/>
    </row>
    <row r="993" spans="1:1" ht="12.75">
      <c r="A993" s="328"/>
    </row>
    <row r="994" spans="1:1" ht="12.75">
      <c r="A994" s="328"/>
    </row>
    <row r="995" spans="1:1" ht="12.75">
      <c r="A995" s="328"/>
    </row>
    <row r="996" spans="1:1" ht="12.75">
      <c r="A996" s="328"/>
    </row>
    <row r="997" spans="1:1" ht="12.75">
      <c r="A997" s="328"/>
    </row>
    <row r="998" spans="1:1" ht="12.75">
      <c r="A998" s="328"/>
    </row>
    <row r="999" spans="1:1" ht="12.75">
      <c r="A999" s="328"/>
    </row>
    <row r="1000" spans="1:1" ht="12.75">
      <c r="A1000" s="328"/>
    </row>
    <row r="1001" spans="1:1" ht="12.75">
      <c r="A1001" s="328"/>
    </row>
    <row r="1002" spans="1:1" ht="12.75">
      <c r="A1002" s="328"/>
    </row>
    <row r="1003" spans="1:1" ht="12.75">
      <c r="A1003" s="328"/>
    </row>
    <row r="1004" spans="1:1" ht="12.75">
      <c r="A1004" s="328"/>
    </row>
    <row r="1005" spans="1:1" ht="12.75">
      <c r="A1005" s="328"/>
    </row>
    <row r="1006" spans="1:1" ht="12.75">
      <c r="A1006" s="328"/>
    </row>
    <row r="1007" spans="1:1" ht="12.75">
      <c r="A1007" s="328"/>
    </row>
    <row r="1008" spans="1:1" ht="12.75">
      <c r="A1008" s="328"/>
    </row>
    <row r="1009" spans="1:1" ht="12.75">
      <c r="A1009" s="328"/>
    </row>
    <row r="1010" spans="1:1" ht="12.75">
      <c r="A1010" s="328"/>
    </row>
    <row r="1011" spans="1:1" ht="12.75">
      <c r="A1011" s="328"/>
    </row>
    <row r="1012" spans="1:1" ht="12.75">
      <c r="A1012" s="328"/>
    </row>
    <row r="1013" spans="1:1" ht="12.75">
      <c r="A1013" s="328"/>
    </row>
    <row r="1014" spans="1:1" ht="12.75">
      <c r="A1014" s="328"/>
    </row>
    <row r="1015" spans="1:1" ht="12.75">
      <c r="A1015" s="328"/>
    </row>
    <row r="1016" spans="1:1" ht="12.75">
      <c r="A1016" s="328"/>
    </row>
    <row r="1017" spans="1:1" ht="12.75">
      <c r="A1017" s="328"/>
    </row>
    <row r="1018" spans="1:1" ht="12.75">
      <c r="A1018" s="328"/>
    </row>
    <row r="1019" spans="1:1" ht="12.75">
      <c r="A1019" s="328"/>
    </row>
    <row r="1020" spans="1:1" ht="12.75">
      <c r="A1020" s="328"/>
    </row>
    <row r="1021" spans="1:1" ht="12.75">
      <c r="A1021" s="328"/>
    </row>
    <row r="1022" spans="1:1" ht="12.75">
      <c r="A1022" s="328"/>
    </row>
  </sheetData>
  <hyperlinks>
    <hyperlink ref="B32" r:id="rId1" xr:uid="{00000000-0004-0000-0400-000000000000}"/>
    <hyperlink ref="A33" location="Papers analizados PLANTILLA!A148" display="143" xr:uid="{00000000-0004-0000-0400-000001000000}"/>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AC85"/>
  <sheetViews>
    <sheetView workbookViewId="0">
      <pane ySplit="1" topLeftCell="A2" activePane="bottomLeft" state="frozen"/>
      <selection pane="bottomLeft" activeCell="B3" sqref="B3"/>
    </sheetView>
  </sheetViews>
  <sheetFormatPr baseColWidth="10" defaultColWidth="14.42578125" defaultRowHeight="15.75" customHeight="1"/>
  <cols>
    <col min="1" max="1" width="24.42578125" customWidth="1"/>
    <col min="2" max="2" width="39.140625" customWidth="1"/>
    <col min="3" max="3" width="27" hidden="1" customWidth="1"/>
    <col min="4" max="5" width="33.85546875" customWidth="1"/>
    <col min="6" max="6" width="37.85546875" customWidth="1"/>
    <col min="7" max="7" width="42" customWidth="1"/>
    <col min="8" max="8" width="22.140625" customWidth="1"/>
  </cols>
  <sheetData>
    <row r="1" spans="1:29" ht="15.75" customHeight="1">
      <c r="A1" s="12" t="s">
        <v>1796</v>
      </c>
      <c r="B1" s="12" t="s">
        <v>13</v>
      </c>
      <c r="C1" s="12" t="s">
        <v>1778</v>
      </c>
      <c r="D1" s="12" t="s">
        <v>1786</v>
      </c>
      <c r="E1" s="12" t="s">
        <v>1787</v>
      </c>
      <c r="F1" s="12" t="s">
        <v>1797</v>
      </c>
      <c r="G1" s="12" t="s">
        <v>1798</v>
      </c>
      <c r="H1" s="12" t="s">
        <v>1790</v>
      </c>
      <c r="I1" s="13"/>
      <c r="J1" s="13"/>
      <c r="K1" s="13"/>
      <c r="L1" s="13"/>
      <c r="M1" s="13"/>
      <c r="N1" s="13"/>
      <c r="O1" s="13"/>
      <c r="P1" s="13"/>
      <c r="Q1" s="13"/>
      <c r="R1" s="13"/>
      <c r="S1" s="13"/>
      <c r="T1" s="13"/>
      <c r="U1" s="13"/>
      <c r="V1" s="13"/>
      <c r="W1" s="13"/>
      <c r="X1" s="13"/>
      <c r="Y1" s="13"/>
      <c r="Z1" s="13"/>
      <c r="AA1" s="13"/>
      <c r="AB1" s="13"/>
      <c r="AC1" s="13"/>
    </row>
    <row r="2" spans="1:29" ht="15.75" customHeight="1">
      <c r="A2" s="17"/>
      <c r="B2" s="17" t="s">
        <v>1752</v>
      </c>
    </row>
    <row r="12" spans="1:29" ht="15.75" customHeight="1">
      <c r="A12" s="17"/>
      <c r="B12" s="17" t="s">
        <v>1756</v>
      </c>
    </row>
    <row r="22" spans="1:2" ht="15.75" customHeight="1">
      <c r="A22" s="17"/>
      <c r="B22" s="17" t="s">
        <v>1759</v>
      </c>
    </row>
    <row r="33" spans="1:10" ht="12.75">
      <c r="A33" s="17"/>
      <c r="B33" s="17" t="s">
        <v>1762</v>
      </c>
    </row>
    <row r="46" spans="1:10" ht="12.75">
      <c r="A46" s="17"/>
      <c r="B46" s="17" t="s">
        <v>1766</v>
      </c>
    </row>
    <row r="47" spans="1:10" ht="14.25">
      <c r="A47" s="331" t="s">
        <v>149</v>
      </c>
      <c r="B47" s="17" t="s">
        <v>1799</v>
      </c>
      <c r="D47" s="17" t="s">
        <v>1800</v>
      </c>
      <c r="H47" s="17" t="s">
        <v>1801</v>
      </c>
      <c r="J47" s="17" t="s">
        <v>1802</v>
      </c>
    </row>
    <row r="57" spans="1:2" ht="12.75">
      <c r="A57" s="17"/>
      <c r="B57" s="17" t="s">
        <v>1769</v>
      </c>
    </row>
    <row r="67" spans="1:2" ht="12.75">
      <c r="A67" s="17"/>
      <c r="B67" s="17" t="s">
        <v>1770</v>
      </c>
    </row>
    <row r="76" spans="1:2" ht="12.75">
      <c r="A76" s="17"/>
      <c r="B76" s="17" t="s">
        <v>1772</v>
      </c>
    </row>
    <row r="85" spans="1:2" ht="12.75">
      <c r="A85" s="17"/>
      <c r="B85" s="17" t="s">
        <v>1767</v>
      </c>
    </row>
  </sheetData>
  <hyperlinks>
    <hyperlink ref="A47" r:id="rId1" xr:uid="{00000000-0004-0000-0500-000000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AC49"/>
  <sheetViews>
    <sheetView workbookViewId="0"/>
  </sheetViews>
  <sheetFormatPr baseColWidth="10" defaultColWidth="14.42578125" defaultRowHeight="15.75" customHeight="1"/>
  <cols>
    <col min="4" max="4" width="37.5703125" hidden="1" customWidth="1"/>
    <col min="5" max="5" width="44.42578125" hidden="1" customWidth="1"/>
    <col min="6" max="6" width="29.28515625" customWidth="1"/>
    <col min="7" max="8" width="30" customWidth="1"/>
    <col min="9" max="9" width="30.5703125" customWidth="1"/>
    <col min="10" max="10" width="24.5703125" customWidth="1"/>
    <col min="11" max="11" width="41.5703125" customWidth="1"/>
  </cols>
  <sheetData>
    <row r="1" spans="1:29" ht="12.75">
      <c r="A1" s="12"/>
      <c r="B1" s="12" t="s">
        <v>1803</v>
      </c>
      <c r="C1" s="12" t="s">
        <v>1783</v>
      </c>
      <c r="D1" s="334" t="s">
        <v>1804</v>
      </c>
      <c r="E1" s="335" t="s">
        <v>1784</v>
      </c>
      <c r="F1" s="335" t="s">
        <v>1785</v>
      </c>
      <c r="G1" s="12" t="s">
        <v>1786</v>
      </c>
      <c r="H1" s="335" t="s">
        <v>1787</v>
      </c>
      <c r="I1" s="335" t="s">
        <v>1788</v>
      </c>
      <c r="J1" s="335" t="s">
        <v>1789</v>
      </c>
      <c r="K1" s="12" t="s">
        <v>1790</v>
      </c>
      <c r="L1" s="13"/>
      <c r="M1" s="13"/>
      <c r="N1" s="13"/>
      <c r="O1" s="13"/>
      <c r="P1" s="13"/>
      <c r="Q1" s="13"/>
      <c r="R1" s="13"/>
      <c r="S1" s="13"/>
      <c r="T1" s="13"/>
      <c r="U1" s="13"/>
      <c r="V1" s="13"/>
      <c r="W1" s="13"/>
      <c r="X1" s="13"/>
      <c r="Y1" s="13"/>
      <c r="Z1" s="13"/>
      <c r="AA1" s="13"/>
      <c r="AB1" s="13"/>
      <c r="AC1" s="13"/>
    </row>
    <row r="2" spans="1:29" ht="12.75">
      <c r="A2" s="17"/>
      <c r="B2" s="17"/>
      <c r="C2" s="17" t="s">
        <v>493</v>
      </c>
    </row>
    <row r="3" spans="1:29" ht="14.25">
      <c r="A3" s="331"/>
      <c r="B3" s="331" t="s">
        <v>149</v>
      </c>
      <c r="F3" s="17" t="s">
        <v>1805</v>
      </c>
      <c r="G3" s="17" t="s">
        <v>1800</v>
      </c>
      <c r="K3" s="17" t="s">
        <v>1806</v>
      </c>
    </row>
    <row r="4" spans="1:29" ht="19.5" customHeight="1"/>
    <row r="10" spans="1:29" ht="12.75">
      <c r="A10" s="17"/>
      <c r="B10" s="17"/>
      <c r="C10" s="17" t="s">
        <v>521</v>
      </c>
    </row>
    <row r="19" spans="1:11" ht="12.75">
      <c r="A19" s="17"/>
      <c r="B19" s="17"/>
      <c r="C19" s="17" t="s">
        <v>1758</v>
      </c>
    </row>
    <row r="20" spans="1:11" ht="12.75">
      <c r="A20" s="336"/>
      <c r="B20" s="23" t="str">
        <f>HYPERLINK("https://doi.org/10.1007/s00202-019-00869-8"," 10.1007/s00202-019-00869-8")</f>
        <v xml:space="preserve"> 10.1007/s00202-019-00869-8</v>
      </c>
      <c r="C20" s="17" t="s">
        <v>1758</v>
      </c>
      <c r="K20" s="17" t="s">
        <v>1807</v>
      </c>
    </row>
    <row r="29" spans="1:11" ht="12.75">
      <c r="A29" s="17"/>
      <c r="B29" s="17"/>
      <c r="C29" s="17" t="s">
        <v>1761</v>
      </c>
    </row>
    <row r="39" spans="1:3" ht="12.75">
      <c r="A39" s="17"/>
      <c r="B39" s="17"/>
      <c r="C39" s="17" t="s">
        <v>1764</v>
      </c>
    </row>
    <row r="49" spans="1:3" ht="12.75">
      <c r="A49" s="17"/>
      <c r="B49" s="17"/>
      <c r="C49" s="17" t="s">
        <v>1767</v>
      </c>
    </row>
  </sheetData>
  <hyperlinks>
    <hyperlink ref="B3"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Z47"/>
  <sheetViews>
    <sheetView tabSelected="1" workbookViewId="0">
      <pane ySplit="1" topLeftCell="A2" activePane="bottomLeft" state="frozen"/>
      <selection pane="bottomLeft" activeCell="B3" sqref="B3"/>
    </sheetView>
  </sheetViews>
  <sheetFormatPr baseColWidth="10" defaultColWidth="14.42578125" defaultRowHeight="15.75" customHeight="1"/>
  <cols>
    <col min="1" max="2" width="22.85546875" customWidth="1"/>
    <col min="3" max="3" width="38.5703125" hidden="1" customWidth="1"/>
    <col min="4" max="5" width="32.7109375" customWidth="1"/>
    <col min="6" max="7" width="43.140625" customWidth="1"/>
    <col min="8" max="8" width="48.5703125" customWidth="1"/>
  </cols>
  <sheetData>
    <row r="1" spans="1:26" ht="15.75" customHeight="1">
      <c r="A1" s="12" t="s">
        <v>1808</v>
      </c>
      <c r="B1" s="12" t="s">
        <v>1783</v>
      </c>
      <c r="C1" s="334" t="s">
        <v>1809</v>
      </c>
      <c r="D1" s="12" t="s">
        <v>1786</v>
      </c>
      <c r="E1" s="12" t="s">
        <v>1787</v>
      </c>
      <c r="F1" s="334" t="s">
        <v>1810</v>
      </c>
      <c r="G1" s="334" t="s">
        <v>1811</v>
      </c>
      <c r="H1" s="12" t="s">
        <v>1812</v>
      </c>
      <c r="I1" s="12" t="s">
        <v>1790</v>
      </c>
      <c r="J1" s="13"/>
      <c r="K1" s="13"/>
      <c r="L1" s="13"/>
      <c r="M1" s="13"/>
      <c r="N1" s="13"/>
      <c r="O1" s="13"/>
      <c r="P1" s="13"/>
      <c r="Q1" s="13"/>
      <c r="R1" s="13"/>
      <c r="S1" s="13"/>
      <c r="T1" s="13"/>
      <c r="U1" s="13"/>
      <c r="V1" s="13"/>
      <c r="W1" s="13"/>
      <c r="X1" s="13"/>
      <c r="Y1" s="13"/>
      <c r="Z1" s="13"/>
    </row>
    <row r="2" spans="1:26" ht="15.75" customHeight="1">
      <c r="A2" s="17"/>
      <c r="B2" s="17" t="s">
        <v>1750</v>
      </c>
    </row>
    <row r="10" spans="1:26" ht="15.75" customHeight="1">
      <c r="A10" s="325"/>
      <c r="B10" s="325" t="s">
        <v>1754</v>
      </c>
    </row>
    <row r="20" spans="1:8" ht="15.75" customHeight="1">
      <c r="A20" s="17"/>
      <c r="B20" s="17" t="s">
        <v>1626</v>
      </c>
    </row>
    <row r="30" spans="1:8" ht="12.75">
      <c r="A30" s="17"/>
      <c r="B30" s="17" t="s">
        <v>1031</v>
      </c>
    </row>
    <row r="31" spans="1:8" ht="14.25">
      <c r="A31" s="22" t="s">
        <v>83</v>
      </c>
      <c r="D31" s="17" t="s">
        <v>1813</v>
      </c>
      <c r="H31" s="17" t="s">
        <v>1814</v>
      </c>
    </row>
    <row r="40" spans="1:8" ht="12.75">
      <c r="A40" s="17"/>
      <c r="B40" s="17" t="s">
        <v>1767</v>
      </c>
    </row>
    <row r="46" spans="1:8" ht="12.75">
      <c r="B46" s="17" t="s">
        <v>1008</v>
      </c>
    </row>
    <row r="47" spans="1:8" ht="14.25">
      <c r="A47" s="331" t="s">
        <v>149</v>
      </c>
      <c r="D47" s="17" t="s">
        <v>1800</v>
      </c>
      <c r="H47" s="17" t="s">
        <v>1815</v>
      </c>
    </row>
  </sheetData>
  <hyperlinks>
    <hyperlink ref="A47" r:id="rId1" xr:uid="{00000000-0004-0000-0700-000000000000}"/>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1:Y77"/>
  <sheetViews>
    <sheetView workbookViewId="0">
      <pane ySplit="1" topLeftCell="A2" activePane="bottomLeft" state="frozen"/>
      <selection pane="bottomLeft" activeCell="B3" sqref="B3"/>
    </sheetView>
  </sheetViews>
  <sheetFormatPr baseColWidth="10" defaultColWidth="14.42578125" defaultRowHeight="15.75" customHeight="1"/>
  <cols>
    <col min="3" max="3" width="32.85546875" customWidth="1"/>
    <col min="4" max="4" width="31.85546875" customWidth="1"/>
    <col min="5" max="5" width="35.28515625" customWidth="1"/>
    <col min="6" max="6" width="26.5703125" customWidth="1"/>
    <col min="7" max="7" width="52.7109375" customWidth="1"/>
    <col min="8" max="8" width="40.85546875" customWidth="1"/>
  </cols>
  <sheetData>
    <row r="1" spans="1:25" ht="15.75" customHeight="1">
      <c r="A1" s="12" t="s">
        <v>1796</v>
      </c>
      <c r="B1" s="12" t="s">
        <v>1816</v>
      </c>
      <c r="C1" s="334" t="s">
        <v>1817</v>
      </c>
      <c r="D1" s="335" t="s">
        <v>1787</v>
      </c>
      <c r="E1" s="335" t="s">
        <v>1788</v>
      </c>
      <c r="F1" s="335" t="s">
        <v>1789</v>
      </c>
      <c r="G1" s="12" t="s">
        <v>1818</v>
      </c>
      <c r="H1" s="12" t="s">
        <v>1819</v>
      </c>
      <c r="I1" s="12" t="s">
        <v>1790</v>
      </c>
      <c r="J1" s="13"/>
      <c r="K1" s="13"/>
      <c r="L1" s="13"/>
      <c r="M1" s="13"/>
      <c r="N1" s="13"/>
      <c r="O1" s="13"/>
      <c r="P1" s="13"/>
      <c r="Q1" s="13"/>
      <c r="R1" s="13"/>
      <c r="S1" s="13"/>
      <c r="T1" s="13"/>
      <c r="U1" s="13"/>
      <c r="V1" s="13"/>
      <c r="W1" s="13"/>
      <c r="X1" s="13"/>
      <c r="Y1" s="13"/>
    </row>
    <row r="2" spans="1:25" ht="15.75" customHeight="1">
      <c r="A2" s="17"/>
      <c r="B2" s="17" t="s">
        <v>1755</v>
      </c>
    </row>
    <row r="3" spans="1:25" ht="15.75" customHeight="1">
      <c r="A3" s="17"/>
      <c r="B3" s="17"/>
    </row>
    <row r="4" spans="1:25" ht="15.75" customHeight="1">
      <c r="A4" s="17"/>
      <c r="B4" s="17"/>
    </row>
    <row r="5" spans="1:25" ht="15.75" customHeight="1">
      <c r="A5" s="17"/>
      <c r="B5" s="17" t="s">
        <v>713</v>
      </c>
    </row>
    <row r="6" spans="1:25" ht="15.75" customHeight="1">
      <c r="A6" s="17"/>
      <c r="B6" s="17"/>
    </row>
    <row r="10" spans="1:25" ht="15.75" customHeight="1">
      <c r="A10" s="17"/>
      <c r="B10" s="17" t="s">
        <v>504</v>
      </c>
    </row>
    <row r="15" spans="1:25" ht="15.75" customHeight="1">
      <c r="A15" s="17"/>
      <c r="B15" s="17" t="s">
        <v>1765</v>
      </c>
    </row>
    <row r="20" spans="1:2" ht="15.75" customHeight="1">
      <c r="A20" s="17"/>
      <c r="B20" s="17" t="s">
        <v>1768</v>
      </c>
    </row>
    <row r="25" spans="1:2" ht="12.75">
      <c r="A25" s="17"/>
      <c r="B25" s="17" t="s">
        <v>1620</v>
      </c>
    </row>
    <row r="30" spans="1:2" ht="12.75">
      <c r="A30" s="17"/>
      <c r="B30" s="17" t="s">
        <v>1771</v>
      </c>
    </row>
    <row r="35" spans="1:7" ht="12.75">
      <c r="A35" s="17"/>
      <c r="B35" s="17" t="s">
        <v>1773</v>
      </c>
    </row>
    <row r="40" spans="1:7" ht="12.75">
      <c r="A40" s="17"/>
      <c r="B40" s="17" t="s">
        <v>1774</v>
      </c>
    </row>
    <row r="45" spans="1:7" ht="12.75">
      <c r="A45" s="17"/>
      <c r="B45" s="17" t="s">
        <v>1775</v>
      </c>
    </row>
    <row r="46" spans="1:7" ht="14.25">
      <c r="A46" s="22" t="s">
        <v>83</v>
      </c>
      <c r="C46" s="17" t="s">
        <v>1820</v>
      </c>
      <c r="G46" s="17" t="s">
        <v>1821</v>
      </c>
    </row>
    <row r="50" spans="1:2" ht="12.75">
      <c r="A50" s="17"/>
      <c r="B50" s="17" t="s">
        <v>511</v>
      </c>
    </row>
    <row r="55" spans="1:2" ht="12.75">
      <c r="A55" s="17"/>
      <c r="B55" s="17" t="s">
        <v>1776</v>
      </c>
    </row>
    <row r="60" spans="1:2" ht="12.75">
      <c r="A60" s="17"/>
      <c r="B60" s="17" t="s">
        <v>665</v>
      </c>
    </row>
    <row r="65" spans="1:9" ht="12.75">
      <c r="A65" s="17"/>
      <c r="B65" s="17" t="s">
        <v>1777</v>
      </c>
    </row>
    <row r="70" spans="1:9" ht="12.75">
      <c r="A70" s="17"/>
      <c r="B70" s="17" t="s">
        <v>1363</v>
      </c>
    </row>
    <row r="76" spans="1:9" ht="12.75">
      <c r="B76" s="17" t="s">
        <v>1822</v>
      </c>
    </row>
    <row r="77" spans="1:9" ht="14.25">
      <c r="A77" s="331" t="s">
        <v>149</v>
      </c>
      <c r="C77" s="17" t="s">
        <v>1823</v>
      </c>
      <c r="E77" s="17" t="s">
        <v>1824</v>
      </c>
      <c r="I77" s="17" t="s">
        <v>1825</v>
      </c>
    </row>
  </sheetData>
  <hyperlinks>
    <hyperlink ref="A77" r:id="rId1" xr:uid="{00000000-0004-0000-0800-00000000000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CC0000"/>
    <outlinePr summaryBelow="0" summaryRight="0"/>
    <pageSetUpPr fitToPage="1"/>
  </sheetPr>
  <dimension ref="A1:AD167"/>
  <sheetViews>
    <sheetView workbookViewId="0">
      <pane ySplit="5" topLeftCell="A6" activePane="bottomLeft" state="frozen"/>
      <selection pane="bottomLeft" activeCell="B7" sqref="B7"/>
    </sheetView>
  </sheetViews>
  <sheetFormatPr baseColWidth="10" defaultColWidth="14.42578125" defaultRowHeight="15.75" customHeight="1"/>
  <cols>
    <col min="1" max="1" width="9.28515625" customWidth="1"/>
    <col min="2" max="2" width="31" hidden="1" customWidth="1"/>
    <col min="3" max="3" width="35.28515625" customWidth="1"/>
    <col min="4" max="4" width="30.5703125" hidden="1" customWidth="1"/>
    <col min="5" max="5" width="12.28515625" customWidth="1"/>
    <col min="6" max="6" width="16.5703125" hidden="1" customWidth="1"/>
    <col min="7" max="7" width="92.5703125" customWidth="1"/>
    <col min="8" max="8" width="50.140625" customWidth="1"/>
    <col min="9" max="9" width="40.85546875" customWidth="1"/>
    <col min="10" max="10" width="37.140625" customWidth="1"/>
    <col min="13" max="13" width="16.140625" customWidth="1"/>
  </cols>
  <sheetData>
    <row r="1" spans="1:30" ht="24" hidden="1" customHeight="1">
      <c r="A1" s="15"/>
      <c r="B1" s="15"/>
      <c r="C1" s="15" t="s">
        <v>1826</v>
      </c>
      <c r="D1" s="15" t="s">
        <v>1827</v>
      </c>
      <c r="E1" s="167"/>
      <c r="F1" s="14" t="s">
        <v>1828</v>
      </c>
      <c r="G1" s="337" t="s">
        <v>1829</v>
      </c>
      <c r="H1" s="16" t="s">
        <v>1830</v>
      </c>
      <c r="I1" s="338" t="s">
        <v>1831</v>
      </c>
      <c r="J1" s="17"/>
    </row>
    <row r="2" spans="1:30" ht="23.25" hidden="1" customHeight="1">
      <c r="A2" s="15"/>
      <c r="B2" s="15"/>
      <c r="C2" s="15" t="s">
        <v>1832</v>
      </c>
      <c r="D2" s="15" t="s">
        <v>1833</v>
      </c>
      <c r="E2" s="167"/>
      <c r="F2" s="14" t="s">
        <v>1834</v>
      </c>
      <c r="G2" s="337" t="s">
        <v>1835</v>
      </c>
      <c r="H2" s="17" t="s">
        <v>1836</v>
      </c>
      <c r="I2" s="17"/>
      <c r="J2" s="17"/>
    </row>
    <row r="3" spans="1:30" ht="30" hidden="1" customHeight="1">
      <c r="A3" s="15"/>
      <c r="B3" s="15"/>
      <c r="C3" s="15"/>
      <c r="D3" s="167" t="s">
        <v>1837</v>
      </c>
      <c r="E3" s="15"/>
      <c r="F3" s="14" t="s">
        <v>1838</v>
      </c>
      <c r="G3" s="337" t="s">
        <v>1839</v>
      </c>
      <c r="H3" s="16"/>
      <c r="I3" s="11" t="s">
        <v>1840</v>
      </c>
      <c r="J3" s="17"/>
    </row>
    <row r="4" spans="1:30" ht="28.5" hidden="1" customHeight="1">
      <c r="A4" s="15"/>
      <c r="B4" s="15"/>
      <c r="C4" s="15"/>
      <c r="D4" s="167" t="s">
        <v>1841</v>
      </c>
      <c r="E4" s="15"/>
      <c r="F4" s="14" t="s">
        <v>1842</v>
      </c>
      <c r="G4" s="339" t="s">
        <v>1843</v>
      </c>
      <c r="H4" s="16"/>
      <c r="I4" s="11"/>
      <c r="J4" s="17"/>
    </row>
    <row r="5" spans="1:30" ht="43.5" customHeight="1">
      <c r="A5" s="327" t="s">
        <v>1781</v>
      </c>
      <c r="B5" s="327" t="s">
        <v>350</v>
      </c>
      <c r="C5" s="327" t="s">
        <v>1844</v>
      </c>
      <c r="D5" s="327" t="s">
        <v>1845</v>
      </c>
      <c r="E5" s="327" t="s">
        <v>1846</v>
      </c>
      <c r="F5" s="340" t="s">
        <v>1847</v>
      </c>
      <c r="G5" s="327" t="s">
        <v>1848</v>
      </c>
      <c r="H5" s="327" t="s">
        <v>1849</v>
      </c>
      <c r="I5" s="327" t="s">
        <v>1850</v>
      </c>
      <c r="J5" s="327" t="s">
        <v>1851</v>
      </c>
      <c r="K5" s="341" t="s">
        <v>11</v>
      </c>
      <c r="L5" s="341" t="s">
        <v>1749</v>
      </c>
      <c r="M5" s="341" t="s">
        <v>12</v>
      </c>
      <c r="N5" s="341" t="s">
        <v>13</v>
      </c>
      <c r="O5" s="341" t="s">
        <v>14</v>
      </c>
      <c r="P5" s="342"/>
      <c r="Q5" s="343"/>
      <c r="R5" s="343"/>
      <c r="S5" s="343"/>
      <c r="T5" s="343"/>
      <c r="U5" s="343"/>
      <c r="V5" s="343"/>
      <c r="W5" s="343"/>
      <c r="X5" s="343"/>
      <c r="Y5" s="343"/>
      <c r="Z5" s="343"/>
      <c r="AA5" s="343"/>
      <c r="AB5" s="343"/>
      <c r="AC5" s="343"/>
      <c r="AD5" s="343"/>
    </row>
    <row r="6" spans="1:30" ht="290.25" customHeight="1">
      <c r="A6" s="344">
        <v>1</v>
      </c>
      <c r="B6" s="345"/>
      <c r="C6" s="345" t="s">
        <v>1852</v>
      </c>
      <c r="D6" s="344" t="s">
        <v>1853</v>
      </c>
      <c r="E6" s="344">
        <v>2004</v>
      </c>
      <c r="F6" s="344" t="s">
        <v>1854</v>
      </c>
      <c r="G6" s="345" t="s">
        <v>1855</v>
      </c>
      <c r="H6" s="346" t="s">
        <v>1856</v>
      </c>
      <c r="I6" s="346" t="s">
        <v>1857</v>
      </c>
      <c r="J6" s="346" t="s">
        <v>1858</v>
      </c>
      <c r="K6" s="347"/>
      <c r="L6" s="347"/>
      <c r="M6" s="347"/>
      <c r="N6" s="347"/>
      <c r="O6" s="347"/>
      <c r="P6" s="347"/>
      <c r="Q6" s="347"/>
      <c r="R6" s="347"/>
      <c r="S6" s="347"/>
      <c r="T6" s="347"/>
      <c r="U6" s="347"/>
      <c r="V6" s="347"/>
      <c r="W6" s="347"/>
      <c r="X6" s="347"/>
      <c r="Y6" s="347"/>
      <c r="Z6" s="347"/>
      <c r="AA6" s="347"/>
      <c r="AB6" s="347"/>
      <c r="AC6" s="347"/>
      <c r="AD6" s="347"/>
    </row>
    <row r="7" spans="1:30" ht="242.25">
      <c r="A7" s="3">
        <v>2</v>
      </c>
      <c r="B7" s="96"/>
      <c r="C7" s="96" t="s">
        <v>461</v>
      </c>
      <c r="D7" s="3" t="s">
        <v>1859</v>
      </c>
      <c r="E7" s="3">
        <v>2015</v>
      </c>
      <c r="F7" s="348"/>
      <c r="G7" s="96" t="s">
        <v>1860</v>
      </c>
      <c r="H7" s="3" t="s">
        <v>470</v>
      </c>
      <c r="I7" s="3" t="s">
        <v>470</v>
      </c>
      <c r="J7" s="3" t="s">
        <v>470</v>
      </c>
    </row>
    <row r="8" spans="1:30" ht="191.25">
      <c r="A8" s="3">
        <v>3</v>
      </c>
      <c r="B8" s="96"/>
      <c r="C8" s="96" t="s">
        <v>473</v>
      </c>
      <c r="D8" s="3" t="s">
        <v>1861</v>
      </c>
      <c r="E8" s="3">
        <v>2016</v>
      </c>
      <c r="F8" s="3" t="s">
        <v>1854</v>
      </c>
      <c r="G8" s="96" t="s">
        <v>1862</v>
      </c>
      <c r="H8" s="96" t="s">
        <v>1863</v>
      </c>
      <c r="I8" s="3" t="s">
        <v>1864</v>
      </c>
      <c r="J8" s="348"/>
    </row>
    <row r="9" spans="1:30" ht="216.75">
      <c r="A9" s="3">
        <v>4</v>
      </c>
      <c r="B9" s="96"/>
      <c r="C9" s="96" t="s">
        <v>487</v>
      </c>
      <c r="D9" s="3" t="s">
        <v>1865</v>
      </c>
      <c r="E9" s="3">
        <v>2017</v>
      </c>
      <c r="F9" s="3" t="s">
        <v>1854</v>
      </c>
      <c r="G9" s="96" t="s">
        <v>1866</v>
      </c>
      <c r="H9" s="96" t="s">
        <v>1867</v>
      </c>
      <c r="I9" s="3" t="s">
        <v>1868</v>
      </c>
      <c r="J9" s="3" t="s">
        <v>1869</v>
      </c>
    </row>
    <row r="10" spans="1:30" ht="255">
      <c r="A10" s="3">
        <v>5</v>
      </c>
      <c r="B10" s="96"/>
      <c r="C10" s="96" t="s">
        <v>499</v>
      </c>
      <c r="D10" s="3" t="s">
        <v>1870</v>
      </c>
      <c r="E10" s="3">
        <v>2018</v>
      </c>
      <c r="F10" s="3" t="s">
        <v>1854</v>
      </c>
      <c r="G10" s="96" t="s">
        <v>1871</v>
      </c>
      <c r="H10" s="96"/>
      <c r="I10" s="3" t="s">
        <v>1872</v>
      </c>
      <c r="J10" s="3"/>
    </row>
    <row r="11" spans="1:30" ht="242.25">
      <c r="A11" s="3">
        <v>6</v>
      </c>
      <c r="B11" s="96"/>
      <c r="C11" s="96" t="s">
        <v>505</v>
      </c>
      <c r="D11" s="349" t="s">
        <v>1873</v>
      </c>
      <c r="E11" s="3">
        <v>2015</v>
      </c>
      <c r="F11" s="3" t="s">
        <v>1854</v>
      </c>
      <c r="G11" s="96" t="s">
        <v>1874</v>
      </c>
      <c r="H11" s="348"/>
      <c r="I11" s="3" t="s">
        <v>1875</v>
      </c>
      <c r="J11" s="348"/>
    </row>
    <row r="12" spans="1:30" ht="140.25">
      <c r="A12" s="344">
        <v>7</v>
      </c>
      <c r="B12" s="345"/>
      <c r="C12" s="345" t="s">
        <v>1876</v>
      </c>
      <c r="D12" s="350" t="s">
        <v>1877</v>
      </c>
      <c r="E12" s="344">
        <v>2008</v>
      </c>
      <c r="F12" s="344" t="s">
        <v>470</v>
      </c>
      <c r="G12" s="345" t="s">
        <v>1878</v>
      </c>
      <c r="H12" s="345" t="s">
        <v>1879</v>
      </c>
      <c r="I12" s="344" t="s">
        <v>1880</v>
      </c>
      <c r="J12" s="351"/>
      <c r="K12" s="347"/>
      <c r="L12" s="347"/>
      <c r="M12" s="347"/>
      <c r="N12" s="347"/>
      <c r="O12" s="347"/>
      <c r="P12" s="347"/>
      <c r="Q12" s="347"/>
      <c r="R12" s="347"/>
      <c r="S12" s="347"/>
      <c r="T12" s="347"/>
      <c r="U12" s="347"/>
      <c r="V12" s="347"/>
      <c r="W12" s="347"/>
      <c r="X12" s="347"/>
      <c r="Y12" s="347"/>
      <c r="Z12" s="347"/>
      <c r="AA12" s="347"/>
      <c r="AB12" s="347"/>
      <c r="AC12" s="347"/>
      <c r="AD12" s="347"/>
    </row>
    <row r="13" spans="1:30" ht="318.75">
      <c r="A13" s="3">
        <v>8</v>
      </c>
      <c r="B13" s="96"/>
      <c r="C13" s="96" t="s">
        <v>516</v>
      </c>
      <c r="D13" s="3" t="s">
        <v>1881</v>
      </c>
      <c r="E13" s="3">
        <v>2016</v>
      </c>
      <c r="F13" s="3" t="s">
        <v>1854</v>
      </c>
      <c r="G13" s="96" t="s">
        <v>1882</v>
      </c>
      <c r="H13" s="96" t="s">
        <v>1883</v>
      </c>
      <c r="I13" s="96" t="s">
        <v>1884</v>
      </c>
      <c r="J13" s="348"/>
    </row>
    <row r="14" spans="1:30" ht="153">
      <c r="A14" s="344">
        <v>9</v>
      </c>
      <c r="B14" s="352"/>
      <c r="C14" s="352" t="s">
        <v>1885</v>
      </c>
      <c r="D14" s="344" t="s">
        <v>1886</v>
      </c>
      <c r="E14" s="344">
        <v>2013</v>
      </c>
      <c r="F14" s="344" t="s">
        <v>1854</v>
      </c>
      <c r="G14" s="345" t="s">
        <v>1887</v>
      </c>
      <c r="H14" s="345" t="s">
        <v>1888</v>
      </c>
      <c r="I14" s="344" t="s">
        <v>1889</v>
      </c>
      <c r="J14" s="351"/>
      <c r="K14" s="347"/>
      <c r="L14" s="347"/>
      <c r="M14" s="347"/>
      <c r="N14" s="347"/>
      <c r="O14" s="347"/>
      <c r="P14" s="347"/>
      <c r="Q14" s="347"/>
      <c r="R14" s="347"/>
      <c r="S14" s="347"/>
      <c r="T14" s="347"/>
      <c r="U14" s="347"/>
      <c r="V14" s="347"/>
      <c r="W14" s="347"/>
      <c r="X14" s="347"/>
      <c r="Y14" s="347"/>
      <c r="Z14" s="347"/>
      <c r="AA14" s="347"/>
      <c r="AB14" s="347"/>
      <c r="AC14" s="347"/>
      <c r="AD14" s="347"/>
    </row>
    <row r="15" spans="1:30" ht="216.75">
      <c r="A15" s="344">
        <v>10</v>
      </c>
      <c r="B15" s="345"/>
      <c r="C15" s="345" t="s">
        <v>1890</v>
      </c>
      <c r="D15" s="344" t="s">
        <v>1891</v>
      </c>
      <c r="E15" s="344">
        <v>2012</v>
      </c>
      <c r="F15" s="344" t="s">
        <v>1854</v>
      </c>
      <c r="G15" s="345" t="s">
        <v>1892</v>
      </c>
      <c r="H15" s="344"/>
      <c r="I15" s="345" t="s">
        <v>1893</v>
      </c>
      <c r="J15" s="344"/>
      <c r="K15" s="347"/>
      <c r="L15" s="347"/>
      <c r="M15" s="347"/>
      <c r="N15" s="347"/>
      <c r="O15" s="347"/>
      <c r="P15" s="347"/>
      <c r="Q15" s="347"/>
      <c r="R15" s="347"/>
      <c r="S15" s="347"/>
      <c r="T15" s="347"/>
      <c r="U15" s="347"/>
      <c r="V15" s="347"/>
      <c r="W15" s="347"/>
      <c r="X15" s="347"/>
      <c r="Y15" s="347"/>
      <c r="Z15" s="347"/>
      <c r="AA15" s="347"/>
      <c r="AB15" s="347"/>
      <c r="AC15" s="347"/>
      <c r="AD15" s="347"/>
    </row>
    <row r="16" spans="1:30" ht="114.75">
      <c r="A16" s="3">
        <v>11</v>
      </c>
      <c r="B16" s="96"/>
      <c r="C16" s="96" t="s">
        <v>529</v>
      </c>
      <c r="D16" s="3" t="s">
        <v>1894</v>
      </c>
      <c r="E16" s="3">
        <v>2017</v>
      </c>
      <c r="F16" s="3" t="s">
        <v>1854</v>
      </c>
      <c r="G16" s="96" t="s">
        <v>1895</v>
      </c>
      <c r="H16" s="3" t="s">
        <v>1896</v>
      </c>
      <c r="I16" s="3" t="s">
        <v>1621</v>
      </c>
      <c r="J16" s="3" t="s">
        <v>1897</v>
      </c>
    </row>
    <row r="17" spans="1:30" ht="140.25">
      <c r="A17" s="344">
        <v>12</v>
      </c>
      <c r="B17" s="345"/>
      <c r="C17" s="345" t="s">
        <v>1898</v>
      </c>
      <c r="D17" s="344" t="s">
        <v>1899</v>
      </c>
      <c r="E17" s="344">
        <v>2007</v>
      </c>
      <c r="F17" s="344" t="s">
        <v>1854</v>
      </c>
      <c r="G17" s="345" t="s">
        <v>1900</v>
      </c>
      <c r="H17" s="344" t="s">
        <v>1901</v>
      </c>
      <c r="I17" s="344" t="s">
        <v>1902</v>
      </c>
      <c r="J17" s="351"/>
      <c r="K17" s="347"/>
      <c r="L17" s="347"/>
      <c r="M17" s="347"/>
      <c r="N17" s="347"/>
      <c r="O17" s="347"/>
      <c r="P17" s="347"/>
      <c r="Q17" s="347"/>
      <c r="R17" s="347"/>
      <c r="S17" s="347"/>
      <c r="T17" s="347"/>
      <c r="U17" s="347"/>
      <c r="V17" s="347"/>
      <c r="W17" s="347"/>
      <c r="X17" s="347"/>
      <c r="Y17" s="347"/>
      <c r="Z17" s="347"/>
      <c r="AA17" s="347"/>
      <c r="AB17" s="347"/>
      <c r="AC17" s="347"/>
      <c r="AD17" s="347"/>
    </row>
    <row r="18" spans="1:30" ht="409.5">
      <c r="A18" s="344">
        <v>13</v>
      </c>
      <c r="B18" s="345"/>
      <c r="C18" s="345" t="s">
        <v>1903</v>
      </c>
      <c r="D18" s="344" t="s">
        <v>1904</v>
      </c>
      <c r="E18" s="344">
        <v>2008</v>
      </c>
      <c r="F18" s="344" t="s">
        <v>1854</v>
      </c>
      <c r="G18" s="345" t="s">
        <v>1905</v>
      </c>
      <c r="H18" s="353"/>
      <c r="I18" s="344" t="s">
        <v>1906</v>
      </c>
      <c r="J18" s="351"/>
      <c r="K18" s="347"/>
      <c r="L18" s="347"/>
      <c r="M18" s="347"/>
      <c r="N18" s="347"/>
      <c r="O18" s="347"/>
      <c r="P18" s="347"/>
      <c r="Q18" s="347"/>
      <c r="R18" s="347"/>
      <c r="S18" s="347"/>
      <c r="T18" s="347"/>
      <c r="U18" s="347"/>
      <c r="V18" s="347"/>
      <c r="W18" s="347"/>
      <c r="X18" s="347"/>
      <c r="Y18" s="347"/>
      <c r="Z18" s="347"/>
      <c r="AA18" s="347"/>
      <c r="AB18" s="347"/>
      <c r="AC18" s="347"/>
      <c r="AD18" s="347"/>
    </row>
    <row r="19" spans="1:30" ht="38.25">
      <c r="A19" s="3">
        <v>14</v>
      </c>
      <c r="B19" s="96"/>
      <c r="C19" s="96" t="s">
        <v>608</v>
      </c>
      <c r="D19" s="3" t="s">
        <v>1907</v>
      </c>
      <c r="E19" s="3">
        <v>2014</v>
      </c>
      <c r="F19" s="3"/>
      <c r="G19" s="96" t="s">
        <v>1908</v>
      </c>
      <c r="H19" s="96"/>
      <c r="I19" s="348" t="s">
        <v>1909</v>
      </c>
      <c r="J19" s="348" t="s">
        <v>1910</v>
      </c>
    </row>
    <row r="20" spans="1:30" ht="114.75">
      <c r="A20" s="344">
        <v>15</v>
      </c>
      <c r="B20" s="345"/>
      <c r="C20" s="345" t="s">
        <v>1911</v>
      </c>
      <c r="D20" s="344" t="s">
        <v>1912</v>
      </c>
      <c r="E20" s="344">
        <v>2016</v>
      </c>
      <c r="F20" s="344" t="s">
        <v>1913</v>
      </c>
      <c r="G20" s="345" t="s">
        <v>1914</v>
      </c>
      <c r="H20" s="345" t="s">
        <v>1915</v>
      </c>
      <c r="I20" s="351"/>
      <c r="J20" s="351"/>
      <c r="K20" s="347"/>
      <c r="L20" s="347"/>
      <c r="M20" s="347"/>
      <c r="N20" s="347"/>
      <c r="O20" s="347"/>
      <c r="P20" s="347"/>
      <c r="Q20" s="347"/>
      <c r="R20" s="347"/>
      <c r="S20" s="347"/>
      <c r="T20" s="347"/>
      <c r="U20" s="347"/>
      <c r="V20" s="347"/>
      <c r="W20" s="347"/>
      <c r="X20" s="347"/>
      <c r="Y20" s="347"/>
      <c r="Z20" s="347"/>
      <c r="AA20" s="347"/>
      <c r="AB20" s="347"/>
      <c r="AC20" s="347"/>
      <c r="AD20" s="347"/>
    </row>
    <row r="21" spans="1:30" ht="127.5">
      <c r="A21" s="3">
        <v>16</v>
      </c>
      <c r="B21" s="96"/>
      <c r="C21" s="96" t="s">
        <v>540</v>
      </c>
      <c r="D21" s="3" t="s">
        <v>1916</v>
      </c>
      <c r="E21" s="3">
        <v>2017</v>
      </c>
      <c r="F21" s="3" t="s">
        <v>1854</v>
      </c>
      <c r="G21" s="96" t="s">
        <v>1917</v>
      </c>
      <c r="H21" s="96" t="s">
        <v>543</v>
      </c>
      <c r="I21" s="348"/>
      <c r="J21" s="348"/>
    </row>
    <row r="22" spans="1:30" ht="153">
      <c r="A22" s="344">
        <v>17</v>
      </c>
      <c r="B22" s="345"/>
      <c r="C22" s="345" t="s">
        <v>1918</v>
      </c>
      <c r="D22" s="344" t="s">
        <v>1859</v>
      </c>
      <c r="E22" s="344">
        <v>2015</v>
      </c>
      <c r="F22" s="351"/>
      <c r="G22" s="345" t="s">
        <v>1919</v>
      </c>
      <c r="H22" s="345" t="s">
        <v>1920</v>
      </c>
      <c r="I22" s="351"/>
      <c r="J22" s="351"/>
      <c r="K22" s="347"/>
      <c r="L22" s="347"/>
      <c r="M22" s="347"/>
      <c r="N22" s="347"/>
      <c r="O22" s="347"/>
      <c r="P22" s="347"/>
      <c r="Q22" s="347"/>
      <c r="R22" s="347"/>
      <c r="S22" s="347"/>
      <c r="T22" s="347"/>
      <c r="U22" s="347"/>
      <c r="V22" s="347"/>
      <c r="W22" s="347"/>
      <c r="X22" s="347"/>
      <c r="Y22" s="347"/>
      <c r="Z22" s="347"/>
      <c r="AA22" s="347"/>
      <c r="AB22" s="347"/>
      <c r="AC22" s="347"/>
      <c r="AD22" s="347"/>
    </row>
    <row r="23" spans="1:30" ht="408">
      <c r="A23" s="3">
        <v>18</v>
      </c>
      <c r="B23" s="96"/>
      <c r="C23" s="96" t="s">
        <v>545</v>
      </c>
      <c r="D23" s="349" t="s">
        <v>1921</v>
      </c>
      <c r="E23" s="3">
        <v>2018</v>
      </c>
      <c r="F23" s="3" t="s">
        <v>1854</v>
      </c>
      <c r="G23" s="96" t="s">
        <v>1922</v>
      </c>
      <c r="H23" s="97"/>
      <c r="I23" s="348"/>
      <c r="J23" s="348"/>
    </row>
    <row r="24" spans="1:30" ht="280.5">
      <c r="A24" s="354">
        <v>19</v>
      </c>
      <c r="B24" s="147"/>
      <c r="C24" s="147" t="s">
        <v>616</v>
      </c>
      <c r="D24" s="354" t="s">
        <v>1923</v>
      </c>
      <c r="E24" s="354">
        <v>2014</v>
      </c>
      <c r="F24" s="354" t="s">
        <v>1854</v>
      </c>
      <c r="G24" s="147" t="s">
        <v>1924</v>
      </c>
      <c r="H24" s="147" t="s">
        <v>1925</v>
      </c>
      <c r="I24" s="147" t="s">
        <v>1926</v>
      </c>
      <c r="J24" s="354" t="s">
        <v>625</v>
      </c>
      <c r="K24" s="355"/>
      <c r="L24" s="355"/>
      <c r="M24" s="355"/>
      <c r="N24" s="355"/>
      <c r="O24" s="355"/>
      <c r="P24" s="355"/>
      <c r="Q24" s="355"/>
      <c r="R24" s="355"/>
      <c r="S24" s="355"/>
      <c r="T24" s="355"/>
      <c r="U24" s="355"/>
      <c r="V24" s="355"/>
      <c r="W24" s="355"/>
      <c r="X24" s="355"/>
      <c r="Y24" s="355"/>
      <c r="Z24" s="355"/>
      <c r="AA24" s="355"/>
      <c r="AB24" s="355"/>
      <c r="AC24" s="355"/>
      <c r="AD24" s="355"/>
    </row>
    <row r="25" spans="1:30" ht="204">
      <c r="A25" s="344">
        <v>20</v>
      </c>
      <c r="B25" s="345"/>
      <c r="C25" s="345" t="s">
        <v>1927</v>
      </c>
      <c r="D25" s="344" t="s">
        <v>1928</v>
      </c>
      <c r="E25" s="344">
        <v>2003</v>
      </c>
      <c r="F25" s="344" t="s">
        <v>1854</v>
      </c>
      <c r="G25" s="345" t="s">
        <v>1929</v>
      </c>
      <c r="H25" s="345" t="s">
        <v>1930</v>
      </c>
      <c r="I25" s="351"/>
      <c r="J25" s="351"/>
      <c r="K25" s="347"/>
      <c r="L25" s="347"/>
      <c r="M25" s="347"/>
      <c r="N25" s="347"/>
      <c r="O25" s="347"/>
      <c r="P25" s="347"/>
      <c r="Q25" s="347"/>
      <c r="R25" s="347"/>
      <c r="S25" s="347"/>
      <c r="T25" s="347"/>
      <c r="U25" s="347"/>
      <c r="V25" s="347"/>
      <c r="W25" s="347"/>
      <c r="X25" s="347"/>
      <c r="Y25" s="347"/>
      <c r="Z25" s="347"/>
      <c r="AA25" s="347"/>
      <c r="AB25" s="347"/>
      <c r="AC25" s="347"/>
      <c r="AD25" s="347"/>
    </row>
    <row r="26" spans="1:30" ht="89.25">
      <c r="A26" s="344">
        <v>21</v>
      </c>
      <c r="B26" s="345"/>
      <c r="C26" s="345" t="s">
        <v>1931</v>
      </c>
      <c r="D26" s="344" t="s">
        <v>1923</v>
      </c>
      <c r="E26" s="344">
        <v>2012</v>
      </c>
      <c r="F26" s="344" t="s">
        <v>1854</v>
      </c>
      <c r="G26" s="353"/>
      <c r="H26" s="345" t="s">
        <v>1932</v>
      </c>
      <c r="I26" s="351"/>
      <c r="J26" s="344" t="s">
        <v>1933</v>
      </c>
      <c r="K26" s="347"/>
      <c r="L26" s="347"/>
      <c r="M26" s="347"/>
      <c r="N26" s="347"/>
      <c r="O26" s="347"/>
      <c r="P26" s="347"/>
      <c r="Q26" s="347"/>
      <c r="R26" s="347"/>
      <c r="S26" s="347"/>
      <c r="T26" s="347"/>
      <c r="U26" s="347"/>
      <c r="V26" s="347"/>
      <c r="W26" s="347"/>
      <c r="X26" s="347"/>
      <c r="Y26" s="347"/>
      <c r="Z26" s="347"/>
      <c r="AA26" s="347"/>
      <c r="AB26" s="347"/>
      <c r="AC26" s="347"/>
      <c r="AD26" s="347"/>
    </row>
    <row r="27" spans="1:30" ht="153">
      <c r="A27" s="344">
        <v>22</v>
      </c>
      <c r="B27" s="345"/>
      <c r="C27" s="345" t="s">
        <v>1934</v>
      </c>
      <c r="D27" s="344" t="s">
        <v>1935</v>
      </c>
      <c r="E27" s="344">
        <v>2010</v>
      </c>
      <c r="F27" s="344" t="s">
        <v>1854</v>
      </c>
      <c r="G27" s="345" t="s">
        <v>1936</v>
      </c>
      <c r="H27" s="353"/>
      <c r="I27" s="351"/>
      <c r="J27" s="344" t="s">
        <v>1937</v>
      </c>
      <c r="K27" s="347"/>
      <c r="L27" s="347"/>
      <c r="M27" s="347"/>
      <c r="N27" s="347"/>
      <c r="O27" s="347"/>
      <c r="P27" s="347"/>
      <c r="Q27" s="347"/>
      <c r="R27" s="347"/>
      <c r="S27" s="347"/>
      <c r="T27" s="347"/>
      <c r="U27" s="347"/>
      <c r="V27" s="347"/>
      <c r="W27" s="347"/>
      <c r="X27" s="347"/>
      <c r="Y27" s="347"/>
      <c r="Z27" s="347"/>
      <c r="AA27" s="347"/>
      <c r="AB27" s="347"/>
      <c r="AC27" s="347"/>
      <c r="AD27" s="347"/>
    </row>
    <row r="28" spans="1:30" ht="409.5">
      <c r="A28" s="3">
        <v>23</v>
      </c>
      <c r="B28" s="96"/>
      <c r="C28" s="96" t="s">
        <v>550</v>
      </c>
      <c r="D28" s="3" t="s">
        <v>1833</v>
      </c>
      <c r="E28" s="3">
        <v>2015</v>
      </c>
      <c r="F28" s="3" t="s">
        <v>1854</v>
      </c>
      <c r="G28" s="96" t="s">
        <v>1938</v>
      </c>
      <c r="H28" s="97"/>
      <c r="I28" s="348"/>
      <c r="J28" s="348"/>
    </row>
    <row r="29" spans="1:30" ht="114.75">
      <c r="A29" s="344">
        <v>24</v>
      </c>
      <c r="B29" s="345"/>
      <c r="C29" s="345" t="s">
        <v>1939</v>
      </c>
      <c r="D29" s="344" t="s">
        <v>1940</v>
      </c>
      <c r="E29" s="344">
        <v>2007</v>
      </c>
      <c r="F29" s="344" t="s">
        <v>1854</v>
      </c>
      <c r="G29" s="345" t="s">
        <v>1941</v>
      </c>
      <c r="H29" s="345" t="s">
        <v>1942</v>
      </c>
      <c r="I29" s="351"/>
      <c r="J29" s="351"/>
      <c r="K29" s="347"/>
      <c r="L29" s="347"/>
      <c r="M29" s="347"/>
      <c r="N29" s="347"/>
      <c r="O29" s="347"/>
      <c r="P29" s="347"/>
      <c r="Q29" s="347"/>
      <c r="R29" s="347"/>
      <c r="S29" s="347"/>
      <c r="T29" s="347"/>
      <c r="U29" s="347"/>
      <c r="V29" s="347"/>
      <c r="W29" s="347"/>
      <c r="X29" s="347"/>
      <c r="Y29" s="347"/>
      <c r="Z29" s="347"/>
      <c r="AA29" s="347"/>
      <c r="AB29" s="347"/>
      <c r="AC29" s="347"/>
      <c r="AD29" s="347"/>
    </row>
    <row r="30" spans="1:30" ht="127.5">
      <c r="A30" s="354">
        <v>25</v>
      </c>
      <c r="B30" s="147"/>
      <c r="C30" s="147" t="s">
        <v>627</v>
      </c>
      <c r="D30" s="354" t="s">
        <v>1943</v>
      </c>
      <c r="E30" s="354">
        <v>2014</v>
      </c>
      <c r="F30" s="354" t="s">
        <v>1854</v>
      </c>
      <c r="G30" s="147" t="s">
        <v>630</v>
      </c>
      <c r="H30" s="147"/>
      <c r="I30" s="356"/>
      <c r="J30" s="356" t="s">
        <v>1944</v>
      </c>
      <c r="K30" s="355"/>
      <c r="L30" s="355"/>
      <c r="M30" s="355"/>
      <c r="N30" s="355"/>
      <c r="O30" s="355"/>
      <c r="P30" s="355"/>
      <c r="Q30" s="355"/>
      <c r="R30" s="355"/>
      <c r="S30" s="355"/>
      <c r="T30" s="355"/>
      <c r="U30" s="355"/>
      <c r="V30" s="355"/>
      <c r="W30" s="355"/>
      <c r="X30" s="355"/>
      <c r="Y30" s="355"/>
      <c r="Z30" s="355"/>
      <c r="AA30" s="355"/>
      <c r="AB30" s="355"/>
      <c r="AC30" s="355"/>
      <c r="AD30" s="355"/>
    </row>
    <row r="31" spans="1:30" ht="38.25">
      <c r="A31" s="344">
        <v>26</v>
      </c>
      <c r="B31" s="345"/>
      <c r="C31" s="345" t="s">
        <v>1945</v>
      </c>
      <c r="D31" s="357" t="s">
        <v>1946</v>
      </c>
      <c r="E31" s="344">
        <v>2011</v>
      </c>
      <c r="F31" s="344" t="s">
        <v>1854</v>
      </c>
      <c r="G31" s="345" t="s">
        <v>1947</v>
      </c>
      <c r="H31" s="345"/>
      <c r="I31" s="351"/>
      <c r="J31" s="351"/>
      <c r="K31" s="347"/>
      <c r="L31" s="347"/>
      <c r="M31" s="347"/>
      <c r="N31" s="347"/>
      <c r="O31" s="347"/>
      <c r="P31" s="347"/>
      <c r="Q31" s="347"/>
      <c r="R31" s="347"/>
      <c r="S31" s="347"/>
      <c r="T31" s="347"/>
      <c r="U31" s="347"/>
      <c r="V31" s="347"/>
      <c r="W31" s="347"/>
      <c r="X31" s="347"/>
      <c r="Y31" s="347"/>
      <c r="Z31" s="347"/>
      <c r="AA31" s="347"/>
      <c r="AB31" s="347"/>
      <c r="AC31" s="347"/>
      <c r="AD31" s="347"/>
    </row>
    <row r="32" spans="1:30" ht="38.25">
      <c r="A32" s="344">
        <v>27</v>
      </c>
      <c r="B32" s="345"/>
      <c r="C32" s="345" t="s">
        <v>1948</v>
      </c>
      <c r="D32" s="344" t="s">
        <v>1949</v>
      </c>
      <c r="E32" s="344">
        <v>2010</v>
      </c>
      <c r="F32" s="344" t="s">
        <v>1854</v>
      </c>
      <c r="G32" s="345" t="s">
        <v>1950</v>
      </c>
      <c r="H32" s="345"/>
      <c r="I32" s="351"/>
      <c r="J32" s="351"/>
      <c r="K32" s="347"/>
      <c r="L32" s="347"/>
      <c r="M32" s="347"/>
      <c r="N32" s="347"/>
      <c r="O32" s="347"/>
      <c r="P32" s="347"/>
      <c r="Q32" s="347"/>
      <c r="R32" s="347"/>
      <c r="S32" s="347"/>
      <c r="T32" s="347"/>
      <c r="U32" s="347"/>
      <c r="V32" s="347"/>
      <c r="W32" s="347"/>
      <c r="X32" s="347"/>
      <c r="Y32" s="347"/>
      <c r="Z32" s="347"/>
      <c r="AA32" s="347"/>
      <c r="AB32" s="347"/>
      <c r="AC32" s="347"/>
      <c r="AD32" s="347"/>
    </row>
    <row r="33" spans="1:30" ht="216.75">
      <c r="A33" s="344">
        <v>28</v>
      </c>
      <c r="B33" s="345"/>
      <c r="C33" s="345" t="s">
        <v>1951</v>
      </c>
      <c r="D33" s="344" t="s">
        <v>1952</v>
      </c>
      <c r="E33" s="344">
        <v>2012</v>
      </c>
      <c r="F33" s="344" t="s">
        <v>1854</v>
      </c>
      <c r="G33" s="345" t="s">
        <v>1953</v>
      </c>
      <c r="H33" s="345" t="s">
        <v>1954</v>
      </c>
      <c r="I33" s="351" t="s">
        <v>1955</v>
      </c>
      <c r="J33" s="351"/>
      <c r="K33" s="347"/>
      <c r="L33" s="347"/>
      <c r="M33" s="347"/>
      <c r="N33" s="347"/>
      <c r="O33" s="347"/>
      <c r="P33" s="347"/>
      <c r="Q33" s="347"/>
      <c r="R33" s="347"/>
      <c r="S33" s="347"/>
      <c r="T33" s="347"/>
      <c r="U33" s="347"/>
      <c r="V33" s="347"/>
      <c r="W33" s="347"/>
      <c r="X33" s="347"/>
      <c r="Y33" s="347"/>
      <c r="Z33" s="347"/>
      <c r="AA33" s="347"/>
      <c r="AB33" s="347"/>
      <c r="AC33" s="347"/>
      <c r="AD33" s="347"/>
    </row>
    <row r="34" spans="1:30" ht="191.25">
      <c r="A34" s="344">
        <v>29</v>
      </c>
      <c r="B34" s="345"/>
      <c r="C34" s="345" t="s">
        <v>1956</v>
      </c>
      <c r="D34" s="344" t="s">
        <v>1957</v>
      </c>
      <c r="E34" s="344">
        <v>2000</v>
      </c>
      <c r="F34" s="344" t="s">
        <v>1854</v>
      </c>
      <c r="G34" s="345" t="s">
        <v>1958</v>
      </c>
      <c r="H34" s="345"/>
      <c r="I34" s="351"/>
      <c r="J34" s="351"/>
      <c r="K34" s="347"/>
      <c r="L34" s="347"/>
      <c r="M34" s="347"/>
      <c r="N34" s="347"/>
      <c r="O34" s="347"/>
      <c r="P34" s="347"/>
      <c r="Q34" s="347"/>
      <c r="R34" s="347"/>
      <c r="S34" s="347"/>
      <c r="T34" s="347"/>
      <c r="U34" s="347"/>
      <c r="V34" s="347"/>
      <c r="W34" s="347"/>
      <c r="X34" s="347"/>
      <c r="Y34" s="347"/>
      <c r="Z34" s="347"/>
      <c r="AA34" s="347"/>
      <c r="AB34" s="347"/>
      <c r="AC34" s="347"/>
      <c r="AD34" s="347"/>
    </row>
    <row r="35" spans="1:30" ht="191.25">
      <c r="A35" s="344">
        <v>30</v>
      </c>
      <c r="B35" s="345"/>
      <c r="C35" s="345" t="s">
        <v>1959</v>
      </c>
      <c r="D35" s="344" t="s">
        <v>1960</v>
      </c>
      <c r="E35" s="344">
        <v>2012</v>
      </c>
      <c r="F35" s="344" t="s">
        <v>1854</v>
      </c>
      <c r="G35" s="345" t="s">
        <v>1961</v>
      </c>
      <c r="H35" s="345" t="s">
        <v>1962</v>
      </c>
      <c r="I35" s="351" t="s">
        <v>1963</v>
      </c>
      <c r="J35" s="351"/>
      <c r="K35" s="347"/>
      <c r="L35" s="347"/>
      <c r="M35" s="347"/>
      <c r="N35" s="347"/>
      <c r="O35" s="347"/>
      <c r="P35" s="347"/>
      <c r="Q35" s="347"/>
      <c r="R35" s="347"/>
      <c r="S35" s="347"/>
      <c r="T35" s="347"/>
      <c r="U35" s="347"/>
      <c r="V35" s="347"/>
      <c r="W35" s="347"/>
      <c r="X35" s="347"/>
      <c r="Y35" s="347"/>
      <c r="Z35" s="347"/>
      <c r="AA35" s="347"/>
      <c r="AB35" s="347"/>
      <c r="AC35" s="347"/>
      <c r="AD35" s="347"/>
    </row>
    <row r="36" spans="1:30" ht="102">
      <c r="A36" s="344">
        <v>31</v>
      </c>
      <c r="B36" s="345"/>
      <c r="C36" s="345" t="s">
        <v>1964</v>
      </c>
      <c r="D36" s="344" t="s">
        <v>1965</v>
      </c>
      <c r="E36" s="344">
        <v>2011</v>
      </c>
      <c r="F36" s="344"/>
      <c r="G36" s="345" t="s">
        <v>1966</v>
      </c>
      <c r="H36" s="345"/>
      <c r="I36" s="351" t="s">
        <v>1967</v>
      </c>
      <c r="J36" s="351" t="s">
        <v>1968</v>
      </c>
      <c r="K36" s="347"/>
      <c r="L36" s="347"/>
      <c r="M36" s="347"/>
      <c r="N36" s="347"/>
      <c r="O36" s="347"/>
      <c r="P36" s="347"/>
      <c r="Q36" s="347"/>
      <c r="R36" s="347"/>
      <c r="S36" s="347"/>
      <c r="T36" s="347"/>
      <c r="U36" s="347"/>
      <c r="V36" s="347"/>
      <c r="W36" s="347"/>
      <c r="X36" s="347"/>
      <c r="Y36" s="347"/>
      <c r="Z36" s="347"/>
      <c r="AA36" s="347"/>
      <c r="AB36" s="347"/>
      <c r="AC36" s="347"/>
      <c r="AD36" s="347"/>
    </row>
    <row r="37" spans="1:30" ht="91.5" customHeight="1">
      <c r="A37" s="3">
        <v>32</v>
      </c>
      <c r="B37" s="96"/>
      <c r="C37" s="96" t="s">
        <v>554</v>
      </c>
      <c r="D37" s="3" t="s">
        <v>1969</v>
      </c>
      <c r="E37" s="3">
        <v>2015</v>
      </c>
      <c r="F37" s="3" t="s">
        <v>1854</v>
      </c>
      <c r="G37" s="96" t="s">
        <v>1970</v>
      </c>
      <c r="H37" s="97"/>
      <c r="I37" s="348"/>
      <c r="J37" s="348"/>
    </row>
    <row r="38" spans="1:30" ht="191.25">
      <c r="A38" s="344">
        <v>33</v>
      </c>
      <c r="B38" s="345"/>
      <c r="C38" s="345" t="s">
        <v>1971</v>
      </c>
      <c r="D38" s="344" t="s">
        <v>1972</v>
      </c>
      <c r="E38" s="344">
        <v>2011</v>
      </c>
      <c r="F38" s="344" t="s">
        <v>1854</v>
      </c>
      <c r="G38" s="345" t="s">
        <v>1973</v>
      </c>
      <c r="H38" s="353"/>
      <c r="I38" s="351"/>
      <c r="J38" s="351"/>
      <c r="K38" s="347"/>
      <c r="L38" s="347"/>
      <c r="M38" s="347"/>
      <c r="N38" s="347"/>
      <c r="O38" s="347"/>
      <c r="P38" s="347"/>
      <c r="Q38" s="347"/>
      <c r="R38" s="347"/>
      <c r="S38" s="347"/>
      <c r="T38" s="347"/>
      <c r="U38" s="347"/>
      <c r="V38" s="347"/>
      <c r="W38" s="347"/>
      <c r="X38" s="347"/>
      <c r="Y38" s="347"/>
      <c r="Z38" s="347"/>
      <c r="AA38" s="347"/>
      <c r="AB38" s="347"/>
      <c r="AC38" s="347"/>
      <c r="AD38" s="347"/>
    </row>
    <row r="39" spans="1:30" ht="114.75">
      <c r="A39" s="344">
        <v>34</v>
      </c>
      <c r="B39" s="345"/>
      <c r="C39" s="345" t="s">
        <v>1974</v>
      </c>
      <c r="D39" s="344" t="s">
        <v>1975</v>
      </c>
      <c r="E39" s="344">
        <v>2011</v>
      </c>
      <c r="F39" s="344" t="s">
        <v>1854</v>
      </c>
      <c r="G39" s="345" t="s">
        <v>1976</v>
      </c>
      <c r="H39" s="353" t="s">
        <v>1977</v>
      </c>
      <c r="I39" s="351" t="s">
        <v>1978</v>
      </c>
      <c r="J39" s="351"/>
      <c r="K39" s="347"/>
      <c r="L39" s="347"/>
      <c r="M39" s="347"/>
      <c r="N39" s="347"/>
      <c r="O39" s="347"/>
      <c r="P39" s="347"/>
      <c r="Q39" s="347"/>
      <c r="R39" s="347"/>
      <c r="S39" s="347"/>
      <c r="T39" s="347"/>
      <c r="U39" s="347"/>
      <c r="V39" s="347"/>
      <c r="W39" s="347"/>
      <c r="X39" s="347"/>
      <c r="Y39" s="347"/>
      <c r="Z39" s="347"/>
      <c r="AA39" s="347"/>
      <c r="AB39" s="347"/>
      <c r="AC39" s="347"/>
      <c r="AD39" s="347"/>
    </row>
    <row r="40" spans="1:30" ht="267.75">
      <c r="A40" s="3">
        <v>35</v>
      </c>
      <c r="B40" s="96"/>
      <c r="C40" s="96" t="s">
        <v>559</v>
      </c>
      <c r="D40" s="3" t="s">
        <v>1859</v>
      </c>
      <c r="E40" s="3">
        <v>2018</v>
      </c>
      <c r="F40" s="348"/>
      <c r="G40" s="96" t="s">
        <v>1979</v>
      </c>
      <c r="H40" s="96" t="s">
        <v>1980</v>
      </c>
      <c r="I40" s="348"/>
      <c r="J40" s="348"/>
    </row>
    <row r="41" spans="1:30" ht="102">
      <c r="A41" s="354">
        <v>36</v>
      </c>
      <c r="B41" s="147"/>
      <c r="C41" s="147" t="s">
        <v>636</v>
      </c>
      <c r="D41" s="354" t="s">
        <v>1981</v>
      </c>
      <c r="E41" s="354">
        <v>2014</v>
      </c>
      <c r="F41" s="354" t="s">
        <v>1854</v>
      </c>
      <c r="G41" s="147" t="s">
        <v>1982</v>
      </c>
      <c r="H41" s="358" t="s">
        <v>1983</v>
      </c>
      <c r="I41" s="356"/>
      <c r="J41" s="356"/>
      <c r="K41" s="355"/>
      <c r="L41" s="355"/>
      <c r="M41" s="355"/>
      <c r="N41" s="355"/>
      <c r="O41" s="355"/>
      <c r="P41" s="355"/>
      <c r="Q41" s="355"/>
      <c r="R41" s="355"/>
      <c r="S41" s="355"/>
      <c r="T41" s="355"/>
      <c r="U41" s="355"/>
      <c r="V41" s="355"/>
      <c r="W41" s="355"/>
      <c r="X41" s="355"/>
      <c r="Y41" s="355"/>
      <c r="Z41" s="355"/>
      <c r="AA41" s="355"/>
      <c r="AB41" s="355"/>
      <c r="AC41" s="355"/>
      <c r="AD41" s="355"/>
    </row>
    <row r="42" spans="1:30" ht="191.25">
      <c r="A42" s="344">
        <v>37</v>
      </c>
      <c r="B42" s="345"/>
      <c r="C42" s="345" t="s">
        <v>1984</v>
      </c>
      <c r="D42" s="344" t="s">
        <v>1985</v>
      </c>
      <c r="E42" s="344">
        <v>2012</v>
      </c>
      <c r="F42" s="344"/>
      <c r="G42" s="345" t="s">
        <v>1986</v>
      </c>
      <c r="H42" s="353" t="s">
        <v>1987</v>
      </c>
      <c r="I42" s="351"/>
      <c r="J42" s="351"/>
      <c r="K42" s="347"/>
      <c r="L42" s="347"/>
      <c r="M42" s="347"/>
      <c r="N42" s="347"/>
      <c r="O42" s="347"/>
      <c r="P42" s="347"/>
      <c r="Q42" s="347"/>
      <c r="R42" s="347"/>
      <c r="S42" s="347"/>
      <c r="T42" s="347"/>
      <c r="U42" s="347"/>
      <c r="V42" s="347"/>
      <c r="W42" s="347"/>
      <c r="X42" s="347"/>
      <c r="Y42" s="347"/>
      <c r="Z42" s="347"/>
      <c r="AA42" s="347"/>
      <c r="AB42" s="347"/>
      <c r="AC42" s="347"/>
      <c r="AD42" s="347"/>
    </row>
    <row r="43" spans="1:30" ht="369.75">
      <c r="A43" s="354">
        <v>38</v>
      </c>
      <c r="B43" s="147"/>
      <c r="C43" s="147" t="s">
        <v>644</v>
      </c>
      <c r="D43" s="354" t="s">
        <v>1859</v>
      </c>
      <c r="E43" s="354">
        <v>2014</v>
      </c>
      <c r="F43" s="354"/>
      <c r="G43" s="147" t="s">
        <v>1988</v>
      </c>
      <c r="H43" s="358"/>
      <c r="I43" s="356" t="s">
        <v>1989</v>
      </c>
      <c r="J43" s="356"/>
      <c r="K43" s="355"/>
      <c r="L43" s="355"/>
      <c r="M43" s="355"/>
      <c r="N43" s="355"/>
      <c r="O43" s="355"/>
      <c r="P43" s="355"/>
      <c r="Q43" s="355"/>
      <c r="R43" s="355"/>
      <c r="S43" s="355"/>
      <c r="T43" s="355"/>
      <c r="U43" s="355"/>
      <c r="V43" s="355"/>
      <c r="W43" s="355"/>
      <c r="X43" s="355"/>
      <c r="Y43" s="355"/>
      <c r="Z43" s="355"/>
      <c r="AA43" s="355"/>
      <c r="AB43" s="355"/>
      <c r="AC43" s="355"/>
      <c r="AD43" s="355"/>
    </row>
    <row r="44" spans="1:30" ht="178.5">
      <c r="A44" s="3">
        <v>39</v>
      </c>
      <c r="B44" s="96"/>
      <c r="C44" s="96" t="s">
        <v>563</v>
      </c>
      <c r="D44" s="3" t="s">
        <v>1990</v>
      </c>
      <c r="E44" s="3">
        <v>2019</v>
      </c>
      <c r="F44" s="3" t="s">
        <v>1854</v>
      </c>
      <c r="G44" s="96" t="s">
        <v>1991</v>
      </c>
      <c r="H44" s="96" t="s">
        <v>1992</v>
      </c>
      <c r="I44" s="3" t="s">
        <v>1993</v>
      </c>
      <c r="J44" s="348"/>
    </row>
    <row r="45" spans="1:30" ht="51">
      <c r="A45" s="344">
        <v>40</v>
      </c>
      <c r="B45" s="345"/>
      <c r="C45" s="345" t="s">
        <v>1994</v>
      </c>
      <c r="D45" s="344" t="s">
        <v>1859</v>
      </c>
      <c r="E45" s="344">
        <v>2012</v>
      </c>
      <c r="F45" s="351"/>
      <c r="G45" s="345" t="s">
        <v>1995</v>
      </c>
      <c r="H45" s="353"/>
      <c r="I45" s="351"/>
      <c r="J45" s="351"/>
      <c r="K45" s="347"/>
      <c r="L45" s="347"/>
      <c r="M45" s="347"/>
      <c r="N45" s="347"/>
      <c r="O45" s="347"/>
      <c r="P45" s="347"/>
      <c r="Q45" s="347"/>
      <c r="R45" s="347"/>
      <c r="S45" s="347"/>
      <c r="T45" s="347"/>
      <c r="U45" s="347"/>
      <c r="V45" s="347"/>
      <c r="W45" s="347"/>
      <c r="X45" s="347"/>
      <c r="Y45" s="347"/>
      <c r="Z45" s="347"/>
      <c r="AA45" s="347"/>
      <c r="AB45" s="347"/>
      <c r="AC45" s="347"/>
      <c r="AD45" s="347"/>
    </row>
    <row r="46" spans="1:30" ht="89.25">
      <c r="A46" s="344">
        <v>41</v>
      </c>
      <c r="B46" s="345"/>
      <c r="C46" s="345" t="s">
        <v>1996</v>
      </c>
      <c r="D46" s="344" t="s">
        <v>1997</v>
      </c>
      <c r="E46" s="344">
        <v>2013</v>
      </c>
      <c r="F46" s="351"/>
      <c r="G46" s="345" t="s">
        <v>1998</v>
      </c>
      <c r="H46" s="353"/>
      <c r="I46" s="351" t="s">
        <v>1999</v>
      </c>
      <c r="J46" s="351"/>
      <c r="K46" s="347"/>
      <c r="L46" s="347"/>
      <c r="M46" s="347"/>
      <c r="N46" s="347"/>
      <c r="O46" s="347"/>
      <c r="P46" s="347"/>
      <c r="Q46" s="347"/>
      <c r="R46" s="347"/>
      <c r="S46" s="347"/>
      <c r="T46" s="347"/>
      <c r="U46" s="347"/>
      <c r="V46" s="347"/>
      <c r="W46" s="347"/>
      <c r="X46" s="347"/>
      <c r="Y46" s="347"/>
      <c r="Z46" s="347"/>
      <c r="AA46" s="347"/>
      <c r="AB46" s="347"/>
      <c r="AC46" s="347"/>
      <c r="AD46" s="347"/>
    </row>
    <row r="47" spans="1:30" ht="409.5">
      <c r="A47" s="344">
        <v>42</v>
      </c>
      <c r="B47" s="345"/>
      <c r="C47" s="345" t="s">
        <v>2000</v>
      </c>
      <c r="D47" s="344" t="s">
        <v>1859</v>
      </c>
      <c r="E47" s="344">
        <v>2013</v>
      </c>
      <c r="F47" s="351" t="s">
        <v>1854</v>
      </c>
      <c r="G47" s="345" t="s">
        <v>2001</v>
      </c>
      <c r="H47" s="353" t="s">
        <v>2002</v>
      </c>
      <c r="I47" s="351" t="s">
        <v>2003</v>
      </c>
      <c r="J47" s="351"/>
      <c r="K47" s="347"/>
      <c r="L47" s="347"/>
      <c r="M47" s="347"/>
      <c r="N47" s="347"/>
      <c r="O47" s="347"/>
      <c r="P47" s="347"/>
      <c r="Q47" s="347"/>
      <c r="R47" s="347"/>
      <c r="S47" s="347"/>
      <c r="T47" s="347"/>
      <c r="U47" s="347"/>
      <c r="V47" s="347"/>
      <c r="W47" s="347"/>
      <c r="X47" s="347"/>
      <c r="Y47" s="347"/>
      <c r="Z47" s="347"/>
      <c r="AA47" s="347"/>
      <c r="AB47" s="347"/>
      <c r="AC47" s="347"/>
      <c r="AD47" s="347"/>
    </row>
    <row r="48" spans="1:30" ht="89.25">
      <c r="A48" s="3">
        <v>43</v>
      </c>
      <c r="B48" s="96"/>
      <c r="C48" s="96" t="s">
        <v>572</v>
      </c>
      <c r="D48" s="359" t="s">
        <v>2004</v>
      </c>
      <c r="E48" s="359">
        <v>2018</v>
      </c>
      <c r="F48" s="360" t="s">
        <v>2005</v>
      </c>
      <c r="G48" s="361" t="s">
        <v>2006</v>
      </c>
      <c r="H48" s="96" t="s">
        <v>2007</v>
      </c>
      <c r="I48" s="348"/>
      <c r="J48" s="348"/>
    </row>
    <row r="49" spans="1:30" ht="77.25" customHeight="1">
      <c r="A49" s="354">
        <v>44</v>
      </c>
      <c r="B49" s="147"/>
      <c r="C49" s="147" t="s">
        <v>649</v>
      </c>
      <c r="D49" s="354" t="s">
        <v>2008</v>
      </c>
      <c r="E49" s="354">
        <v>2018</v>
      </c>
      <c r="F49" s="354" t="s">
        <v>2009</v>
      </c>
      <c r="G49" s="147" t="s">
        <v>2010</v>
      </c>
      <c r="H49" s="358"/>
      <c r="I49" s="356"/>
      <c r="J49" s="356"/>
      <c r="K49" s="355"/>
      <c r="L49" s="355"/>
      <c r="M49" s="355"/>
      <c r="N49" s="355"/>
      <c r="O49" s="355"/>
      <c r="P49" s="355"/>
      <c r="Q49" s="355"/>
      <c r="R49" s="355"/>
      <c r="S49" s="355"/>
      <c r="T49" s="355"/>
      <c r="U49" s="355"/>
      <c r="V49" s="355"/>
      <c r="W49" s="355"/>
      <c r="X49" s="355"/>
      <c r="Y49" s="355"/>
      <c r="Z49" s="355"/>
      <c r="AA49" s="355"/>
      <c r="AB49" s="355"/>
      <c r="AC49" s="355"/>
      <c r="AD49" s="355"/>
    </row>
    <row r="50" spans="1:30" ht="77.25" customHeight="1">
      <c r="A50" s="344">
        <v>45</v>
      </c>
      <c r="B50" s="345"/>
      <c r="C50" s="345" t="s">
        <v>2011</v>
      </c>
      <c r="D50" s="344" t="s">
        <v>1859</v>
      </c>
      <c r="E50" s="344">
        <v>2011</v>
      </c>
      <c r="F50" s="344"/>
      <c r="G50" s="345" t="s">
        <v>2012</v>
      </c>
      <c r="H50" s="353" t="s">
        <v>2013</v>
      </c>
      <c r="I50" s="351"/>
      <c r="J50" s="351"/>
      <c r="K50" s="347"/>
      <c r="L50" s="347"/>
      <c r="M50" s="347"/>
      <c r="N50" s="347"/>
      <c r="O50" s="347"/>
      <c r="P50" s="347"/>
      <c r="Q50" s="347"/>
      <c r="R50" s="347"/>
      <c r="S50" s="347"/>
      <c r="T50" s="347"/>
      <c r="U50" s="347"/>
      <c r="V50" s="347"/>
      <c r="W50" s="347"/>
      <c r="X50" s="347"/>
      <c r="Y50" s="347"/>
      <c r="Z50" s="347"/>
      <c r="AA50" s="347"/>
      <c r="AB50" s="347"/>
      <c r="AC50" s="347"/>
      <c r="AD50" s="347"/>
    </row>
    <row r="51" spans="1:30" ht="114.75">
      <c r="A51" s="3">
        <v>46</v>
      </c>
      <c r="B51" s="96"/>
      <c r="C51" s="96" t="s">
        <v>583</v>
      </c>
      <c r="D51" s="3" t="s">
        <v>2014</v>
      </c>
      <c r="E51" s="3">
        <v>2018</v>
      </c>
      <c r="F51" s="348"/>
      <c r="G51" s="96" t="s">
        <v>2015</v>
      </c>
      <c r="H51" s="96" t="s">
        <v>2016</v>
      </c>
      <c r="I51" s="3" t="s">
        <v>2017</v>
      </c>
      <c r="J51" s="3" t="s">
        <v>2018</v>
      </c>
    </row>
    <row r="52" spans="1:30" ht="140.25">
      <c r="A52" s="3">
        <v>47</v>
      </c>
      <c r="B52" s="96"/>
      <c r="C52" s="96" t="s">
        <v>588</v>
      </c>
      <c r="D52" s="3" t="s">
        <v>2019</v>
      </c>
      <c r="E52" s="3">
        <v>2015</v>
      </c>
      <c r="F52" s="3" t="s">
        <v>1854</v>
      </c>
      <c r="G52" s="96" t="s">
        <v>2020</v>
      </c>
      <c r="H52" s="96" t="s">
        <v>2021</v>
      </c>
      <c r="I52" s="3" t="s">
        <v>2022</v>
      </c>
      <c r="J52" s="348"/>
    </row>
    <row r="53" spans="1:30" ht="165.75">
      <c r="A53" s="3">
        <v>48</v>
      </c>
      <c r="B53" s="96"/>
      <c r="C53" s="96" t="s">
        <v>596</v>
      </c>
      <c r="D53" s="3" t="s">
        <v>2019</v>
      </c>
      <c r="E53" s="3">
        <v>2015</v>
      </c>
      <c r="F53" s="3" t="s">
        <v>1854</v>
      </c>
      <c r="G53" s="96" t="s">
        <v>2023</v>
      </c>
      <c r="H53" s="96" t="s">
        <v>2024</v>
      </c>
      <c r="I53" s="3" t="s">
        <v>2025</v>
      </c>
      <c r="J53" s="348"/>
    </row>
    <row r="54" spans="1:30" ht="38.25">
      <c r="A54" s="3">
        <v>49</v>
      </c>
      <c r="B54" s="96"/>
      <c r="C54" s="96" t="s">
        <v>654</v>
      </c>
      <c r="D54" s="3" t="s">
        <v>2019</v>
      </c>
      <c r="E54" s="3">
        <v>2015</v>
      </c>
      <c r="F54" s="3" t="s">
        <v>1854</v>
      </c>
      <c r="G54" s="96" t="s">
        <v>2026</v>
      </c>
      <c r="H54" s="97"/>
      <c r="I54" s="96" t="s">
        <v>2027</v>
      </c>
      <c r="J54" s="348"/>
    </row>
    <row r="55" spans="1:30" ht="293.25">
      <c r="A55" s="3">
        <v>50</v>
      </c>
      <c r="B55" s="96"/>
      <c r="C55" s="96" t="s">
        <v>658</v>
      </c>
      <c r="D55" s="3" t="s">
        <v>2028</v>
      </c>
      <c r="E55" s="3">
        <v>2016</v>
      </c>
      <c r="F55" s="3" t="s">
        <v>1854</v>
      </c>
      <c r="G55" s="96" t="s">
        <v>2029</v>
      </c>
      <c r="H55" s="96" t="s">
        <v>2030</v>
      </c>
      <c r="I55" s="348"/>
      <c r="J55" s="348"/>
    </row>
    <row r="56" spans="1:30" ht="127.5">
      <c r="A56" s="344">
        <v>51</v>
      </c>
      <c r="B56" s="345"/>
      <c r="C56" s="345" t="s">
        <v>2031</v>
      </c>
      <c r="D56" s="351"/>
      <c r="E56" s="344">
        <v>2011</v>
      </c>
      <c r="F56" s="344" t="s">
        <v>1854</v>
      </c>
      <c r="G56" s="353"/>
      <c r="H56" s="345" t="s">
        <v>2032</v>
      </c>
      <c r="I56" s="351"/>
      <c r="J56" s="351"/>
      <c r="K56" s="347"/>
      <c r="L56" s="347"/>
      <c r="M56" s="347"/>
      <c r="N56" s="347"/>
      <c r="O56" s="347"/>
      <c r="P56" s="347"/>
      <c r="Q56" s="347"/>
      <c r="R56" s="347"/>
      <c r="S56" s="347"/>
      <c r="T56" s="347"/>
      <c r="U56" s="347"/>
      <c r="V56" s="347"/>
      <c r="W56" s="347"/>
      <c r="X56" s="347"/>
      <c r="Y56" s="347"/>
      <c r="Z56" s="347"/>
      <c r="AA56" s="347"/>
      <c r="AB56" s="347"/>
      <c r="AC56" s="347"/>
      <c r="AD56" s="347"/>
    </row>
    <row r="57" spans="1:30" ht="153">
      <c r="A57" s="3">
        <v>52</v>
      </c>
      <c r="B57" s="96"/>
      <c r="C57" s="96" t="s">
        <v>661</v>
      </c>
      <c r="D57" s="3" t="s">
        <v>2019</v>
      </c>
      <c r="E57" s="3">
        <v>2015</v>
      </c>
      <c r="F57" s="3" t="s">
        <v>1854</v>
      </c>
      <c r="G57" s="96" t="s">
        <v>2033</v>
      </c>
      <c r="H57" s="96" t="s">
        <v>2034</v>
      </c>
      <c r="I57" s="348"/>
      <c r="J57" s="348"/>
    </row>
    <row r="58" spans="1:30" ht="76.5">
      <c r="A58" s="3">
        <v>53</v>
      </c>
      <c r="B58" s="96"/>
      <c r="C58" s="96" t="s">
        <v>671</v>
      </c>
      <c r="D58" s="3" t="s">
        <v>1969</v>
      </c>
      <c r="E58" s="3">
        <v>2018</v>
      </c>
      <c r="F58" s="3" t="s">
        <v>1854</v>
      </c>
      <c r="G58" s="96" t="s">
        <v>2035</v>
      </c>
      <c r="H58" s="97"/>
      <c r="I58" s="348"/>
      <c r="J58" s="348"/>
    </row>
    <row r="59" spans="1:30" ht="102">
      <c r="A59" s="3">
        <v>54</v>
      </c>
      <c r="B59" s="96"/>
      <c r="C59" s="96" t="s">
        <v>676</v>
      </c>
      <c r="D59" s="3" t="s">
        <v>2036</v>
      </c>
      <c r="E59" s="3">
        <v>2019</v>
      </c>
      <c r="F59" s="348"/>
      <c r="G59" s="97"/>
      <c r="H59" s="97"/>
      <c r="I59" s="348"/>
      <c r="J59" s="3" t="s">
        <v>2037</v>
      </c>
    </row>
    <row r="60" spans="1:30" ht="357">
      <c r="A60" s="3">
        <v>55</v>
      </c>
      <c r="B60" s="96"/>
      <c r="C60" s="96" t="s">
        <v>680</v>
      </c>
      <c r="D60" s="3" t="s">
        <v>1969</v>
      </c>
      <c r="E60" s="3">
        <v>2017</v>
      </c>
      <c r="F60" s="3" t="s">
        <v>1854</v>
      </c>
      <c r="G60" s="96" t="s">
        <v>2038</v>
      </c>
      <c r="H60" s="3" t="s">
        <v>511</v>
      </c>
      <c r="I60" s="96" t="s">
        <v>2039</v>
      </c>
      <c r="J60" s="348"/>
    </row>
    <row r="61" spans="1:30" ht="89.25">
      <c r="A61" s="344">
        <v>56</v>
      </c>
      <c r="B61" s="345"/>
      <c r="C61" s="345" t="s">
        <v>2040</v>
      </c>
      <c r="D61" s="344" t="s">
        <v>2041</v>
      </c>
      <c r="E61" s="344">
        <v>2012</v>
      </c>
      <c r="F61" s="351"/>
      <c r="G61" s="345" t="s">
        <v>2042</v>
      </c>
      <c r="H61" s="353"/>
      <c r="I61" s="344" t="s">
        <v>2043</v>
      </c>
      <c r="J61" s="351"/>
      <c r="K61" s="347"/>
      <c r="L61" s="347"/>
      <c r="M61" s="347"/>
      <c r="N61" s="347"/>
      <c r="O61" s="347"/>
      <c r="P61" s="347"/>
      <c r="Q61" s="347"/>
      <c r="R61" s="347"/>
      <c r="S61" s="347"/>
      <c r="T61" s="347"/>
      <c r="U61" s="347"/>
      <c r="V61" s="347"/>
      <c r="W61" s="347"/>
      <c r="X61" s="347"/>
      <c r="Y61" s="347"/>
      <c r="Z61" s="347"/>
      <c r="AA61" s="347"/>
      <c r="AB61" s="347"/>
      <c r="AC61" s="347"/>
      <c r="AD61" s="347"/>
    </row>
    <row r="62" spans="1:30" ht="114.75">
      <c r="A62" s="3">
        <v>57</v>
      </c>
      <c r="B62" s="96"/>
      <c r="C62" s="96" t="s">
        <v>688</v>
      </c>
      <c r="D62" s="3" t="s">
        <v>2044</v>
      </c>
      <c r="E62" s="3">
        <v>2016</v>
      </c>
      <c r="F62" s="3" t="s">
        <v>1854</v>
      </c>
      <c r="G62" s="96" t="s">
        <v>2045</v>
      </c>
      <c r="H62" s="96" t="s">
        <v>2046</v>
      </c>
      <c r="I62" s="96"/>
      <c r="J62" s="96" t="s">
        <v>2047</v>
      </c>
    </row>
    <row r="63" spans="1:30" ht="409.5">
      <c r="A63" s="3">
        <v>58</v>
      </c>
      <c r="B63" s="96"/>
      <c r="C63" s="96" t="s">
        <v>695</v>
      </c>
      <c r="D63" s="3" t="s">
        <v>1870</v>
      </c>
      <c r="E63" s="3">
        <v>2016</v>
      </c>
      <c r="F63" s="3" t="s">
        <v>1854</v>
      </c>
      <c r="G63" s="96" t="s">
        <v>2048</v>
      </c>
      <c r="H63" s="96" t="s">
        <v>2049</v>
      </c>
      <c r="I63" s="96" t="s">
        <v>696</v>
      </c>
      <c r="J63" s="3" t="s">
        <v>2050</v>
      </c>
    </row>
    <row r="64" spans="1:30" ht="89.25">
      <c r="A64" s="3">
        <v>59</v>
      </c>
      <c r="B64" s="96"/>
      <c r="C64" s="96" t="s">
        <v>701</v>
      </c>
      <c r="D64" s="3" t="s">
        <v>2051</v>
      </c>
      <c r="E64" s="3">
        <v>2014</v>
      </c>
      <c r="F64" s="3" t="s">
        <v>1854</v>
      </c>
      <c r="G64" s="96" t="s">
        <v>2052</v>
      </c>
      <c r="H64" s="96" t="s">
        <v>2053</v>
      </c>
      <c r="I64" s="348"/>
      <c r="J64" s="348"/>
    </row>
    <row r="65" spans="1:30" ht="242.25">
      <c r="A65" s="344">
        <v>60</v>
      </c>
      <c r="B65" s="345"/>
      <c r="C65" s="345" t="s">
        <v>2054</v>
      </c>
      <c r="D65" s="344" t="s">
        <v>2041</v>
      </c>
      <c r="E65" s="344">
        <v>2012</v>
      </c>
      <c r="F65" s="344" t="s">
        <v>1854</v>
      </c>
      <c r="G65" s="345" t="s">
        <v>2055</v>
      </c>
      <c r="H65" s="345" t="s">
        <v>2056</v>
      </c>
      <c r="I65" s="345" t="s">
        <v>2057</v>
      </c>
      <c r="J65" s="351"/>
      <c r="K65" s="347"/>
      <c r="L65" s="347"/>
      <c r="M65" s="347"/>
      <c r="N65" s="347"/>
      <c r="O65" s="347"/>
      <c r="P65" s="347"/>
      <c r="Q65" s="347"/>
      <c r="R65" s="347"/>
      <c r="S65" s="347"/>
      <c r="T65" s="347"/>
      <c r="U65" s="347"/>
      <c r="V65" s="347"/>
      <c r="W65" s="347"/>
      <c r="X65" s="347"/>
      <c r="Y65" s="347"/>
      <c r="Z65" s="347"/>
      <c r="AA65" s="347"/>
      <c r="AB65" s="347"/>
      <c r="AC65" s="347"/>
      <c r="AD65" s="347"/>
    </row>
    <row r="66" spans="1:30" ht="140.25">
      <c r="A66" s="3">
        <v>61</v>
      </c>
      <c r="B66" s="96"/>
      <c r="C66" s="96" t="s">
        <v>708</v>
      </c>
      <c r="D66" s="3" t="s">
        <v>2058</v>
      </c>
      <c r="E66" s="3">
        <v>2018</v>
      </c>
      <c r="F66" s="3" t="s">
        <v>1854</v>
      </c>
      <c r="G66" s="96" t="s">
        <v>2059</v>
      </c>
      <c r="H66" s="96" t="s">
        <v>713</v>
      </c>
      <c r="I66" s="348"/>
      <c r="J66" s="348"/>
    </row>
    <row r="67" spans="1:30" ht="267.75">
      <c r="A67" s="3">
        <v>62</v>
      </c>
      <c r="B67" s="96"/>
      <c r="C67" s="96" t="s">
        <v>716</v>
      </c>
      <c r="D67" s="3" t="s">
        <v>1981</v>
      </c>
      <c r="E67" s="3">
        <v>2014</v>
      </c>
      <c r="F67" s="348"/>
      <c r="G67" s="96" t="s">
        <v>2060</v>
      </c>
      <c r="H67" s="96" t="s">
        <v>2061</v>
      </c>
      <c r="I67" s="348"/>
      <c r="J67" s="348"/>
    </row>
    <row r="68" spans="1:30" ht="51">
      <c r="A68" s="3">
        <v>63</v>
      </c>
      <c r="B68" s="96"/>
      <c r="C68" s="96" t="s">
        <v>722</v>
      </c>
      <c r="D68" s="14" t="s">
        <v>1921</v>
      </c>
      <c r="E68" s="3">
        <v>2018</v>
      </c>
      <c r="F68" s="348"/>
      <c r="G68" s="96" t="s">
        <v>2062</v>
      </c>
      <c r="H68" s="96" t="s">
        <v>2063</v>
      </c>
      <c r="I68" s="96" t="s">
        <v>2064</v>
      </c>
      <c r="J68" s="348"/>
    </row>
    <row r="69" spans="1:30" ht="229.5">
      <c r="A69" s="3">
        <v>64</v>
      </c>
      <c r="B69" s="96"/>
      <c r="C69" s="96" t="s">
        <v>726</v>
      </c>
      <c r="D69" s="3" t="s">
        <v>2065</v>
      </c>
      <c r="E69" s="3">
        <v>2016</v>
      </c>
      <c r="F69" s="3" t="s">
        <v>1854</v>
      </c>
      <c r="G69" s="96" t="s">
        <v>2066</v>
      </c>
      <c r="H69" s="96" t="s">
        <v>729</v>
      </c>
      <c r="I69" s="96" t="s">
        <v>2067</v>
      </c>
      <c r="J69" s="348"/>
    </row>
    <row r="70" spans="1:30" ht="102">
      <c r="A70" s="3">
        <v>65</v>
      </c>
      <c r="B70" s="96"/>
      <c r="C70" s="96" t="s">
        <v>734</v>
      </c>
      <c r="D70" s="3" t="s">
        <v>2008</v>
      </c>
      <c r="E70" s="3">
        <v>2019</v>
      </c>
      <c r="F70" s="348"/>
      <c r="G70" s="96" t="s">
        <v>735</v>
      </c>
      <c r="H70" s="97"/>
      <c r="I70" s="96" t="s">
        <v>2068</v>
      </c>
      <c r="J70" s="3" t="s">
        <v>2069</v>
      </c>
    </row>
    <row r="71" spans="1:30" ht="76.5">
      <c r="A71" s="344">
        <v>66</v>
      </c>
      <c r="B71" s="345"/>
      <c r="C71" s="345" t="s">
        <v>2070</v>
      </c>
      <c r="D71" s="344" t="s">
        <v>2071</v>
      </c>
      <c r="E71" s="344">
        <v>2012</v>
      </c>
      <c r="F71" s="344" t="s">
        <v>1854</v>
      </c>
      <c r="G71" s="345" t="s">
        <v>2072</v>
      </c>
      <c r="H71" s="345"/>
      <c r="I71" s="345" t="s">
        <v>2073</v>
      </c>
      <c r="J71" s="351"/>
      <c r="K71" s="347"/>
      <c r="L71" s="347"/>
      <c r="M71" s="347"/>
      <c r="N71" s="347"/>
      <c r="O71" s="347"/>
      <c r="P71" s="347"/>
      <c r="Q71" s="347"/>
      <c r="R71" s="347"/>
      <c r="S71" s="347"/>
      <c r="T71" s="347"/>
      <c r="U71" s="347"/>
      <c r="V71" s="347"/>
      <c r="W71" s="347"/>
      <c r="X71" s="347"/>
      <c r="Y71" s="347"/>
      <c r="Z71" s="347"/>
      <c r="AA71" s="347"/>
      <c r="AB71" s="347"/>
      <c r="AC71" s="347"/>
      <c r="AD71" s="347"/>
    </row>
    <row r="72" spans="1:30" ht="114.75">
      <c r="A72" s="3">
        <v>67</v>
      </c>
      <c r="B72" s="96"/>
      <c r="C72" s="96" t="s">
        <v>738</v>
      </c>
      <c r="D72" s="3" t="s">
        <v>1870</v>
      </c>
      <c r="E72" s="3">
        <v>2018</v>
      </c>
      <c r="F72" s="3" t="s">
        <v>1854</v>
      </c>
      <c r="G72" s="96" t="s">
        <v>2074</v>
      </c>
      <c r="H72" s="96" t="s">
        <v>2075</v>
      </c>
      <c r="I72" s="348"/>
      <c r="J72" s="348"/>
    </row>
    <row r="73" spans="1:30" ht="178.5">
      <c r="A73" s="3">
        <v>68</v>
      </c>
      <c r="B73" s="345"/>
      <c r="C73" s="345" t="s">
        <v>2076</v>
      </c>
      <c r="D73" s="348"/>
      <c r="E73" s="348"/>
      <c r="F73" s="348"/>
      <c r="G73" s="97"/>
      <c r="H73" s="96" t="s">
        <v>2077</v>
      </c>
      <c r="I73" s="3" t="s">
        <v>2078</v>
      </c>
      <c r="J73" s="348"/>
    </row>
    <row r="74" spans="1:30" ht="114.75">
      <c r="A74" s="3">
        <v>69</v>
      </c>
      <c r="B74" s="96"/>
      <c r="C74" s="96" t="s">
        <v>746</v>
      </c>
      <c r="D74" s="3" t="s">
        <v>2019</v>
      </c>
      <c r="E74" s="3">
        <v>2015</v>
      </c>
      <c r="F74" s="348"/>
      <c r="G74" s="96" t="s">
        <v>2079</v>
      </c>
      <c r="H74" s="97"/>
      <c r="I74" s="96" t="s">
        <v>2080</v>
      </c>
      <c r="J74" s="348"/>
    </row>
    <row r="75" spans="1:30" ht="38.25">
      <c r="A75" s="108">
        <v>70</v>
      </c>
      <c r="B75" s="109"/>
      <c r="C75" s="109" t="s">
        <v>754</v>
      </c>
      <c r="D75" s="108" t="s">
        <v>2081</v>
      </c>
      <c r="E75" s="108">
        <v>2019</v>
      </c>
      <c r="F75" s="362"/>
      <c r="G75" s="109" t="s">
        <v>2082</v>
      </c>
      <c r="H75" s="110"/>
      <c r="I75" s="362"/>
      <c r="J75" s="362"/>
      <c r="K75" s="168"/>
      <c r="L75" s="168"/>
      <c r="M75" s="168"/>
      <c r="N75" s="168"/>
      <c r="O75" s="168"/>
      <c r="P75" s="168"/>
      <c r="Q75" s="168"/>
      <c r="R75" s="168"/>
      <c r="S75" s="168"/>
      <c r="T75" s="168"/>
      <c r="U75" s="168"/>
      <c r="V75" s="168"/>
      <c r="W75" s="168"/>
      <c r="X75" s="168"/>
      <c r="Y75" s="168"/>
      <c r="Z75" s="168"/>
      <c r="AA75" s="168"/>
      <c r="AB75" s="168"/>
      <c r="AC75" s="168"/>
      <c r="AD75" s="168"/>
    </row>
    <row r="76" spans="1:30" ht="306">
      <c r="A76" s="3">
        <v>71</v>
      </c>
      <c r="B76" s="96"/>
      <c r="C76" s="96" t="s">
        <v>763</v>
      </c>
      <c r="D76" s="3" t="s">
        <v>2083</v>
      </c>
      <c r="E76" s="3">
        <v>2019</v>
      </c>
      <c r="F76" s="348"/>
      <c r="G76" s="96" t="s">
        <v>2084</v>
      </c>
      <c r="H76" s="96" t="s">
        <v>2085</v>
      </c>
      <c r="I76" s="96" t="s">
        <v>2086</v>
      </c>
      <c r="J76" s="348"/>
    </row>
    <row r="77" spans="1:30" ht="204">
      <c r="A77" s="344">
        <v>72</v>
      </c>
      <c r="B77" s="345"/>
      <c r="C77" s="345" t="s">
        <v>2087</v>
      </c>
      <c r="D77" s="344" t="s">
        <v>2088</v>
      </c>
      <c r="E77" s="344">
        <v>2009</v>
      </c>
      <c r="F77" s="344"/>
      <c r="G77" s="345" t="s">
        <v>2089</v>
      </c>
      <c r="H77" s="345"/>
      <c r="I77" s="345"/>
      <c r="J77" s="351"/>
      <c r="K77" s="347"/>
      <c r="L77" s="347"/>
      <c r="M77" s="347"/>
      <c r="N77" s="347"/>
      <c r="O77" s="347"/>
      <c r="P77" s="347"/>
      <c r="Q77" s="347"/>
      <c r="R77" s="347"/>
      <c r="S77" s="347"/>
      <c r="T77" s="347"/>
      <c r="U77" s="347"/>
      <c r="V77" s="347"/>
      <c r="W77" s="347"/>
      <c r="X77" s="347"/>
      <c r="Y77" s="347"/>
      <c r="Z77" s="347"/>
      <c r="AA77" s="347"/>
      <c r="AB77" s="347"/>
      <c r="AC77" s="347"/>
      <c r="AD77" s="347"/>
    </row>
    <row r="78" spans="1:30" ht="204">
      <c r="A78" s="3">
        <v>73</v>
      </c>
      <c r="B78" s="96"/>
      <c r="C78" s="96" t="s">
        <v>767</v>
      </c>
      <c r="D78" s="3" t="s">
        <v>2090</v>
      </c>
      <c r="E78" s="3">
        <v>2017</v>
      </c>
      <c r="F78" s="348"/>
      <c r="G78" s="96" t="s">
        <v>2091</v>
      </c>
      <c r="H78" s="96" t="s">
        <v>2092</v>
      </c>
      <c r="I78" s="348"/>
      <c r="J78" s="348"/>
    </row>
    <row r="79" spans="1:30" ht="153">
      <c r="A79" s="3">
        <v>74</v>
      </c>
      <c r="B79" s="96"/>
      <c r="C79" s="96" t="s">
        <v>771</v>
      </c>
      <c r="D79" s="3" t="s">
        <v>2093</v>
      </c>
      <c r="E79" s="3">
        <v>2019</v>
      </c>
      <c r="F79" s="348"/>
      <c r="G79" s="96" t="s">
        <v>2094</v>
      </c>
      <c r="H79" s="3" t="s">
        <v>511</v>
      </c>
      <c r="I79" s="96" t="s">
        <v>777</v>
      </c>
      <c r="J79" s="348"/>
    </row>
    <row r="80" spans="1:30" ht="89.25">
      <c r="A80" s="3">
        <v>75</v>
      </c>
      <c r="B80" s="96"/>
      <c r="C80" s="96" t="s">
        <v>778</v>
      </c>
      <c r="D80" s="3" t="s">
        <v>2095</v>
      </c>
      <c r="E80" s="3">
        <v>2019</v>
      </c>
      <c r="F80" s="348"/>
      <c r="G80" s="96" t="s">
        <v>2096</v>
      </c>
      <c r="H80" s="96" t="s">
        <v>2097</v>
      </c>
      <c r="I80" s="96" t="s">
        <v>2098</v>
      </c>
      <c r="J80" s="348"/>
    </row>
    <row r="81" spans="1:30" ht="369.75">
      <c r="A81" s="3">
        <v>76</v>
      </c>
      <c r="B81" s="96"/>
      <c r="C81" s="96" t="s">
        <v>784</v>
      </c>
      <c r="D81" s="3" t="s">
        <v>2099</v>
      </c>
      <c r="E81" s="3">
        <v>2017</v>
      </c>
      <c r="F81" s="348"/>
      <c r="G81" s="96" t="s">
        <v>2100</v>
      </c>
      <c r="H81" s="97"/>
      <c r="I81" s="96" t="s">
        <v>2101</v>
      </c>
      <c r="J81" s="348"/>
    </row>
    <row r="82" spans="1:30" ht="38.25">
      <c r="A82" s="3">
        <v>77</v>
      </c>
      <c r="B82" s="96"/>
      <c r="C82" s="96" t="s">
        <v>786</v>
      </c>
      <c r="D82" s="3" t="s">
        <v>2102</v>
      </c>
      <c r="E82" s="3">
        <v>2017</v>
      </c>
      <c r="F82" s="348"/>
      <c r="G82" s="96" t="s">
        <v>2103</v>
      </c>
      <c r="H82" s="96" t="s">
        <v>2104</v>
      </c>
      <c r="I82" s="348"/>
      <c r="J82" s="348"/>
    </row>
    <row r="83" spans="1:30" ht="140.25">
      <c r="A83" s="3">
        <v>78</v>
      </c>
      <c r="B83" s="96"/>
      <c r="C83" s="96" t="s">
        <v>792</v>
      </c>
      <c r="D83" s="3" t="s">
        <v>2099</v>
      </c>
      <c r="E83" s="3">
        <v>2018</v>
      </c>
      <c r="F83" s="3" t="s">
        <v>1854</v>
      </c>
      <c r="G83" s="96" t="s">
        <v>2105</v>
      </c>
      <c r="H83" s="96" t="s">
        <v>2106</v>
      </c>
      <c r="I83" s="3" t="s">
        <v>2107</v>
      </c>
      <c r="J83" s="348"/>
    </row>
    <row r="84" spans="1:30" ht="153">
      <c r="A84" s="3">
        <v>79</v>
      </c>
      <c r="B84" s="96"/>
      <c r="C84" s="96" t="s">
        <v>799</v>
      </c>
      <c r="D84" s="3" t="s">
        <v>2090</v>
      </c>
      <c r="E84" s="3">
        <v>2017</v>
      </c>
      <c r="F84" s="3" t="s">
        <v>1854</v>
      </c>
      <c r="G84" s="96" t="s">
        <v>2108</v>
      </c>
      <c r="H84" s="96" t="s">
        <v>2109</v>
      </c>
      <c r="I84" s="348"/>
      <c r="J84" s="348"/>
    </row>
    <row r="85" spans="1:30" ht="76.5">
      <c r="A85" s="3">
        <v>80</v>
      </c>
      <c r="B85" s="96"/>
      <c r="C85" s="96" t="s">
        <v>805</v>
      </c>
      <c r="D85" s="3" t="s">
        <v>1969</v>
      </c>
      <c r="E85" s="3">
        <v>2017</v>
      </c>
      <c r="F85" s="348"/>
      <c r="G85" s="96" t="s">
        <v>2110</v>
      </c>
      <c r="H85" s="96" t="s">
        <v>2111</v>
      </c>
      <c r="I85" s="348"/>
      <c r="J85" s="348"/>
    </row>
    <row r="86" spans="1:30" ht="153">
      <c r="A86" s="3">
        <v>81</v>
      </c>
      <c r="B86" s="96"/>
      <c r="C86" s="96" t="s">
        <v>814</v>
      </c>
      <c r="D86" s="3" t="s">
        <v>2112</v>
      </c>
      <c r="E86" s="3">
        <v>2017</v>
      </c>
      <c r="F86" s="3" t="s">
        <v>1854</v>
      </c>
      <c r="G86" s="96" t="s">
        <v>2113</v>
      </c>
      <c r="H86" s="97"/>
      <c r="I86" s="348"/>
      <c r="J86" s="348"/>
    </row>
    <row r="87" spans="1:30" ht="242.25">
      <c r="A87" s="363">
        <v>82</v>
      </c>
      <c r="B87" s="364"/>
      <c r="C87" s="364" t="s">
        <v>2114</v>
      </c>
      <c r="D87" s="363" t="s">
        <v>2081</v>
      </c>
      <c r="E87" s="363">
        <v>2019</v>
      </c>
      <c r="F87" s="365"/>
      <c r="G87" s="364" t="s">
        <v>2115</v>
      </c>
      <c r="H87" s="364" t="s">
        <v>2116</v>
      </c>
      <c r="I87" s="364" t="s">
        <v>2117</v>
      </c>
      <c r="J87" s="365"/>
      <c r="K87" s="366"/>
      <c r="L87" s="366"/>
      <c r="M87" s="366"/>
      <c r="N87" s="366"/>
      <c r="O87" s="366"/>
      <c r="P87" s="366"/>
      <c r="Q87" s="366"/>
      <c r="R87" s="366"/>
      <c r="S87" s="366"/>
      <c r="T87" s="366"/>
      <c r="U87" s="366"/>
      <c r="V87" s="366"/>
      <c r="W87" s="366"/>
      <c r="X87" s="366"/>
      <c r="Y87" s="366"/>
      <c r="Z87" s="366"/>
      <c r="AA87" s="366"/>
      <c r="AB87" s="366"/>
      <c r="AC87" s="366"/>
      <c r="AD87" s="366"/>
    </row>
    <row r="88" spans="1:30" ht="51">
      <c r="A88" s="3">
        <v>83</v>
      </c>
      <c r="B88" s="96"/>
      <c r="C88" s="96" t="s">
        <v>820</v>
      </c>
      <c r="D88" s="3" t="s">
        <v>2118</v>
      </c>
      <c r="E88" s="3">
        <v>2018</v>
      </c>
      <c r="F88" s="348"/>
      <c r="G88" s="96" t="s">
        <v>2119</v>
      </c>
      <c r="H88" s="96" t="s">
        <v>2120</v>
      </c>
      <c r="I88" s="348"/>
      <c r="J88" s="348"/>
    </row>
    <row r="89" spans="1:30" ht="409.5">
      <c r="A89" s="3">
        <v>84</v>
      </c>
      <c r="B89" s="96"/>
      <c r="C89" s="96" t="s">
        <v>826</v>
      </c>
      <c r="D89" s="3" t="s">
        <v>2121</v>
      </c>
      <c r="E89" s="3">
        <v>2019</v>
      </c>
      <c r="F89" s="3" t="s">
        <v>1854</v>
      </c>
      <c r="G89" s="96" t="s">
        <v>2122</v>
      </c>
      <c r="H89" s="96" t="s">
        <v>2123</v>
      </c>
      <c r="I89" s="96" t="s">
        <v>2124</v>
      </c>
      <c r="J89" s="367" t="s">
        <v>2125</v>
      </c>
    </row>
    <row r="90" spans="1:30" ht="76.5">
      <c r="A90" s="3">
        <v>85</v>
      </c>
      <c r="B90" s="96"/>
      <c r="C90" s="96" t="s">
        <v>832</v>
      </c>
      <c r="D90" s="3" t="s">
        <v>1981</v>
      </c>
      <c r="E90" s="3">
        <v>2015</v>
      </c>
      <c r="F90" s="348"/>
      <c r="G90" s="96" t="s">
        <v>834</v>
      </c>
      <c r="H90" s="97"/>
      <c r="I90" s="96" t="s">
        <v>2126</v>
      </c>
      <c r="J90" s="348"/>
    </row>
    <row r="91" spans="1:30" ht="267.75">
      <c r="A91" s="3">
        <v>86</v>
      </c>
      <c r="B91" s="96"/>
      <c r="C91" s="96" t="s">
        <v>2127</v>
      </c>
      <c r="D91" s="3" t="s">
        <v>2128</v>
      </c>
      <c r="E91" s="3">
        <v>2015</v>
      </c>
      <c r="F91" s="3" t="s">
        <v>1854</v>
      </c>
      <c r="G91" s="96" t="s">
        <v>2129</v>
      </c>
      <c r="H91" s="96" t="s">
        <v>2130</v>
      </c>
      <c r="I91" s="348"/>
      <c r="J91" s="348"/>
    </row>
    <row r="92" spans="1:30" ht="318.75">
      <c r="A92" s="3">
        <v>87</v>
      </c>
      <c r="B92" s="96"/>
      <c r="C92" s="96" t="s">
        <v>842</v>
      </c>
      <c r="D92" s="3" t="s">
        <v>1859</v>
      </c>
      <c r="E92" s="3">
        <v>2015</v>
      </c>
      <c r="F92" s="3" t="s">
        <v>1854</v>
      </c>
      <c r="G92" s="96" t="s">
        <v>2131</v>
      </c>
      <c r="H92" s="96" t="s">
        <v>2132</v>
      </c>
      <c r="I92" s="3" t="s">
        <v>2133</v>
      </c>
      <c r="J92" s="368"/>
    </row>
    <row r="93" spans="1:30" ht="255">
      <c r="A93" s="344">
        <v>88</v>
      </c>
      <c r="B93" s="345"/>
      <c r="C93" s="345" t="s">
        <v>2134</v>
      </c>
      <c r="D93" s="344" t="s">
        <v>1907</v>
      </c>
      <c r="E93" s="344">
        <v>2002</v>
      </c>
      <c r="F93" s="344"/>
      <c r="G93" s="345" t="s">
        <v>2135</v>
      </c>
      <c r="H93" s="345"/>
      <c r="I93" s="345"/>
      <c r="J93" s="351"/>
      <c r="K93" s="347"/>
      <c r="L93" s="347"/>
      <c r="M93" s="347"/>
      <c r="N93" s="347"/>
      <c r="O93" s="347"/>
      <c r="P93" s="347"/>
      <c r="Q93" s="347"/>
      <c r="R93" s="347"/>
      <c r="S93" s="347"/>
      <c r="T93" s="347"/>
      <c r="U93" s="347"/>
      <c r="V93" s="347"/>
      <c r="W93" s="347"/>
      <c r="X93" s="347"/>
      <c r="Y93" s="347"/>
      <c r="Z93" s="347"/>
      <c r="AA93" s="347"/>
      <c r="AB93" s="347"/>
      <c r="AC93" s="347"/>
      <c r="AD93" s="347"/>
    </row>
    <row r="94" spans="1:30" ht="51">
      <c r="A94" s="3">
        <v>89</v>
      </c>
      <c r="B94" s="96"/>
      <c r="C94" s="96" t="s">
        <v>845</v>
      </c>
      <c r="D94" s="3" t="s">
        <v>2041</v>
      </c>
      <c r="E94" s="3">
        <v>2017</v>
      </c>
      <c r="F94" s="348"/>
      <c r="G94" s="96" t="s">
        <v>847</v>
      </c>
      <c r="H94" s="96"/>
      <c r="I94" s="348"/>
      <c r="J94" s="348"/>
      <c r="K94" s="369"/>
      <c r="L94" s="369"/>
      <c r="M94" s="369"/>
      <c r="N94" s="369"/>
      <c r="O94" s="369"/>
      <c r="P94" s="369"/>
      <c r="Q94" s="369"/>
      <c r="R94" s="369"/>
      <c r="S94" s="369"/>
      <c r="T94" s="369"/>
      <c r="U94" s="369"/>
      <c r="V94" s="369"/>
      <c r="W94" s="369"/>
      <c r="X94" s="369"/>
      <c r="Y94" s="369"/>
      <c r="Z94" s="369"/>
      <c r="AA94" s="369"/>
      <c r="AB94" s="369"/>
      <c r="AC94" s="369"/>
      <c r="AD94" s="369"/>
    </row>
    <row r="95" spans="1:30" ht="331.5">
      <c r="A95" s="3">
        <v>90</v>
      </c>
      <c r="B95" s="96"/>
      <c r="C95" s="96" t="s">
        <v>850</v>
      </c>
      <c r="D95" s="3" t="s">
        <v>2036</v>
      </c>
      <c r="E95" s="3">
        <v>2019</v>
      </c>
      <c r="F95" s="348"/>
      <c r="G95" s="96" t="s">
        <v>2136</v>
      </c>
      <c r="H95" s="96" t="s">
        <v>2137</v>
      </c>
      <c r="I95" s="370" t="s">
        <v>2138</v>
      </c>
      <c r="J95" s="348"/>
      <c r="K95" s="369"/>
      <c r="L95" s="369"/>
      <c r="M95" s="369"/>
      <c r="N95" s="369"/>
      <c r="O95" s="369"/>
      <c r="P95" s="369"/>
      <c r="Q95" s="369"/>
      <c r="R95" s="369"/>
      <c r="S95" s="369"/>
      <c r="T95" s="369"/>
      <c r="U95" s="369"/>
      <c r="V95" s="369"/>
      <c r="W95" s="369"/>
      <c r="X95" s="369"/>
      <c r="Y95" s="369"/>
      <c r="Z95" s="369"/>
      <c r="AA95" s="369"/>
      <c r="AB95" s="369"/>
      <c r="AC95" s="369"/>
      <c r="AD95" s="369"/>
    </row>
    <row r="96" spans="1:30" ht="114.75">
      <c r="A96" s="3">
        <v>91</v>
      </c>
      <c r="B96" s="96"/>
      <c r="C96" s="96" t="s">
        <v>854</v>
      </c>
      <c r="D96" s="3" t="s">
        <v>2044</v>
      </c>
      <c r="E96" s="3">
        <v>2017</v>
      </c>
      <c r="F96" s="3" t="s">
        <v>1854</v>
      </c>
      <c r="G96" s="96" t="s">
        <v>2139</v>
      </c>
      <c r="H96" s="96" t="s">
        <v>2140</v>
      </c>
      <c r="I96" s="96" t="s">
        <v>2141</v>
      </c>
      <c r="J96" s="348"/>
    </row>
    <row r="97" spans="1:10" ht="127.5">
      <c r="A97" s="3">
        <v>92</v>
      </c>
      <c r="B97" s="96"/>
      <c r="C97" s="96" t="s">
        <v>860</v>
      </c>
      <c r="D97" s="3" t="s">
        <v>2142</v>
      </c>
      <c r="E97" s="3">
        <v>2017</v>
      </c>
      <c r="F97" s="348"/>
      <c r="G97" s="96" t="s">
        <v>861</v>
      </c>
      <c r="H97" s="96" t="s">
        <v>2143</v>
      </c>
      <c r="I97" s="96" t="s">
        <v>2144</v>
      </c>
      <c r="J97" s="348"/>
    </row>
    <row r="98" spans="1:10" ht="38.25">
      <c r="A98" s="3">
        <v>93</v>
      </c>
      <c r="B98" s="96"/>
      <c r="C98" s="96" t="s">
        <v>868</v>
      </c>
      <c r="D98" s="3" t="s">
        <v>2145</v>
      </c>
      <c r="E98" s="3">
        <v>2015</v>
      </c>
      <c r="F98" s="348"/>
      <c r="G98" s="3" t="s">
        <v>871</v>
      </c>
      <c r="H98" s="97"/>
      <c r="I98" s="348"/>
      <c r="J98" s="348"/>
    </row>
    <row r="99" spans="1:10" ht="76.5">
      <c r="A99" s="3">
        <v>94</v>
      </c>
      <c r="B99" s="96"/>
      <c r="C99" s="96" t="s">
        <v>875</v>
      </c>
      <c r="D99" s="3" t="s">
        <v>1870</v>
      </c>
      <c r="E99" s="3">
        <v>2018</v>
      </c>
      <c r="F99" s="348"/>
      <c r="G99" s="96" t="s">
        <v>2146</v>
      </c>
      <c r="H99" s="97"/>
      <c r="I99" s="348"/>
      <c r="J99" s="348"/>
    </row>
    <row r="100" spans="1:10" ht="409.5">
      <c r="A100" s="3">
        <v>95</v>
      </c>
      <c r="B100" s="96"/>
      <c r="C100" s="96" t="s">
        <v>879</v>
      </c>
      <c r="D100" s="3" t="s">
        <v>2147</v>
      </c>
      <c r="E100" s="3">
        <v>2020</v>
      </c>
      <c r="F100" s="3" t="s">
        <v>2148</v>
      </c>
      <c r="G100" s="96" t="s">
        <v>2149</v>
      </c>
      <c r="H100" s="96" t="s">
        <v>2150</v>
      </c>
      <c r="I100" s="96" t="s">
        <v>2151</v>
      </c>
      <c r="J100" s="348"/>
    </row>
    <row r="101" spans="1:10" ht="38.25">
      <c r="A101" s="3">
        <v>96</v>
      </c>
      <c r="B101" s="96"/>
      <c r="C101" s="96" t="s">
        <v>890</v>
      </c>
      <c r="D101" s="3" t="s">
        <v>2152</v>
      </c>
      <c r="E101" s="3">
        <v>2019</v>
      </c>
      <c r="F101" s="3" t="s">
        <v>2153</v>
      </c>
      <c r="G101" s="96"/>
      <c r="H101" s="96"/>
      <c r="I101" s="96"/>
      <c r="J101" s="348"/>
    </row>
    <row r="102" spans="1:10" ht="140.25">
      <c r="A102" s="3">
        <v>97</v>
      </c>
      <c r="B102" s="96"/>
      <c r="C102" s="96" t="s">
        <v>885</v>
      </c>
      <c r="D102" s="3" t="s">
        <v>2154</v>
      </c>
      <c r="E102" s="3">
        <v>2019</v>
      </c>
      <c r="F102" s="3" t="s">
        <v>2155</v>
      </c>
      <c r="G102" s="348"/>
      <c r="H102" s="96" t="s">
        <v>2156</v>
      </c>
      <c r="I102" s="96" t="s">
        <v>2157</v>
      </c>
      <c r="J102" s="348"/>
    </row>
    <row r="103" spans="1:10" ht="191.25">
      <c r="A103" s="3">
        <v>98</v>
      </c>
      <c r="B103" s="96"/>
      <c r="C103" s="96" t="s">
        <v>894</v>
      </c>
      <c r="D103" s="3" t="s">
        <v>2158</v>
      </c>
      <c r="E103" s="3">
        <v>2017</v>
      </c>
      <c r="F103" s="3" t="s">
        <v>2155</v>
      </c>
      <c r="G103" s="96" t="s">
        <v>2159</v>
      </c>
      <c r="H103" s="96" t="s">
        <v>2160</v>
      </c>
      <c r="I103" s="96" t="s">
        <v>2161</v>
      </c>
      <c r="J103" s="348"/>
    </row>
    <row r="104" spans="1:10" ht="318.75">
      <c r="A104" s="3">
        <v>99</v>
      </c>
      <c r="B104" s="96"/>
      <c r="C104" s="96" t="s">
        <v>898</v>
      </c>
      <c r="D104" s="3" t="s">
        <v>2162</v>
      </c>
      <c r="E104" s="3">
        <v>2016</v>
      </c>
      <c r="F104" s="348"/>
      <c r="G104" s="96" t="s">
        <v>2163</v>
      </c>
      <c r="H104" s="96" t="s">
        <v>2164</v>
      </c>
      <c r="I104" s="348"/>
      <c r="J104" s="348"/>
    </row>
    <row r="105" spans="1:10" ht="38.25">
      <c r="A105" s="3">
        <v>100</v>
      </c>
      <c r="B105" s="96"/>
      <c r="C105" s="96" t="s">
        <v>905</v>
      </c>
      <c r="D105" s="3" t="s">
        <v>2165</v>
      </c>
      <c r="E105" s="3">
        <v>2018</v>
      </c>
      <c r="F105" s="3" t="s">
        <v>1854</v>
      </c>
      <c r="G105" s="348"/>
      <c r="H105" s="97"/>
      <c r="I105" s="348"/>
      <c r="J105" s="348"/>
    </row>
    <row r="106" spans="1:10" ht="89.25">
      <c r="A106" s="3">
        <v>101</v>
      </c>
      <c r="B106" s="96"/>
      <c r="C106" s="96" t="s">
        <v>912</v>
      </c>
      <c r="D106" s="3" t="s">
        <v>2166</v>
      </c>
      <c r="E106" s="3">
        <v>2019</v>
      </c>
      <c r="F106" s="3" t="s">
        <v>1854</v>
      </c>
      <c r="G106" s="96" t="s">
        <v>2167</v>
      </c>
      <c r="H106" s="97"/>
      <c r="I106" s="348"/>
      <c r="J106" s="348"/>
    </row>
    <row r="107" spans="1:10" ht="38.25">
      <c r="A107" s="3">
        <v>102</v>
      </c>
      <c r="B107" s="96"/>
      <c r="C107" s="96" t="s">
        <v>916</v>
      </c>
      <c r="D107" s="3" t="s">
        <v>2168</v>
      </c>
      <c r="E107" s="3">
        <v>2016</v>
      </c>
      <c r="F107" s="3" t="s">
        <v>1854</v>
      </c>
      <c r="G107" s="96" t="s">
        <v>2169</v>
      </c>
      <c r="H107" s="97"/>
      <c r="I107" s="348"/>
      <c r="J107" s="348"/>
    </row>
    <row r="108" spans="1:10" ht="89.25">
      <c r="A108" s="3">
        <v>103</v>
      </c>
      <c r="B108" s="96"/>
      <c r="C108" s="96" t="s">
        <v>925</v>
      </c>
      <c r="D108" s="3" t="s">
        <v>2170</v>
      </c>
      <c r="E108" s="3">
        <v>2019</v>
      </c>
      <c r="F108" s="348"/>
      <c r="G108" s="96" t="s">
        <v>2171</v>
      </c>
      <c r="H108" s="97"/>
      <c r="I108" s="348"/>
      <c r="J108" s="348"/>
    </row>
    <row r="109" spans="1:10" ht="25.5">
      <c r="A109" s="3">
        <v>104</v>
      </c>
      <c r="B109" s="96"/>
      <c r="C109" s="96" t="s">
        <v>930</v>
      </c>
      <c r="D109" s="3" t="s">
        <v>1859</v>
      </c>
      <c r="E109" s="3">
        <v>2015</v>
      </c>
      <c r="F109" s="348"/>
      <c r="G109" s="96" t="s">
        <v>2172</v>
      </c>
      <c r="H109" s="97"/>
      <c r="I109" s="348"/>
      <c r="J109" s="348"/>
    </row>
    <row r="110" spans="1:10" ht="76.5">
      <c r="A110" s="3">
        <v>105</v>
      </c>
      <c r="B110" s="96"/>
      <c r="C110" s="96" t="s">
        <v>934</v>
      </c>
      <c r="D110" s="3" t="s">
        <v>1859</v>
      </c>
      <c r="E110" s="3">
        <v>2015</v>
      </c>
      <c r="F110" s="348"/>
      <c r="G110" s="96" t="s">
        <v>2173</v>
      </c>
      <c r="H110" s="97"/>
      <c r="I110" s="368" t="s">
        <v>2174</v>
      </c>
      <c r="J110" s="348"/>
    </row>
    <row r="111" spans="1:10" ht="38.25">
      <c r="A111" s="3">
        <v>106</v>
      </c>
      <c r="B111" s="96"/>
      <c r="C111" s="96" t="s">
        <v>938</v>
      </c>
      <c r="D111" s="3" t="s">
        <v>2093</v>
      </c>
      <c r="E111" s="3">
        <v>2018</v>
      </c>
      <c r="F111" s="348"/>
      <c r="G111" s="348"/>
      <c r="H111" s="97"/>
      <c r="I111" s="368" t="s">
        <v>2175</v>
      </c>
      <c r="J111" s="348"/>
    </row>
    <row r="112" spans="1:10" ht="38.25">
      <c r="A112" s="3">
        <v>107</v>
      </c>
      <c r="B112" s="96"/>
      <c r="C112" s="96" t="s">
        <v>945</v>
      </c>
      <c r="D112" s="3" t="s">
        <v>1833</v>
      </c>
      <c r="E112" s="3">
        <v>2017</v>
      </c>
      <c r="F112" s="348"/>
      <c r="G112" s="96" t="s">
        <v>2176</v>
      </c>
      <c r="H112" s="97"/>
      <c r="I112" s="368" t="s">
        <v>2177</v>
      </c>
      <c r="J112" s="348"/>
    </row>
    <row r="113" spans="1:30" ht="63.75">
      <c r="A113" s="3">
        <v>108</v>
      </c>
      <c r="B113" s="96"/>
      <c r="C113" s="96" t="s">
        <v>950</v>
      </c>
      <c r="D113" s="3" t="s">
        <v>2178</v>
      </c>
      <c r="E113" s="3">
        <v>2017</v>
      </c>
      <c r="F113" s="348"/>
      <c r="G113" s="96" t="s">
        <v>2179</v>
      </c>
      <c r="H113" s="97"/>
      <c r="I113" s="348"/>
      <c r="J113" s="348"/>
    </row>
    <row r="114" spans="1:30" ht="89.25">
      <c r="A114" s="3">
        <v>109</v>
      </c>
      <c r="B114" s="96"/>
      <c r="C114" s="96" t="s">
        <v>954</v>
      </c>
      <c r="D114" s="3" t="s">
        <v>2154</v>
      </c>
      <c r="E114" s="3">
        <v>2017</v>
      </c>
      <c r="F114" s="348"/>
      <c r="G114" s="96" t="s">
        <v>2180</v>
      </c>
      <c r="H114" s="97"/>
      <c r="I114" s="348"/>
      <c r="J114" s="348"/>
    </row>
    <row r="115" spans="1:30" ht="25.5">
      <c r="A115" s="3">
        <v>110</v>
      </c>
      <c r="B115" s="96"/>
      <c r="C115" s="96" t="s">
        <v>396</v>
      </c>
      <c r="D115" s="3" t="s">
        <v>2181</v>
      </c>
      <c r="E115" s="3">
        <v>2019</v>
      </c>
      <c r="F115" s="348"/>
      <c r="G115" s="348"/>
      <c r="H115" s="97"/>
      <c r="I115" s="348"/>
      <c r="J115" s="348"/>
    </row>
    <row r="116" spans="1:30" ht="25.5">
      <c r="A116" s="3">
        <v>111</v>
      </c>
      <c r="B116" s="96"/>
      <c r="C116" s="96" t="s">
        <v>965</v>
      </c>
      <c r="D116" s="3" t="s">
        <v>2182</v>
      </c>
      <c r="E116" s="3">
        <v>2020</v>
      </c>
      <c r="F116" s="348"/>
      <c r="G116" s="348"/>
      <c r="H116" s="97"/>
      <c r="I116" s="348"/>
      <c r="J116" s="348"/>
    </row>
    <row r="117" spans="1:30" ht="63.75">
      <c r="A117" s="3">
        <v>112</v>
      </c>
      <c r="B117" s="96"/>
      <c r="C117" s="96" t="s">
        <v>2183</v>
      </c>
      <c r="D117" s="3"/>
      <c r="E117" s="348"/>
      <c r="F117" s="348"/>
      <c r="G117" s="348"/>
      <c r="H117" s="97"/>
      <c r="I117" s="348"/>
      <c r="J117" s="348"/>
    </row>
    <row r="118" spans="1:30" ht="51">
      <c r="A118" s="3">
        <v>113</v>
      </c>
      <c r="B118" s="96"/>
      <c r="C118" s="96" t="s">
        <v>2184</v>
      </c>
      <c r="D118" s="3"/>
      <c r="E118" s="348"/>
      <c r="F118" s="348"/>
      <c r="G118" s="348"/>
      <c r="H118" s="97"/>
      <c r="I118" s="348"/>
      <c r="J118" s="348"/>
    </row>
    <row r="119" spans="1:30" ht="89.25">
      <c r="A119" s="3">
        <v>114</v>
      </c>
      <c r="B119" s="96"/>
      <c r="C119" s="96" t="s">
        <v>2185</v>
      </c>
      <c r="D119" s="3"/>
      <c r="E119" s="348"/>
      <c r="F119" s="348"/>
      <c r="G119" s="348"/>
      <c r="H119" s="97"/>
      <c r="I119" s="348"/>
      <c r="J119" s="348"/>
    </row>
    <row r="120" spans="1:30" ht="63.75">
      <c r="A120" s="3">
        <v>115</v>
      </c>
      <c r="B120" s="96"/>
      <c r="C120" s="96" t="s">
        <v>2186</v>
      </c>
      <c r="D120" s="3"/>
      <c r="E120" s="348"/>
      <c r="F120" s="348"/>
      <c r="G120" s="348"/>
      <c r="H120" s="97"/>
      <c r="I120" s="348"/>
      <c r="J120" s="348"/>
    </row>
    <row r="121" spans="1:30" ht="51">
      <c r="A121" s="3">
        <v>116</v>
      </c>
      <c r="B121" s="96"/>
      <c r="C121" s="96" t="s">
        <v>2187</v>
      </c>
      <c r="D121" s="3"/>
      <c r="E121" s="348"/>
      <c r="F121" s="348"/>
      <c r="G121" s="348"/>
      <c r="H121" s="97"/>
      <c r="I121" s="348"/>
      <c r="J121" s="348"/>
    </row>
    <row r="122" spans="1:30" ht="38.25">
      <c r="A122" s="3">
        <v>117</v>
      </c>
      <c r="B122" s="96"/>
      <c r="C122" s="96" t="s">
        <v>2188</v>
      </c>
      <c r="D122" s="3"/>
      <c r="E122" s="348"/>
      <c r="F122" s="348"/>
      <c r="G122" s="348"/>
      <c r="H122" s="97"/>
      <c r="I122" s="348"/>
      <c r="J122" s="348"/>
    </row>
    <row r="123" spans="1:30" ht="38.25">
      <c r="A123" s="344">
        <v>118</v>
      </c>
      <c r="B123" s="345"/>
      <c r="C123" s="345" t="s">
        <v>2189</v>
      </c>
      <c r="D123" s="344"/>
      <c r="E123" s="344">
        <v>2013</v>
      </c>
      <c r="F123" s="351"/>
      <c r="G123" s="351"/>
      <c r="H123" s="353"/>
      <c r="I123" s="351"/>
      <c r="J123" s="351"/>
      <c r="K123" s="347"/>
      <c r="L123" s="347"/>
      <c r="M123" s="347"/>
      <c r="N123" s="347"/>
      <c r="O123" s="347"/>
      <c r="P123" s="347"/>
      <c r="Q123" s="347"/>
      <c r="R123" s="347"/>
      <c r="S123" s="347"/>
      <c r="T123" s="347"/>
      <c r="U123" s="347"/>
      <c r="V123" s="347"/>
      <c r="W123" s="347"/>
      <c r="X123" s="347"/>
      <c r="Y123" s="347"/>
      <c r="Z123" s="347"/>
      <c r="AA123" s="347"/>
      <c r="AB123" s="347"/>
      <c r="AC123" s="347"/>
      <c r="AD123" s="347"/>
    </row>
    <row r="124" spans="1:30" ht="63.75">
      <c r="A124" s="3">
        <v>119</v>
      </c>
      <c r="B124" s="96"/>
      <c r="C124" s="96" t="s">
        <v>2190</v>
      </c>
      <c r="D124" s="3" t="s">
        <v>2191</v>
      </c>
      <c r="E124" s="3">
        <v>2019</v>
      </c>
      <c r="F124" s="348"/>
      <c r="G124" s="348"/>
      <c r="H124" s="97"/>
      <c r="I124" s="348"/>
      <c r="J124" s="348"/>
    </row>
    <row r="125" spans="1:30" ht="38.25">
      <c r="A125" s="3">
        <v>120</v>
      </c>
      <c r="B125" s="96"/>
      <c r="C125" s="96" t="s">
        <v>395</v>
      </c>
      <c r="D125" s="3" t="s">
        <v>2192</v>
      </c>
      <c r="E125" s="3">
        <v>2019</v>
      </c>
      <c r="F125" s="348"/>
      <c r="G125" s="348"/>
      <c r="H125" s="348"/>
      <c r="I125" s="348"/>
      <c r="J125" s="348"/>
    </row>
    <row r="126" spans="1:30" ht="38.25">
      <c r="A126" s="3">
        <v>121</v>
      </c>
      <c r="B126" s="96"/>
      <c r="C126" s="96" t="s">
        <v>1015</v>
      </c>
      <c r="D126" s="3" t="s">
        <v>2193</v>
      </c>
      <c r="E126" s="3">
        <v>2019</v>
      </c>
      <c r="F126" s="348"/>
      <c r="G126" s="348"/>
      <c r="H126" s="348"/>
      <c r="I126" s="348"/>
      <c r="J126" s="348"/>
    </row>
    <row r="127" spans="1:30" ht="38.25">
      <c r="A127" s="31">
        <v>122</v>
      </c>
      <c r="B127" s="32"/>
      <c r="C127" s="32" t="s">
        <v>424</v>
      </c>
      <c r="D127" s="31" t="s">
        <v>2194</v>
      </c>
      <c r="E127" s="31">
        <v>2019</v>
      </c>
      <c r="F127" s="371"/>
      <c r="G127" s="31" t="s">
        <v>2195</v>
      </c>
      <c r="H127" s="371"/>
      <c r="I127" s="371"/>
      <c r="J127" s="371"/>
      <c r="K127" s="34"/>
      <c r="L127" s="34"/>
      <c r="M127" s="34"/>
      <c r="N127" s="34"/>
      <c r="O127" s="34"/>
      <c r="P127" s="34"/>
      <c r="Q127" s="34"/>
      <c r="R127" s="34"/>
      <c r="S127" s="34"/>
      <c r="T127" s="34"/>
      <c r="U127" s="34"/>
      <c r="V127" s="34"/>
      <c r="W127" s="34"/>
      <c r="X127" s="34"/>
      <c r="Y127" s="34"/>
      <c r="Z127" s="34"/>
      <c r="AA127" s="34"/>
      <c r="AB127" s="34"/>
      <c r="AC127" s="34"/>
      <c r="AD127" s="34"/>
    </row>
    <row r="128" spans="1:30" ht="51">
      <c r="A128" s="372">
        <v>123</v>
      </c>
      <c r="B128" s="373"/>
      <c r="C128" s="373" t="s">
        <v>1021</v>
      </c>
      <c r="D128" s="372" t="s">
        <v>2191</v>
      </c>
      <c r="E128" s="372">
        <v>2019</v>
      </c>
      <c r="F128" s="374"/>
      <c r="G128" s="374"/>
      <c r="H128" s="374"/>
      <c r="I128" s="374"/>
      <c r="J128" s="374"/>
      <c r="K128" s="375"/>
      <c r="L128" s="375"/>
      <c r="M128" s="375"/>
      <c r="N128" s="375"/>
      <c r="O128" s="375"/>
      <c r="P128" s="375"/>
      <c r="Q128" s="375"/>
      <c r="R128" s="375"/>
      <c r="S128" s="375"/>
      <c r="T128" s="375"/>
      <c r="U128" s="375"/>
      <c r="V128" s="375"/>
      <c r="W128" s="375"/>
      <c r="X128" s="375"/>
      <c r="Y128" s="375"/>
      <c r="Z128" s="375"/>
      <c r="AA128" s="375"/>
      <c r="AB128" s="375"/>
      <c r="AC128" s="375"/>
      <c r="AD128" s="375"/>
    </row>
    <row r="129" spans="1:30" ht="38.25">
      <c r="A129" s="31">
        <v>124</v>
      </c>
      <c r="B129" s="32"/>
      <c r="C129" s="32" t="s">
        <v>389</v>
      </c>
      <c r="D129" s="31" t="s">
        <v>2196</v>
      </c>
      <c r="E129" s="31">
        <v>2019</v>
      </c>
      <c r="F129" s="371"/>
      <c r="G129" s="31" t="s">
        <v>2197</v>
      </c>
      <c r="H129" s="371"/>
      <c r="I129" s="371"/>
      <c r="J129" s="371"/>
      <c r="K129" s="34"/>
      <c r="L129" s="34"/>
      <c r="M129" s="34"/>
      <c r="N129" s="34"/>
      <c r="O129" s="34"/>
      <c r="P129" s="34"/>
      <c r="Q129" s="34"/>
      <c r="R129" s="34"/>
      <c r="S129" s="34"/>
      <c r="T129" s="34"/>
      <c r="U129" s="34"/>
      <c r="V129" s="34"/>
      <c r="W129" s="34"/>
      <c r="X129" s="34"/>
      <c r="Y129" s="34"/>
      <c r="Z129" s="34"/>
      <c r="AA129" s="34"/>
      <c r="AB129" s="34"/>
      <c r="AC129" s="34"/>
      <c r="AD129" s="34"/>
    </row>
    <row r="130" spans="1:30" ht="38.25">
      <c r="A130" s="3">
        <v>125</v>
      </c>
      <c r="B130" s="96"/>
      <c r="C130" s="96" t="s">
        <v>1067</v>
      </c>
      <c r="D130" s="3" t="s">
        <v>2198</v>
      </c>
      <c r="E130" s="3">
        <v>2019</v>
      </c>
      <c r="F130" s="348"/>
      <c r="G130" s="348"/>
      <c r="H130" s="348"/>
      <c r="I130" s="348"/>
      <c r="J130" s="348"/>
    </row>
    <row r="131" spans="1:30" ht="51">
      <c r="A131" s="3">
        <v>126</v>
      </c>
      <c r="B131" s="96"/>
      <c r="C131" s="96" t="s">
        <v>1074</v>
      </c>
      <c r="D131" s="3" t="s">
        <v>2199</v>
      </c>
      <c r="E131" s="3">
        <v>2019</v>
      </c>
      <c r="F131" s="348"/>
      <c r="G131" s="348"/>
      <c r="H131" s="348"/>
      <c r="I131" s="348"/>
      <c r="J131" s="348"/>
    </row>
    <row r="132" spans="1:30" ht="25.5">
      <c r="A132" s="3">
        <v>127</v>
      </c>
      <c r="B132" s="96"/>
      <c r="C132" s="96" t="s">
        <v>1080</v>
      </c>
      <c r="D132" s="3" t="s">
        <v>1899</v>
      </c>
      <c r="E132" s="3">
        <v>2019</v>
      </c>
      <c r="F132" s="348"/>
      <c r="G132" s="348"/>
      <c r="H132" s="348"/>
      <c r="I132" s="348"/>
      <c r="J132" s="348"/>
    </row>
    <row r="133" spans="1:30" ht="51">
      <c r="A133" s="31">
        <v>128</v>
      </c>
      <c r="B133" s="32"/>
      <c r="C133" s="32" t="s">
        <v>381</v>
      </c>
      <c r="D133" s="31" t="s">
        <v>2200</v>
      </c>
      <c r="E133" s="31">
        <v>2019</v>
      </c>
      <c r="F133" s="371"/>
      <c r="G133" s="31" t="s">
        <v>2197</v>
      </c>
      <c r="H133" s="371"/>
      <c r="I133" s="371"/>
      <c r="J133" s="371"/>
      <c r="K133" s="34"/>
      <c r="L133" s="34"/>
      <c r="M133" s="34"/>
      <c r="N133" s="34"/>
      <c r="O133" s="34"/>
      <c r="P133" s="34"/>
      <c r="Q133" s="34"/>
      <c r="R133" s="34"/>
      <c r="S133" s="34"/>
      <c r="T133" s="34"/>
      <c r="U133" s="34"/>
      <c r="V133" s="34"/>
      <c r="W133" s="34"/>
      <c r="X133" s="34"/>
      <c r="Y133" s="34"/>
      <c r="Z133" s="34"/>
      <c r="AA133" s="34"/>
      <c r="AB133" s="34"/>
      <c r="AC133" s="34"/>
      <c r="AD133" s="34"/>
    </row>
    <row r="134" spans="1:30" ht="51">
      <c r="A134" s="31">
        <v>129</v>
      </c>
      <c r="B134" s="32"/>
      <c r="C134" s="32" t="s">
        <v>2201</v>
      </c>
      <c r="D134" s="31" t="s">
        <v>2202</v>
      </c>
      <c r="E134" s="31">
        <v>2019</v>
      </c>
      <c r="F134" s="371"/>
      <c r="G134" s="31" t="s">
        <v>2203</v>
      </c>
      <c r="H134" s="371"/>
      <c r="I134" s="371"/>
      <c r="J134" s="371"/>
      <c r="K134" s="34"/>
      <c r="L134" s="34"/>
      <c r="M134" s="34"/>
      <c r="N134" s="34"/>
      <c r="O134" s="34"/>
      <c r="P134" s="34"/>
      <c r="Q134" s="34"/>
      <c r="R134" s="34"/>
      <c r="S134" s="34"/>
      <c r="T134" s="34"/>
      <c r="U134" s="34"/>
      <c r="V134" s="34"/>
      <c r="W134" s="34"/>
      <c r="X134" s="34"/>
      <c r="Y134" s="34"/>
      <c r="Z134" s="34"/>
      <c r="AA134" s="34"/>
      <c r="AB134" s="34"/>
      <c r="AC134" s="34"/>
      <c r="AD134" s="34"/>
    </row>
    <row r="135" spans="1:30" ht="76.5">
      <c r="A135" s="3">
        <v>130</v>
      </c>
      <c r="B135" s="96"/>
      <c r="C135" s="96" t="s">
        <v>1026</v>
      </c>
      <c r="D135" s="96" t="s">
        <v>2204</v>
      </c>
      <c r="E135" s="14">
        <v>2019</v>
      </c>
      <c r="F135" s="2"/>
      <c r="G135" s="96" t="s">
        <v>2205</v>
      </c>
      <c r="H135" s="2"/>
      <c r="I135" s="2"/>
      <c r="J135" s="2"/>
    </row>
    <row r="136" spans="1:30" ht="63.75">
      <c r="A136" s="31">
        <v>131</v>
      </c>
      <c r="B136" s="32"/>
      <c r="C136" s="32" t="s">
        <v>408</v>
      </c>
      <c r="D136" s="31" t="s">
        <v>2206</v>
      </c>
      <c r="E136" s="31">
        <v>2017</v>
      </c>
      <c r="F136" s="371"/>
      <c r="G136" s="31" t="s">
        <v>2207</v>
      </c>
      <c r="H136" s="371"/>
      <c r="I136" s="371"/>
      <c r="J136" s="371"/>
      <c r="K136" s="34"/>
      <c r="L136" s="34"/>
      <c r="M136" s="34"/>
      <c r="N136" s="34"/>
      <c r="O136" s="34"/>
      <c r="P136" s="34"/>
      <c r="Q136" s="34"/>
      <c r="R136" s="34"/>
      <c r="S136" s="34"/>
      <c r="T136" s="34"/>
      <c r="U136" s="34"/>
      <c r="V136" s="34"/>
      <c r="W136" s="34"/>
      <c r="X136" s="34"/>
      <c r="Y136" s="34"/>
      <c r="Z136" s="34"/>
      <c r="AA136" s="34"/>
      <c r="AB136" s="34"/>
      <c r="AC136" s="34"/>
      <c r="AD136" s="34"/>
    </row>
    <row r="137" spans="1:30" ht="38.25">
      <c r="A137" s="3">
        <v>132</v>
      </c>
      <c r="B137" s="96"/>
      <c r="C137" s="96" t="s">
        <v>2208</v>
      </c>
      <c r="D137" s="96" t="s">
        <v>1981</v>
      </c>
      <c r="E137" s="14">
        <v>2018</v>
      </c>
      <c r="F137" s="2"/>
      <c r="G137" s="2"/>
      <c r="H137" s="2"/>
      <c r="I137" s="2"/>
      <c r="J137" s="2"/>
    </row>
    <row r="138" spans="1:30" ht="51">
      <c r="A138" s="31">
        <v>133</v>
      </c>
      <c r="B138" s="32"/>
      <c r="C138" s="32" t="s">
        <v>2209</v>
      </c>
      <c r="D138" s="31"/>
      <c r="E138" s="31">
        <v>2017</v>
      </c>
      <c r="F138" s="371"/>
      <c r="G138" s="31" t="s">
        <v>2207</v>
      </c>
      <c r="H138" s="371"/>
      <c r="I138" s="371"/>
      <c r="J138" s="371"/>
      <c r="K138" s="34"/>
      <c r="L138" s="34"/>
      <c r="M138" s="34"/>
      <c r="N138" s="34"/>
      <c r="O138" s="34"/>
      <c r="P138" s="34"/>
      <c r="Q138" s="34"/>
      <c r="R138" s="34"/>
      <c r="S138" s="34"/>
      <c r="T138" s="34"/>
      <c r="U138" s="34"/>
      <c r="V138" s="34"/>
      <c r="W138" s="34"/>
      <c r="X138" s="34"/>
      <c r="Y138" s="34"/>
      <c r="Z138" s="34"/>
      <c r="AA138" s="34"/>
      <c r="AB138" s="34"/>
      <c r="AC138" s="34"/>
      <c r="AD138" s="34"/>
    </row>
    <row r="139" spans="1:30" ht="51">
      <c r="A139" s="31">
        <v>134</v>
      </c>
      <c r="B139" s="32"/>
      <c r="C139" s="32" t="s">
        <v>2210</v>
      </c>
      <c r="D139" s="31" t="s">
        <v>2211</v>
      </c>
      <c r="E139" s="31">
        <v>2019</v>
      </c>
      <c r="F139" s="371"/>
      <c r="G139" s="31" t="s">
        <v>2212</v>
      </c>
      <c r="H139" s="371"/>
      <c r="I139" s="371"/>
      <c r="J139" s="371"/>
      <c r="K139" s="34"/>
      <c r="L139" s="34"/>
      <c r="M139" s="34"/>
      <c r="N139" s="34"/>
      <c r="O139" s="34"/>
      <c r="P139" s="34"/>
      <c r="Q139" s="34"/>
      <c r="R139" s="34"/>
      <c r="S139" s="34"/>
      <c r="T139" s="34"/>
      <c r="U139" s="34"/>
      <c r="V139" s="34"/>
      <c r="W139" s="34"/>
      <c r="X139" s="34"/>
      <c r="Y139" s="34"/>
      <c r="Z139" s="34"/>
      <c r="AA139" s="34"/>
      <c r="AB139" s="34"/>
      <c r="AC139" s="34"/>
      <c r="AD139" s="34"/>
    </row>
    <row r="140" spans="1:30" ht="38.25">
      <c r="A140" s="31">
        <v>135</v>
      </c>
      <c r="B140" s="32"/>
      <c r="C140" s="32" t="s">
        <v>2213</v>
      </c>
      <c r="D140" s="31" t="s">
        <v>2214</v>
      </c>
      <c r="E140" s="31">
        <v>2018</v>
      </c>
      <c r="F140" s="371"/>
      <c r="G140" s="31" t="s">
        <v>2195</v>
      </c>
      <c r="H140" s="371"/>
      <c r="I140" s="371"/>
      <c r="J140" s="371"/>
      <c r="K140" s="34"/>
      <c r="L140" s="34"/>
      <c r="M140" s="34"/>
      <c r="N140" s="34"/>
      <c r="O140" s="34"/>
      <c r="P140" s="34"/>
      <c r="Q140" s="34"/>
      <c r="R140" s="34"/>
      <c r="S140" s="34"/>
      <c r="T140" s="34"/>
      <c r="U140" s="34"/>
      <c r="V140" s="34"/>
      <c r="W140" s="34"/>
      <c r="X140" s="34"/>
      <c r="Y140" s="34"/>
      <c r="Z140" s="34"/>
      <c r="AA140" s="34"/>
      <c r="AB140" s="34"/>
      <c r="AC140" s="34"/>
      <c r="AD140" s="34"/>
    </row>
    <row r="141" spans="1:30" ht="25.5">
      <c r="A141" s="3">
        <v>136</v>
      </c>
      <c r="B141" s="96"/>
      <c r="C141" s="96" t="s">
        <v>2215</v>
      </c>
      <c r="D141" s="96" t="s">
        <v>1859</v>
      </c>
      <c r="E141" s="14">
        <v>2016</v>
      </c>
      <c r="F141" s="2"/>
      <c r="G141" s="2"/>
      <c r="H141" s="2"/>
      <c r="I141" s="2"/>
      <c r="J141" s="2"/>
    </row>
    <row r="142" spans="1:30" ht="25.5">
      <c r="A142" s="3">
        <v>137</v>
      </c>
      <c r="B142" s="96"/>
      <c r="C142" s="96" t="s">
        <v>1048</v>
      </c>
      <c r="D142" s="96"/>
      <c r="E142" s="14">
        <v>2019</v>
      </c>
      <c r="F142" s="2"/>
      <c r="G142" s="376" t="s">
        <v>2216</v>
      </c>
      <c r="H142" s="2"/>
      <c r="I142" s="2"/>
      <c r="J142" s="14" t="s">
        <v>2217</v>
      </c>
    </row>
    <row r="143" spans="1:30" ht="409.5">
      <c r="A143" s="3">
        <v>138</v>
      </c>
      <c r="B143" s="96"/>
      <c r="C143" s="96" t="s">
        <v>1034</v>
      </c>
      <c r="D143" s="96" t="s">
        <v>2218</v>
      </c>
      <c r="E143" s="14">
        <v>2017</v>
      </c>
      <c r="F143" s="2"/>
      <c r="G143" s="96" t="s">
        <v>2219</v>
      </c>
      <c r="H143" s="2"/>
      <c r="I143" s="2"/>
      <c r="J143" s="2"/>
    </row>
    <row r="144" spans="1:30" ht="51">
      <c r="A144" s="3">
        <v>139</v>
      </c>
      <c r="B144" s="96"/>
      <c r="C144" s="96" t="s">
        <v>1053</v>
      </c>
      <c r="D144" s="96"/>
      <c r="E144" s="2"/>
      <c r="F144" s="2"/>
      <c r="G144" s="96" t="s">
        <v>1492</v>
      </c>
      <c r="H144" s="2"/>
      <c r="I144" s="2"/>
      <c r="J144" s="2"/>
    </row>
    <row r="145" spans="1:30" ht="165.75">
      <c r="A145" s="3">
        <v>140</v>
      </c>
      <c r="B145" s="96"/>
      <c r="C145" s="96" t="s">
        <v>1044</v>
      </c>
      <c r="D145" s="96" t="s">
        <v>1870</v>
      </c>
      <c r="E145" s="14">
        <v>2018</v>
      </c>
      <c r="F145" s="2"/>
      <c r="G145" s="96" t="s">
        <v>2220</v>
      </c>
      <c r="H145" s="2"/>
      <c r="I145" s="2"/>
      <c r="J145" s="2"/>
    </row>
    <row r="146" spans="1:30" ht="63.75">
      <c r="A146" s="31">
        <v>141</v>
      </c>
      <c r="B146" s="377" t="s">
        <v>149</v>
      </c>
      <c r="C146" s="378" t="s">
        <v>392</v>
      </c>
      <c r="D146" s="32" t="s">
        <v>2221</v>
      </c>
      <c r="E146" s="379">
        <v>2014</v>
      </c>
      <c r="F146" s="380"/>
      <c r="G146" s="381" t="s">
        <v>2222</v>
      </c>
      <c r="H146" s="379" t="s">
        <v>2207</v>
      </c>
      <c r="I146" s="380"/>
      <c r="J146" s="380"/>
      <c r="K146" s="34"/>
      <c r="L146" s="34"/>
      <c r="M146" s="34"/>
      <c r="N146" s="34"/>
      <c r="O146" s="34"/>
      <c r="P146" s="34"/>
      <c r="Q146" s="34"/>
      <c r="R146" s="34"/>
      <c r="S146" s="34"/>
      <c r="T146" s="34"/>
      <c r="U146" s="34"/>
      <c r="V146" s="34"/>
      <c r="W146" s="34"/>
      <c r="X146" s="34"/>
      <c r="Y146" s="34"/>
      <c r="Z146" s="34"/>
      <c r="AA146" s="34"/>
      <c r="AB146" s="34"/>
      <c r="AC146" s="34"/>
      <c r="AD146" s="34"/>
    </row>
    <row r="147" spans="1:30" ht="38.25">
      <c r="A147" s="14">
        <v>142</v>
      </c>
      <c r="B147" s="22" t="s">
        <v>83</v>
      </c>
      <c r="C147" s="96" t="s">
        <v>393</v>
      </c>
      <c r="D147" s="376" t="s">
        <v>2223</v>
      </c>
      <c r="E147" s="14">
        <v>2017</v>
      </c>
      <c r="F147" s="2"/>
      <c r="G147" s="382" t="s">
        <v>1039</v>
      </c>
      <c r="H147" s="2"/>
      <c r="I147" s="2"/>
      <c r="J147" s="2"/>
    </row>
    <row r="148" spans="1:30" ht="51">
      <c r="A148" s="31">
        <v>143</v>
      </c>
      <c r="B148" s="377" t="str">
        <f>HYPERLINK("https://doi.org/10.1007/s00202-019-00869-8"," 10.1007/s00202-019-00869-8")</f>
        <v xml:space="preserve"> 10.1007/s00202-019-00869-8</v>
      </c>
      <c r="C148" s="378" t="s">
        <v>427</v>
      </c>
      <c r="D148" s="32" t="s">
        <v>2224</v>
      </c>
      <c r="E148" s="379">
        <v>2019</v>
      </c>
      <c r="F148" s="380"/>
      <c r="G148" s="32" t="s">
        <v>1611</v>
      </c>
      <c r="H148" s="379" t="s">
        <v>2203</v>
      </c>
      <c r="I148" s="380"/>
      <c r="J148" s="380"/>
      <c r="K148" s="34">
        <v>1</v>
      </c>
      <c r="L148" s="34"/>
      <c r="M148" s="34"/>
      <c r="N148" s="34"/>
      <c r="O148" s="383" t="s">
        <v>2225</v>
      </c>
      <c r="P148" s="34"/>
      <c r="Q148" s="34"/>
      <c r="R148" s="34"/>
      <c r="S148" s="34"/>
      <c r="T148" s="34"/>
      <c r="U148" s="34"/>
      <c r="V148" s="34"/>
      <c r="W148" s="34"/>
      <c r="X148" s="34"/>
      <c r="Y148" s="34"/>
      <c r="Z148" s="34"/>
      <c r="AA148" s="34"/>
      <c r="AB148" s="34"/>
      <c r="AC148" s="34"/>
      <c r="AD148" s="34"/>
    </row>
    <row r="149" spans="1:30" ht="12.75">
      <c r="A149" s="14"/>
      <c r="B149" s="2"/>
      <c r="C149" s="376"/>
      <c r="D149" s="2"/>
      <c r="E149" s="14"/>
      <c r="F149" s="2"/>
      <c r="G149" s="384"/>
      <c r="H149" s="2"/>
      <c r="I149" s="2"/>
      <c r="J149" s="2"/>
    </row>
    <row r="150" spans="1:30" ht="12.75">
      <c r="A150" s="14"/>
      <c r="B150" s="2"/>
      <c r="C150" s="376"/>
      <c r="D150" s="2"/>
      <c r="E150" s="14"/>
      <c r="F150" s="2"/>
      <c r="G150" s="385"/>
      <c r="H150" s="2"/>
      <c r="I150" s="2"/>
      <c r="J150" s="2"/>
    </row>
    <row r="151" spans="1:30" ht="12.75">
      <c r="A151" s="14"/>
      <c r="B151" s="2"/>
      <c r="C151" s="14"/>
      <c r="D151" s="2"/>
      <c r="E151" s="14"/>
      <c r="F151" s="2"/>
      <c r="G151" s="384"/>
      <c r="H151" s="2"/>
      <c r="I151" s="2"/>
      <c r="J151" s="2"/>
    </row>
    <row r="152" spans="1:30" ht="12.75">
      <c r="A152" s="2"/>
      <c r="B152" s="2"/>
      <c r="C152" s="2"/>
      <c r="D152" s="2"/>
      <c r="E152" s="2"/>
      <c r="F152" s="2"/>
      <c r="G152" s="385"/>
      <c r="H152" s="2"/>
      <c r="I152" s="2"/>
      <c r="J152" s="2"/>
    </row>
    <row r="153" spans="1:30" ht="12.75">
      <c r="A153" s="2"/>
      <c r="B153" s="2"/>
      <c r="C153" s="2"/>
      <c r="D153" s="2"/>
      <c r="E153" s="2"/>
      <c r="F153" s="2"/>
      <c r="G153" s="384"/>
      <c r="H153" s="2"/>
      <c r="I153" s="2"/>
      <c r="J153" s="2"/>
    </row>
    <row r="154" spans="1:30" ht="12.75">
      <c r="A154" s="2"/>
      <c r="B154" s="2"/>
      <c r="C154" s="2"/>
      <c r="D154" s="2"/>
      <c r="E154" s="2"/>
      <c r="F154" s="2"/>
      <c r="G154" s="385"/>
      <c r="H154" s="2"/>
      <c r="I154" s="2"/>
      <c r="J154" s="2"/>
    </row>
    <row r="155" spans="1:30" ht="12.75">
      <c r="A155" s="2"/>
      <c r="B155" s="2"/>
      <c r="C155" s="2"/>
      <c r="D155" s="2"/>
      <c r="E155" s="2"/>
      <c r="F155" s="2"/>
      <c r="G155" s="384"/>
      <c r="H155" s="2"/>
      <c r="I155" s="2"/>
      <c r="J155" s="2"/>
    </row>
    <row r="156" spans="1:30" ht="12.75">
      <c r="A156" s="2"/>
      <c r="B156" s="2"/>
      <c r="C156" s="2"/>
      <c r="D156" s="2"/>
      <c r="E156" s="2"/>
      <c r="F156" s="2"/>
      <c r="G156" s="385"/>
      <c r="H156" s="2"/>
      <c r="I156" s="2"/>
      <c r="J156" s="2"/>
    </row>
    <row r="157" spans="1:30" ht="12.75">
      <c r="A157" s="2"/>
      <c r="B157" s="2"/>
      <c r="C157" s="2"/>
      <c r="D157" s="2"/>
      <c r="E157" s="2"/>
      <c r="F157" s="2"/>
      <c r="G157" s="384"/>
      <c r="H157" s="2"/>
      <c r="I157" s="2"/>
      <c r="J157" s="2"/>
    </row>
    <row r="158" spans="1:30" ht="14.25">
      <c r="A158" s="2"/>
      <c r="B158" s="2"/>
      <c r="C158" s="2"/>
      <c r="D158" s="2"/>
      <c r="E158" s="2"/>
      <c r="F158" s="2"/>
      <c r="G158" s="386"/>
      <c r="H158" s="2"/>
      <c r="I158" s="2"/>
      <c r="J158" s="2"/>
    </row>
    <row r="159" spans="1:30" ht="14.25">
      <c r="A159" s="2"/>
      <c r="B159" s="2"/>
      <c r="C159" s="2"/>
      <c r="D159" s="2"/>
      <c r="E159" s="2"/>
      <c r="F159" s="2"/>
      <c r="G159" s="387"/>
      <c r="H159" s="2"/>
      <c r="I159" s="2"/>
      <c r="J159" s="2"/>
    </row>
    <row r="160" spans="1:30" ht="12.75">
      <c r="A160" s="2"/>
      <c r="B160" s="2"/>
      <c r="C160" s="2"/>
      <c r="D160" s="2"/>
      <c r="E160" s="2"/>
      <c r="F160" s="2"/>
      <c r="G160" s="2"/>
      <c r="H160" s="2"/>
      <c r="I160" s="2"/>
      <c r="J160" s="2"/>
    </row>
    <row r="161" spans="1:10" ht="12.75">
      <c r="A161" s="2"/>
      <c r="B161" s="2"/>
      <c r="C161" s="2"/>
      <c r="D161" s="2"/>
      <c r="E161" s="2"/>
      <c r="F161" s="2"/>
      <c r="G161" s="2"/>
      <c r="H161" s="2"/>
      <c r="I161" s="2"/>
      <c r="J161" s="2"/>
    </row>
    <row r="162" spans="1:10" ht="12.75">
      <c r="A162" s="2"/>
      <c r="B162" s="2"/>
      <c r="C162" s="2"/>
      <c r="D162" s="2"/>
      <c r="E162" s="2"/>
      <c r="F162" s="2"/>
      <c r="G162" s="2"/>
      <c r="H162" s="2"/>
      <c r="I162" s="2"/>
      <c r="J162" s="2"/>
    </row>
    <row r="163" spans="1:10" ht="12.75">
      <c r="A163" s="2"/>
      <c r="B163" s="2"/>
      <c r="C163" s="2"/>
      <c r="D163" s="2"/>
      <c r="E163" s="2"/>
      <c r="F163" s="2"/>
      <c r="G163" s="2"/>
      <c r="H163" s="2"/>
      <c r="I163" s="2"/>
      <c r="J163" s="2"/>
    </row>
    <row r="164" spans="1:10" ht="12.75">
      <c r="A164" s="2"/>
      <c r="B164" s="2"/>
      <c r="C164" s="2"/>
      <c r="D164" s="2"/>
      <c r="E164" s="2"/>
      <c r="F164" s="2"/>
      <c r="G164" s="2"/>
      <c r="H164" s="2"/>
      <c r="I164" s="2"/>
      <c r="J164" s="2"/>
    </row>
    <row r="165" spans="1:10" ht="12.75">
      <c r="A165" s="2"/>
      <c r="B165" s="2"/>
      <c r="C165" s="2"/>
      <c r="D165" s="2"/>
      <c r="E165" s="2"/>
      <c r="F165" s="2"/>
      <c r="G165" s="2"/>
      <c r="H165" s="2"/>
      <c r="I165" s="2"/>
      <c r="J165" s="2"/>
    </row>
    <row r="166" spans="1:10" ht="12.75">
      <c r="A166" s="2"/>
      <c r="B166" s="2"/>
      <c r="C166" s="2"/>
      <c r="D166" s="2"/>
      <c r="E166" s="2"/>
      <c r="F166" s="2"/>
      <c r="G166" s="2"/>
      <c r="H166" s="2"/>
      <c r="I166" s="2"/>
      <c r="J166" s="2"/>
    </row>
    <row r="167" spans="1:10" ht="12.75">
      <c r="A167" s="2"/>
      <c r="B167" s="2"/>
      <c r="C167" s="2"/>
      <c r="D167" s="2"/>
      <c r="E167" s="2"/>
      <c r="F167" s="2"/>
      <c r="G167" s="2"/>
      <c r="H167" s="2"/>
      <c r="I167" s="2"/>
      <c r="J167" s="2"/>
    </row>
  </sheetData>
  <hyperlinks>
    <hyperlink ref="G1" r:id="rId1" xr:uid="{00000000-0004-0000-0900-000000000000}"/>
    <hyperlink ref="G2" r:id="rId2" xr:uid="{00000000-0004-0000-0900-000001000000}"/>
    <hyperlink ref="G3" r:id="rId3" xr:uid="{00000000-0004-0000-0900-000002000000}"/>
    <hyperlink ref="G4" r:id="rId4" xr:uid="{00000000-0004-0000-0900-000003000000}"/>
    <hyperlink ref="D31" r:id="rId5" xr:uid="{00000000-0004-0000-0900-000004000000}"/>
    <hyperlink ref="B146" r:id="rId6" xr:uid="{00000000-0004-0000-0900-000005000000}"/>
    <hyperlink ref="O148" location="Tabla. Converter systems!A33" display="1" xr:uid="{00000000-0004-0000-0900-000006000000}"/>
  </hyperlinks>
  <printOptions horizontalCentered="1" gridLines="1"/>
  <pageMargins left="0.7" right="0.7" top="0.75" bottom="0.75" header="0" footer="0"/>
  <pageSetup paperSize="8" fitToHeight="0" pageOrder="overThenDown" orientation="landscape" cellComments="atEnd"/>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BusquedaWosScopus&amp;Tony</vt:lpstr>
      <vt:lpstr>Papers asignados</vt:lpstr>
      <vt:lpstr>Plantilla_Definitiva</vt:lpstr>
      <vt:lpstr>Main_Aspects</vt:lpstr>
      <vt:lpstr>Tabla. Converter systems</vt:lpstr>
      <vt:lpstr>Tabla. Protection systems</vt:lpstr>
      <vt:lpstr>Tabla.Topologies</vt:lpstr>
      <vt:lpstr>Tabla.Connection </vt:lpstr>
      <vt:lpstr>Tabla.Standarization</vt:lpstr>
      <vt:lpstr>Papers analizados PLANTILLA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Tony CC</cp:lastModifiedBy>
  <dcterms:modified xsi:type="dcterms:W3CDTF">2022-01-28T15:11:39Z</dcterms:modified>
</cp:coreProperties>
</file>