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talinapimiento/Dropbox (Smithsonian)/Megalodon/MEGALODON 2D/Biology Letters/To submit/Revision/"/>
    </mc:Choice>
  </mc:AlternateContent>
  <xr:revisionPtr revIDLastSave="0" documentId="8_{AC69A7DE-1AE1-A544-85FC-9A52ED563F6F}" xr6:coauthVersionLast="36" xr6:coauthVersionMax="36" xr10:uidLastSave="{00000000-0000-0000-0000-000000000000}"/>
  <bookViews>
    <workbookView xWindow="0" yWindow="5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6" i="1" l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<sst xmlns="http://schemas.openxmlformats.org/spreadsheetml/2006/main" count="319" uniqueCount="181">
  <si>
    <t>Measurement (y)</t>
  </si>
  <si>
    <t>Species</t>
  </si>
  <si>
    <t>Linear relationship</t>
  </si>
  <si>
    <t>Extrapolations to Megalodon (cm)</t>
  </si>
  <si>
    <t>Head Length</t>
  </si>
  <si>
    <t>All species</t>
  </si>
  <si>
    <t>Great White</t>
  </si>
  <si>
    <t>Shortfin Mako</t>
  </si>
  <si>
    <t>Longfin Mako</t>
  </si>
  <si>
    <t>Salmon</t>
  </si>
  <si>
    <t>Porbeagle</t>
  </si>
  <si>
    <t>Snout-Pectoral</t>
  </si>
  <si>
    <t>Pectoral Fin Length</t>
  </si>
  <si>
    <t>Snout-Dorsal</t>
  </si>
  <si>
    <t>Dorsal Fin Height</t>
  </si>
  <si>
    <t>Dorsal Fin Width</t>
  </si>
  <si>
    <t>Primary-Secondary Dorsal</t>
  </si>
  <si>
    <t>Pectoral-Pelvic</t>
  </si>
  <si>
    <t>Pelvic Fin Length</t>
  </si>
  <si>
    <t>Pelvic-Anal</t>
  </si>
  <si>
    <t>Dorsal-Caudal</t>
  </si>
  <si>
    <t>Tail Height</t>
  </si>
  <si>
    <t>Snout-Eye</t>
  </si>
  <si>
    <t>Upper Jaw Height</t>
  </si>
  <si>
    <t>Lower Jaw Height</t>
  </si>
  <si>
    <t>Pectoral Fin Width</t>
  </si>
  <si>
    <t>Dorsal Anterior-Pectoral</t>
  </si>
  <si>
    <t>Dorsal Tip-Abdomen</t>
  </si>
  <si>
    <t>Dorsal Posterior-Abdomen</t>
  </si>
  <si>
    <t>Pelvic Fin Width</t>
  </si>
  <si>
    <t>Back-Pelvic Anterior</t>
  </si>
  <si>
    <t>Secondary Dorsal-Anal</t>
  </si>
  <si>
    <t>Fork Height</t>
  </si>
  <si>
    <t>P-value</t>
  </si>
  <si>
    <t>Gill Size</t>
  </si>
  <si>
    <t>y = 0.2642x + 3.2619</t>
  </si>
  <si>
    <t>y = 0.1928x + 12.1804</t>
  </si>
  <si>
    <t>y = 0.2256x + 4.8634</t>
  </si>
  <si>
    <t>y = 0.05946x + 0.01823</t>
  </si>
  <si>
    <t>y = 0.02489x + 1.29625</t>
  </si>
  <si>
    <t>y = 0.06387x + 0.77178</t>
  </si>
  <si>
    <t>y = 0.06799x - 0.51484</t>
  </si>
  <si>
    <t>y = 0.05834x + 1.64014</t>
  </si>
  <si>
    <t>y = 0.03569x - 0.25087</t>
  </si>
  <si>
    <t>y = 0.01165x + 2.70957</t>
  </si>
  <si>
    <t>y = 0.02975x + 0.30889</t>
  </si>
  <si>
    <t>y = 0.2213x + 4.3948</t>
  </si>
  <si>
    <t>y = 0.1208x + 19.024</t>
  </si>
  <si>
    <t>y = 0.2073x + 4.7333</t>
  </si>
  <si>
    <t>y = 0.06747x + 2.00722</t>
  </si>
  <si>
    <t>y = 0.09417x - 1.56339</t>
  </si>
  <si>
    <t>y = 0.08932x - 0.54628</t>
  </si>
  <si>
    <t>y = 0.09083x + 6.56503</t>
  </si>
  <si>
    <t>y = 0.309x - 3.578</t>
  </si>
  <si>
    <t>y = 0.1391x + 3.4811</t>
  </si>
  <si>
    <t>y = 0.1006x - 1.0635</t>
  </si>
  <si>
    <t>y = 0.1794x - 12.7074</t>
  </si>
  <si>
    <t>y = 0.09123x + 1.54712</t>
  </si>
  <si>
    <t>y = 0.3662x + 2.4963</t>
  </si>
  <si>
    <t>y = 0.3558x + 4.5702</t>
  </si>
  <si>
    <t>y = 0.2813x + 5.5655</t>
  </si>
  <si>
    <t>y = 0.08097x - 0.03577</t>
  </si>
  <si>
    <t>y = 0.1089x - 1.7949</t>
  </si>
  <si>
    <t>y = 0.1372x - 3.0397</t>
  </si>
  <si>
    <t>y = 0.09444x + 1.44613</t>
  </si>
  <si>
    <t>y = 0.1166x - 1.601</t>
  </si>
  <si>
    <t>y = 0.1369x - 0.2916</t>
  </si>
  <si>
    <t>y = 0.1522x - 1.2836</t>
  </si>
  <si>
    <t>y = 0.1502x - 4.4107</t>
  </si>
  <si>
    <t>y = 0.1291x + 2.8119</t>
  </si>
  <si>
    <t>y = 0.2621x - 0.9958</t>
  </si>
  <si>
    <t>y = 0.3146x - 1.9488</t>
  </si>
  <si>
    <t>y = 0.3488x - 11.614</t>
  </si>
  <si>
    <t>y = 0.1949x - 2.6228</t>
  </si>
  <si>
    <t>y = 0.2232x - 8.4832</t>
  </si>
  <si>
    <t>y = 0.1755x + 0.5821</t>
  </si>
  <si>
    <t>y = 0.2547x - 1.1127</t>
  </si>
  <si>
    <t>y = 0.2148x + 4.9757</t>
  </si>
  <si>
    <t>y = 0.2813x - 3.8507</t>
  </si>
  <si>
    <t>y = 0.2512x - 1.0188</t>
  </si>
  <si>
    <t>y = 0.3273x - 13.1488</t>
  </si>
  <si>
    <t>y = 0.1994x + 1.4805</t>
  </si>
  <si>
    <t>y = 0.0425x - 0.40791</t>
  </si>
  <si>
    <t>y = 0.0256x + 2.1085</t>
  </si>
  <si>
    <t>y = 0.05365x - 0.83716</t>
  </si>
  <si>
    <t>y = 0.08332x - 3.29099</t>
  </si>
  <si>
    <t>y = 0.03255x + 4.3776</t>
  </si>
  <si>
    <t>y = 0.06888x - 0.36289</t>
  </si>
  <si>
    <t>y = 0.1345x - 1.2067</t>
  </si>
  <si>
    <t>y = 0.1433x - 2.6929</t>
  </si>
  <si>
    <t>y = 0.1297x - 0.3666</t>
  </si>
  <si>
    <t>y = 0.07336x + 3.3957</t>
  </si>
  <si>
    <t>y = 0.07559x + 4.54853</t>
  </si>
  <si>
    <t>y = 0.1209x - 3.6474</t>
  </si>
  <si>
    <t>y = 0.06623x - 0.90197</t>
  </si>
  <si>
    <t>y = 0.0439x + 1.9354</t>
  </si>
  <si>
    <t>y = 0.06357x + 0.06049</t>
  </si>
  <si>
    <t>y = 0.5319x - 3.1274</t>
  </si>
  <si>
    <t>y = 0.5272x - 2.8846</t>
  </si>
  <si>
    <t>y = 0.5942x - 6.8441</t>
  </si>
  <si>
    <t>y = 0.03818x - 1.18674</t>
  </si>
  <si>
    <t>y = 0.02319x + 0.18135</t>
  </si>
  <si>
    <t>y = 0.02774x + 0.19072</t>
  </si>
  <si>
    <t>y = 0.2459x - 1.5894</t>
  </si>
  <si>
    <t>y = 0.239x - 0.7634</t>
  </si>
  <si>
    <t>y = 0.2693x - 3.8026</t>
  </si>
  <si>
    <t>y = 0.004474x + 5.556567</t>
  </si>
  <si>
    <t>y = 0.2806x + 2.6775</t>
  </si>
  <si>
    <t>y = 0.05156x - 2.55092</t>
  </si>
  <si>
    <t>y = 0.08146x - 1.4576</t>
  </si>
  <si>
    <t>y = 0.04558x - 2.66797</t>
  </si>
  <si>
    <t>y = 0.2502x + 2.5616</t>
  </si>
  <si>
    <t>y = 0.09052x + 2.14637</t>
  </si>
  <si>
    <t>y = 0.1585x + 7.8393</t>
  </si>
  <si>
    <t>y = 0.09961x + 5.44068</t>
  </si>
  <si>
    <t>y = 0.3727x + 3.5136</t>
  </si>
  <si>
    <t>y = 0.1058x - 0.6943</t>
  </si>
  <si>
    <t>y = 0.1186x + 1.881</t>
  </si>
  <si>
    <t>y = 0.1544x - 2.8342</t>
  </si>
  <si>
    <t>y = 0.2706x + 0.4135</t>
  </si>
  <si>
    <t>y = 0.1593x + 0.7574</t>
  </si>
  <si>
    <t>y = 0.2022x + 1.2079</t>
  </si>
  <si>
    <t>y = 0.2254x - 3.4533</t>
  </si>
  <si>
    <t>y = 0.04703x + 1.96101</t>
  </si>
  <si>
    <t>y = 0.05373x + 3.87295</t>
  </si>
  <si>
    <t>y = 0.109x + 1.225</t>
  </si>
  <si>
    <t>y = 0.07987x + 2.28658</t>
  </si>
  <si>
    <t>y = 0.0505x + 1.3731</t>
  </si>
  <si>
    <t>y = 0.508x - 4.767</t>
  </si>
  <si>
    <t>y = 0.0236x + 0.5853</t>
  </si>
  <si>
    <t>y = 0.1831x + 14.3125</t>
  </si>
  <si>
    <t>y = 0.2805x + 1.2776</t>
  </si>
  <si>
    <t>y = 0.2898x + 2.6066</t>
  </si>
  <si>
    <t>y = 0.04226x + 0.98077</t>
  </si>
  <si>
    <t>y = 0.05424x + 1.29806</t>
  </si>
  <si>
    <t>y = 0.07737x - 0.53652</t>
  </si>
  <si>
    <t>y = 0.07124x + 1.17534</t>
  </si>
  <si>
    <t>y = 0.03973x - 0.65323</t>
  </si>
  <si>
    <t>y = 0.04806x - 0.79192</t>
  </si>
  <si>
    <t>y = 0.2477x + 2.0057</t>
  </si>
  <si>
    <t>y = 0.2514x + 4.3716</t>
  </si>
  <si>
    <t>y = 0.09811x - 1.35444</t>
  </si>
  <si>
    <t>y = 0.1008x - 2.1044</t>
  </si>
  <si>
    <t>y = 0.1773x + 2.4139</t>
  </si>
  <si>
    <t>y = 0.2231x - 3.1198</t>
  </si>
  <si>
    <t>y = 0.1174x - 1.8356</t>
  </si>
  <si>
    <t>y = 0.1314x  - 4.519</t>
  </si>
  <si>
    <t>y = 0.3781x - 0.9369</t>
  </si>
  <si>
    <t>y = 0.3524x + 1.3988</t>
  </si>
  <si>
    <t>y = 0.1095x - 0.7587</t>
  </si>
  <si>
    <t>y = 0.1642x - 5.5307</t>
  </si>
  <si>
    <t>y = 0.12487x + 0.05409</t>
  </si>
  <si>
    <t>y = 0.1725x - 4.2705</t>
  </si>
  <si>
    <t>y = 0.1462x - 0.2453</t>
  </si>
  <si>
    <t>y = 0.1402x + 2.0058</t>
  </si>
  <si>
    <t>y = 0.2748x + 1.494</t>
  </si>
  <si>
    <t>y = 0.3404x - 2.2913</t>
  </si>
  <si>
    <t>y = 0.1588x + 2.2566</t>
  </si>
  <si>
    <t>y = 0.1583x + 4.4137</t>
  </si>
  <si>
    <t>y = 0.2004x + 4.6533</t>
  </si>
  <si>
    <t>y = 0.2242x + 1.2236</t>
  </si>
  <si>
    <t>y = 0.2152x - 0.7567</t>
  </si>
  <si>
    <t>y = 0.1789x + 3.9453</t>
  </si>
  <si>
    <t>y = 0.05417x - 1.0477</t>
  </si>
  <si>
    <t>y = 0.0623x - 1.8199</t>
  </si>
  <si>
    <t>y = 0.06468x - 0.17698</t>
  </si>
  <si>
    <t>y = 0.07932x - 2.31545</t>
  </si>
  <si>
    <t>y = 0.1106x + 1.7274</t>
  </si>
  <si>
    <t>y = 0.12598x - 0.05989</t>
  </si>
  <si>
    <t>y = 0.08465x + 1.33552</t>
  </si>
  <si>
    <t>y = 0.09541x - 0.66867</t>
  </si>
  <si>
    <t>y = 0.05273x + 0.94925</t>
  </si>
  <si>
    <t>y = 0.06607x - 0.69474</t>
  </si>
  <si>
    <t>y = 0.4993x + 0.7057</t>
  </si>
  <si>
    <t>y = 0.4858x - 1.9243</t>
  </si>
  <si>
    <t>y = 0.0245x + 0.3862</t>
  </si>
  <si>
    <t>y = 0.02601x - 0.23305</t>
  </si>
  <si>
    <t>y = 0.2179x + 3.6729</t>
  </si>
  <si>
    <t>y = 0.2868x -2.8565</t>
  </si>
  <si>
    <t>Adjusted r2</t>
  </si>
  <si>
    <t>16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</si>
</sst>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1" fontId="0" fillId="0" borderId="0" xfId="0" applyNumberFormat="1"/>
    <xf numFmtId="0" fontId="1" fillId="0" borderId="0" xfId="0" applyFont="1" applyAlignment="1"/>
    <xf numFmtId="11" fontId="1" fillId="0" borderId="0" xfId="0" applyNumberFormat="1" applyFont="1"/>
    <xf numFmtId="2" fontId="0" fillId="0" borderId="0" xfId="0" applyNumberFormat="1"/>
    <xf numFmtId="0" fontId="0" fillId="0" borderId="0" xfId="0" applyNumberFormat="1"/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6"/>
  <sheetViews>
    <sheetView tabSelected="1" workbookViewId="0">
      <selection activeCell="F3" sqref="F3"/>
    </sheetView>
  </sheetViews>
  <sheetFormatPr baseColWidth="10" defaultColWidth="8.83203125" defaultRowHeight="15" x14ac:dyDescent="0.2"/>
  <cols>
    <col min="1" max="1" width="27.5" customWidth="1"/>
    <col min="2" max="2" width="14.5" customWidth="1"/>
    <col min="3" max="3" width="22.1640625" customWidth="1"/>
    <col min="4" max="4" width="18.1640625" style="6" customWidth="1"/>
    <col min="5" max="5" width="18.1640625" style="2" customWidth="1"/>
    <col min="6" max="6" width="31.33203125" customWidth="1"/>
  </cols>
  <sheetData>
    <row r="1" spans="1:14" x14ac:dyDescent="0.2">
      <c r="A1" s="8" t="s">
        <v>0</v>
      </c>
      <c r="B1" s="8" t="s">
        <v>1</v>
      </c>
      <c r="C1" s="8" t="s">
        <v>2</v>
      </c>
      <c r="D1" s="9" t="s">
        <v>179</v>
      </c>
      <c r="E1" s="7" t="s">
        <v>33</v>
      </c>
      <c r="F1" s="3" t="s">
        <v>3</v>
      </c>
      <c r="G1" s="3"/>
      <c r="H1" s="3"/>
      <c r="I1" s="3"/>
    </row>
    <row r="2" spans="1:14" x14ac:dyDescent="0.2">
      <c r="A2" s="8"/>
      <c r="B2" s="8"/>
      <c r="C2" s="8"/>
      <c r="D2" s="9"/>
      <c r="E2" s="7"/>
      <c r="F2" s="1" t="s">
        <v>180</v>
      </c>
    </row>
    <row r="3" spans="1:14" x14ac:dyDescent="0.2">
      <c r="A3" s="8" t="s">
        <v>4</v>
      </c>
      <c r="B3" t="s">
        <v>5</v>
      </c>
      <c r="C3" t="s">
        <v>131</v>
      </c>
      <c r="D3" s="6">
        <v>0.96860000000000002</v>
      </c>
      <c r="E3" s="2">
        <v>3.874866E-31</v>
      </c>
      <c r="F3" s="5">
        <f xml:space="preserve"> 0.2805*1600 + 1.2776</f>
        <v>450.07760000000007</v>
      </c>
    </row>
    <row r="4" spans="1:14" x14ac:dyDescent="0.2">
      <c r="A4" s="8"/>
      <c r="B4" t="s">
        <v>6</v>
      </c>
      <c r="C4" t="s">
        <v>107</v>
      </c>
      <c r="D4" s="6">
        <v>0.9738</v>
      </c>
      <c r="E4" s="2">
        <v>5.3570170000000004E-7</v>
      </c>
      <c r="F4" s="5">
        <f xml:space="preserve"> 0.2806*1600 + 2.6775</f>
        <v>451.63750000000005</v>
      </c>
    </row>
    <row r="5" spans="1:14" x14ac:dyDescent="0.2">
      <c r="A5" s="8"/>
      <c r="B5" t="s">
        <v>7</v>
      </c>
      <c r="C5" t="s">
        <v>35</v>
      </c>
      <c r="D5" s="6">
        <v>0.93079999999999996</v>
      </c>
      <c r="E5" s="2">
        <v>1.63E-5</v>
      </c>
      <c r="F5" s="5">
        <f xml:space="preserve"> 0.2642*1600 + 3.2619</f>
        <v>425.9819</v>
      </c>
    </row>
    <row r="6" spans="1:14" x14ac:dyDescent="0.2">
      <c r="A6" s="8"/>
      <c r="B6" t="s">
        <v>8</v>
      </c>
      <c r="C6" t="s">
        <v>36</v>
      </c>
      <c r="D6" s="6">
        <v>0.92449999999999999</v>
      </c>
      <c r="E6" s="2">
        <v>5.7999999999999996E-3</v>
      </c>
      <c r="F6" s="5">
        <f xml:space="preserve"> 0.1928*1600 + 12.1804</f>
        <v>320.66040000000004</v>
      </c>
    </row>
    <row r="7" spans="1:14" x14ac:dyDescent="0.2">
      <c r="A7" s="8"/>
      <c r="B7" t="s">
        <v>9</v>
      </c>
      <c r="C7" t="s">
        <v>37</v>
      </c>
      <c r="D7" s="6">
        <v>0.97689999999999999</v>
      </c>
      <c r="E7" s="2">
        <v>3.4299999999999999E-9</v>
      </c>
      <c r="F7" s="5">
        <f xml:space="preserve"> 0.2256*1600 + 4.8634</f>
        <v>365.82339999999999</v>
      </c>
    </row>
    <row r="8" spans="1:14" x14ac:dyDescent="0.2">
      <c r="A8" s="8"/>
      <c r="B8" t="s">
        <v>10</v>
      </c>
      <c r="C8" t="s">
        <v>132</v>
      </c>
      <c r="D8" s="6">
        <v>0.80369999999999997</v>
      </c>
      <c r="E8" s="2">
        <v>6.5660809999999997E-4</v>
      </c>
      <c r="F8" s="5">
        <f xml:space="preserve"> 0.2898*1600 + 2.6066</f>
        <v>466.28660000000002</v>
      </c>
    </row>
    <row r="9" spans="1:14" x14ac:dyDescent="0.2">
      <c r="A9" s="8" t="s">
        <v>22</v>
      </c>
      <c r="B9" t="s">
        <v>5</v>
      </c>
      <c r="C9" t="s">
        <v>133</v>
      </c>
      <c r="D9" s="6">
        <v>0.71899999999999997</v>
      </c>
      <c r="E9" s="2">
        <v>1.598999E-12</v>
      </c>
      <c r="F9" s="5">
        <f xml:space="preserve"> 0.04226*1600 + 0.98077</f>
        <v>68.596770000000006</v>
      </c>
    </row>
    <row r="10" spans="1:14" x14ac:dyDescent="0.2">
      <c r="A10" s="8"/>
      <c r="B10" t="s">
        <v>6</v>
      </c>
      <c r="C10" t="s">
        <v>108</v>
      </c>
      <c r="D10" s="6">
        <v>0.90359999999999996</v>
      </c>
      <c r="E10" s="2">
        <v>5.2425059999999998E-5</v>
      </c>
      <c r="F10" s="5">
        <f xml:space="preserve"> 0.05156*1600 - 2.55092</f>
        <v>79.945080000000004</v>
      </c>
      <c r="N10" s="1"/>
    </row>
    <row r="11" spans="1:14" x14ac:dyDescent="0.2">
      <c r="A11" s="8"/>
      <c r="B11" t="s">
        <v>7</v>
      </c>
      <c r="C11" t="s">
        <v>38</v>
      </c>
      <c r="D11" s="6">
        <v>0.74119999999999997</v>
      </c>
      <c r="E11" s="2">
        <v>1.7700000000000001E-3</v>
      </c>
      <c r="F11" s="5">
        <f xml:space="preserve"> 0.05946*1600 + 0.01823</f>
        <v>95.154229999999998</v>
      </c>
      <c r="N11" s="1"/>
    </row>
    <row r="12" spans="1:14" x14ac:dyDescent="0.2">
      <c r="A12" s="8"/>
      <c r="B12" t="s">
        <v>8</v>
      </c>
      <c r="C12" t="s">
        <v>106</v>
      </c>
      <c r="D12" s="6">
        <v>-0.2455</v>
      </c>
      <c r="E12" s="4">
        <v>0.67677849999999995</v>
      </c>
      <c r="F12" s="5">
        <f xml:space="preserve"> 0.004474*1600 + 5.556567</f>
        <v>12.714967</v>
      </c>
      <c r="N12" s="1"/>
    </row>
    <row r="13" spans="1:14" x14ac:dyDescent="0.2">
      <c r="A13" s="8"/>
      <c r="B13" t="s">
        <v>9</v>
      </c>
      <c r="C13" t="s">
        <v>39</v>
      </c>
      <c r="D13" s="6">
        <v>0.74099999999999999</v>
      </c>
      <c r="E13" s="2">
        <v>1.7770000000000001E-2</v>
      </c>
      <c r="F13" s="5">
        <f xml:space="preserve"> 0.02489*1600 + 1.29625</f>
        <v>41.120249999999999</v>
      </c>
      <c r="N13" s="1"/>
    </row>
    <row r="14" spans="1:14" x14ac:dyDescent="0.2">
      <c r="A14" s="8"/>
      <c r="B14" t="s">
        <v>10</v>
      </c>
      <c r="C14" t="s">
        <v>134</v>
      </c>
      <c r="D14" s="6">
        <v>0.2591</v>
      </c>
      <c r="E14" s="4">
        <v>9.2326110000000003E-2</v>
      </c>
      <c r="F14" s="5">
        <f xml:space="preserve"> 0.05424*1600 + 1.29806</f>
        <v>88.082059999999998</v>
      </c>
      <c r="N14" s="1"/>
    </row>
    <row r="15" spans="1:14" x14ac:dyDescent="0.2">
      <c r="A15" s="8" t="s">
        <v>23</v>
      </c>
      <c r="B15" t="s">
        <v>5</v>
      </c>
      <c r="C15" t="s">
        <v>135</v>
      </c>
      <c r="D15" s="6">
        <v>0.95569999999999999</v>
      </c>
      <c r="E15" s="2">
        <v>3.1181849999999999E-28</v>
      </c>
      <c r="F15" s="5">
        <f xml:space="preserve"> 0.07737*1600 - 0.53652</f>
        <v>123.25547999999999</v>
      </c>
      <c r="N15" s="1"/>
    </row>
    <row r="16" spans="1:14" x14ac:dyDescent="0.2">
      <c r="A16" s="8"/>
      <c r="B16" t="s">
        <v>6</v>
      </c>
      <c r="C16" t="s">
        <v>109</v>
      </c>
      <c r="D16" s="6">
        <v>0.96120000000000005</v>
      </c>
      <c r="E16" s="2">
        <v>2.1205529999999998E-6</v>
      </c>
      <c r="F16" s="5">
        <f xml:space="preserve"> 0.08146*1600 - 1.4576</f>
        <v>128.8784</v>
      </c>
      <c r="N16" s="1"/>
    </row>
    <row r="17" spans="1:14" x14ac:dyDescent="0.2">
      <c r="A17" s="8"/>
      <c r="B17" t="s">
        <v>7</v>
      </c>
      <c r="C17" t="s">
        <v>40</v>
      </c>
      <c r="D17" s="6">
        <v>0.76160000000000005</v>
      </c>
      <c r="E17" s="2">
        <v>1.32E-2</v>
      </c>
      <c r="F17" s="5">
        <f xml:space="preserve"> 0.06387*1600 + 0.77178</f>
        <v>102.96378</v>
      </c>
      <c r="N17" s="1"/>
    </row>
    <row r="18" spans="1:14" x14ac:dyDescent="0.2">
      <c r="A18" s="8"/>
      <c r="B18" t="s">
        <v>8</v>
      </c>
      <c r="C18" t="s">
        <v>41</v>
      </c>
      <c r="D18" s="6">
        <v>0.92520000000000002</v>
      </c>
      <c r="E18" s="2">
        <v>5.738E-3</v>
      </c>
      <c r="F18" s="5">
        <f xml:space="preserve"> 0.06799*1600 - 0.51484</f>
        <v>108.26915999999999</v>
      </c>
      <c r="N18" s="1"/>
    </row>
    <row r="19" spans="1:14" x14ac:dyDescent="0.2">
      <c r="A19" s="8"/>
      <c r="B19" t="s">
        <v>9</v>
      </c>
      <c r="C19" t="s">
        <v>42</v>
      </c>
      <c r="D19" s="6">
        <v>0.90180000000000005</v>
      </c>
      <c r="E19" s="2">
        <v>5.5899999999999997E-5</v>
      </c>
      <c r="F19" s="5">
        <f xml:space="preserve"> 0.05834*1600 + 1.64014</f>
        <v>94.984140000000011</v>
      </c>
      <c r="N19" s="1"/>
    </row>
    <row r="20" spans="1:14" x14ac:dyDescent="0.2">
      <c r="A20" s="8"/>
      <c r="B20" t="s">
        <v>10</v>
      </c>
      <c r="C20" t="s">
        <v>136</v>
      </c>
      <c r="D20" s="6">
        <v>0.82450000000000001</v>
      </c>
      <c r="E20" s="2">
        <v>4.3991359999999999E-4</v>
      </c>
      <c r="F20" s="5">
        <f xml:space="preserve"> 0.07124*1600 + 1.17534</f>
        <v>115.15934</v>
      </c>
      <c r="N20" s="1"/>
    </row>
    <row r="21" spans="1:14" x14ac:dyDescent="0.2">
      <c r="A21" s="8" t="s">
        <v>24</v>
      </c>
      <c r="B21" t="s">
        <v>5</v>
      </c>
      <c r="C21" t="s">
        <v>137</v>
      </c>
      <c r="D21" s="6">
        <v>0.71730000000000005</v>
      </c>
      <c r="E21" s="2">
        <v>1.806551E-12</v>
      </c>
      <c r="F21" s="5">
        <f xml:space="preserve"> 0.03973*1600 - 0.65323</f>
        <v>62.914770000000004</v>
      </c>
      <c r="N21" s="1"/>
    </row>
    <row r="22" spans="1:14" x14ac:dyDescent="0.2">
      <c r="A22" s="8"/>
      <c r="B22" t="s">
        <v>6</v>
      </c>
      <c r="C22" t="s">
        <v>110</v>
      </c>
      <c r="D22" s="6">
        <v>0.60829999999999995</v>
      </c>
      <c r="E22" s="2">
        <v>8.0256809999999998E-3</v>
      </c>
      <c r="F22" s="5">
        <f xml:space="preserve"> 0.04558*1600 - 2.66797</f>
        <v>70.26003</v>
      </c>
      <c r="N22" s="1"/>
    </row>
    <row r="23" spans="1:14" x14ac:dyDescent="0.2">
      <c r="A23" s="8"/>
      <c r="B23" t="s">
        <v>7</v>
      </c>
      <c r="C23" t="s">
        <v>43</v>
      </c>
      <c r="D23" s="6">
        <v>0.39529999999999998</v>
      </c>
      <c r="E23" s="2">
        <v>4.1242000000000001E-2</v>
      </c>
      <c r="F23" s="5">
        <f xml:space="preserve"> 0.03569*1600 - 0.25087</f>
        <v>56.85313</v>
      </c>
      <c r="N23" s="1"/>
    </row>
    <row r="24" spans="1:14" x14ac:dyDescent="0.2">
      <c r="A24" s="8"/>
      <c r="B24" t="s">
        <v>8</v>
      </c>
      <c r="C24" t="s">
        <v>44</v>
      </c>
      <c r="D24" s="6">
        <v>2.1899999999999999E-2</v>
      </c>
      <c r="E24" s="4">
        <v>0.37330000000000002</v>
      </c>
      <c r="F24" s="5">
        <f xml:space="preserve"> 0.01165*1600 + 2.70957</f>
        <v>21.34957</v>
      </c>
      <c r="N24" s="1"/>
    </row>
    <row r="25" spans="1:14" x14ac:dyDescent="0.2">
      <c r="A25" s="8"/>
      <c r="B25" t="s">
        <v>9</v>
      </c>
      <c r="C25" t="s">
        <v>45</v>
      </c>
      <c r="D25" s="6">
        <v>0.63119999999999998</v>
      </c>
      <c r="E25" s="2">
        <v>6.43E-3</v>
      </c>
      <c r="F25" s="5">
        <f xml:space="preserve"> 0.02975*1600 + 0.30889</f>
        <v>47.908889999999992</v>
      </c>
      <c r="N25" s="1"/>
    </row>
    <row r="26" spans="1:14" x14ac:dyDescent="0.2">
      <c r="A26" s="8"/>
      <c r="B26" t="s">
        <v>10</v>
      </c>
      <c r="C26" t="s">
        <v>138</v>
      </c>
      <c r="D26" s="6">
        <v>0.56879999999999997</v>
      </c>
      <c r="E26" s="2">
        <v>1.1453970000000001E-2</v>
      </c>
      <c r="F26" s="5">
        <f xml:space="preserve"> 0.04806*1600 - 0.79192</f>
        <v>76.104079999999996</v>
      </c>
      <c r="N26" s="1"/>
    </row>
    <row r="27" spans="1:14" x14ac:dyDescent="0.2">
      <c r="A27" s="8" t="s">
        <v>11</v>
      </c>
      <c r="B27" t="s">
        <v>5</v>
      </c>
      <c r="C27" t="s">
        <v>139</v>
      </c>
      <c r="D27" s="6">
        <v>0.94989999999999997</v>
      </c>
      <c r="E27" s="2">
        <v>3.519849E-27</v>
      </c>
      <c r="F27" s="5">
        <f xml:space="preserve"> 0.2477*1600 + 2.0057</f>
        <v>398.32569999999998</v>
      </c>
      <c r="N27" s="1"/>
    </row>
    <row r="28" spans="1:14" x14ac:dyDescent="0.2">
      <c r="A28" s="8"/>
      <c r="B28" t="s">
        <v>6</v>
      </c>
      <c r="C28" t="s">
        <v>111</v>
      </c>
      <c r="D28" s="6">
        <v>0.94450000000000001</v>
      </c>
      <c r="E28" s="2">
        <v>7.5102270000000002E-6</v>
      </c>
      <c r="F28" s="5">
        <f xml:space="preserve"> 0.2502*1600 + 2.5616</f>
        <v>402.88159999999993</v>
      </c>
    </row>
    <row r="29" spans="1:14" x14ac:dyDescent="0.2">
      <c r="A29" s="8"/>
      <c r="B29" t="s">
        <v>7</v>
      </c>
      <c r="C29" t="s">
        <v>46</v>
      </c>
      <c r="D29" s="6">
        <v>0.91600000000000004</v>
      </c>
      <c r="E29" s="2">
        <v>3.2288400000000001E-5</v>
      </c>
      <c r="F29" s="5">
        <f xml:space="preserve"> 0.2213*1600 + 4.3948</f>
        <v>358.47479999999996</v>
      </c>
    </row>
    <row r="30" spans="1:14" x14ac:dyDescent="0.2">
      <c r="A30" s="8"/>
      <c r="B30" t="s">
        <v>8</v>
      </c>
      <c r="C30" t="s">
        <v>47</v>
      </c>
      <c r="D30" s="6">
        <v>0.8518</v>
      </c>
      <c r="E30" s="2">
        <v>1.6289999999999999E-2</v>
      </c>
      <c r="F30" s="5">
        <f xml:space="preserve"> 0.1208*1600 + 19.024</f>
        <v>212.304</v>
      </c>
    </row>
    <row r="31" spans="1:14" x14ac:dyDescent="0.2">
      <c r="A31" s="8"/>
      <c r="B31" t="s">
        <v>9</v>
      </c>
      <c r="C31" t="s">
        <v>48</v>
      </c>
      <c r="D31" s="6">
        <v>0.96750000000000003</v>
      </c>
      <c r="E31" s="2">
        <v>1.1459999999999999E-6</v>
      </c>
      <c r="F31" s="5">
        <f xml:space="preserve"> 0.2073*1600 + 4.7333</f>
        <v>336.41329999999999</v>
      </c>
    </row>
    <row r="32" spans="1:14" x14ac:dyDescent="0.2">
      <c r="A32" s="8"/>
      <c r="B32" t="s">
        <v>10</v>
      </c>
      <c r="C32" t="s">
        <v>140</v>
      </c>
      <c r="D32" s="6">
        <v>0.70699999999999996</v>
      </c>
      <c r="E32" s="2">
        <v>2.7785000000000002E-3</v>
      </c>
      <c r="F32" s="5">
        <f xml:space="preserve"> 0.2514*1600 + 4.3716</f>
        <v>406.61160000000001</v>
      </c>
    </row>
    <row r="33" spans="1:22" x14ac:dyDescent="0.2">
      <c r="A33" s="8" t="s">
        <v>34</v>
      </c>
      <c r="B33" t="s">
        <v>5</v>
      </c>
      <c r="C33" t="s">
        <v>141</v>
      </c>
      <c r="D33" s="6">
        <v>0.9173</v>
      </c>
      <c r="E33" s="2">
        <v>6.2318560000000003E-23</v>
      </c>
      <c r="F33" s="5">
        <f xml:space="preserve"> 0.09811*1600 - 1.35444</f>
        <v>155.62155999999999</v>
      </c>
    </row>
    <row r="34" spans="1:22" x14ac:dyDescent="0.2">
      <c r="A34" s="8"/>
      <c r="B34" t="s">
        <v>6</v>
      </c>
      <c r="C34" t="s">
        <v>112</v>
      </c>
      <c r="D34" s="6">
        <v>0.82420000000000004</v>
      </c>
      <c r="E34" s="2">
        <v>4.4330649999999998E-4</v>
      </c>
      <c r="F34" s="5">
        <f xml:space="preserve"> 0.09052*1600 + 2.14637</f>
        <v>146.97836999999998</v>
      </c>
    </row>
    <row r="35" spans="1:22" x14ac:dyDescent="0.2">
      <c r="A35" s="8"/>
      <c r="B35" t="s">
        <v>7</v>
      </c>
      <c r="C35" t="s">
        <v>49</v>
      </c>
      <c r="D35" s="6">
        <v>0.59089999999999998</v>
      </c>
      <c r="E35" s="2">
        <v>9.4287999999999993E-3</v>
      </c>
      <c r="F35" s="5">
        <f xml:space="preserve"> 0.06747*1600 + 2.00722</f>
        <v>109.95922</v>
      </c>
    </row>
    <row r="36" spans="1:22" x14ac:dyDescent="0.2">
      <c r="A36" s="8"/>
      <c r="B36" t="s">
        <v>8</v>
      </c>
      <c r="C36" t="s">
        <v>50</v>
      </c>
      <c r="D36" s="6">
        <v>0.96240000000000003</v>
      </c>
      <c r="E36" s="2">
        <v>2.02585E-3</v>
      </c>
      <c r="F36" s="5">
        <f xml:space="preserve"> 0.09417*1600 - 1.56339</f>
        <v>149.10861</v>
      </c>
    </row>
    <row r="37" spans="1:22" x14ac:dyDescent="0.2">
      <c r="A37" s="8"/>
      <c r="B37" t="s">
        <v>9</v>
      </c>
      <c r="C37" t="s">
        <v>51</v>
      </c>
      <c r="D37" s="6">
        <v>0.9758</v>
      </c>
      <c r="E37" s="2">
        <v>4.045676E-7</v>
      </c>
      <c r="F37" s="5">
        <f xml:space="preserve"> 0.08932*1600 - 0.54628</f>
        <v>142.36572000000001</v>
      </c>
    </row>
    <row r="38" spans="1:22" x14ac:dyDescent="0.2">
      <c r="A38" s="8"/>
      <c r="B38" t="s">
        <v>10</v>
      </c>
      <c r="C38" t="s">
        <v>142</v>
      </c>
      <c r="D38" s="6">
        <v>0.73180000000000001</v>
      </c>
      <c r="E38" s="2">
        <v>2.016487E-3</v>
      </c>
      <c r="F38" s="5">
        <f xml:space="preserve"> 0.1008*1600 - 2.1044</f>
        <v>159.1756</v>
      </c>
    </row>
    <row r="39" spans="1:22" x14ac:dyDescent="0.2">
      <c r="A39" s="8" t="s">
        <v>12</v>
      </c>
      <c r="B39" t="s">
        <v>5</v>
      </c>
      <c r="C39" t="s">
        <v>143</v>
      </c>
      <c r="D39" s="6">
        <v>0.8246</v>
      </c>
      <c r="E39" s="2">
        <v>1.5316890000000001E-16</v>
      </c>
      <c r="F39" s="5">
        <f xml:space="preserve"> 0.1773*1600 + 2.4139</f>
        <v>286.09390000000002</v>
      </c>
    </row>
    <row r="40" spans="1:22" x14ac:dyDescent="0.2">
      <c r="A40" s="8"/>
      <c r="B40" t="s">
        <v>6</v>
      </c>
      <c r="C40" t="s">
        <v>113</v>
      </c>
      <c r="D40" s="6">
        <v>0.90949999999999998</v>
      </c>
      <c r="E40" s="2">
        <v>4.1959529999999999E-5</v>
      </c>
      <c r="F40" s="5">
        <f xml:space="preserve"> 0.1585*1600 + 7.8393</f>
        <v>261.4393</v>
      </c>
    </row>
    <row r="41" spans="1:22" x14ac:dyDescent="0.2">
      <c r="A41" s="8"/>
      <c r="B41" t="s">
        <v>7</v>
      </c>
      <c r="C41" t="s">
        <v>52</v>
      </c>
      <c r="D41" s="6">
        <v>0.43459999999999999</v>
      </c>
      <c r="E41" s="2">
        <v>3.1814120000000001E-2</v>
      </c>
      <c r="F41" s="5">
        <f xml:space="preserve"> 0.09083*1600 + 6.56503</f>
        <v>151.89303000000001</v>
      </c>
    </row>
    <row r="42" spans="1:22" x14ac:dyDescent="0.2">
      <c r="A42" s="8"/>
      <c r="B42" t="s">
        <v>8</v>
      </c>
      <c r="C42" t="s">
        <v>53</v>
      </c>
      <c r="D42" s="6">
        <v>0.94889999999999997</v>
      </c>
      <c r="E42" s="2">
        <v>3.2200000000000002E-3</v>
      </c>
      <c r="F42" s="5">
        <f xml:space="preserve"> 0.309*1600 - 3.578</f>
        <v>490.822</v>
      </c>
      <c r="V42" s="8"/>
    </row>
    <row r="43" spans="1:22" x14ac:dyDescent="0.2">
      <c r="A43" s="8"/>
      <c r="B43" t="s">
        <v>9</v>
      </c>
      <c r="C43" t="s">
        <v>54</v>
      </c>
      <c r="D43" s="6">
        <v>0.82230000000000003</v>
      </c>
      <c r="E43" s="2">
        <v>4.6000000000000001E-4</v>
      </c>
      <c r="F43" s="5">
        <f xml:space="preserve"> 0.1391*1600 + 3.4811</f>
        <v>226.0411</v>
      </c>
      <c r="V43" s="8"/>
    </row>
    <row r="44" spans="1:22" x14ac:dyDescent="0.2">
      <c r="A44" s="8"/>
      <c r="B44" t="s">
        <v>10</v>
      </c>
      <c r="C44" t="s">
        <v>144</v>
      </c>
      <c r="D44" s="6">
        <v>0.78480000000000005</v>
      </c>
      <c r="E44" s="2">
        <v>9.1243110000000004E-4</v>
      </c>
      <c r="F44" s="5">
        <f xml:space="preserve"> 0.2231*1600 - 3.1198</f>
        <v>353.84019999999998</v>
      </c>
      <c r="V44" s="8"/>
    </row>
    <row r="45" spans="1:22" x14ac:dyDescent="0.2">
      <c r="A45" s="8" t="s">
        <v>25</v>
      </c>
      <c r="B45" t="s">
        <v>5</v>
      </c>
      <c r="C45" t="s">
        <v>145</v>
      </c>
      <c r="D45" s="6">
        <v>0.90900000000000003</v>
      </c>
      <c r="E45" s="2">
        <v>4.1058589999999999E-22</v>
      </c>
      <c r="F45" s="5">
        <f xml:space="preserve"> 0.1174*1600 - 1.8356</f>
        <v>186.0044</v>
      </c>
      <c r="V45" s="8"/>
    </row>
    <row r="46" spans="1:22" x14ac:dyDescent="0.2">
      <c r="A46" s="8"/>
      <c r="B46" t="s">
        <v>6</v>
      </c>
      <c r="C46" t="s">
        <v>114</v>
      </c>
      <c r="D46" s="6">
        <v>0.83179999999999998</v>
      </c>
      <c r="E46" s="2">
        <v>3.7841650000000002E-4</v>
      </c>
      <c r="F46" s="5">
        <f xml:space="preserve"> 0.09961*1600 + 5.44068</f>
        <v>164.81668000000002</v>
      </c>
      <c r="V46" s="8"/>
    </row>
    <row r="47" spans="1:22" x14ac:dyDescent="0.2">
      <c r="A47" s="8"/>
      <c r="B47" t="s">
        <v>7</v>
      </c>
      <c r="C47" t="s">
        <v>55</v>
      </c>
      <c r="D47" s="6">
        <v>0.9708</v>
      </c>
      <c r="E47" s="2">
        <v>7.8299999999999996E-7</v>
      </c>
      <c r="F47" s="5">
        <f xml:space="preserve"> 0.1006*1600 - 1.0635</f>
        <v>159.89649999999997</v>
      </c>
      <c r="V47" s="8"/>
    </row>
    <row r="48" spans="1:22" x14ac:dyDescent="0.2">
      <c r="A48" s="8"/>
      <c r="B48" t="s">
        <v>8</v>
      </c>
      <c r="C48" t="s">
        <v>56</v>
      </c>
      <c r="D48" s="6">
        <v>0.9486</v>
      </c>
      <c r="E48" s="2">
        <v>3.2469999999999999E-3</v>
      </c>
      <c r="F48" s="5">
        <f xml:space="preserve"> 0.1794*1600 - 12.7074</f>
        <v>274.33260000000001</v>
      </c>
      <c r="V48" s="8"/>
    </row>
    <row r="49" spans="1:22" x14ac:dyDescent="0.2">
      <c r="A49" s="8"/>
      <c r="B49" t="s">
        <v>9</v>
      </c>
      <c r="C49" t="s">
        <v>57</v>
      </c>
      <c r="D49" s="6">
        <v>0.89319999999999999</v>
      </c>
      <c r="E49" s="2">
        <v>7.5400000000000003E-5</v>
      </c>
      <c r="F49" s="5">
        <f xml:space="preserve"> 0.09123*1600 + 1.54712</f>
        <v>147.51512000000002</v>
      </c>
      <c r="V49" s="8"/>
    </row>
    <row r="50" spans="1:22" x14ac:dyDescent="0.2">
      <c r="A50" s="8"/>
      <c r="B50" t="s">
        <v>10</v>
      </c>
      <c r="C50" t="s">
        <v>146</v>
      </c>
      <c r="D50" s="6">
        <v>0.71230000000000004</v>
      </c>
      <c r="E50" s="2">
        <v>2.6007349999999999E-3</v>
      </c>
      <c r="F50" s="5">
        <f xml:space="preserve"> 0.1314*1600  - 4.519</f>
        <v>205.72099999999998</v>
      </c>
      <c r="V50" s="8"/>
    </row>
    <row r="51" spans="1:22" x14ac:dyDescent="0.2">
      <c r="A51" s="8" t="s">
        <v>13</v>
      </c>
      <c r="B51" t="s">
        <v>5</v>
      </c>
      <c r="C51" t="s">
        <v>147</v>
      </c>
      <c r="D51" s="6">
        <v>0.9647</v>
      </c>
      <c r="E51" s="2">
        <v>3.7371780000000002E-30</v>
      </c>
      <c r="F51" s="5">
        <f xml:space="preserve"> 0.3781*1600 - 0.9369</f>
        <v>604.0231</v>
      </c>
      <c r="V51" s="8"/>
    </row>
    <row r="52" spans="1:22" x14ac:dyDescent="0.2">
      <c r="A52" s="8"/>
      <c r="B52" t="s">
        <v>6</v>
      </c>
      <c r="C52" t="s">
        <v>115</v>
      </c>
      <c r="D52" s="6">
        <v>0.97960000000000003</v>
      </c>
      <c r="E52" s="2">
        <v>1.6739679999999999E-6</v>
      </c>
      <c r="F52" s="5">
        <f xml:space="preserve"> 0.3727*1600 + 3.5136</f>
        <v>599.83359999999993</v>
      </c>
      <c r="V52" s="8"/>
    </row>
    <row r="53" spans="1:22" x14ac:dyDescent="0.2">
      <c r="A53" s="8"/>
      <c r="B53" t="s">
        <v>7</v>
      </c>
      <c r="C53" t="s">
        <v>58</v>
      </c>
      <c r="D53" s="6">
        <v>0.97789999999999999</v>
      </c>
      <c r="E53" s="2">
        <v>2.9338320000000001E-7</v>
      </c>
      <c r="F53" s="5">
        <f xml:space="preserve"> 0.3662*1600 + 2.4963</f>
        <v>588.41630000000009</v>
      </c>
      <c r="V53" s="8"/>
    </row>
    <row r="54" spans="1:22" x14ac:dyDescent="0.2">
      <c r="A54" s="8"/>
      <c r="B54" t="s">
        <v>8</v>
      </c>
      <c r="C54" t="s">
        <v>59</v>
      </c>
      <c r="D54" s="6">
        <v>0.98760000000000003</v>
      </c>
      <c r="E54" s="2">
        <v>3.8262300000000001E-4</v>
      </c>
      <c r="F54" s="5">
        <f xml:space="preserve"> 0.3558*1600 + 4.5702</f>
        <v>573.85019999999997</v>
      </c>
    </row>
    <row r="55" spans="1:22" x14ac:dyDescent="0.2">
      <c r="A55" s="8"/>
      <c r="B55" t="s">
        <v>9</v>
      </c>
      <c r="C55" t="s">
        <v>60</v>
      </c>
      <c r="D55" s="6">
        <v>0.97609999999999997</v>
      </c>
      <c r="E55" s="2">
        <v>3.8998909999999998E-7</v>
      </c>
      <c r="F55" s="5">
        <f xml:space="preserve"> 0.2813*1600 + 5.5655</f>
        <v>455.64549999999997</v>
      </c>
    </row>
    <row r="56" spans="1:22" x14ac:dyDescent="0.2">
      <c r="A56" s="8"/>
      <c r="B56" t="s">
        <v>10</v>
      </c>
      <c r="C56" t="s">
        <v>148</v>
      </c>
      <c r="D56" s="6">
        <v>0.92090000000000005</v>
      </c>
      <c r="E56" s="2">
        <v>2.610014E-5</v>
      </c>
      <c r="F56" s="5">
        <f xml:space="preserve"> 0.3524*1600 + 1.3988</f>
        <v>565.23880000000008</v>
      </c>
    </row>
    <row r="57" spans="1:22" x14ac:dyDescent="0.2">
      <c r="A57" s="8" t="s">
        <v>14</v>
      </c>
      <c r="B57" t="s">
        <v>5</v>
      </c>
      <c r="C57" t="s">
        <v>149</v>
      </c>
      <c r="D57" s="6">
        <v>0.90769999999999995</v>
      </c>
      <c r="E57" s="2">
        <v>5.3183210000000003E-22</v>
      </c>
      <c r="F57" s="5">
        <f xml:space="preserve"> 0.1095*1600 - 0.7587</f>
        <v>174.44129999999998</v>
      </c>
    </row>
    <row r="58" spans="1:22" x14ac:dyDescent="0.2">
      <c r="A58" s="8"/>
      <c r="B58" t="s">
        <v>6</v>
      </c>
      <c r="C58" t="s">
        <v>116</v>
      </c>
      <c r="D58" s="6">
        <v>0.9294</v>
      </c>
      <c r="E58" s="2">
        <v>1.7441409999999999E-5</v>
      </c>
      <c r="F58" s="5">
        <f xml:space="preserve"> 0.1058*1600 - 0.6943</f>
        <v>168.5857</v>
      </c>
    </row>
    <row r="59" spans="1:22" x14ac:dyDescent="0.2">
      <c r="A59" s="8"/>
      <c r="B59" t="s">
        <v>7</v>
      </c>
      <c r="C59" t="s">
        <v>61</v>
      </c>
      <c r="D59" s="6">
        <v>0.77190000000000003</v>
      </c>
      <c r="E59" s="2">
        <v>1.1249999999999999E-3</v>
      </c>
      <c r="F59" s="5">
        <f xml:space="preserve"> 0.08097*1600 - 0.03577</f>
        <v>129.51622999999998</v>
      </c>
    </row>
    <row r="60" spans="1:22" x14ac:dyDescent="0.2">
      <c r="A60" s="8"/>
      <c r="B60" t="s">
        <v>8</v>
      </c>
      <c r="C60" t="s">
        <v>62</v>
      </c>
      <c r="D60" s="6">
        <v>0.94710000000000005</v>
      </c>
      <c r="E60" s="2">
        <v>3.388E-3</v>
      </c>
      <c r="F60" s="5">
        <f xml:space="preserve"> 0.1089*1600 - 1.7949</f>
        <v>172.4451</v>
      </c>
    </row>
    <row r="61" spans="1:22" x14ac:dyDescent="0.2">
      <c r="A61" s="8"/>
      <c r="B61" t="s">
        <v>9</v>
      </c>
      <c r="C61" t="s">
        <v>63</v>
      </c>
      <c r="D61" s="6">
        <v>0.93910000000000005</v>
      </c>
      <c r="E61" s="2">
        <v>1.0392599999999999E-5</v>
      </c>
      <c r="F61" s="5">
        <f xml:space="preserve"> 0.1372*1600 - 3.0397</f>
        <v>216.48029999999997</v>
      </c>
    </row>
    <row r="62" spans="1:22" x14ac:dyDescent="0.2">
      <c r="A62" s="8"/>
      <c r="B62" t="s">
        <v>10</v>
      </c>
      <c r="C62" t="s">
        <v>150</v>
      </c>
      <c r="D62" s="6">
        <v>0.90249999999999997</v>
      </c>
      <c r="E62" s="2">
        <v>5.4678259999999998E-5</v>
      </c>
      <c r="F62" s="5">
        <f xml:space="preserve"> 0.1642*1600 - 5.5307</f>
        <v>257.1893</v>
      </c>
    </row>
    <row r="63" spans="1:22" x14ac:dyDescent="0.2">
      <c r="A63" s="8" t="s">
        <v>15</v>
      </c>
      <c r="B63" t="s">
        <v>5</v>
      </c>
      <c r="C63" t="s">
        <v>151</v>
      </c>
      <c r="D63" s="6">
        <v>0.93979999999999997</v>
      </c>
      <c r="E63" s="2">
        <v>1.2880200000000001E-25</v>
      </c>
      <c r="F63" s="5">
        <f xml:space="preserve"> 0.12487*1600 + 0.05409</f>
        <v>199.84609</v>
      </c>
    </row>
    <row r="64" spans="1:22" x14ac:dyDescent="0.2">
      <c r="A64" s="8"/>
      <c r="B64" t="s">
        <v>6</v>
      </c>
      <c r="C64" t="s">
        <v>117</v>
      </c>
      <c r="D64" s="6">
        <v>0.96750000000000003</v>
      </c>
      <c r="E64" s="2">
        <v>1.147269E-6</v>
      </c>
      <c r="F64" s="5">
        <f xml:space="preserve"> 0.1186*1600 + 1.881</f>
        <v>191.64099999999999</v>
      </c>
    </row>
    <row r="65" spans="1:6" x14ac:dyDescent="0.2">
      <c r="A65" s="8"/>
      <c r="B65" t="s">
        <v>7</v>
      </c>
      <c r="C65" t="s">
        <v>64</v>
      </c>
      <c r="D65" s="6">
        <v>0.88680000000000003</v>
      </c>
      <c r="E65" s="2">
        <v>9.2657800000000006E-5</v>
      </c>
      <c r="F65" s="5">
        <f xml:space="preserve"> 0.09444*1600 + 1.44613</f>
        <v>152.55013</v>
      </c>
    </row>
    <row r="66" spans="1:6" x14ac:dyDescent="0.2">
      <c r="A66" s="8"/>
      <c r="B66" t="s">
        <v>8</v>
      </c>
      <c r="C66" t="s">
        <v>65</v>
      </c>
      <c r="D66" s="6">
        <v>0.88139999999999996</v>
      </c>
      <c r="E66" s="2">
        <v>1.156833E-2</v>
      </c>
      <c r="F66" s="5">
        <f xml:space="preserve"> 0.1166*1600 - 1.601</f>
        <v>184.959</v>
      </c>
    </row>
    <row r="67" spans="1:6" x14ac:dyDescent="0.2">
      <c r="A67" s="8"/>
      <c r="B67" t="s">
        <v>9</v>
      </c>
      <c r="C67" t="s">
        <v>66</v>
      </c>
      <c r="D67" s="6">
        <v>0.9637</v>
      </c>
      <c r="E67" s="2">
        <v>1.6807000000000001E-6</v>
      </c>
      <c r="F67" s="5">
        <f xml:space="preserve"> 0.1369*1600 - 0.2916</f>
        <v>218.7484</v>
      </c>
    </row>
    <row r="68" spans="1:6" x14ac:dyDescent="0.2">
      <c r="A68" s="8"/>
      <c r="B68" t="s">
        <v>10</v>
      </c>
      <c r="C68" t="s">
        <v>152</v>
      </c>
      <c r="D68" s="6">
        <v>0.86339999999999995</v>
      </c>
      <c r="E68" s="2">
        <v>1.805647E-4</v>
      </c>
      <c r="F68" s="5">
        <f xml:space="preserve"> 0.1725*1600 - 4.2705</f>
        <v>271.72949999999997</v>
      </c>
    </row>
    <row r="69" spans="1:6" x14ac:dyDescent="0.2">
      <c r="A69" s="8" t="s">
        <v>26</v>
      </c>
      <c r="B69" t="s">
        <v>5</v>
      </c>
      <c r="C69" t="s">
        <v>153</v>
      </c>
      <c r="D69" s="6">
        <v>0.95750000000000002</v>
      </c>
      <c r="E69" s="2">
        <v>1.3855000000000001E-28</v>
      </c>
      <c r="F69" s="5">
        <f xml:space="preserve"> 0.1462*1600 - 0.2453</f>
        <v>233.6747</v>
      </c>
    </row>
    <row r="70" spans="1:6" x14ac:dyDescent="0.2">
      <c r="A70" s="8"/>
      <c r="B70" t="s">
        <v>6</v>
      </c>
      <c r="C70" t="s">
        <v>118</v>
      </c>
      <c r="D70" s="6">
        <v>0.96409999999999996</v>
      </c>
      <c r="E70" s="2">
        <v>1.615254E-6</v>
      </c>
      <c r="F70" s="5">
        <f xml:space="preserve"> 0.1544*1600 - 2.8342</f>
        <v>244.20580000000001</v>
      </c>
    </row>
    <row r="71" spans="1:6" x14ac:dyDescent="0.2">
      <c r="A71" s="8"/>
      <c r="B71" t="s">
        <v>7</v>
      </c>
      <c r="C71" t="s">
        <v>67</v>
      </c>
      <c r="D71" s="6">
        <v>0.77639999999999998</v>
      </c>
      <c r="E71" s="2">
        <v>1.0479E-3</v>
      </c>
      <c r="F71" s="5">
        <f xml:space="preserve"> 0.1522*1600 - 1.2836</f>
        <v>242.2364</v>
      </c>
    </row>
    <row r="72" spans="1:6" x14ac:dyDescent="0.2">
      <c r="A72" s="8"/>
      <c r="B72" t="s">
        <v>8</v>
      </c>
      <c r="C72" t="s">
        <v>68</v>
      </c>
      <c r="D72" s="6">
        <v>0.90669999999999995</v>
      </c>
      <c r="E72" s="2">
        <v>8.0288900000000003E-3</v>
      </c>
      <c r="F72" s="5">
        <f xml:space="preserve"> 0.1502*1600 - 4.4107</f>
        <v>235.9093</v>
      </c>
    </row>
    <row r="73" spans="1:6" x14ac:dyDescent="0.2">
      <c r="A73" s="8"/>
      <c r="B73" t="s">
        <v>9</v>
      </c>
      <c r="C73" t="s">
        <v>69</v>
      </c>
      <c r="D73" s="6">
        <v>0.95350000000000001</v>
      </c>
      <c r="E73" s="2">
        <v>4.0322460000000001E-6</v>
      </c>
      <c r="F73" s="5">
        <f xml:space="preserve"> 0.1291*1600 + 2.8119</f>
        <v>209.37190000000001</v>
      </c>
    </row>
    <row r="74" spans="1:6" x14ac:dyDescent="0.2">
      <c r="A74" s="8"/>
      <c r="B74" t="s">
        <v>10</v>
      </c>
      <c r="C74" t="s">
        <v>154</v>
      </c>
      <c r="D74" s="6">
        <v>0.86029999999999995</v>
      </c>
      <c r="E74" s="2">
        <v>1.954488E-4</v>
      </c>
      <c r="F74" s="5">
        <f xml:space="preserve"> 0.1402*1600 + 2.0058</f>
        <v>226.32579999999999</v>
      </c>
    </row>
    <row r="75" spans="1:6" x14ac:dyDescent="0.2">
      <c r="A75" s="8" t="s">
        <v>27</v>
      </c>
      <c r="B75" t="s">
        <v>5</v>
      </c>
      <c r="C75" t="s">
        <v>155</v>
      </c>
      <c r="D75" s="6">
        <v>0.96299999999999997</v>
      </c>
      <c r="E75" s="2">
        <v>9.7012489999999996E-30</v>
      </c>
      <c r="F75" s="5">
        <f xml:space="preserve"> 0.2748*1600 + 1.494</f>
        <v>441.17400000000004</v>
      </c>
    </row>
    <row r="76" spans="1:6" x14ac:dyDescent="0.2">
      <c r="A76" s="8"/>
      <c r="B76" t="s">
        <v>6</v>
      </c>
      <c r="C76" t="s">
        <v>119</v>
      </c>
      <c r="D76" s="6">
        <v>0.98370000000000002</v>
      </c>
      <c r="E76" s="2">
        <v>1.0102180000000001E-7</v>
      </c>
      <c r="F76" s="5">
        <f xml:space="preserve"> 0.2706*1600 + 0.4135</f>
        <v>433.37350000000004</v>
      </c>
    </row>
    <row r="77" spans="1:6" x14ac:dyDescent="0.2">
      <c r="A77" s="8"/>
      <c r="B77" t="s">
        <v>7</v>
      </c>
      <c r="C77" t="s">
        <v>70</v>
      </c>
      <c r="D77" s="6">
        <v>0.85670000000000002</v>
      </c>
      <c r="E77" s="2">
        <v>2.1384999999999999E-4</v>
      </c>
      <c r="F77" s="5">
        <f xml:space="preserve"> 0.2621*1600 - 0.9958</f>
        <v>418.36420000000004</v>
      </c>
    </row>
    <row r="78" spans="1:6" x14ac:dyDescent="0.2">
      <c r="A78" s="8"/>
      <c r="B78" t="s">
        <v>8</v>
      </c>
      <c r="C78" t="s">
        <v>72</v>
      </c>
      <c r="D78" s="6">
        <v>0.95250000000000001</v>
      </c>
      <c r="E78" s="2">
        <v>2.8876869999999999E-3</v>
      </c>
      <c r="F78" s="5">
        <f xml:space="preserve"> 0.3488*1600 - 11.614</f>
        <v>546.46600000000001</v>
      </c>
    </row>
    <row r="79" spans="1:6" x14ac:dyDescent="0.2">
      <c r="A79" s="8"/>
      <c r="B79" t="s">
        <v>9</v>
      </c>
      <c r="C79" t="s">
        <v>71</v>
      </c>
      <c r="D79" s="6">
        <v>0.97670000000000001</v>
      </c>
      <c r="E79" s="2">
        <v>3.572E-7</v>
      </c>
      <c r="F79" s="5">
        <f xml:space="preserve"> 0.3146*1600 - 1.9488</f>
        <v>501.41120000000001</v>
      </c>
    </row>
    <row r="80" spans="1:6" x14ac:dyDescent="0.2">
      <c r="A80" s="8"/>
      <c r="B80" t="s">
        <v>10</v>
      </c>
      <c r="C80" t="s">
        <v>156</v>
      </c>
      <c r="D80" s="6">
        <v>0.96940000000000004</v>
      </c>
      <c r="E80" s="2">
        <v>9.2594009999999998E-7</v>
      </c>
      <c r="F80" s="5">
        <f xml:space="preserve"> 0.3404*1600 - 2.2913</f>
        <v>542.34870000000001</v>
      </c>
    </row>
    <row r="81" spans="1:6" x14ac:dyDescent="0.2">
      <c r="A81" s="8" t="s">
        <v>28</v>
      </c>
      <c r="B81" t="s">
        <v>5</v>
      </c>
      <c r="C81" t="s">
        <v>157</v>
      </c>
      <c r="D81" s="6">
        <v>0.92849999999999999</v>
      </c>
      <c r="E81" s="2">
        <v>3.6950500000000002E-24</v>
      </c>
      <c r="F81" s="5">
        <f xml:space="preserve"> 0.1588*1600 + 2.2566</f>
        <v>256.33659999999998</v>
      </c>
    </row>
    <row r="82" spans="1:6" x14ac:dyDescent="0.2">
      <c r="A82" s="8"/>
      <c r="B82" t="s">
        <v>6</v>
      </c>
      <c r="C82" t="s">
        <v>120</v>
      </c>
      <c r="D82" s="6">
        <v>0.87329999999999997</v>
      </c>
      <c r="E82" s="2">
        <v>1.3802000000000001E-4</v>
      </c>
      <c r="F82" s="5">
        <f xml:space="preserve"> 0.1593*1600 + 0.7574</f>
        <v>255.63739999999999</v>
      </c>
    </row>
    <row r="83" spans="1:6" x14ac:dyDescent="0.2">
      <c r="A83" s="8"/>
      <c r="B83" t="s">
        <v>7</v>
      </c>
      <c r="C83" t="s">
        <v>73</v>
      </c>
      <c r="D83" s="6">
        <v>0.8407</v>
      </c>
      <c r="E83" s="2">
        <v>3.1161969999999998E-4</v>
      </c>
      <c r="F83" s="5">
        <f xml:space="preserve"> 0.1949*1600 - 2.6228</f>
        <v>309.21719999999999</v>
      </c>
    </row>
    <row r="84" spans="1:6" x14ac:dyDescent="0.2">
      <c r="A84" s="8"/>
      <c r="B84" t="s">
        <v>8</v>
      </c>
      <c r="C84" t="s">
        <v>74</v>
      </c>
      <c r="D84" s="6">
        <v>0.96079999999999999</v>
      </c>
      <c r="E84" s="2">
        <v>2.155597E-3</v>
      </c>
      <c r="F84" s="5">
        <f xml:space="preserve"> 0.2232*1600 - 8.4832</f>
        <v>348.63679999999999</v>
      </c>
    </row>
    <row r="85" spans="1:6" x14ac:dyDescent="0.2">
      <c r="A85" s="8"/>
      <c r="B85" t="s">
        <v>9</v>
      </c>
      <c r="C85" t="s">
        <v>75</v>
      </c>
      <c r="D85" s="6">
        <v>0.91749999999999998</v>
      </c>
      <c r="E85" s="2">
        <v>3.0335740000000001E-5</v>
      </c>
      <c r="F85" s="5">
        <f xml:space="preserve"> 0.1755*1600 + 0.5821</f>
        <v>281.38209999999998</v>
      </c>
    </row>
    <row r="86" spans="1:6" x14ac:dyDescent="0.2">
      <c r="A86" s="8"/>
      <c r="B86" t="s">
        <v>10</v>
      </c>
      <c r="C86" t="s">
        <v>158</v>
      </c>
      <c r="D86" s="6">
        <v>0.92259999999999998</v>
      </c>
      <c r="E86" s="2">
        <v>2.4172710000000001E-5</v>
      </c>
      <c r="F86" s="5">
        <f xml:space="preserve"> 0.1583*1600 + 4.4137</f>
        <v>257.69369999999998</v>
      </c>
    </row>
    <row r="87" spans="1:6" x14ac:dyDescent="0.2">
      <c r="A87" s="8" t="s">
        <v>16</v>
      </c>
      <c r="B87" t="s">
        <v>5</v>
      </c>
      <c r="C87" t="s">
        <v>159</v>
      </c>
      <c r="D87" s="6">
        <v>0.96489999999999998</v>
      </c>
      <c r="E87" s="2">
        <v>3.4794950000000001E-30</v>
      </c>
      <c r="F87" s="5">
        <f xml:space="preserve"> 0.2004*1600 + 4.6533</f>
        <v>325.29329999999999</v>
      </c>
    </row>
    <row r="88" spans="1:6" x14ac:dyDescent="0.2">
      <c r="A88" s="8"/>
      <c r="B88" t="s">
        <v>6</v>
      </c>
      <c r="C88" t="s">
        <v>121</v>
      </c>
      <c r="D88" s="6">
        <v>0.98329999999999995</v>
      </c>
      <c r="E88" s="2">
        <v>1.09898E-7</v>
      </c>
      <c r="F88" s="5">
        <f xml:space="preserve"> 0.2022*1600 + 1.2079</f>
        <v>324.72789999999998</v>
      </c>
    </row>
    <row r="89" spans="1:6" x14ac:dyDescent="0.2">
      <c r="A89" s="8"/>
      <c r="B89" t="s">
        <v>7</v>
      </c>
      <c r="C89" t="s">
        <v>76</v>
      </c>
      <c r="D89" s="6">
        <v>0.97909999999999997</v>
      </c>
      <c r="E89" s="2">
        <v>2.4196999999999999E-7</v>
      </c>
      <c r="F89" s="5">
        <f xml:space="preserve"> 0.2547*1600 - 1.1127</f>
        <v>406.40729999999996</v>
      </c>
    </row>
    <row r="90" spans="1:6" x14ac:dyDescent="0.2">
      <c r="A90" s="8"/>
      <c r="B90" t="s">
        <v>8</v>
      </c>
      <c r="C90" t="s">
        <v>77</v>
      </c>
      <c r="D90" s="6">
        <v>0.98519999999999996</v>
      </c>
      <c r="E90" s="2">
        <v>4.9991130000000001E-4</v>
      </c>
      <c r="F90" s="5">
        <f xml:space="preserve"> 0.2148*1600 + 4.9757</f>
        <v>348.65570000000002</v>
      </c>
    </row>
    <row r="91" spans="1:6" x14ac:dyDescent="0.2">
      <c r="A91" s="8"/>
      <c r="B91" t="s">
        <v>9</v>
      </c>
      <c r="C91" t="s">
        <v>78</v>
      </c>
      <c r="D91" s="6">
        <v>0.98550000000000004</v>
      </c>
      <c r="E91" s="2">
        <v>6.6650879999999994E-8</v>
      </c>
      <c r="F91" s="5">
        <f xml:space="preserve"> 0.2813*1600 - 3.8507</f>
        <v>446.22929999999997</v>
      </c>
    </row>
    <row r="92" spans="1:6" x14ac:dyDescent="0.2">
      <c r="A92" s="8"/>
      <c r="B92" t="s">
        <v>10</v>
      </c>
      <c r="C92" t="s">
        <v>160</v>
      </c>
      <c r="D92" s="6">
        <v>0.91949999999999998</v>
      </c>
      <c r="E92" s="2">
        <v>2.7789549999999999E-5</v>
      </c>
      <c r="F92" s="5">
        <f xml:space="preserve"> 0.2242*1600 + 1.2236</f>
        <v>359.9436</v>
      </c>
    </row>
    <row r="93" spans="1:6" x14ac:dyDescent="0.2">
      <c r="A93" s="8" t="s">
        <v>17</v>
      </c>
      <c r="B93" t="s">
        <v>5</v>
      </c>
      <c r="C93" t="s">
        <v>161</v>
      </c>
      <c r="D93" s="6">
        <v>0.85270000000000001</v>
      </c>
      <c r="E93" s="2">
        <v>5.0546869999999999E-18</v>
      </c>
      <c r="F93" s="5">
        <f xml:space="preserve"> 0.2152*1600 - 0.7567</f>
        <v>343.56329999999997</v>
      </c>
    </row>
    <row r="94" spans="1:6" x14ac:dyDescent="0.2">
      <c r="A94" s="8"/>
      <c r="B94" t="s">
        <v>6</v>
      </c>
      <c r="C94" t="s">
        <v>122</v>
      </c>
      <c r="D94" s="6">
        <v>0.72</v>
      </c>
      <c r="E94" s="2">
        <v>2.3576410000000002E-3</v>
      </c>
      <c r="F94" s="5">
        <f xml:space="preserve"> 0.2254*1600 - 3.4533</f>
        <v>357.18669999999997</v>
      </c>
    </row>
    <row r="95" spans="1:6" x14ac:dyDescent="0.2">
      <c r="A95" s="8"/>
      <c r="B95" t="s">
        <v>7</v>
      </c>
      <c r="C95" t="s">
        <v>79</v>
      </c>
      <c r="D95" s="6">
        <v>0.98160000000000003</v>
      </c>
      <c r="E95" s="2">
        <v>1.551474E-7</v>
      </c>
      <c r="F95" s="5">
        <f xml:space="preserve"> 0.2512*1600 - 1.0188</f>
        <v>400.90119999999996</v>
      </c>
    </row>
    <row r="96" spans="1:6" x14ac:dyDescent="0.2">
      <c r="A96" s="8"/>
      <c r="B96" t="s">
        <v>8</v>
      </c>
      <c r="C96" t="s">
        <v>80</v>
      </c>
      <c r="D96" s="6">
        <v>0.93079999999999996</v>
      </c>
      <c r="E96" s="2">
        <v>5.1024399999999998E-3</v>
      </c>
      <c r="F96" s="5">
        <f xml:space="preserve"> 0.3273*1600 - 13.1488</f>
        <v>510.53119999999996</v>
      </c>
    </row>
    <row r="97" spans="1:6" x14ac:dyDescent="0.2">
      <c r="A97" s="8"/>
      <c r="B97" t="s">
        <v>9</v>
      </c>
      <c r="C97" t="s">
        <v>81</v>
      </c>
      <c r="D97" s="6">
        <v>0.74439999999999995</v>
      </c>
      <c r="E97" s="2">
        <v>1.6945020000000001E-3</v>
      </c>
      <c r="F97" s="5">
        <f xml:space="preserve"> 0.1994*1600 + 1.4805</f>
        <v>320.52049999999997</v>
      </c>
    </row>
    <row r="98" spans="1:6" x14ac:dyDescent="0.2">
      <c r="A98" s="8"/>
      <c r="B98" t="s">
        <v>10</v>
      </c>
      <c r="C98" t="s">
        <v>162</v>
      </c>
      <c r="D98" s="6">
        <v>0.91710000000000003</v>
      </c>
      <c r="E98" s="2">
        <v>3.075714E-5</v>
      </c>
      <c r="F98" s="5">
        <f xml:space="preserve"> 0.1789*1600 + 3.9453</f>
        <v>290.18529999999998</v>
      </c>
    </row>
    <row r="99" spans="1:6" x14ac:dyDescent="0.2">
      <c r="A99" s="8" t="s">
        <v>18</v>
      </c>
      <c r="B99" t="s">
        <v>5</v>
      </c>
      <c r="C99" t="s">
        <v>163</v>
      </c>
      <c r="D99" s="6">
        <v>0.85170000000000001</v>
      </c>
      <c r="E99" s="2">
        <v>5.7465710000000002E-18</v>
      </c>
      <c r="F99" s="5">
        <f xml:space="preserve"> 0.05417*1600 - 1.0477</f>
        <v>85.624300000000005</v>
      </c>
    </row>
    <row r="100" spans="1:6" x14ac:dyDescent="0.2">
      <c r="A100" s="8"/>
      <c r="B100" t="s">
        <v>6</v>
      </c>
      <c r="C100" t="s">
        <v>123</v>
      </c>
      <c r="D100" s="6">
        <v>0.66720000000000002</v>
      </c>
      <c r="E100" s="2">
        <v>4.4152590000000004E-3</v>
      </c>
      <c r="F100" s="5">
        <f xml:space="preserve"> 0.04703*1600 + 1.96101</f>
        <v>77.209010000000006</v>
      </c>
    </row>
    <row r="101" spans="1:6" x14ac:dyDescent="0.2">
      <c r="A101" s="8"/>
      <c r="B101" t="s">
        <v>7</v>
      </c>
      <c r="C101" t="s">
        <v>82</v>
      </c>
      <c r="D101" s="6">
        <v>0.70269999999999999</v>
      </c>
      <c r="E101" s="2">
        <v>2.930177E-3</v>
      </c>
      <c r="F101" s="5">
        <f xml:space="preserve"> 0.0425*1600 - 0.40791</f>
        <v>67.592089999999999</v>
      </c>
    </row>
    <row r="102" spans="1:6" x14ac:dyDescent="0.2">
      <c r="A102" s="8"/>
      <c r="B102" t="s">
        <v>8</v>
      </c>
      <c r="C102" t="s">
        <v>83</v>
      </c>
      <c r="D102" s="6">
        <v>0.59719999999999995</v>
      </c>
      <c r="E102" s="4">
        <v>7.8136559999999994E-2</v>
      </c>
      <c r="F102" s="5">
        <f xml:space="preserve"> 0.0256*1600 + 2.1085</f>
        <v>43.0685</v>
      </c>
    </row>
    <row r="103" spans="1:6" x14ac:dyDescent="0.2">
      <c r="A103" s="8"/>
      <c r="B103" t="s">
        <v>9</v>
      </c>
      <c r="C103" t="s">
        <v>84</v>
      </c>
      <c r="D103" s="6">
        <v>0.94179999999999997</v>
      </c>
      <c r="E103" s="2">
        <v>8.8476249999999998E-6</v>
      </c>
      <c r="F103" s="5">
        <f xml:space="preserve"> 0.05365*1600 - 0.83716</f>
        <v>85.002840000000006</v>
      </c>
    </row>
    <row r="104" spans="1:6" x14ac:dyDescent="0.2">
      <c r="A104" s="8"/>
      <c r="B104" t="s">
        <v>10</v>
      </c>
      <c r="C104" t="s">
        <v>164</v>
      </c>
      <c r="D104" s="6">
        <v>0.74829999999999997</v>
      </c>
      <c r="E104" s="2">
        <v>1.6044659999999999E-3</v>
      </c>
      <c r="F104" s="5">
        <f xml:space="preserve"> 0.0623*1600 - 1.8199</f>
        <v>97.860100000000003</v>
      </c>
    </row>
    <row r="105" spans="1:6" x14ac:dyDescent="0.2">
      <c r="A105" s="8" t="s">
        <v>29</v>
      </c>
      <c r="B105" t="s">
        <v>5</v>
      </c>
      <c r="C105" t="s">
        <v>165</v>
      </c>
      <c r="D105" s="6">
        <v>0.90329999999999999</v>
      </c>
      <c r="E105" s="2">
        <v>1.3398009999999999E-21</v>
      </c>
      <c r="F105" s="5">
        <f xml:space="preserve"> 0.06468*1600 - 0.17698</f>
        <v>103.31102</v>
      </c>
    </row>
    <row r="106" spans="1:6" x14ac:dyDescent="0.2">
      <c r="A106" s="8"/>
      <c r="B106" t="s">
        <v>6</v>
      </c>
      <c r="C106" t="s">
        <v>124</v>
      </c>
      <c r="D106" s="6">
        <v>0.91549999999999998</v>
      </c>
      <c r="E106" s="2">
        <v>3.3012909999999998E-5</v>
      </c>
      <c r="F106" s="5">
        <f xml:space="preserve"> 0.05373*1600 + 3.87295</f>
        <v>89.840950000000007</v>
      </c>
    </row>
    <row r="107" spans="1:6" x14ac:dyDescent="0.2">
      <c r="A107" s="8"/>
      <c r="B107" t="s">
        <v>7</v>
      </c>
      <c r="C107" t="s">
        <v>85</v>
      </c>
      <c r="D107" s="6">
        <v>0.71909999999999996</v>
      </c>
      <c r="E107" s="2">
        <v>2.3856210000000001E-3</v>
      </c>
      <c r="F107" s="5">
        <f xml:space="preserve"> 0.08332*1600 - 3.29099</f>
        <v>130.02101000000002</v>
      </c>
    </row>
    <row r="108" spans="1:6" x14ac:dyDescent="0.2">
      <c r="A108" s="8"/>
      <c r="B108" t="s">
        <v>8</v>
      </c>
      <c r="C108" t="s">
        <v>86</v>
      </c>
      <c r="D108" s="6">
        <v>0.20399999999999999</v>
      </c>
      <c r="E108" s="4">
        <v>0.24987309999999999</v>
      </c>
      <c r="F108" s="5">
        <f xml:space="preserve"> 0.03255*1600 + 4.3776</f>
        <v>56.457600000000006</v>
      </c>
    </row>
    <row r="109" spans="1:6" x14ac:dyDescent="0.2">
      <c r="A109" s="8"/>
      <c r="B109" t="s">
        <v>9</v>
      </c>
      <c r="C109" t="s">
        <v>87</v>
      </c>
      <c r="D109" s="6">
        <v>0.94740000000000002</v>
      </c>
      <c r="E109" s="2">
        <v>6.1982199999999999E-6</v>
      </c>
      <c r="F109" s="5">
        <f xml:space="preserve"> 0.06888*1600 - 0.36289</f>
        <v>109.84511000000001</v>
      </c>
    </row>
    <row r="110" spans="1:6" x14ac:dyDescent="0.2">
      <c r="A110" s="8"/>
      <c r="B110" t="s">
        <v>10</v>
      </c>
      <c r="C110" t="s">
        <v>166</v>
      </c>
      <c r="D110" s="6">
        <v>0.65329999999999999</v>
      </c>
      <c r="E110" s="2">
        <v>5.1304890000000002E-3</v>
      </c>
      <c r="F110" s="5">
        <f xml:space="preserve"> 0.07932*1600 - 2.31545</f>
        <v>124.59655000000001</v>
      </c>
    </row>
    <row r="111" spans="1:6" x14ac:dyDescent="0.2">
      <c r="A111" s="8" t="s">
        <v>30</v>
      </c>
      <c r="B111" t="s">
        <v>5</v>
      </c>
      <c r="C111" t="s">
        <v>167</v>
      </c>
      <c r="D111" s="6">
        <v>0.96230000000000004</v>
      </c>
      <c r="E111" s="2">
        <v>1.13535E-29</v>
      </c>
      <c r="F111" s="5">
        <f xml:space="preserve"> 0.1106*1600 + 1.7274</f>
        <v>178.6874</v>
      </c>
    </row>
    <row r="112" spans="1:6" x14ac:dyDescent="0.2">
      <c r="A112" s="8"/>
      <c r="B112" t="s">
        <v>6</v>
      </c>
      <c r="C112" t="s">
        <v>125</v>
      </c>
      <c r="D112" s="6">
        <v>0.94810000000000005</v>
      </c>
      <c r="E112" s="2">
        <v>5.9119239999999999E-6</v>
      </c>
      <c r="F112" s="5">
        <f xml:space="preserve"> 0.109*1600 + 1.225</f>
        <v>175.625</v>
      </c>
    </row>
    <row r="113" spans="1:6" x14ac:dyDescent="0.2">
      <c r="A113" s="8"/>
      <c r="B113" t="s">
        <v>7</v>
      </c>
      <c r="C113" t="s">
        <v>88</v>
      </c>
      <c r="D113" s="6">
        <v>0.95920000000000005</v>
      </c>
      <c r="E113" s="2">
        <v>2.5401769999999998E-6</v>
      </c>
      <c r="F113" s="5">
        <f xml:space="preserve"> 0.1345*1600 - 1.2067</f>
        <v>213.9933</v>
      </c>
    </row>
    <row r="114" spans="1:6" x14ac:dyDescent="0.2">
      <c r="A114" s="8"/>
      <c r="B114" t="s">
        <v>8</v>
      </c>
      <c r="C114" t="s">
        <v>89</v>
      </c>
      <c r="D114" s="6">
        <v>0.93420000000000003</v>
      </c>
      <c r="E114" s="2">
        <v>4.7200000000000002E-3</v>
      </c>
      <c r="F114" s="5">
        <f xml:space="preserve"> 0.1433*1600 - 2.6929</f>
        <v>226.58710000000002</v>
      </c>
    </row>
    <row r="115" spans="1:6" x14ac:dyDescent="0.2">
      <c r="A115" s="8"/>
      <c r="B115" t="s">
        <v>9</v>
      </c>
      <c r="C115" t="s">
        <v>90</v>
      </c>
      <c r="D115" s="6">
        <v>0.97650000000000003</v>
      </c>
      <c r="E115" s="2">
        <v>3.6781000000000001E-7</v>
      </c>
      <c r="F115" s="5">
        <f xml:space="preserve"> 0.1297*1600 - 0.3666</f>
        <v>207.1534</v>
      </c>
    </row>
    <row r="116" spans="1:6" x14ac:dyDescent="0.2">
      <c r="A116" s="8"/>
      <c r="B116" t="s">
        <v>10</v>
      </c>
      <c r="C116" t="s">
        <v>168</v>
      </c>
      <c r="D116" s="6">
        <v>0.875</v>
      </c>
      <c r="E116" s="2">
        <v>1.3163580000000001E-4</v>
      </c>
      <c r="F116" s="5">
        <f xml:space="preserve"> 0.12598*1600 - 0.05989</f>
        <v>201.50811000000002</v>
      </c>
    </row>
    <row r="117" spans="1:6" x14ac:dyDescent="0.2">
      <c r="A117" s="8" t="s">
        <v>19</v>
      </c>
      <c r="B117" t="s">
        <v>5</v>
      </c>
      <c r="C117" t="s">
        <v>169</v>
      </c>
      <c r="D117" s="6">
        <v>0.87849999999999995</v>
      </c>
      <c r="E117" s="2">
        <v>1.160157E-19</v>
      </c>
      <c r="F117" s="5">
        <f xml:space="preserve"> 0.08465*1600 + 1.33552</f>
        <v>136.77552</v>
      </c>
    </row>
    <row r="118" spans="1:6" x14ac:dyDescent="0.2">
      <c r="A118" s="8"/>
      <c r="B118" t="s">
        <v>6</v>
      </c>
      <c r="C118" t="s">
        <v>126</v>
      </c>
      <c r="D118" s="6">
        <v>0.82709999999999995</v>
      </c>
      <c r="E118" s="2">
        <v>4.6580459999999999E-4</v>
      </c>
      <c r="F118" s="5">
        <f xml:space="preserve"> 0.07987*1600 + 2.28658</f>
        <v>130.07857999999999</v>
      </c>
    </row>
    <row r="119" spans="1:6" x14ac:dyDescent="0.2">
      <c r="A119" s="8"/>
      <c r="B119" t="s">
        <v>7</v>
      </c>
      <c r="C119" t="s">
        <v>91</v>
      </c>
      <c r="D119" s="6">
        <v>0.80500000000000005</v>
      </c>
      <c r="E119" s="2">
        <v>6.4122379999999996E-4</v>
      </c>
      <c r="F119" s="5">
        <f xml:space="preserve"> 0.07336*1600 + 3.3957</f>
        <v>120.7717</v>
      </c>
    </row>
    <row r="120" spans="1:6" x14ac:dyDescent="0.2">
      <c r="A120" s="8"/>
      <c r="B120" t="s">
        <v>8</v>
      </c>
      <c r="C120" t="s">
        <v>92</v>
      </c>
      <c r="D120" s="6">
        <v>0.57320000000000004</v>
      </c>
      <c r="E120" s="4">
        <v>8.5858459999999998E-2</v>
      </c>
      <c r="F120" s="5">
        <f xml:space="preserve"> 0.07559*1600 + 4.54853</f>
        <v>125.49253</v>
      </c>
    </row>
    <row r="121" spans="1:6" x14ac:dyDescent="0.2">
      <c r="A121" s="8"/>
      <c r="B121" t="s">
        <v>9</v>
      </c>
      <c r="C121" t="s">
        <v>93</v>
      </c>
      <c r="D121" s="6">
        <v>0.84050000000000002</v>
      </c>
      <c r="E121" s="2">
        <v>3.13243E-4</v>
      </c>
      <c r="F121" s="5">
        <f xml:space="preserve"> 0.1209*1600 - 3.6474</f>
        <v>189.79259999999999</v>
      </c>
    </row>
    <row r="122" spans="1:6" x14ac:dyDescent="0.2">
      <c r="A122" s="8"/>
      <c r="B122" t="s">
        <v>10</v>
      </c>
      <c r="C122" t="s">
        <v>170</v>
      </c>
      <c r="D122" s="6">
        <v>0.80710000000000004</v>
      </c>
      <c r="E122" s="2">
        <v>6.1675800000000002E-4</v>
      </c>
      <c r="F122" s="5">
        <f xml:space="preserve"> 0.09541*1600 - 0.66867</f>
        <v>151.98733000000001</v>
      </c>
    </row>
    <row r="123" spans="1:6" x14ac:dyDescent="0.2">
      <c r="A123" s="8" t="s">
        <v>31</v>
      </c>
      <c r="B123" t="s">
        <v>5</v>
      </c>
      <c r="C123" t="s">
        <v>171</v>
      </c>
      <c r="D123" s="6">
        <v>0.9647</v>
      </c>
      <c r="E123" s="2">
        <v>3.8325590000000001E-30</v>
      </c>
      <c r="F123" s="5">
        <f xml:space="preserve"> 0.05273*1600 + 0.94925</f>
        <v>85.317250000000001</v>
      </c>
    </row>
    <row r="124" spans="1:6" x14ac:dyDescent="0.2">
      <c r="A124" s="8"/>
      <c r="B124" t="s">
        <v>6</v>
      </c>
      <c r="C124" t="s">
        <v>127</v>
      </c>
      <c r="D124" s="6">
        <v>0.95279999999999998</v>
      </c>
      <c r="E124" s="2">
        <v>4.2418039999999999E-6</v>
      </c>
      <c r="F124" s="5">
        <f xml:space="preserve"> 0.0505*1600 + 1.3731</f>
        <v>82.173100000000005</v>
      </c>
    </row>
    <row r="125" spans="1:6" x14ac:dyDescent="0.2">
      <c r="A125" s="8"/>
      <c r="B125" t="s">
        <v>7</v>
      </c>
      <c r="C125" t="s">
        <v>94</v>
      </c>
      <c r="D125" s="6">
        <v>0.97929999999999995</v>
      </c>
      <c r="E125" s="2">
        <v>2.3303099999999999E-7</v>
      </c>
      <c r="F125" s="5">
        <f xml:space="preserve"> 0.06623*1600 - 0.90197</f>
        <v>105.06602999999998</v>
      </c>
    </row>
    <row r="126" spans="1:6" x14ac:dyDescent="0.2">
      <c r="A126" s="8"/>
      <c r="B126" t="s">
        <v>8</v>
      </c>
      <c r="C126" t="s">
        <v>95</v>
      </c>
      <c r="D126" s="6">
        <v>0.79349999999999998</v>
      </c>
      <c r="E126" s="2">
        <v>2.7181210000000001E-2</v>
      </c>
      <c r="F126" s="5">
        <f xml:space="preserve"> 0.0439*1600 + 1.9354</f>
        <v>72.17540000000001</v>
      </c>
    </row>
    <row r="127" spans="1:6" x14ac:dyDescent="0.2">
      <c r="A127" s="8"/>
      <c r="B127" t="s">
        <v>9</v>
      </c>
      <c r="C127" t="s">
        <v>96</v>
      </c>
      <c r="D127" s="6">
        <v>0.98409999999999997</v>
      </c>
      <c r="E127" s="2">
        <v>9.2543729999999998E-8</v>
      </c>
      <c r="F127" s="5">
        <f xml:space="preserve"> 0.06357*1600 + 0.06049</f>
        <v>101.77249</v>
      </c>
    </row>
    <row r="128" spans="1:6" x14ac:dyDescent="0.2">
      <c r="A128" s="8"/>
      <c r="B128" t="s">
        <v>10</v>
      </c>
      <c r="C128" t="s">
        <v>172</v>
      </c>
      <c r="D128" s="6">
        <v>0.9335</v>
      </c>
      <c r="E128" s="2">
        <v>1.4165460000000001E-5</v>
      </c>
      <c r="F128" s="5">
        <f xml:space="preserve"> 0.06607*1600 - 0.69474</f>
        <v>105.01726000000001</v>
      </c>
    </row>
    <row r="129" spans="1:6" x14ac:dyDescent="0.2">
      <c r="A129" s="8" t="s">
        <v>20</v>
      </c>
      <c r="B129" t="s">
        <v>5</v>
      </c>
      <c r="C129" t="s">
        <v>173</v>
      </c>
      <c r="D129" s="6">
        <v>0.97989999999999999</v>
      </c>
      <c r="E129" s="2">
        <v>6.7053330000000005E-35</v>
      </c>
      <c r="F129" s="5">
        <f xml:space="preserve"> 0.4993*1600 + 0.7057</f>
        <v>799.58569999999997</v>
      </c>
    </row>
    <row r="130" spans="1:6" x14ac:dyDescent="0.2">
      <c r="A130" s="8"/>
      <c r="B130" t="s">
        <v>6</v>
      </c>
      <c r="C130" t="s">
        <v>128</v>
      </c>
      <c r="D130" s="6">
        <v>0.96479999999999999</v>
      </c>
      <c r="E130" s="2">
        <v>1.509091E-6</v>
      </c>
      <c r="F130" s="5">
        <f xml:space="preserve"> 0.508*1600 - 4.767</f>
        <v>808.0329999999999</v>
      </c>
    </row>
    <row r="131" spans="1:6" x14ac:dyDescent="0.2">
      <c r="A131" s="8"/>
      <c r="B131" t="s">
        <v>7</v>
      </c>
      <c r="C131" t="s">
        <v>97</v>
      </c>
      <c r="D131" s="6">
        <v>0.99299999999999999</v>
      </c>
      <c r="E131" s="2">
        <v>5.3156269999999996E-9</v>
      </c>
      <c r="F131" s="5">
        <f xml:space="preserve"> 0.5319*1600 - 3.1274</f>
        <v>847.91260000000011</v>
      </c>
    </row>
    <row r="132" spans="1:6" x14ac:dyDescent="0.2">
      <c r="A132" s="8"/>
      <c r="B132" t="s">
        <v>8</v>
      </c>
      <c r="C132" t="s">
        <v>98</v>
      </c>
      <c r="D132" s="6">
        <v>0.96709999999999996</v>
      </c>
      <c r="E132" s="2">
        <v>1.6609999999999999E-3</v>
      </c>
      <c r="F132" s="5">
        <f xml:space="preserve"> 0.5272*1600 - 2.8846</f>
        <v>840.6354</v>
      </c>
    </row>
    <row r="133" spans="1:6" x14ac:dyDescent="0.2">
      <c r="A133" s="8"/>
      <c r="B133" t="s">
        <v>9</v>
      </c>
      <c r="C133" t="s">
        <v>99</v>
      </c>
      <c r="D133" s="6">
        <v>0.9879</v>
      </c>
      <c r="E133" s="2">
        <v>3.5794430000000001E-8</v>
      </c>
      <c r="F133" s="5">
        <f xml:space="preserve"> 0.5942*1600 - 6.8441</f>
        <v>943.87589999999989</v>
      </c>
    </row>
    <row r="134" spans="1:6" x14ac:dyDescent="0.2">
      <c r="A134" s="8"/>
      <c r="B134" t="s">
        <v>10</v>
      </c>
      <c r="C134" t="s">
        <v>174</v>
      </c>
      <c r="D134" s="6">
        <v>0.95220000000000005</v>
      </c>
      <c r="E134" s="2">
        <v>4.4433119999999998E-6</v>
      </c>
      <c r="F134" s="5">
        <f xml:space="preserve"> 0.4858*1600 - 1.9243</f>
        <v>775.35569999999996</v>
      </c>
    </row>
    <row r="135" spans="1:6" x14ac:dyDescent="0.2">
      <c r="A135" s="8" t="s">
        <v>32</v>
      </c>
      <c r="B135" t="s">
        <v>5</v>
      </c>
      <c r="C135" t="s">
        <v>175</v>
      </c>
      <c r="D135" s="6">
        <v>0.96189999999999998</v>
      </c>
      <c r="E135" s="2">
        <v>1.640529E-29</v>
      </c>
      <c r="F135" s="5">
        <f xml:space="preserve"> 0.0245*1600 + 0.3862</f>
        <v>39.586200000000005</v>
      </c>
    </row>
    <row r="136" spans="1:6" x14ac:dyDescent="0.2">
      <c r="A136" s="8"/>
      <c r="B136" t="s">
        <v>6</v>
      </c>
      <c r="C136" t="s">
        <v>129</v>
      </c>
      <c r="D136" s="6">
        <v>0.95660000000000001</v>
      </c>
      <c r="E136" s="2">
        <v>3.1434369999999998E-6</v>
      </c>
      <c r="F136" s="5">
        <f xml:space="preserve"> 0.0236*1600 + 0.5853</f>
        <v>38.345299999999995</v>
      </c>
    </row>
    <row r="137" spans="1:6" x14ac:dyDescent="0.2">
      <c r="A137" s="8"/>
      <c r="B137" t="s">
        <v>7</v>
      </c>
      <c r="C137" t="s">
        <v>100</v>
      </c>
      <c r="D137" s="6">
        <v>0.98899999999999999</v>
      </c>
      <c r="E137" s="2">
        <v>2.5947780000000001E-8</v>
      </c>
      <c r="F137" s="5">
        <f xml:space="preserve"> 0.03818*1600 - 1.18674</f>
        <v>59.901260000000001</v>
      </c>
    </row>
    <row r="138" spans="1:6" x14ac:dyDescent="0.2">
      <c r="A138" s="8"/>
      <c r="B138" t="s">
        <v>8</v>
      </c>
      <c r="C138" t="s">
        <v>101</v>
      </c>
      <c r="D138" s="6">
        <v>0.92579999999999996</v>
      </c>
      <c r="E138" s="2">
        <v>5.667442E-3</v>
      </c>
      <c r="F138" s="5">
        <f xml:space="preserve"> 0.02319*1600 + 0.18135</f>
        <v>37.285350000000001</v>
      </c>
    </row>
    <row r="139" spans="1:6" x14ac:dyDescent="0.2">
      <c r="A139" s="8"/>
      <c r="B139" t="s">
        <v>9</v>
      </c>
      <c r="C139" t="s">
        <v>102</v>
      </c>
      <c r="D139" s="6">
        <v>0.97050000000000003</v>
      </c>
      <c r="E139" s="2">
        <v>8.138196E-7</v>
      </c>
      <c r="F139" s="5">
        <f xml:space="preserve"> 0.02774*1600 + 0.19072</f>
        <v>44.574719999999999</v>
      </c>
    </row>
    <row r="140" spans="1:6" x14ac:dyDescent="0.2">
      <c r="A140" s="8"/>
      <c r="B140" t="s">
        <v>10</v>
      </c>
      <c r="C140" t="s">
        <v>176</v>
      </c>
      <c r="D140" s="6">
        <v>0.90100000000000002</v>
      </c>
      <c r="E140" s="2">
        <v>5.7642239999999998E-5</v>
      </c>
      <c r="F140" s="5">
        <f xml:space="preserve"> 0.02601*1600 - 0.23305</f>
        <v>41.382950000000001</v>
      </c>
    </row>
    <row r="141" spans="1:6" x14ac:dyDescent="0.2">
      <c r="A141" s="8" t="s">
        <v>21</v>
      </c>
      <c r="B141" t="s">
        <v>5</v>
      </c>
      <c r="C141" t="s">
        <v>177</v>
      </c>
      <c r="D141" s="6">
        <v>0.80859999999999999</v>
      </c>
      <c r="E141" s="2">
        <v>8.5123380000000003E-16</v>
      </c>
      <c r="F141" s="5">
        <f xml:space="preserve"> 0.2179*1600 + 3.6729</f>
        <v>352.31290000000007</v>
      </c>
    </row>
    <row r="142" spans="1:6" x14ac:dyDescent="0.2">
      <c r="A142" s="8"/>
      <c r="B142" t="s">
        <v>6</v>
      </c>
      <c r="C142" t="s">
        <v>130</v>
      </c>
      <c r="D142" s="6">
        <v>0.55230000000000001</v>
      </c>
      <c r="E142" s="2">
        <v>1.317773E-2</v>
      </c>
      <c r="F142" s="5">
        <f xml:space="preserve"> 0.1831*1600 + 14.3125</f>
        <v>307.27250000000004</v>
      </c>
    </row>
    <row r="143" spans="1:6" x14ac:dyDescent="0.2">
      <c r="A143" s="8"/>
      <c r="B143" t="s">
        <v>7</v>
      </c>
      <c r="C143" t="s">
        <v>103</v>
      </c>
      <c r="D143" s="6">
        <v>0.93640000000000001</v>
      </c>
      <c r="E143" s="2">
        <v>1.207901E-5</v>
      </c>
      <c r="F143" s="5">
        <f xml:space="preserve"> 0.2459*1600 - 1.5894</f>
        <v>391.85059999999999</v>
      </c>
    </row>
    <row r="144" spans="1:6" x14ac:dyDescent="0.2">
      <c r="A144" s="8"/>
      <c r="B144" t="s">
        <v>8</v>
      </c>
      <c r="C144" t="s">
        <v>104</v>
      </c>
      <c r="D144" s="6">
        <v>0.84509999999999996</v>
      </c>
      <c r="E144" s="2">
        <v>1.742525E-2</v>
      </c>
      <c r="F144" s="5">
        <f xml:space="preserve"> 0.239*1600 - 0.7634</f>
        <v>381.63659999999999</v>
      </c>
    </row>
    <row r="145" spans="1:6" x14ac:dyDescent="0.2">
      <c r="A145" s="8"/>
      <c r="B145" t="s">
        <v>9</v>
      </c>
      <c r="C145" t="s">
        <v>105</v>
      </c>
      <c r="D145" s="6">
        <v>0.87429999999999997</v>
      </c>
      <c r="E145" s="2">
        <v>1.3418149999999999E-4</v>
      </c>
      <c r="F145" s="5">
        <f xml:space="preserve"> 0.2693*1600 - 3.8026</f>
        <v>427.07740000000001</v>
      </c>
    </row>
    <row r="146" spans="1:6" x14ac:dyDescent="0.2">
      <c r="A146" s="8"/>
      <c r="B146" t="s">
        <v>10</v>
      </c>
      <c r="C146" t="s">
        <v>178</v>
      </c>
      <c r="D146" s="6">
        <v>0.71130000000000004</v>
      </c>
      <c r="E146" s="2">
        <v>2.6340970000000002E-3</v>
      </c>
      <c r="F146" s="5">
        <f xml:space="preserve"> 0.2868*1600 -2.8565</f>
        <v>456.02350000000001</v>
      </c>
    </row>
  </sheetData>
  <mergeCells count="30">
    <mergeCell ref="V42:V53"/>
    <mergeCell ref="A9:A14"/>
    <mergeCell ref="A15:A20"/>
    <mergeCell ref="A21:A26"/>
    <mergeCell ref="A45:A50"/>
    <mergeCell ref="A39:A44"/>
    <mergeCell ref="A51:A56"/>
    <mergeCell ref="A27:A32"/>
    <mergeCell ref="A33:A38"/>
    <mergeCell ref="A99:A104"/>
    <mergeCell ref="A117:A122"/>
    <mergeCell ref="A129:A134"/>
    <mergeCell ref="A141:A146"/>
    <mergeCell ref="A105:A110"/>
    <mergeCell ref="A111:A116"/>
    <mergeCell ref="A123:A128"/>
    <mergeCell ref="A135:A140"/>
    <mergeCell ref="E1:E2"/>
    <mergeCell ref="A57:A62"/>
    <mergeCell ref="A63:A68"/>
    <mergeCell ref="A87:A92"/>
    <mergeCell ref="A93:A98"/>
    <mergeCell ref="A69:A74"/>
    <mergeCell ref="A75:A80"/>
    <mergeCell ref="A81:A86"/>
    <mergeCell ref="A1:A2"/>
    <mergeCell ref="B1:B2"/>
    <mergeCell ref="C1:C2"/>
    <mergeCell ref="A3:A8"/>
    <mergeCell ref="D1:D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Cooper</dc:creator>
  <cp:lastModifiedBy>Catalina Pimiento</cp:lastModifiedBy>
  <dcterms:created xsi:type="dcterms:W3CDTF">2019-06-15T13:21:26Z</dcterms:created>
  <dcterms:modified xsi:type="dcterms:W3CDTF">2019-11-25T10:21:02Z</dcterms:modified>
</cp:coreProperties>
</file>