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A Marisa\Marisa CIIMAR\Proj CCDRN 2020\APROVADO\TRABALHO\Zenodo artigo metais\"/>
    </mc:Choice>
  </mc:AlternateContent>
  <xr:revisionPtr revIDLastSave="0" documentId="13_ncr:1_{FB15616D-0408-44DE-8DB1-A9A306DE2032}" xr6:coauthVersionLast="47" xr6:coauthVersionMax="47" xr10:uidLastSave="{00000000-0000-0000-0000-000000000000}"/>
  <bookViews>
    <workbookView xWindow="-108" yWindow="-108" windowWidth="23256" windowHeight="12456" xr2:uid="{C9110549-A598-4494-ADB5-5B9E0B6FF27F}"/>
  </bookViews>
  <sheets>
    <sheet name="READ ME" sheetId="12" r:id="rId1"/>
    <sheet name="Rhizosediments" sheetId="2" r:id="rId2"/>
    <sheet name="Sediments non vegetated" sheetId="3" r:id="rId3"/>
    <sheet name="Plant shoots" sheetId="4" r:id="rId4"/>
    <sheet name="Plant roots" sheetId="5" r:id="rId5"/>
    <sheet name="Plant rhizomes" sheetId="6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S17" i="6" l="1"/>
  <c r="L11" i="6"/>
  <c r="L17" i="6"/>
  <c r="L16" i="6"/>
  <c r="E16" i="6"/>
  <c r="BB16" i="5"/>
  <c r="AU16" i="5"/>
  <c r="AN16" i="5"/>
  <c r="AG16" i="5"/>
  <c r="Z16" i="5"/>
  <c r="S16" i="5"/>
  <c r="L17" i="5"/>
  <c r="L16" i="5"/>
  <c r="E16" i="5"/>
  <c r="BB16" i="4"/>
  <c r="AU17" i="4"/>
  <c r="AN16" i="4"/>
  <c r="AG17" i="4"/>
  <c r="Z17" i="4"/>
  <c r="S16" i="4"/>
  <c r="L16" i="4"/>
  <c r="E16" i="4"/>
  <c r="BB16" i="3"/>
  <c r="AU16" i="3"/>
  <c r="AN16" i="3"/>
  <c r="AG16" i="3"/>
  <c r="Z17" i="3"/>
  <c r="S16" i="3"/>
  <c r="L16" i="3"/>
  <c r="E16" i="3"/>
  <c r="BB16" i="2"/>
  <c r="AU16" i="2"/>
  <c r="AN18" i="2"/>
  <c r="AG18" i="2"/>
  <c r="Z17" i="2"/>
  <c r="S16" i="2"/>
  <c r="L16" i="2"/>
  <c r="E16" i="2"/>
  <c r="L12" i="5"/>
  <c r="L11" i="5"/>
  <c r="L18" i="5"/>
  <c r="L19" i="5"/>
  <c r="L20" i="5"/>
  <c r="L21" i="5"/>
  <c r="L22" i="5"/>
  <c r="L23" i="5"/>
  <c r="L24" i="5"/>
  <c r="L25" i="5"/>
  <c r="L26" i="5"/>
  <c r="L27" i="5"/>
  <c r="L28" i="5"/>
  <c r="L29" i="5"/>
  <c r="L30" i="5"/>
  <c r="L31" i="5"/>
  <c r="L32" i="5"/>
  <c r="L33" i="5"/>
  <c r="M16" i="5"/>
  <c r="BB13" i="5"/>
  <c r="BB12" i="5"/>
  <c r="BB11" i="5"/>
  <c r="BB11" i="6"/>
  <c r="BB13" i="6"/>
  <c r="BB12" i="6"/>
  <c r="AU11" i="6"/>
  <c r="AN10" i="6"/>
  <c r="AG10" i="6"/>
  <c r="Z11" i="6"/>
  <c r="S10" i="6"/>
  <c r="L13" i="6"/>
  <c r="L12" i="6"/>
  <c r="E12" i="6"/>
  <c r="E11" i="6"/>
  <c r="E10" i="6"/>
  <c r="E10" i="5"/>
  <c r="L13" i="5"/>
  <c r="AG11" i="5"/>
  <c r="BB13" i="4"/>
  <c r="BB12" i="4"/>
  <c r="BB11" i="4"/>
  <c r="AN10" i="4"/>
  <c r="AG11" i="4"/>
  <c r="AG10" i="4"/>
  <c r="Z12" i="4"/>
  <c r="Z11" i="4"/>
  <c r="S10" i="4"/>
  <c r="L12" i="4"/>
  <c r="L11" i="4"/>
  <c r="L10" i="4"/>
  <c r="E11" i="3"/>
  <c r="AN11" i="3"/>
  <c r="AU11" i="3"/>
  <c r="BB13" i="3"/>
  <c r="BB12" i="3"/>
  <c r="BB11" i="3"/>
  <c r="BB12" i="2"/>
  <c r="BB11" i="2"/>
  <c r="BE10" i="2"/>
  <c r="AU11" i="2"/>
  <c r="AN11" i="2"/>
  <c r="Z11" i="2"/>
  <c r="L12" i="2"/>
  <c r="L11" i="2"/>
  <c r="L11" i="3"/>
  <c r="E11" i="2"/>
  <c r="E12" i="3"/>
  <c r="AG24" i="5" l="1"/>
  <c r="AG23" i="5"/>
  <c r="AG20" i="5"/>
  <c r="AG21" i="5"/>
  <c r="AG19" i="5"/>
  <c r="BE10" i="5" l="1"/>
  <c r="AU10" i="4"/>
  <c r="E10" i="4"/>
  <c r="G9" i="4"/>
  <c r="AG13" i="3"/>
  <c r="AG12" i="3"/>
  <c r="AG11" i="3"/>
  <c r="AN13" i="3"/>
  <c r="AN12" i="3"/>
  <c r="AU13" i="3"/>
  <c r="AU12" i="3"/>
  <c r="BB13" i="2"/>
  <c r="AU13" i="2"/>
  <c r="AU12" i="2"/>
  <c r="AN13" i="2"/>
  <c r="AN12" i="2"/>
  <c r="AG13" i="2"/>
  <c r="AG12" i="2"/>
  <c r="AG11" i="2"/>
  <c r="S11" i="2"/>
  <c r="E12" i="2"/>
  <c r="AJ10" i="2"/>
  <c r="AQ10" i="2"/>
  <c r="AX10" i="2"/>
  <c r="AX10" i="3"/>
  <c r="AQ10" i="3"/>
  <c r="AU24" i="3"/>
  <c r="AU17" i="3"/>
  <c r="AU18" i="3"/>
  <c r="AU19" i="3"/>
  <c r="AU20" i="3"/>
  <c r="AU21" i="3"/>
  <c r="AV21" i="3" s="1"/>
  <c r="AU22" i="3"/>
  <c r="AU23" i="3"/>
  <c r="AN17" i="3"/>
  <c r="AN18" i="3"/>
  <c r="AN19" i="3"/>
  <c r="AN20" i="3"/>
  <c r="AN21" i="3"/>
  <c r="AN22" i="3"/>
  <c r="AN23" i="3"/>
  <c r="AN24" i="3"/>
  <c r="AJ10" i="3"/>
  <c r="AX10" i="5"/>
  <c r="AJ10" i="5"/>
  <c r="AJ10" i="6"/>
  <c r="AX10" i="6"/>
  <c r="BA24" i="6"/>
  <c r="BA23" i="6"/>
  <c r="BA22" i="6"/>
  <c r="BA21" i="6"/>
  <c r="BA20" i="6"/>
  <c r="BA19" i="6"/>
  <c r="BA18" i="6"/>
  <c r="BA17" i="6"/>
  <c r="BB17" i="6"/>
  <c r="BC17" i="6" s="1"/>
  <c r="BA16" i="6"/>
  <c r="BB10" i="6"/>
  <c r="BB9" i="6"/>
  <c r="BB8" i="6"/>
  <c r="BB7" i="6"/>
  <c r="BB6" i="6"/>
  <c r="BB5" i="6"/>
  <c r="BB4" i="6"/>
  <c r="BB3" i="6"/>
  <c r="BE10" i="6"/>
  <c r="BA33" i="5"/>
  <c r="BA32" i="5"/>
  <c r="BA31" i="5"/>
  <c r="BA30" i="5"/>
  <c r="BA29" i="5"/>
  <c r="BA28" i="5"/>
  <c r="BA27" i="5"/>
  <c r="BA26" i="5"/>
  <c r="BA25" i="5"/>
  <c r="BA24" i="5"/>
  <c r="BA23" i="5"/>
  <c r="BA22" i="5"/>
  <c r="BA21" i="5"/>
  <c r="BA20" i="5"/>
  <c r="BA19" i="5"/>
  <c r="BA18" i="5"/>
  <c r="BA17" i="5"/>
  <c r="BA16" i="5"/>
  <c r="BB10" i="5"/>
  <c r="BB9" i="5"/>
  <c r="BB8" i="5"/>
  <c r="BB7" i="5"/>
  <c r="BB6" i="5"/>
  <c r="BB5" i="5"/>
  <c r="BB4" i="5"/>
  <c r="BB3" i="5"/>
  <c r="BA33" i="4"/>
  <c r="BA32" i="4"/>
  <c r="BA31" i="4"/>
  <c r="BA30" i="4"/>
  <c r="BA29" i="4"/>
  <c r="BA28" i="4"/>
  <c r="BA27" i="4"/>
  <c r="BA26" i="4"/>
  <c r="BA25" i="4"/>
  <c r="BA24" i="4"/>
  <c r="BA23" i="4"/>
  <c r="BA22" i="4"/>
  <c r="BA21" i="4"/>
  <c r="BA20" i="4"/>
  <c r="BA19" i="4"/>
  <c r="BA18" i="4"/>
  <c r="BA17" i="4"/>
  <c r="BA16" i="4"/>
  <c r="BB9" i="4"/>
  <c r="BB8" i="4"/>
  <c r="BB7" i="4"/>
  <c r="BB6" i="4"/>
  <c r="BB5" i="4"/>
  <c r="BB4" i="4"/>
  <c r="BB3" i="4"/>
  <c r="BE10" i="4"/>
  <c r="BA24" i="3"/>
  <c r="BA23" i="3"/>
  <c r="BA22" i="3"/>
  <c r="BA21" i="3"/>
  <c r="BA20" i="3"/>
  <c r="BA19" i="3"/>
  <c r="BA18" i="3"/>
  <c r="BA17" i="3"/>
  <c r="BA16" i="3"/>
  <c r="BB9" i="3"/>
  <c r="BB8" i="3"/>
  <c r="BB7" i="3"/>
  <c r="BB6" i="3"/>
  <c r="BB5" i="3"/>
  <c r="BB4" i="3"/>
  <c r="BB3" i="3"/>
  <c r="BE10" i="3"/>
  <c r="BA33" i="2"/>
  <c r="BA32" i="2"/>
  <c r="BA31" i="2"/>
  <c r="BA30" i="2"/>
  <c r="BB30" i="2" s="1"/>
  <c r="BA29" i="2"/>
  <c r="BA28" i="2"/>
  <c r="BA27" i="2"/>
  <c r="BB27" i="2" s="1"/>
  <c r="BA26" i="2"/>
  <c r="BB26" i="2" s="1"/>
  <c r="BA25" i="2"/>
  <c r="BA24" i="2"/>
  <c r="BA23" i="2"/>
  <c r="BA22" i="2"/>
  <c r="BB22" i="2"/>
  <c r="BA21" i="2"/>
  <c r="BB21" i="2" s="1"/>
  <c r="BA20" i="2"/>
  <c r="BB20" i="2" s="1"/>
  <c r="BA19" i="2"/>
  <c r="BB19" i="2" s="1"/>
  <c r="BB17" i="2"/>
  <c r="BB18" i="2"/>
  <c r="BB23" i="2"/>
  <c r="BB24" i="2"/>
  <c r="BB25" i="2"/>
  <c r="BB28" i="2"/>
  <c r="BB29" i="2"/>
  <c r="BB31" i="2"/>
  <c r="BB32" i="2"/>
  <c r="BB33" i="2"/>
  <c r="BA18" i="2"/>
  <c r="BA17" i="2"/>
  <c r="AU17" i="2"/>
  <c r="AU18" i="2"/>
  <c r="AU19" i="2"/>
  <c r="AU20" i="2"/>
  <c r="AU21" i="2"/>
  <c r="AU22" i="2"/>
  <c r="AV22" i="2" s="1"/>
  <c r="AU23" i="2"/>
  <c r="AU24" i="2"/>
  <c r="AV24" i="2" s="1"/>
  <c r="AU25" i="2"/>
  <c r="AV25" i="2" s="1"/>
  <c r="AU26" i="2"/>
  <c r="AU27" i="2"/>
  <c r="AU28" i="2"/>
  <c r="AU29" i="2"/>
  <c r="AU30" i="2"/>
  <c r="AU31" i="2"/>
  <c r="AU32" i="2"/>
  <c r="AU33" i="2"/>
  <c r="AV16" i="2"/>
  <c r="AN17" i="2"/>
  <c r="AN19" i="2"/>
  <c r="AN20" i="2"/>
  <c r="AN21" i="2"/>
  <c r="AN22" i="2"/>
  <c r="AN23" i="2"/>
  <c r="AN24" i="2"/>
  <c r="AN25" i="2"/>
  <c r="AN26" i="2"/>
  <c r="AN27" i="2"/>
  <c r="AN28" i="2"/>
  <c r="AN29" i="2"/>
  <c r="AN30" i="2"/>
  <c r="AN31" i="2"/>
  <c r="AN32" i="2"/>
  <c r="AN33" i="2"/>
  <c r="AN16" i="2"/>
  <c r="BA16" i="2"/>
  <c r="BB10" i="2"/>
  <c r="BB9" i="2"/>
  <c r="BB8" i="2"/>
  <c r="BB7" i="2"/>
  <c r="BB6" i="2"/>
  <c r="BB5" i="2"/>
  <c r="BB4" i="2"/>
  <c r="BB3" i="2"/>
  <c r="AT24" i="6"/>
  <c r="AT23" i="6"/>
  <c r="AT22" i="6"/>
  <c r="AT21" i="6"/>
  <c r="AT20" i="6"/>
  <c r="AT19" i="6"/>
  <c r="AT18" i="6"/>
  <c r="AT17" i="6"/>
  <c r="AT16" i="6"/>
  <c r="AU9" i="6"/>
  <c r="AU8" i="6"/>
  <c r="AU7" i="6"/>
  <c r="AU6" i="6"/>
  <c r="AU5" i="6"/>
  <c r="AU4" i="6"/>
  <c r="AU3" i="6"/>
  <c r="AU9" i="5"/>
  <c r="AU8" i="5"/>
  <c r="AU7" i="5"/>
  <c r="AU6" i="5"/>
  <c r="AU5" i="5"/>
  <c r="AU4" i="5"/>
  <c r="AU3" i="5"/>
  <c r="AU13" i="6"/>
  <c r="AU12" i="6"/>
  <c r="AT33" i="5"/>
  <c r="AT32" i="5"/>
  <c r="AT31" i="5"/>
  <c r="AT30" i="5"/>
  <c r="AT29" i="5"/>
  <c r="AT28" i="5"/>
  <c r="AT27" i="5"/>
  <c r="AT26" i="5"/>
  <c r="AT25" i="5"/>
  <c r="AT24" i="5"/>
  <c r="AT23" i="5"/>
  <c r="AT22" i="5"/>
  <c r="AT21" i="5"/>
  <c r="AT20" i="5"/>
  <c r="AT19" i="5"/>
  <c r="AT18" i="5"/>
  <c r="AT17" i="5"/>
  <c r="AT16" i="5"/>
  <c r="AT33" i="4"/>
  <c r="AU33" i="4" s="1"/>
  <c r="AV33" i="4" s="1"/>
  <c r="AT32" i="4"/>
  <c r="AU32" i="4" s="1"/>
  <c r="AV32" i="4" s="1"/>
  <c r="AT31" i="4"/>
  <c r="AT30" i="4"/>
  <c r="AU30" i="4" s="1"/>
  <c r="AV30" i="4" s="1"/>
  <c r="AT29" i="4"/>
  <c r="AT28" i="4"/>
  <c r="AU28" i="4" s="1"/>
  <c r="AV28" i="4" s="1"/>
  <c r="AT27" i="4"/>
  <c r="AU27" i="4" s="1"/>
  <c r="AV27" i="4" s="1"/>
  <c r="AT26" i="4"/>
  <c r="AT25" i="4"/>
  <c r="AU25" i="4" s="1"/>
  <c r="AV25" i="4" s="1"/>
  <c r="AT24" i="4"/>
  <c r="AT23" i="4"/>
  <c r="AT22" i="4"/>
  <c r="AT21" i="4"/>
  <c r="AT20" i="4"/>
  <c r="AT19" i="4"/>
  <c r="AU19" i="4" s="1"/>
  <c r="AV19" i="4" s="1"/>
  <c r="AT18" i="4"/>
  <c r="AT17" i="4"/>
  <c r="AT16" i="4"/>
  <c r="AU16" i="4" s="1"/>
  <c r="AV16" i="4" s="1"/>
  <c r="AV17" i="4"/>
  <c r="AU18" i="4"/>
  <c r="AV18" i="4" s="1"/>
  <c r="AU20" i="4"/>
  <c r="AV20" i="4" s="1"/>
  <c r="AU21" i="4"/>
  <c r="AV21" i="4" s="1"/>
  <c r="AU22" i="4"/>
  <c r="AV22" i="4" s="1"/>
  <c r="AU23" i="4"/>
  <c r="AV23" i="4" s="1"/>
  <c r="AU24" i="4"/>
  <c r="AV24" i="4" s="1"/>
  <c r="AU26" i="4"/>
  <c r="AV26" i="4" s="1"/>
  <c r="AU29" i="4"/>
  <c r="AV29" i="4" s="1"/>
  <c r="AU31" i="4"/>
  <c r="AV31" i="4" s="1"/>
  <c r="AU9" i="4"/>
  <c r="AU8" i="4"/>
  <c r="AU7" i="4"/>
  <c r="AU6" i="4"/>
  <c r="AU5" i="4"/>
  <c r="AU4" i="4"/>
  <c r="AU3" i="4"/>
  <c r="AX13" i="4"/>
  <c r="AU12" i="4"/>
  <c r="AT24" i="3"/>
  <c r="AT23" i="3"/>
  <c r="AV23" i="3" s="1"/>
  <c r="AT22" i="3"/>
  <c r="AV22" i="3" s="1"/>
  <c r="AT21" i="3"/>
  <c r="AT20" i="3"/>
  <c r="AV20" i="3" s="1"/>
  <c r="AT19" i="3"/>
  <c r="AV19" i="3" s="1"/>
  <c r="AT18" i="3"/>
  <c r="AT17" i="3"/>
  <c r="AT16" i="3"/>
  <c r="AV16" i="3" s="1"/>
  <c r="AV17" i="3"/>
  <c r="AU10" i="3"/>
  <c r="AU9" i="3"/>
  <c r="AU8" i="3"/>
  <c r="AU7" i="3"/>
  <c r="AU6" i="3"/>
  <c r="AU5" i="3"/>
  <c r="AU4" i="3"/>
  <c r="AU3" i="3"/>
  <c r="AT33" i="2"/>
  <c r="AT32" i="2"/>
  <c r="AT31" i="2"/>
  <c r="AV31" i="2" s="1"/>
  <c r="AT30" i="2"/>
  <c r="AT29" i="2"/>
  <c r="AV29" i="2" s="1"/>
  <c r="AT28" i="2"/>
  <c r="AV28" i="2" s="1"/>
  <c r="AT27" i="2"/>
  <c r="AV27" i="2" s="1"/>
  <c r="AT26" i="2"/>
  <c r="AT25" i="2"/>
  <c r="AT24" i="2"/>
  <c r="AT23" i="2"/>
  <c r="AT22" i="2"/>
  <c r="AT21" i="2"/>
  <c r="AV21" i="2" s="1"/>
  <c r="AT20" i="2"/>
  <c r="AV20" i="2" s="1"/>
  <c r="AT19" i="2"/>
  <c r="AV19" i="2" s="1"/>
  <c r="AV17" i="2"/>
  <c r="AV18" i="2"/>
  <c r="AT18" i="2"/>
  <c r="AT17" i="2"/>
  <c r="AT16" i="2"/>
  <c r="AV23" i="2"/>
  <c r="AU10" i="2"/>
  <c r="AU9" i="2"/>
  <c r="AU8" i="2"/>
  <c r="AU7" i="2"/>
  <c r="AU6" i="2"/>
  <c r="AU5" i="2"/>
  <c r="AU4" i="2"/>
  <c r="AU3" i="2"/>
  <c r="AV18" i="3" l="1"/>
  <c r="AV24" i="3"/>
  <c r="AW22" i="3" s="1"/>
  <c r="BB24" i="6"/>
  <c r="BC24" i="6" s="1"/>
  <c r="BB30" i="5"/>
  <c r="BC30" i="5" s="1"/>
  <c r="BB21" i="5"/>
  <c r="BC21" i="5" s="1"/>
  <c r="BB31" i="5"/>
  <c r="BC31" i="5" s="1"/>
  <c r="BB18" i="4"/>
  <c r="BC18" i="4" s="1"/>
  <c r="BB33" i="4"/>
  <c r="BC33" i="4" s="1"/>
  <c r="BB26" i="4"/>
  <c r="BC26" i="4" s="1"/>
  <c r="BB32" i="4"/>
  <c r="BC32" i="4" s="1"/>
  <c r="BB19" i="4"/>
  <c r="BC19" i="4" s="1"/>
  <c r="BB22" i="3"/>
  <c r="BC22" i="3" s="1"/>
  <c r="BB19" i="3"/>
  <c r="BC19" i="3" s="1"/>
  <c r="BC16" i="3"/>
  <c r="BB20" i="3"/>
  <c r="BC20" i="3" s="1"/>
  <c r="BB23" i="3"/>
  <c r="BC23" i="3" s="1"/>
  <c r="BB17" i="3"/>
  <c r="BC17" i="3" s="1"/>
  <c r="BB21" i="3"/>
  <c r="BC21" i="3" s="1"/>
  <c r="BB24" i="3"/>
  <c r="BC24" i="3" s="1"/>
  <c r="BB18" i="3"/>
  <c r="BC18" i="3" s="1"/>
  <c r="AV30" i="2"/>
  <c r="AX28" i="2" s="1"/>
  <c r="AV32" i="2"/>
  <c r="AW31" i="2" s="1"/>
  <c r="AV33" i="2"/>
  <c r="AV26" i="2"/>
  <c r="BC31" i="2"/>
  <c r="AU18" i="6"/>
  <c r="AV18" i="6" s="1"/>
  <c r="AU24" i="6"/>
  <c r="AV24" i="6" s="1"/>
  <c r="AU17" i="6"/>
  <c r="AV17" i="6" s="1"/>
  <c r="AU22" i="6"/>
  <c r="AV22" i="6" s="1"/>
  <c r="AU20" i="6"/>
  <c r="AV20" i="6" s="1"/>
  <c r="AU11" i="5"/>
  <c r="AU16" i="6"/>
  <c r="AV16" i="6" s="1"/>
  <c r="AU12" i="5"/>
  <c r="AU30" i="5" s="1"/>
  <c r="AU13" i="5"/>
  <c r="AX31" i="4"/>
  <c r="AW31" i="4"/>
  <c r="AX28" i="4"/>
  <c r="AW28" i="4"/>
  <c r="AX25" i="4"/>
  <c r="AW25" i="4"/>
  <c r="AX22" i="4"/>
  <c r="AW22" i="4"/>
  <c r="AW19" i="4"/>
  <c r="AX19" i="4"/>
  <c r="AX16" i="4"/>
  <c r="AW16" i="4"/>
  <c r="AU11" i="4"/>
  <c r="AX19" i="3"/>
  <c r="AW19" i="3"/>
  <c r="AX16" i="3"/>
  <c r="AW16" i="3"/>
  <c r="AX16" i="2"/>
  <c r="AW19" i="2"/>
  <c r="AX19" i="2"/>
  <c r="AW25" i="2"/>
  <c r="AX25" i="2"/>
  <c r="AW16" i="2"/>
  <c r="AX22" i="2"/>
  <c r="AW22" i="2"/>
  <c r="AW28" i="2"/>
  <c r="BE22" i="3" l="1"/>
  <c r="BF22" i="3" s="1"/>
  <c r="BD22" i="3"/>
  <c r="BE19" i="3"/>
  <c r="BF19" i="3" s="1"/>
  <c r="BD19" i="3"/>
  <c r="AX31" i="2"/>
  <c r="AY31" i="2" s="1"/>
  <c r="AX22" i="3"/>
  <c r="AY22" i="3" s="1"/>
  <c r="BB23" i="6"/>
  <c r="BC23" i="6" s="1"/>
  <c r="BB22" i="6"/>
  <c r="BC22" i="6" s="1"/>
  <c r="BE22" i="6" s="1"/>
  <c r="BB18" i="6"/>
  <c r="BC18" i="6" s="1"/>
  <c r="BB20" i="6"/>
  <c r="BC20" i="6" s="1"/>
  <c r="BB16" i="6"/>
  <c r="BC16" i="6" s="1"/>
  <c r="BD22" i="6"/>
  <c r="BB19" i="6"/>
  <c r="BC19" i="6" s="1"/>
  <c r="BB21" i="6"/>
  <c r="BC21" i="6" s="1"/>
  <c r="BB18" i="5"/>
  <c r="BC18" i="5" s="1"/>
  <c r="BB26" i="5"/>
  <c r="BC26" i="5" s="1"/>
  <c r="BB32" i="5"/>
  <c r="BC32" i="5" s="1"/>
  <c r="BE31" i="5" s="1"/>
  <c r="BB28" i="5"/>
  <c r="BC28" i="5" s="1"/>
  <c r="BC16" i="5"/>
  <c r="BB25" i="5"/>
  <c r="BC25" i="5" s="1"/>
  <c r="BB19" i="5"/>
  <c r="BC19" i="5" s="1"/>
  <c r="BB17" i="5"/>
  <c r="BC17" i="5" s="1"/>
  <c r="BB22" i="5"/>
  <c r="BC22" i="5" s="1"/>
  <c r="BB33" i="5"/>
  <c r="BC33" i="5" s="1"/>
  <c r="BB29" i="5"/>
  <c r="BC29" i="5" s="1"/>
  <c r="BB24" i="5"/>
  <c r="BC24" i="5" s="1"/>
  <c r="BB20" i="5"/>
  <c r="BC20" i="5" s="1"/>
  <c r="BB23" i="5"/>
  <c r="BC23" i="5" s="1"/>
  <c r="BB27" i="5"/>
  <c r="BC27" i="5" s="1"/>
  <c r="BB21" i="4"/>
  <c r="BC21" i="4" s="1"/>
  <c r="BD19" i="4" s="1"/>
  <c r="BB23" i="4"/>
  <c r="BC23" i="4" s="1"/>
  <c r="BB31" i="4"/>
  <c r="BC31" i="4" s="1"/>
  <c r="BB22" i="4"/>
  <c r="BC22" i="4" s="1"/>
  <c r="BB27" i="4"/>
  <c r="BC27" i="4" s="1"/>
  <c r="BC16" i="4"/>
  <c r="BB24" i="4"/>
  <c r="BC24" i="4" s="1"/>
  <c r="BB30" i="4"/>
  <c r="BC30" i="4" s="1"/>
  <c r="BB25" i="4"/>
  <c r="BC25" i="4" s="1"/>
  <c r="BB29" i="4"/>
  <c r="BC29" i="4" s="1"/>
  <c r="BB20" i="4"/>
  <c r="BC20" i="4" s="1"/>
  <c r="BE19" i="4" s="1"/>
  <c r="BF19" i="4" s="1"/>
  <c r="BB17" i="4"/>
  <c r="BC17" i="4" s="1"/>
  <c r="BB28" i="4"/>
  <c r="BC28" i="4" s="1"/>
  <c r="AY25" i="2"/>
  <c r="BC23" i="2"/>
  <c r="BC32" i="2"/>
  <c r="BE31" i="2" s="1"/>
  <c r="BF31" i="2" s="1"/>
  <c r="BC33" i="2"/>
  <c r="BD31" i="2" s="1"/>
  <c r="BC27" i="2"/>
  <c r="BC28" i="2"/>
  <c r="BC22" i="2"/>
  <c r="BC19" i="2"/>
  <c r="BC16" i="2"/>
  <c r="BC29" i="2"/>
  <c r="BC24" i="2"/>
  <c r="BC20" i="2"/>
  <c r="BC26" i="2"/>
  <c r="BC30" i="2"/>
  <c r="BC21" i="2"/>
  <c r="BC18" i="2"/>
  <c r="BC25" i="2"/>
  <c r="BC17" i="2"/>
  <c r="AW16" i="6"/>
  <c r="AU21" i="6"/>
  <c r="AV21" i="6" s="1"/>
  <c r="AU19" i="6"/>
  <c r="AV19" i="6" s="1"/>
  <c r="AU23" i="6"/>
  <c r="AU33" i="5"/>
  <c r="AV33" i="5" s="1"/>
  <c r="AU25" i="5"/>
  <c r="AU18" i="5"/>
  <c r="AV16" i="5"/>
  <c r="AU22" i="5"/>
  <c r="AV22" i="5" s="1"/>
  <c r="AU28" i="5"/>
  <c r="AV28" i="5" s="1"/>
  <c r="AU20" i="5"/>
  <c r="AV20" i="5" s="1"/>
  <c r="AU29" i="5"/>
  <c r="AV29" i="5" s="1"/>
  <c r="AU17" i="5"/>
  <c r="AV17" i="5" s="1"/>
  <c r="AU21" i="5"/>
  <c r="AU32" i="5"/>
  <c r="AU27" i="5"/>
  <c r="AV27" i="5" s="1"/>
  <c r="AU24" i="5"/>
  <c r="AV24" i="5" s="1"/>
  <c r="AU19" i="5"/>
  <c r="AV19" i="5" s="1"/>
  <c r="AU31" i="5"/>
  <c r="AV31" i="5" s="1"/>
  <c r="AU26" i="5"/>
  <c r="AV26" i="5" s="1"/>
  <c r="AU23" i="5"/>
  <c r="AV23" i="5" s="1"/>
  <c r="AX16" i="6"/>
  <c r="AV32" i="5"/>
  <c r="AV25" i="5"/>
  <c r="AV30" i="5"/>
  <c r="AV18" i="5"/>
  <c r="AV21" i="5"/>
  <c r="AY31" i="4"/>
  <c r="AY28" i="4"/>
  <c r="AY25" i="4"/>
  <c r="AY22" i="4"/>
  <c r="AY19" i="4"/>
  <c r="AY16" i="4"/>
  <c r="AY19" i="3"/>
  <c r="AY16" i="3"/>
  <c r="AY22" i="2"/>
  <c r="AY16" i="2"/>
  <c r="AY28" i="2"/>
  <c r="AY19" i="2"/>
  <c r="BE22" i="4" l="1"/>
  <c r="BD22" i="4"/>
  <c r="BE31" i="4"/>
  <c r="BF31" i="4" s="1"/>
  <c r="BD31" i="4"/>
  <c r="AV23" i="6"/>
  <c r="AX22" i="6" s="1"/>
  <c r="BD22" i="5"/>
  <c r="BE25" i="5"/>
  <c r="BF25" i="5" s="1"/>
  <c r="BD25" i="5"/>
  <c r="BD25" i="2"/>
  <c r="BE25" i="2"/>
  <c r="BF25" i="2" s="1"/>
  <c r="BE25" i="4"/>
  <c r="BD25" i="4"/>
  <c r="BD19" i="5"/>
  <c r="BE16" i="4"/>
  <c r="BD16" i="4"/>
  <c r="BD31" i="5"/>
  <c r="BE28" i="4"/>
  <c r="BD28" i="4"/>
  <c r="BE28" i="5"/>
  <c r="BD28" i="5"/>
  <c r="BF22" i="6"/>
  <c r="BE16" i="6"/>
  <c r="BD16" i="6"/>
  <c r="BE19" i="6"/>
  <c r="BD19" i="6"/>
  <c r="BE19" i="5"/>
  <c r="BE16" i="5"/>
  <c r="BD16" i="5"/>
  <c r="BE22" i="5"/>
  <c r="AY16" i="6"/>
  <c r="AW19" i="6"/>
  <c r="AX19" i="6"/>
  <c r="AW16" i="5"/>
  <c r="AX28" i="5"/>
  <c r="AW28" i="5"/>
  <c r="AW31" i="5"/>
  <c r="AX31" i="5"/>
  <c r="AW25" i="5"/>
  <c r="AX25" i="5"/>
  <c r="AX22" i="5"/>
  <c r="AW22" i="5"/>
  <c r="AW19" i="5"/>
  <c r="AX19" i="5"/>
  <c r="AX16" i="5"/>
  <c r="BF16" i="4" l="1"/>
  <c r="BF28" i="4"/>
  <c r="BF22" i="4"/>
  <c r="AW22" i="6"/>
  <c r="AY22" i="6" s="1"/>
  <c r="BF25" i="4"/>
  <c r="BF16" i="6"/>
  <c r="BF19" i="6"/>
  <c r="BF31" i="5"/>
  <c r="BF28" i="5"/>
  <c r="BF16" i="5"/>
  <c r="BF19" i="5"/>
  <c r="BF22" i="5"/>
  <c r="AY19" i="6"/>
  <c r="AY25" i="5"/>
  <c r="AY31" i="5"/>
  <c r="AY16" i="5"/>
  <c r="AY22" i="5"/>
  <c r="AY28" i="5"/>
  <c r="AY19" i="5"/>
  <c r="AM24" i="5" l="1"/>
  <c r="AN24" i="5" s="1"/>
  <c r="AO24" i="5" s="1"/>
  <c r="AM23" i="5"/>
  <c r="AN22" i="5"/>
  <c r="AN23" i="5"/>
  <c r="AO23" i="5" s="1"/>
  <c r="AM22" i="5"/>
  <c r="AF24" i="5"/>
  <c r="AF23" i="5"/>
  <c r="AF21" i="5"/>
  <c r="AF20" i="5"/>
  <c r="AF19" i="5"/>
  <c r="AQ28" i="5"/>
  <c r="AP28" i="5"/>
  <c r="AM27" i="5"/>
  <c r="AM26" i="5"/>
  <c r="AN27" i="5"/>
  <c r="AO27" i="5" s="1"/>
  <c r="AN26" i="5"/>
  <c r="AO26" i="5" s="1"/>
  <c r="AN25" i="5"/>
  <c r="AO25" i="5" s="1"/>
  <c r="AM25" i="5"/>
  <c r="AM21" i="5"/>
  <c r="AM20" i="5"/>
  <c r="AN20" i="5" s="1"/>
  <c r="AN21" i="5"/>
  <c r="AO21" i="5" s="1"/>
  <c r="AN19" i="5"/>
  <c r="AM19" i="5"/>
  <c r="AO19" i="5" s="1"/>
  <c r="AF24" i="6"/>
  <c r="AM24" i="6"/>
  <c r="AN24" i="6" s="1"/>
  <c r="AO24" i="6" s="1"/>
  <c r="AM23" i="6"/>
  <c r="AN23" i="6" s="1"/>
  <c r="AO23" i="6" s="1"/>
  <c r="AM22" i="6"/>
  <c r="AM21" i="6"/>
  <c r="AN21" i="6" s="1"/>
  <c r="AO21" i="6" s="1"/>
  <c r="AM20" i="6"/>
  <c r="AN20" i="6" s="1"/>
  <c r="AO20" i="6" s="1"/>
  <c r="AM19" i="6"/>
  <c r="AN19" i="6" s="1"/>
  <c r="AO19" i="6" s="1"/>
  <c r="AM18" i="6"/>
  <c r="AN17" i="6"/>
  <c r="AO17" i="6" s="1"/>
  <c r="AO16" i="6"/>
  <c r="AN18" i="6"/>
  <c r="AO18" i="6" s="1"/>
  <c r="AN22" i="6"/>
  <c r="AO22" i="6" s="1"/>
  <c r="AN16" i="6"/>
  <c r="AM17" i="6"/>
  <c r="AM16" i="6"/>
  <c r="AN9" i="6"/>
  <c r="AN8" i="6"/>
  <c r="AN7" i="6"/>
  <c r="AN6" i="6"/>
  <c r="AN5" i="6"/>
  <c r="AN4" i="6"/>
  <c r="AN3" i="6"/>
  <c r="AN12" i="6" s="1"/>
  <c r="AQ10" i="6"/>
  <c r="AR31" i="5"/>
  <c r="AQ31" i="5"/>
  <c r="AP31" i="5"/>
  <c r="AN32" i="5"/>
  <c r="AN33" i="5"/>
  <c r="AO33" i="5" s="1"/>
  <c r="AM33" i="5"/>
  <c r="AM32" i="5"/>
  <c r="AN31" i="5"/>
  <c r="AM31" i="5"/>
  <c r="AO31" i="5" s="1"/>
  <c r="AM30" i="5"/>
  <c r="AM28" i="5"/>
  <c r="AN28" i="5" s="1"/>
  <c r="AO28" i="5" s="1"/>
  <c r="AO16" i="5"/>
  <c r="AO17" i="5"/>
  <c r="AO18" i="5"/>
  <c r="AN17" i="5"/>
  <c r="AN18" i="5"/>
  <c r="AO22" i="5"/>
  <c r="AN29" i="5"/>
  <c r="AN30" i="5"/>
  <c r="AO30" i="5" s="1"/>
  <c r="AO32" i="5"/>
  <c r="AM18" i="5"/>
  <c r="AM17" i="5"/>
  <c r="AM16" i="5"/>
  <c r="AN9" i="5"/>
  <c r="AN8" i="5"/>
  <c r="AN7" i="5"/>
  <c r="AN6" i="5"/>
  <c r="AN5" i="5"/>
  <c r="AN4" i="5"/>
  <c r="AN3" i="5"/>
  <c r="AN10" i="5" s="1"/>
  <c r="AN11" i="5"/>
  <c r="AQ10" i="5"/>
  <c r="AM33" i="4"/>
  <c r="AN33" i="4" s="1"/>
  <c r="AO33" i="4" s="1"/>
  <c r="AM32" i="4"/>
  <c r="AM31" i="4"/>
  <c r="AN31" i="4" s="1"/>
  <c r="AO31" i="4" s="1"/>
  <c r="AM30" i="4"/>
  <c r="AM29" i="4"/>
  <c r="AM28" i="4"/>
  <c r="AM27" i="4"/>
  <c r="AN27" i="4" s="1"/>
  <c r="AO27" i="4" s="1"/>
  <c r="AM26" i="4"/>
  <c r="AM25" i="4"/>
  <c r="AN25" i="4" s="1"/>
  <c r="AO25" i="4" s="1"/>
  <c r="AM24" i="4"/>
  <c r="AN24" i="4" s="1"/>
  <c r="AO24" i="4" s="1"/>
  <c r="AM23" i="4"/>
  <c r="AN23" i="4" s="1"/>
  <c r="AO23" i="4" s="1"/>
  <c r="AM22" i="4"/>
  <c r="AN22" i="4" s="1"/>
  <c r="AO22" i="4" s="1"/>
  <c r="AN21" i="4"/>
  <c r="AM21" i="4"/>
  <c r="AN20" i="4"/>
  <c r="AO20" i="4" s="1"/>
  <c r="AN17" i="4"/>
  <c r="AO17" i="4" s="1"/>
  <c r="AN18" i="4"/>
  <c r="AO18" i="4" s="1"/>
  <c r="AN19" i="4"/>
  <c r="AO19" i="4" s="1"/>
  <c r="AN26" i="4"/>
  <c r="AO26" i="4" s="1"/>
  <c r="AN28" i="4"/>
  <c r="AO28" i="4" s="1"/>
  <c r="AN29" i="4"/>
  <c r="AO29" i="4" s="1"/>
  <c r="AN30" i="4"/>
  <c r="AO30" i="4" s="1"/>
  <c r="AN32" i="4"/>
  <c r="AO32" i="4" s="1"/>
  <c r="AO16" i="4"/>
  <c r="AM20" i="4"/>
  <c r="AM19" i="4"/>
  <c r="AM18" i="4"/>
  <c r="AM17" i="4"/>
  <c r="AM16" i="4"/>
  <c r="AN9" i="4"/>
  <c r="AN8" i="4"/>
  <c r="AN7" i="4"/>
  <c r="AN6" i="4"/>
  <c r="AN5" i="4"/>
  <c r="AN4" i="4"/>
  <c r="AN3" i="4"/>
  <c r="AN11" i="4" s="1"/>
  <c r="AQ12" i="4"/>
  <c r="AO24" i="3"/>
  <c r="AO17" i="3"/>
  <c r="AO18" i="3"/>
  <c r="AO20" i="3"/>
  <c r="AO21" i="3"/>
  <c r="AQ19" i="3" s="1"/>
  <c r="AO23" i="3"/>
  <c r="AO16" i="3"/>
  <c r="AM24" i="3"/>
  <c r="AM23" i="3"/>
  <c r="AM22" i="3"/>
  <c r="AM21" i="3"/>
  <c r="AM20" i="3"/>
  <c r="AM19" i="3"/>
  <c r="AM18" i="3"/>
  <c r="AM17" i="3"/>
  <c r="AM16" i="3"/>
  <c r="AN9" i="3"/>
  <c r="AN8" i="3"/>
  <c r="AN7" i="3"/>
  <c r="AN6" i="3"/>
  <c r="AN5" i="3"/>
  <c r="AN4" i="3"/>
  <c r="AN3" i="3"/>
  <c r="AM33" i="2"/>
  <c r="AO33" i="2" s="1"/>
  <c r="AM32" i="2"/>
  <c r="AO32" i="2" s="1"/>
  <c r="AM31" i="2"/>
  <c r="AO31" i="2" s="1"/>
  <c r="AM30" i="2"/>
  <c r="AO30" i="2" s="1"/>
  <c r="AM29" i="2"/>
  <c r="AO29" i="2" s="1"/>
  <c r="AM28" i="2"/>
  <c r="AO28" i="2" s="1"/>
  <c r="AM27" i="2"/>
  <c r="AO27" i="2" s="1"/>
  <c r="AM26" i="2"/>
  <c r="AO26" i="2" s="1"/>
  <c r="AM25" i="2"/>
  <c r="AM24" i="2"/>
  <c r="AO24" i="2" s="1"/>
  <c r="AM23" i="2"/>
  <c r="AO23" i="2" s="1"/>
  <c r="AM22" i="2"/>
  <c r="AO22" i="2" s="1"/>
  <c r="AM21" i="2"/>
  <c r="AO21" i="2" s="1"/>
  <c r="AM20" i="2"/>
  <c r="AO20" i="2" s="1"/>
  <c r="AM19" i="2"/>
  <c r="AO19" i="2" s="1"/>
  <c r="AO17" i="2"/>
  <c r="AO18" i="2"/>
  <c r="AO16" i="2"/>
  <c r="AO25" i="2"/>
  <c r="AM18" i="2"/>
  <c r="AM17" i="2"/>
  <c r="AM16" i="2"/>
  <c r="AN3" i="2"/>
  <c r="AN9" i="2"/>
  <c r="AN8" i="2"/>
  <c r="AN7" i="2"/>
  <c r="AN6" i="2"/>
  <c r="AN5" i="2"/>
  <c r="AN4" i="2"/>
  <c r="AF23" i="6"/>
  <c r="AF22" i="6"/>
  <c r="AF21" i="6"/>
  <c r="AF20" i="6"/>
  <c r="AF19" i="6"/>
  <c r="AF18" i="6"/>
  <c r="AF17" i="6"/>
  <c r="AF16" i="6"/>
  <c r="AG9" i="6"/>
  <c r="AG8" i="6"/>
  <c r="AG7" i="6"/>
  <c r="AG11" i="6" s="1"/>
  <c r="AG6" i="6"/>
  <c r="AG5" i="6"/>
  <c r="AG4" i="6"/>
  <c r="AG3" i="6"/>
  <c r="AG31" i="5"/>
  <c r="AG32" i="5"/>
  <c r="AG33" i="5"/>
  <c r="AF33" i="5"/>
  <c r="AF32" i="5"/>
  <c r="AF31" i="5"/>
  <c r="AF30" i="5"/>
  <c r="AF29" i="5"/>
  <c r="AF28" i="5"/>
  <c r="AF27" i="5"/>
  <c r="AF26" i="5"/>
  <c r="AF25" i="5"/>
  <c r="AF18" i="5"/>
  <c r="AF17" i="5"/>
  <c r="AF16" i="5"/>
  <c r="AG9" i="5"/>
  <c r="AG8" i="5"/>
  <c r="AG7" i="5"/>
  <c r="AG6" i="5"/>
  <c r="AG5" i="5"/>
  <c r="AG4" i="5"/>
  <c r="AG3" i="5"/>
  <c r="AG12" i="5"/>
  <c r="AF33" i="4"/>
  <c r="AF32" i="4"/>
  <c r="AF31" i="4"/>
  <c r="AF30" i="4"/>
  <c r="AF29" i="4"/>
  <c r="AF28" i="4"/>
  <c r="AF27" i="4"/>
  <c r="AF26" i="4"/>
  <c r="AF25" i="4"/>
  <c r="AF24" i="4"/>
  <c r="AF23" i="4"/>
  <c r="AF22" i="4"/>
  <c r="AF21" i="4"/>
  <c r="AF20" i="4"/>
  <c r="AF19" i="4"/>
  <c r="AF18" i="4"/>
  <c r="AF17" i="4"/>
  <c r="AF16" i="4"/>
  <c r="AG9" i="4"/>
  <c r="AG8" i="4"/>
  <c r="AG7" i="4"/>
  <c r="AG6" i="4"/>
  <c r="AG5" i="4"/>
  <c r="AG4" i="4"/>
  <c r="AG3" i="4"/>
  <c r="AJ13" i="4"/>
  <c r="AG12" i="4"/>
  <c r="AQ16" i="4" l="1"/>
  <c r="AP16" i="4"/>
  <c r="AQ31" i="4"/>
  <c r="AP31" i="4"/>
  <c r="AP16" i="3"/>
  <c r="AO19" i="3" s="1"/>
  <c r="AQ16" i="3"/>
  <c r="AR16" i="3" s="1"/>
  <c r="AP19" i="3"/>
  <c r="AO22" i="3" s="1"/>
  <c r="AQ22" i="5"/>
  <c r="AP22" i="5"/>
  <c r="AR28" i="5"/>
  <c r="AQ25" i="5"/>
  <c r="AP25" i="5"/>
  <c r="AO20" i="5"/>
  <c r="AQ19" i="5" s="1"/>
  <c r="AP19" i="5"/>
  <c r="AP19" i="6"/>
  <c r="AQ19" i="6"/>
  <c r="AQ16" i="6"/>
  <c r="AP16" i="6"/>
  <c r="AN11" i="6"/>
  <c r="AP22" i="6"/>
  <c r="AQ22" i="6"/>
  <c r="AR22" i="6" s="1"/>
  <c r="AQ16" i="5"/>
  <c r="AN12" i="5"/>
  <c r="AR16" i="4"/>
  <c r="AO21" i="4"/>
  <c r="AQ19" i="4" s="1"/>
  <c r="AN12" i="4"/>
  <c r="AP22" i="3"/>
  <c r="AQ22" i="3"/>
  <c r="AP19" i="2"/>
  <c r="AQ19" i="2"/>
  <c r="AQ16" i="2"/>
  <c r="AP16" i="2"/>
  <c r="AP31" i="2"/>
  <c r="AQ31" i="2"/>
  <c r="AQ28" i="2"/>
  <c r="AP28" i="2"/>
  <c r="AP25" i="2"/>
  <c r="AQ25" i="2"/>
  <c r="AQ22" i="2"/>
  <c r="AP22" i="2"/>
  <c r="AG12" i="6"/>
  <c r="AG22" i="6"/>
  <c r="AH22" i="6" s="1"/>
  <c r="AG10" i="5"/>
  <c r="AH21" i="5" s="1"/>
  <c r="AG30" i="4"/>
  <c r="AH30" i="4" s="1"/>
  <c r="AR31" i="4" l="1"/>
  <c r="AR19" i="3"/>
  <c r="AR22" i="5"/>
  <c r="AR25" i="5"/>
  <c r="AR19" i="5"/>
  <c r="AR19" i="6"/>
  <c r="AR16" i="6"/>
  <c r="AP16" i="5"/>
  <c r="AR16" i="5" s="1"/>
  <c r="AP19" i="4"/>
  <c r="AR19" i="4" s="1"/>
  <c r="AR22" i="3"/>
  <c r="AR28" i="2"/>
  <c r="AR31" i="2"/>
  <c r="AR16" i="2"/>
  <c r="AR22" i="2"/>
  <c r="AR25" i="2"/>
  <c r="AR19" i="2"/>
  <c r="AG18" i="6"/>
  <c r="AH18" i="6" s="1"/>
  <c r="AG21" i="6"/>
  <c r="AH21" i="6" s="1"/>
  <c r="AG20" i="6"/>
  <c r="AH20" i="6" s="1"/>
  <c r="AJ19" i="6" s="1"/>
  <c r="AG23" i="6"/>
  <c r="AH23" i="6" s="1"/>
  <c r="AG16" i="6"/>
  <c r="AH16" i="6" s="1"/>
  <c r="AG19" i="6"/>
  <c r="AH19" i="6" s="1"/>
  <c r="AG17" i="6"/>
  <c r="AH17" i="6" s="1"/>
  <c r="AI16" i="6" s="1"/>
  <c r="AG24" i="6"/>
  <c r="AH24" i="6" s="1"/>
  <c r="AJ22" i="6" s="1"/>
  <c r="AH23" i="5"/>
  <c r="AG29" i="5"/>
  <c r="AH29" i="5" s="1"/>
  <c r="AH32" i="5"/>
  <c r="AG25" i="5"/>
  <c r="AH25" i="5" s="1"/>
  <c r="AG17" i="5"/>
  <c r="AH17" i="5" s="1"/>
  <c r="AG30" i="5"/>
  <c r="AH30" i="5" s="1"/>
  <c r="AH31" i="5"/>
  <c r="AH20" i="5"/>
  <c r="AG28" i="5"/>
  <c r="AH28" i="5" s="1"/>
  <c r="AH19" i="5"/>
  <c r="AG27" i="5"/>
  <c r="AH27" i="5" s="1"/>
  <c r="AH16" i="5"/>
  <c r="AG18" i="5"/>
  <c r="AH18" i="5" s="1"/>
  <c r="AH24" i="5"/>
  <c r="AG26" i="5"/>
  <c r="AH26" i="5" s="1"/>
  <c r="AH33" i="5"/>
  <c r="AG29" i="4"/>
  <c r="AH29" i="4" s="1"/>
  <c r="AG23" i="4"/>
  <c r="AH23" i="4" s="1"/>
  <c r="AG27" i="4"/>
  <c r="AH27" i="4" s="1"/>
  <c r="AG21" i="4"/>
  <c r="AH21" i="4" s="1"/>
  <c r="AG33" i="4"/>
  <c r="AH33" i="4" s="1"/>
  <c r="AG24" i="4"/>
  <c r="AH24" i="4" s="1"/>
  <c r="AG26" i="4"/>
  <c r="AH26" i="4" s="1"/>
  <c r="AG32" i="4"/>
  <c r="AH32" i="4" s="1"/>
  <c r="AG20" i="4"/>
  <c r="AH20" i="4" s="1"/>
  <c r="AH17" i="4"/>
  <c r="AG19" i="4"/>
  <c r="AH19" i="4" s="1"/>
  <c r="AG16" i="4"/>
  <c r="AH16" i="4" s="1"/>
  <c r="AG28" i="4"/>
  <c r="AH28" i="4" s="1"/>
  <c r="AG25" i="4"/>
  <c r="AH25" i="4" s="1"/>
  <c r="AG22" i="4"/>
  <c r="AH22" i="4" s="1"/>
  <c r="AG31" i="4"/>
  <c r="AH31" i="4" s="1"/>
  <c r="AG18" i="4"/>
  <c r="AH18" i="4" s="1"/>
  <c r="AJ16" i="6" l="1"/>
  <c r="AK16" i="6" s="1"/>
  <c r="AJ31" i="4"/>
  <c r="AI31" i="4"/>
  <c r="AJ22" i="4"/>
  <c r="AI22" i="4"/>
  <c r="AJ25" i="4"/>
  <c r="AI25" i="4"/>
  <c r="AJ28" i="4"/>
  <c r="AI28" i="4"/>
  <c r="AJ19" i="5"/>
  <c r="AI19" i="5"/>
  <c r="AI19" i="6"/>
  <c r="AK19" i="6" s="1"/>
  <c r="AI22" i="6"/>
  <c r="AK22" i="6" s="1"/>
  <c r="AJ28" i="5"/>
  <c r="AI28" i="5"/>
  <c r="AJ22" i="5"/>
  <c r="AI22" i="5"/>
  <c r="AI31" i="5"/>
  <c r="AJ31" i="5"/>
  <c r="AJ16" i="5"/>
  <c r="AI16" i="5"/>
  <c r="AI25" i="5"/>
  <c r="AJ25" i="5"/>
  <c r="AJ16" i="4"/>
  <c r="AI16" i="4"/>
  <c r="AJ19" i="4"/>
  <c r="AI19" i="4"/>
  <c r="AK25" i="4" l="1"/>
  <c r="AK22" i="4"/>
  <c r="AK31" i="4"/>
  <c r="AK22" i="5"/>
  <c r="AK19" i="5"/>
  <c r="AK28" i="5"/>
  <c r="AK31" i="5"/>
  <c r="AK16" i="5"/>
  <c r="AK25" i="5"/>
  <c r="AK16" i="4"/>
  <c r="AK28" i="4"/>
  <c r="AK19" i="4"/>
  <c r="AG9" i="3" l="1"/>
  <c r="AG8" i="3"/>
  <c r="AG7" i="3"/>
  <c r="AG6" i="3"/>
  <c r="AG5" i="3"/>
  <c r="AG4" i="3"/>
  <c r="AG3" i="3"/>
  <c r="AF24" i="3"/>
  <c r="AF23" i="3"/>
  <c r="AF22" i="3"/>
  <c r="AF21" i="3"/>
  <c r="AF20" i="3"/>
  <c r="AF19" i="3"/>
  <c r="AF18" i="3"/>
  <c r="AF17" i="3"/>
  <c r="AF16" i="3"/>
  <c r="AF33" i="2"/>
  <c r="AF32" i="2"/>
  <c r="AF31" i="2"/>
  <c r="AF30" i="2"/>
  <c r="AF29" i="2"/>
  <c r="AF28" i="2"/>
  <c r="AF27" i="2"/>
  <c r="AF26" i="2"/>
  <c r="AF25" i="2"/>
  <c r="AF24" i="2"/>
  <c r="AF23" i="2"/>
  <c r="AF22" i="2"/>
  <c r="AF21" i="2"/>
  <c r="AF20" i="2"/>
  <c r="AF19" i="2"/>
  <c r="AF18" i="2"/>
  <c r="AF17" i="2"/>
  <c r="AF16" i="2"/>
  <c r="AG9" i="2"/>
  <c r="AG8" i="2"/>
  <c r="AG7" i="2"/>
  <c r="AG6" i="2"/>
  <c r="AG5" i="2"/>
  <c r="AG4" i="2"/>
  <c r="AG3" i="2"/>
  <c r="AG17" i="3" l="1"/>
  <c r="AH17" i="3" s="1"/>
  <c r="AG19" i="3"/>
  <c r="AH19" i="3" s="1"/>
  <c r="AG20" i="3"/>
  <c r="AH20" i="3" s="1"/>
  <c r="AG24" i="3"/>
  <c r="AH24" i="3" s="1"/>
  <c r="AG22" i="3"/>
  <c r="AH22" i="3" s="1"/>
  <c r="AG23" i="3"/>
  <c r="AH23" i="3" s="1"/>
  <c r="AH16" i="3"/>
  <c r="AG21" i="3"/>
  <c r="AH21" i="3" s="1"/>
  <c r="AG18" i="3"/>
  <c r="AH18" i="3" s="1"/>
  <c r="AG29" i="2"/>
  <c r="AH29" i="2" s="1"/>
  <c r="AG17" i="2"/>
  <c r="AH17" i="2" s="1"/>
  <c r="AG24" i="2"/>
  <c r="AH24" i="2" s="1"/>
  <c r="AI19" i="3" l="1"/>
  <c r="AI16" i="3"/>
  <c r="AJ16" i="3"/>
  <c r="AK16" i="3" s="1"/>
  <c r="AI22" i="3"/>
  <c r="AJ22" i="3"/>
  <c r="AK22" i="3" s="1"/>
  <c r="AJ19" i="3"/>
  <c r="AK19" i="3" s="1"/>
  <c r="AG27" i="2"/>
  <c r="AH27" i="2" s="1"/>
  <c r="AG33" i="2"/>
  <c r="AH33" i="2" s="1"/>
  <c r="AG21" i="2"/>
  <c r="AH21" i="2" s="1"/>
  <c r="AG16" i="2"/>
  <c r="AH16" i="2" s="1"/>
  <c r="AG32" i="2"/>
  <c r="AH32" i="2" s="1"/>
  <c r="AG31" i="2"/>
  <c r="AH31" i="2" s="1"/>
  <c r="AI31" i="2" s="1"/>
  <c r="AG26" i="2"/>
  <c r="AH26" i="2" s="1"/>
  <c r="AG25" i="2"/>
  <c r="AH25" i="2" s="1"/>
  <c r="AJ25" i="2" s="1"/>
  <c r="AG20" i="2"/>
  <c r="AH20" i="2" s="1"/>
  <c r="AH18" i="2"/>
  <c r="AI16" i="2" s="1"/>
  <c r="AG30" i="2"/>
  <c r="AH30" i="2" s="1"/>
  <c r="AG22" i="2"/>
  <c r="AH22" i="2" s="1"/>
  <c r="AG23" i="2"/>
  <c r="AH23" i="2" s="1"/>
  <c r="AG28" i="2"/>
  <c r="AH28" i="2" s="1"/>
  <c r="AG19" i="2"/>
  <c r="AH19" i="2" s="1"/>
  <c r="AI25" i="2" l="1"/>
  <c r="AJ31" i="2"/>
  <c r="AK31" i="2" s="1"/>
  <c r="AJ19" i="2"/>
  <c r="AJ16" i="2"/>
  <c r="AI19" i="2"/>
  <c r="AI22" i="2"/>
  <c r="AJ22" i="2"/>
  <c r="AK16" i="2"/>
  <c r="AK25" i="2"/>
  <c r="AI28" i="2"/>
  <c r="AJ28" i="2"/>
  <c r="AK28" i="2" l="1"/>
  <c r="AK22" i="2"/>
  <c r="AK19" i="2"/>
  <c r="Z13" i="6" l="1"/>
  <c r="Z12" i="6"/>
  <c r="Z19" i="6" s="1"/>
  <c r="AA19" i="6" s="1"/>
  <c r="Z13" i="5"/>
  <c r="Z12" i="5"/>
  <c r="Z23" i="5" s="1"/>
  <c r="Z11" i="5"/>
  <c r="Z24" i="5" s="1"/>
  <c r="Z13" i="4"/>
  <c r="Z26" i="4"/>
  <c r="AA26" i="4" s="1"/>
  <c r="Z13" i="3"/>
  <c r="Z12" i="3"/>
  <c r="Z11" i="3"/>
  <c r="AA17" i="3" s="1"/>
  <c r="Z13" i="2"/>
  <c r="Z12" i="2"/>
  <c r="Z31" i="2" s="1"/>
  <c r="AA31" i="2" s="1"/>
  <c r="Z22" i="3" l="1"/>
  <c r="AA22" i="3" s="1"/>
  <c r="Z22" i="5"/>
  <c r="AA22" i="5" s="1"/>
  <c r="Z22" i="6"/>
  <c r="AA22" i="6" s="1"/>
  <c r="Z17" i="6"/>
  <c r="AA17" i="6" s="1"/>
  <c r="Z20" i="6"/>
  <c r="AA20" i="6" s="1"/>
  <c r="Z18" i="6"/>
  <c r="AA18" i="6" s="1"/>
  <c r="Z23" i="6"/>
  <c r="AA23" i="6" s="1"/>
  <c r="Z16" i="6"/>
  <c r="AA16" i="6" s="1"/>
  <c r="Z21" i="6"/>
  <c r="AA21" i="6" s="1"/>
  <c r="AC19" i="6" s="1"/>
  <c r="Z24" i="6"/>
  <c r="AA24" i="6" s="1"/>
  <c r="Z31" i="5"/>
  <c r="AA31" i="5" s="1"/>
  <c r="Z18" i="5"/>
  <c r="AA18" i="5" s="1"/>
  <c r="AA23" i="5"/>
  <c r="AA16" i="5"/>
  <c r="Z21" i="5"/>
  <c r="AA21" i="5" s="1"/>
  <c r="Z26" i="5"/>
  <c r="AA26" i="5" s="1"/>
  <c r="Z20" i="5"/>
  <c r="AA20" i="5" s="1"/>
  <c r="Z19" i="5"/>
  <c r="AA19" i="5" s="1"/>
  <c r="AA24" i="5"/>
  <c r="Z29" i="5"/>
  <c r="AA29" i="5" s="1"/>
  <c r="Z27" i="5"/>
  <c r="AA27" i="5" s="1"/>
  <c r="Z32" i="5"/>
  <c r="AA32" i="5" s="1"/>
  <c r="Z25" i="5"/>
  <c r="AA25" i="5" s="1"/>
  <c r="Z30" i="5"/>
  <c r="AA30" i="5" s="1"/>
  <c r="Z28" i="5"/>
  <c r="AA28" i="5" s="1"/>
  <c r="Z33" i="5"/>
  <c r="AA33" i="5" s="1"/>
  <c r="Z17" i="5"/>
  <c r="AA17" i="5" s="1"/>
  <c r="Z31" i="4"/>
  <c r="AA31" i="4" s="1"/>
  <c r="Z20" i="4"/>
  <c r="AA20" i="4" s="1"/>
  <c r="Z18" i="4"/>
  <c r="AA18" i="4" s="1"/>
  <c r="Z23" i="4"/>
  <c r="AA23" i="4" s="1"/>
  <c r="Z16" i="4"/>
  <c r="AA16" i="4" s="1"/>
  <c r="Z21" i="4"/>
  <c r="AA21" i="4" s="1"/>
  <c r="Z19" i="4"/>
  <c r="AA19" i="4" s="1"/>
  <c r="Z22" i="4"/>
  <c r="AA22" i="4" s="1"/>
  <c r="Z27" i="4"/>
  <c r="AA27" i="4" s="1"/>
  <c r="Z32" i="4"/>
  <c r="AA32" i="4" s="1"/>
  <c r="Z29" i="4"/>
  <c r="AA29" i="4" s="1"/>
  <c r="Z25" i="4"/>
  <c r="AA25" i="4" s="1"/>
  <c r="Z30" i="4"/>
  <c r="AA30" i="4" s="1"/>
  <c r="Z24" i="4"/>
  <c r="AA24" i="4" s="1"/>
  <c r="Z28" i="4"/>
  <c r="AA28" i="4" s="1"/>
  <c r="Z33" i="4"/>
  <c r="AA33" i="4" s="1"/>
  <c r="AA17" i="4"/>
  <c r="Z20" i="3"/>
  <c r="AA20" i="3" s="1"/>
  <c r="Z18" i="3"/>
  <c r="AA18" i="3" s="1"/>
  <c r="Z23" i="3"/>
  <c r="AA23" i="3" s="1"/>
  <c r="Z16" i="3"/>
  <c r="AA16" i="3" s="1"/>
  <c r="Z21" i="3"/>
  <c r="AA21" i="3" s="1"/>
  <c r="Z19" i="3"/>
  <c r="AA19" i="3" s="1"/>
  <c r="Z24" i="3"/>
  <c r="AA24" i="3" s="1"/>
  <c r="Z20" i="2"/>
  <c r="AA20" i="2" s="1"/>
  <c r="Z18" i="2"/>
  <c r="AA18" i="2" s="1"/>
  <c r="Z23" i="2"/>
  <c r="AA23" i="2" s="1"/>
  <c r="Z16" i="2"/>
  <c r="AA16" i="2" s="1"/>
  <c r="Z26" i="2"/>
  <c r="AA26" i="2" s="1"/>
  <c r="Z19" i="2"/>
  <c r="AA19" i="2" s="1"/>
  <c r="Z24" i="2"/>
  <c r="AA24" i="2" s="1"/>
  <c r="Z29" i="2"/>
  <c r="AA29" i="2" s="1"/>
  <c r="Z22" i="2"/>
  <c r="AA22" i="2" s="1"/>
  <c r="Z27" i="2"/>
  <c r="AA27" i="2" s="1"/>
  <c r="Z32" i="2"/>
  <c r="AA32" i="2" s="1"/>
  <c r="Z25" i="2"/>
  <c r="AA25" i="2" s="1"/>
  <c r="Z30" i="2"/>
  <c r="AA30" i="2" s="1"/>
  <c r="Z21" i="2"/>
  <c r="AA21" i="2" s="1"/>
  <c r="Z28" i="2"/>
  <c r="AA28" i="2" s="1"/>
  <c r="Z33" i="2"/>
  <c r="AA33" i="2" s="1"/>
  <c r="AA17" i="2"/>
  <c r="AC31" i="4" l="1"/>
  <c r="AC22" i="6"/>
  <c r="AB19" i="6"/>
  <c r="AD19" i="6" s="1"/>
  <c r="AB22" i="6"/>
  <c r="AB16" i="6"/>
  <c r="AC16" i="6"/>
  <c r="AD16" i="6" s="1"/>
  <c r="AC31" i="5"/>
  <c r="AB25" i="5"/>
  <c r="AC25" i="5"/>
  <c r="AD25" i="5" s="1"/>
  <c r="AC16" i="5"/>
  <c r="AB16" i="5"/>
  <c r="AC22" i="5"/>
  <c r="AB22" i="5"/>
  <c r="AB31" i="5"/>
  <c r="AD31" i="5" s="1"/>
  <c r="AB28" i="5"/>
  <c r="AC28" i="5"/>
  <c r="AC19" i="5"/>
  <c r="AB19" i="5"/>
  <c r="AC28" i="4"/>
  <c r="AB28" i="4"/>
  <c r="AC19" i="4"/>
  <c r="AB19" i="4"/>
  <c r="AB25" i="4"/>
  <c r="AC25" i="4"/>
  <c r="AC16" i="4"/>
  <c r="AB16" i="4"/>
  <c r="AB31" i="4"/>
  <c r="AC22" i="4"/>
  <c r="AB22" i="4"/>
  <c r="AC22" i="3"/>
  <c r="AC19" i="3"/>
  <c r="AB19" i="3"/>
  <c r="AB16" i="3"/>
  <c r="AC16" i="3"/>
  <c r="AB22" i="3"/>
  <c r="AB31" i="2"/>
  <c r="AC31" i="2"/>
  <c r="AD31" i="2" s="1"/>
  <c r="AC19" i="2"/>
  <c r="AB19" i="2"/>
  <c r="AB25" i="2"/>
  <c r="AC25" i="2"/>
  <c r="AC16" i="2"/>
  <c r="AB16" i="2"/>
  <c r="AC22" i="2"/>
  <c r="AB22" i="2"/>
  <c r="AC28" i="2"/>
  <c r="AB28" i="2"/>
  <c r="AD19" i="5" l="1"/>
  <c r="AD19" i="4"/>
  <c r="AD22" i="5"/>
  <c r="AD31" i="4"/>
  <c r="AD22" i="6"/>
  <c r="AD16" i="5"/>
  <c r="AD28" i="5"/>
  <c r="AD16" i="4"/>
  <c r="AD25" i="4"/>
  <c r="AD22" i="4"/>
  <c r="AD28" i="4"/>
  <c r="AD22" i="3"/>
  <c r="AD16" i="3"/>
  <c r="AD19" i="3"/>
  <c r="AD28" i="2"/>
  <c r="AD22" i="2"/>
  <c r="AD25" i="2"/>
  <c r="AD16" i="2"/>
  <c r="AD19" i="2"/>
  <c r="S11" i="6" l="1"/>
  <c r="S12" i="6"/>
  <c r="S17" i="5"/>
  <c r="S18" i="5"/>
  <c r="S19" i="5"/>
  <c r="S20" i="5"/>
  <c r="S21" i="5"/>
  <c r="S22" i="5"/>
  <c r="S23" i="5"/>
  <c r="S24" i="5"/>
  <c r="S25" i="5"/>
  <c r="S26" i="5"/>
  <c r="S27" i="5"/>
  <c r="S28" i="5"/>
  <c r="S29" i="5"/>
  <c r="S30" i="5"/>
  <c r="S31" i="5"/>
  <c r="S32" i="5"/>
  <c r="S33" i="5"/>
  <c r="S12" i="5"/>
  <c r="S11" i="5"/>
  <c r="S30" i="4"/>
  <c r="T30" i="4"/>
  <c r="S12" i="4"/>
  <c r="V10" i="4"/>
  <c r="S11" i="4"/>
  <c r="S13" i="3"/>
  <c r="S11" i="3"/>
  <c r="S18" i="2"/>
  <c r="T18" i="2" s="1"/>
  <c r="S13" i="2"/>
  <c r="S12" i="2"/>
  <c r="L3" i="6"/>
  <c r="L3" i="5"/>
  <c r="L31" i="4"/>
  <c r="M31" i="4" s="1"/>
  <c r="L3" i="4"/>
  <c r="T17" i="6" l="1"/>
  <c r="S24" i="6"/>
  <c r="T24" i="6" s="1"/>
  <c r="S21" i="6"/>
  <c r="T21" i="6" s="1"/>
  <c r="S22" i="6"/>
  <c r="T22" i="6" s="1"/>
  <c r="S20" i="6"/>
  <c r="T20" i="6" s="1"/>
  <c r="S16" i="6"/>
  <c r="T16" i="6" s="1"/>
  <c r="S18" i="6"/>
  <c r="T18" i="6" s="1"/>
  <c r="S19" i="6"/>
  <c r="T19" i="6" s="1"/>
  <c r="S23" i="6"/>
  <c r="T23" i="6" s="1"/>
  <c r="T32" i="5"/>
  <c r="S10" i="5"/>
  <c r="T25" i="5" s="1"/>
  <c r="S27" i="4"/>
  <c r="T27" i="4" s="1"/>
  <c r="S12" i="3"/>
  <c r="S23" i="3" s="1"/>
  <c r="T23" i="3" s="1"/>
  <c r="S26" i="2"/>
  <c r="T26" i="2" s="1"/>
  <c r="S28" i="2"/>
  <c r="T28" i="2" s="1"/>
  <c r="S19" i="2"/>
  <c r="T19" i="2" s="1"/>
  <c r="S29" i="2"/>
  <c r="T29" i="2" s="1"/>
  <c r="S33" i="2"/>
  <c r="T33" i="2" s="1"/>
  <c r="S22" i="2"/>
  <c r="T22" i="2" s="1"/>
  <c r="S30" i="2"/>
  <c r="T30" i="2" s="1"/>
  <c r="U28" i="2" s="1"/>
  <c r="V28" i="2"/>
  <c r="S23" i="2"/>
  <c r="T23" i="2" s="1"/>
  <c r="S31" i="2"/>
  <c r="T31" i="2" s="1"/>
  <c r="T16" i="2"/>
  <c r="S24" i="2"/>
  <c r="T24" i="2" s="1"/>
  <c r="S32" i="2"/>
  <c r="T32" i="2" s="1"/>
  <c r="S17" i="2"/>
  <c r="T17" i="2" s="1"/>
  <c r="S25" i="2"/>
  <c r="T25" i="2" s="1"/>
  <c r="S27" i="2"/>
  <c r="T27" i="2" s="1"/>
  <c r="S21" i="2"/>
  <c r="T21" i="2" s="1"/>
  <c r="S20" i="2"/>
  <c r="T20" i="2" s="1"/>
  <c r="L23" i="6"/>
  <c r="M23" i="6" s="1"/>
  <c r="M17" i="6"/>
  <c r="L18" i="6"/>
  <c r="M18" i="6" s="1"/>
  <c r="L22" i="6"/>
  <c r="M22" i="6" s="1"/>
  <c r="L19" i="6"/>
  <c r="M19" i="6" s="1"/>
  <c r="L20" i="6"/>
  <c r="M20" i="6" s="1"/>
  <c r="L24" i="6"/>
  <c r="M24" i="6" s="1"/>
  <c r="L21" i="6"/>
  <c r="M21" i="6" s="1"/>
  <c r="M16" i="6"/>
  <c r="L33" i="4"/>
  <c r="M33" i="4" s="1"/>
  <c r="L23" i="4"/>
  <c r="M23" i="4" s="1"/>
  <c r="L19" i="4"/>
  <c r="M19" i="4" s="1"/>
  <c r="L29" i="4"/>
  <c r="M29" i="4" s="1"/>
  <c r="L17" i="4"/>
  <c r="M17" i="4" s="1"/>
  <c r="L25" i="4"/>
  <c r="M25" i="4" s="1"/>
  <c r="M16" i="4"/>
  <c r="L27" i="4"/>
  <c r="M27" i="4" s="1"/>
  <c r="L21" i="4"/>
  <c r="M21" i="4" s="1"/>
  <c r="L18" i="4"/>
  <c r="M18" i="4" s="1"/>
  <c r="L24" i="4"/>
  <c r="M24" i="4" s="1"/>
  <c r="L30" i="4"/>
  <c r="M30" i="4" s="1"/>
  <c r="L20" i="4"/>
  <c r="M20" i="4" s="1"/>
  <c r="L26" i="4"/>
  <c r="M26" i="4" s="1"/>
  <c r="O16" i="4" l="1"/>
  <c r="V19" i="6"/>
  <c r="W19" i="6" s="1"/>
  <c r="U19" i="6"/>
  <c r="V16" i="6"/>
  <c r="U16" i="6"/>
  <c r="U22" i="6"/>
  <c r="V22" i="6"/>
  <c r="T23" i="5"/>
  <c r="T16" i="5"/>
  <c r="T22" i="5"/>
  <c r="T20" i="5"/>
  <c r="T26" i="5"/>
  <c r="T31" i="5"/>
  <c r="T21" i="5"/>
  <c r="T28" i="5"/>
  <c r="T27" i="5"/>
  <c r="V25" i="5" s="1"/>
  <c r="T30" i="5"/>
  <c r="T19" i="5"/>
  <c r="T33" i="5"/>
  <c r="T29" i="5"/>
  <c r="T18" i="5"/>
  <c r="T24" i="5"/>
  <c r="T17" i="5"/>
  <c r="S21" i="4"/>
  <c r="T21" i="4" s="1"/>
  <c r="S32" i="4"/>
  <c r="T32" i="4" s="1"/>
  <c r="S25" i="4"/>
  <c r="T25" i="4" s="1"/>
  <c r="S23" i="4"/>
  <c r="T23" i="4" s="1"/>
  <c r="S19" i="4"/>
  <c r="T19" i="4" s="1"/>
  <c r="S24" i="4"/>
  <c r="T24" i="4" s="1"/>
  <c r="S26" i="4"/>
  <c r="T26" i="4" s="1"/>
  <c r="S20" i="4"/>
  <c r="T20" i="4" s="1"/>
  <c r="S33" i="4"/>
  <c r="T33" i="4" s="1"/>
  <c r="T16" i="4"/>
  <c r="S31" i="4"/>
  <c r="T31" i="4" s="1"/>
  <c r="S18" i="4"/>
  <c r="T18" i="4" s="1"/>
  <c r="S17" i="4"/>
  <c r="T17" i="4" s="1"/>
  <c r="S28" i="4"/>
  <c r="T28" i="4" s="1"/>
  <c r="S22" i="4"/>
  <c r="T22" i="4" s="1"/>
  <c r="S29" i="4"/>
  <c r="T29" i="4" s="1"/>
  <c r="S19" i="3"/>
  <c r="T19" i="3" s="1"/>
  <c r="S18" i="3"/>
  <c r="T18" i="3" s="1"/>
  <c r="S17" i="3"/>
  <c r="T17" i="3" s="1"/>
  <c r="S22" i="3"/>
  <c r="T22" i="3" s="1"/>
  <c r="T16" i="3"/>
  <c r="S21" i="3"/>
  <c r="T21" i="3" s="1"/>
  <c r="U19" i="3" s="1"/>
  <c r="S24" i="3"/>
  <c r="T24" i="3" s="1"/>
  <c r="S20" i="3"/>
  <c r="T20" i="3" s="1"/>
  <c r="U25" i="2"/>
  <c r="V25" i="2"/>
  <c r="W28" i="2"/>
  <c r="V22" i="2"/>
  <c r="U22" i="2"/>
  <c r="V16" i="2"/>
  <c r="U16" i="2"/>
  <c r="U31" i="2"/>
  <c r="V31" i="2"/>
  <c r="V19" i="2"/>
  <c r="U19" i="2"/>
  <c r="O19" i="6"/>
  <c r="N19" i="6"/>
  <c r="N22" i="6"/>
  <c r="O22" i="6"/>
  <c r="N16" i="6"/>
  <c r="O16" i="6"/>
  <c r="M17" i="5"/>
  <c r="M18" i="5"/>
  <c r="M22" i="5"/>
  <c r="M21" i="5"/>
  <c r="M25" i="5"/>
  <c r="M29" i="5" s="1"/>
  <c r="M33" i="5" s="1"/>
  <c r="M20" i="5"/>
  <c r="M24" i="5" s="1"/>
  <c r="M28" i="5" s="1"/>
  <c r="M19" i="5"/>
  <c r="M23" i="5" s="1"/>
  <c r="M27" i="5" s="1"/>
  <c r="M31" i="5" s="1"/>
  <c r="M32" i="5"/>
  <c r="M26" i="5"/>
  <c r="M30" i="5" s="1"/>
  <c r="N19" i="4"/>
  <c r="O25" i="4"/>
  <c r="N25" i="4"/>
  <c r="O19" i="4"/>
  <c r="L28" i="4"/>
  <c r="M28" i="4" s="1"/>
  <c r="N28" i="4" s="1"/>
  <c r="L32" i="4"/>
  <c r="M32" i="4" s="1"/>
  <c r="O31" i="4" s="1"/>
  <c r="L22" i="4"/>
  <c r="M22" i="4" s="1"/>
  <c r="O22" i="4" s="1"/>
  <c r="N16" i="4"/>
  <c r="P16" i="4" s="1"/>
  <c r="O28" i="4" l="1"/>
  <c r="P28" i="4" s="1"/>
  <c r="W16" i="6"/>
  <c r="W22" i="6"/>
  <c r="V22" i="5"/>
  <c r="U31" i="5"/>
  <c r="U16" i="5"/>
  <c r="V16" i="5"/>
  <c r="U22" i="5"/>
  <c r="V31" i="5"/>
  <c r="W31" i="5" s="1"/>
  <c r="V28" i="5"/>
  <c r="U28" i="5"/>
  <c r="V19" i="5"/>
  <c r="U19" i="5"/>
  <c r="U25" i="5"/>
  <c r="W25" i="5" s="1"/>
  <c r="V31" i="4"/>
  <c r="W31" i="4" s="1"/>
  <c r="U31" i="4"/>
  <c r="V28" i="4"/>
  <c r="U28" i="4"/>
  <c r="V25" i="4"/>
  <c r="U25" i="4"/>
  <c r="V22" i="4"/>
  <c r="U22" i="4"/>
  <c r="U19" i="4"/>
  <c r="V19" i="4"/>
  <c r="V16" i="4"/>
  <c r="U16" i="4"/>
  <c r="V19" i="3"/>
  <c r="W19" i="3" s="1"/>
  <c r="U16" i="3"/>
  <c r="V16" i="3"/>
  <c r="W16" i="3" s="1"/>
  <c r="U22" i="3"/>
  <c r="V22" i="3"/>
  <c r="W22" i="3" s="1"/>
  <c r="W22" i="2"/>
  <c r="W31" i="2"/>
  <c r="W16" i="2"/>
  <c r="W19" i="2"/>
  <c r="W25" i="2"/>
  <c r="P19" i="6"/>
  <c r="P16" i="6"/>
  <c r="P22" i="6"/>
  <c r="N16" i="5"/>
  <c r="O16" i="5"/>
  <c r="N19" i="5"/>
  <c r="O19" i="5"/>
  <c r="N25" i="5"/>
  <c r="O25" i="5"/>
  <c r="N31" i="5"/>
  <c r="O31" i="5"/>
  <c r="P31" i="5" s="1"/>
  <c r="O28" i="5"/>
  <c r="N28" i="5"/>
  <c r="N22" i="5"/>
  <c r="O22" i="5"/>
  <c r="N31" i="4"/>
  <c r="P31" i="4" s="1"/>
  <c r="P25" i="4"/>
  <c r="P19" i="4"/>
  <c r="N22" i="4"/>
  <c r="P22" i="4" s="1"/>
  <c r="W16" i="4" l="1"/>
  <c r="W22" i="5"/>
  <c r="W16" i="5"/>
  <c r="W19" i="5"/>
  <c r="W28" i="5"/>
  <c r="W25" i="4"/>
  <c r="W19" i="4"/>
  <c r="W28" i="4"/>
  <c r="W22" i="4"/>
  <c r="P16" i="5"/>
  <c r="P25" i="5"/>
  <c r="P22" i="5"/>
  <c r="P19" i="5"/>
  <c r="P28" i="5"/>
  <c r="M16" i="3" l="1"/>
  <c r="L3" i="3"/>
  <c r="L13" i="3" s="1"/>
  <c r="L12" i="3"/>
  <c r="L13" i="2"/>
  <c r="L3" i="2"/>
  <c r="E18" i="3"/>
  <c r="F18" i="3" s="1"/>
  <c r="E22" i="6"/>
  <c r="F22" i="6" s="1"/>
  <c r="E12" i="5"/>
  <c r="E11" i="5"/>
  <c r="G9" i="5"/>
  <c r="E12" i="4"/>
  <c r="E11" i="4"/>
  <c r="E27" i="4" s="1"/>
  <c r="F27" i="4" s="1"/>
  <c r="E13" i="3"/>
  <c r="E22" i="3"/>
  <c r="F22" i="3" s="1"/>
  <c r="E17" i="3"/>
  <c r="F17" i="3" s="1"/>
  <c r="E19" i="4" l="1"/>
  <c r="F19" i="4" s="1"/>
  <c r="E17" i="5"/>
  <c r="F17" i="5" s="1"/>
  <c r="E18" i="5"/>
  <c r="F18" i="5" s="1"/>
  <c r="E19" i="5"/>
  <c r="F16" i="5"/>
  <c r="L17" i="3"/>
  <c r="M17" i="3" s="1"/>
  <c r="E27" i="5"/>
  <c r="F27" i="5" s="1"/>
  <c r="E17" i="6"/>
  <c r="F17" i="6" s="1"/>
  <c r="E20" i="6"/>
  <c r="F20" i="6" s="1"/>
  <c r="E18" i="6"/>
  <c r="F18" i="6" s="1"/>
  <c r="E23" i="6"/>
  <c r="F23" i="6" s="1"/>
  <c r="F16" i="6"/>
  <c r="E21" i="6"/>
  <c r="F21" i="6" s="1"/>
  <c r="E19" i="6"/>
  <c r="F19" i="6" s="1"/>
  <c r="E24" i="6"/>
  <c r="F24" i="6" s="1"/>
  <c r="E24" i="5"/>
  <c r="F24" i="5" s="1"/>
  <c r="E25" i="5"/>
  <c r="F25" i="5" s="1"/>
  <c r="E26" i="5"/>
  <c r="E29" i="5"/>
  <c r="F29" i="5" s="1"/>
  <c r="F19" i="5"/>
  <c r="E30" i="5"/>
  <c r="F30" i="5" s="1"/>
  <c r="E21" i="5"/>
  <c r="F21" i="5" s="1"/>
  <c r="E33" i="5"/>
  <c r="F33" i="5" s="1"/>
  <c r="E28" i="5"/>
  <c r="F28" i="5" s="1"/>
  <c r="E31" i="5"/>
  <c r="F31" i="5" s="1"/>
  <c r="E20" i="5"/>
  <c r="F20" i="5" s="1"/>
  <c r="E23" i="5"/>
  <c r="F23" i="5" s="1"/>
  <c r="E32" i="5"/>
  <c r="F32" i="5" s="1"/>
  <c r="E22" i="5"/>
  <c r="F22" i="5" s="1"/>
  <c r="E24" i="4"/>
  <c r="F24" i="4" s="1"/>
  <c r="E25" i="4"/>
  <c r="F25" i="4" s="1"/>
  <c r="E26" i="4"/>
  <c r="F26" i="4" s="1"/>
  <c r="F16" i="4"/>
  <c r="E29" i="4"/>
  <c r="F29" i="4" s="1"/>
  <c r="E30" i="4"/>
  <c r="F30" i="4" s="1"/>
  <c r="E21" i="4"/>
  <c r="F21" i="4" s="1"/>
  <c r="E33" i="4"/>
  <c r="F33" i="4" s="1"/>
  <c r="E28" i="4"/>
  <c r="F28" i="4" s="1"/>
  <c r="E17" i="4"/>
  <c r="F17" i="4" s="1"/>
  <c r="E31" i="4"/>
  <c r="F31" i="4" s="1"/>
  <c r="E20" i="4"/>
  <c r="F20" i="4" s="1"/>
  <c r="E18" i="4"/>
  <c r="F18" i="4" s="1"/>
  <c r="E23" i="4"/>
  <c r="F23" i="4" s="1"/>
  <c r="E32" i="4"/>
  <c r="F32" i="4" s="1"/>
  <c r="E22" i="4"/>
  <c r="F22" i="4" s="1"/>
  <c r="E20" i="3"/>
  <c r="F20" i="3" s="1"/>
  <c r="E23" i="3"/>
  <c r="F23" i="3" s="1"/>
  <c r="F16" i="3"/>
  <c r="E21" i="3"/>
  <c r="F21" i="3" s="1"/>
  <c r="E19" i="3"/>
  <c r="F19" i="3" s="1"/>
  <c r="E24" i="3"/>
  <c r="F24" i="3" s="1"/>
  <c r="G31" i="4" l="1"/>
  <c r="H31" i="4"/>
  <c r="I31" i="4" s="1"/>
  <c r="G25" i="4"/>
  <c r="H25" i="4"/>
  <c r="I25" i="4" s="1"/>
  <c r="G19" i="4"/>
  <c r="H19" i="4"/>
  <c r="I19" i="4" s="1"/>
  <c r="L24" i="3"/>
  <c r="M24" i="3" s="1"/>
  <c r="L23" i="3"/>
  <c r="M23" i="3" s="1"/>
  <c r="L18" i="3"/>
  <c r="M18" i="3" s="1"/>
  <c r="L20" i="3"/>
  <c r="M20" i="3" s="1"/>
  <c r="L22" i="3"/>
  <c r="M22" i="3" s="1"/>
  <c r="L19" i="3"/>
  <c r="M19" i="3" s="1"/>
  <c r="L21" i="3"/>
  <c r="M21" i="3" s="1"/>
  <c r="L23" i="2"/>
  <c r="M23" i="2" s="1"/>
  <c r="L26" i="2"/>
  <c r="M26" i="2" s="1"/>
  <c r="L29" i="2"/>
  <c r="M29" i="2" s="1"/>
  <c r="L24" i="2"/>
  <c r="M24" i="2" s="1"/>
  <c r="L28" i="2"/>
  <c r="M28" i="2" s="1"/>
  <c r="L20" i="2"/>
  <c r="M20" i="2" s="1"/>
  <c r="L18" i="2"/>
  <c r="M18" i="2" s="1"/>
  <c r="L17" i="2"/>
  <c r="M17" i="2" s="1"/>
  <c r="L32" i="2"/>
  <c r="M32" i="2" s="1"/>
  <c r="L30" i="2"/>
  <c r="M30" i="2" s="1"/>
  <c r="L33" i="2"/>
  <c r="M33" i="2" s="1"/>
  <c r="L27" i="2"/>
  <c r="M27" i="2" s="1"/>
  <c r="L21" i="2"/>
  <c r="M21" i="2" s="1"/>
  <c r="L31" i="2"/>
  <c r="M31" i="2" s="1"/>
  <c r="L25" i="2"/>
  <c r="M25" i="2" s="1"/>
  <c r="L19" i="2"/>
  <c r="M19" i="2" s="1"/>
  <c r="L22" i="2"/>
  <c r="M22" i="2" s="1"/>
  <c r="M16" i="2"/>
  <c r="G25" i="5"/>
  <c r="G31" i="5"/>
  <c r="H31" i="5"/>
  <c r="I31" i="5" s="1"/>
  <c r="F26" i="5"/>
  <c r="H25" i="5" s="1"/>
  <c r="H22" i="6"/>
  <c r="G16" i="6"/>
  <c r="H16" i="6"/>
  <c r="G22" i="6"/>
  <c r="H19" i="6"/>
  <c r="G19" i="6"/>
  <c r="H16" i="5"/>
  <c r="G19" i="5"/>
  <c r="H28" i="5"/>
  <c r="I28" i="5" s="1"/>
  <c r="G28" i="5"/>
  <c r="H19" i="5"/>
  <c r="H22" i="5"/>
  <c r="G22" i="5"/>
  <c r="G16" i="5"/>
  <c r="G16" i="4"/>
  <c r="H16" i="4"/>
  <c r="H22" i="4"/>
  <c r="G22" i="4"/>
  <c r="H28" i="4"/>
  <c r="G28" i="4"/>
  <c r="H22" i="3"/>
  <c r="H19" i="3"/>
  <c r="G19" i="3"/>
  <c r="G16" i="3"/>
  <c r="H16" i="3"/>
  <c r="I16" i="3" s="1"/>
  <c r="G22" i="3"/>
  <c r="I16" i="5" l="1"/>
  <c r="I25" i="5"/>
  <c r="I19" i="3"/>
  <c r="O19" i="3"/>
  <c r="N19" i="3"/>
  <c r="N22" i="3"/>
  <c r="O22" i="3"/>
  <c r="N16" i="3"/>
  <c r="O16" i="3"/>
  <c r="P16" i="3" s="1"/>
  <c r="O16" i="2"/>
  <c r="N16" i="2"/>
  <c r="N31" i="2"/>
  <c r="O31" i="2"/>
  <c r="O28" i="2"/>
  <c r="N28" i="2"/>
  <c r="O22" i="2"/>
  <c r="N22" i="2"/>
  <c r="N19" i="2"/>
  <c r="O19" i="2"/>
  <c r="N25" i="2"/>
  <c r="O25" i="2"/>
  <c r="I22" i="3"/>
  <c r="I22" i="6"/>
  <c r="I16" i="6"/>
  <c r="I19" i="6"/>
  <c r="I19" i="5"/>
  <c r="I22" i="5"/>
  <c r="I16" i="4"/>
  <c r="I28" i="4"/>
  <c r="I22" i="4"/>
  <c r="P22" i="3" l="1"/>
  <c r="P19" i="3"/>
  <c r="P16" i="2"/>
  <c r="P25" i="2"/>
  <c r="P31" i="2"/>
  <c r="P22" i="2"/>
  <c r="P28" i="2"/>
  <c r="P19" i="2"/>
  <c r="F16" i="2" l="1"/>
  <c r="E13" i="2"/>
  <c r="E31" i="2" l="1"/>
  <c r="F31" i="2" s="1"/>
  <c r="E20" i="2"/>
  <c r="F20" i="2" s="1"/>
  <c r="E23" i="2"/>
  <c r="F23" i="2" s="1"/>
  <c r="E21" i="2"/>
  <c r="F21" i="2" s="1"/>
  <c r="E26" i="2"/>
  <c r="F26" i="2" s="1"/>
  <c r="E18" i="2"/>
  <c r="F18" i="2" s="1"/>
  <c r="E19" i="2"/>
  <c r="F19" i="2" s="1"/>
  <c r="E24" i="2"/>
  <c r="F24" i="2" s="1"/>
  <c r="E29" i="2"/>
  <c r="F29" i="2" s="1"/>
  <c r="E25" i="2"/>
  <c r="F25" i="2" s="1"/>
  <c r="E22" i="2"/>
  <c r="F22" i="2" s="1"/>
  <c r="E27" i="2"/>
  <c r="F27" i="2" s="1"/>
  <c r="E32" i="2"/>
  <c r="F32" i="2" s="1"/>
  <c r="E30" i="2"/>
  <c r="F30" i="2" s="1"/>
  <c r="E28" i="2"/>
  <c r="F28" i="2" s="1"/>
  <c r="E33" i="2"/>
  <c r="F33" i="2" s="1"/>
  <c r="H31" i="2" s="1"/>
  <c r="E17" i="2"/>
  <c r="F17" i="2" s="1"/>
  <c r="G16" i="2" l="1"/>
  <c r="H22" i="2"/>
  <c r="G22" i="2"/>
  <c r="H16" i="2"/>
  <c r="I16" i="2" s="1"/>
  <c r="G25" i="2"/>
  <c r="H25" i="2"/>
  <c r="G31" i="2"/>
  <c r="I31" i="2" s="1"/>
  <c r="H28" i="2"/>
  <c r="G28" i="2"/>
  <c r="H19" i="2"/>
  <c r="G19" i="2"/>
  <c r="I22" i="2" l="1"/>
  <c r="I28" i="2"/>
  <c r="I25" i="2"/>
  <c r="I19" i="2"/>
</calcChain>
</file>

<file path=xl/sharedStrings.xml><?xml version="1.0" encoding="utf-8"?>
<sst xmlns="http://schemas.openxmlformats.org/spreadsheetml/2006/main" count="668" uniqueCount="89">
  <si>
    <t>Cu</t>
  </si>
  <si>
    <t>Zn</t>
  </si>
  <si>
    <t>Mn</t>
  </si>
  <si>
    <t>Fe</t>
  </si>
  <si>
    <t>Pb</t>
  </si>
  <si>
    <t>Ni</t>
  </si>
  <si>
    <t>Cr</t>
  </si>
  <si>
    <t>Cd</t>
  </si>
  <si>
    <t>Padrões mg/L</t>
  </si>
  <si>
    <t>Padrões ug/L</t>
  </si>
  <si>
    <t>mg/L</t>
  </si>
  <si>
    <t>LOD</t>
  </si>
  <si>
    <t>ug/L</t>
  </si>
  <si>
    <t>ug/g</t>
  </si>
  <si>
    <t>m</t>
  </si>
  <si>
    <t>b</t>
  </si>
  <si>
    <t>Dil</t>
  </si>
  <si>
    <t>Digeridas</t>
  </si>
  <si>
    <t>r</t>
  </si>
  <si>
    <t>m amostra (g)</t>
  </si>
  <si>
    <t>Vol MW (L)</t>
  </si>
  <si>
    <t>Abs</t>
  </si>
  <si>
    <t>Conc mg/L</t>
  </si>
  <si>
    <t>Conc ug/g</t>
  </si>
  <si>
    <t>Média</t>
  </si>
  <si>
    <t>DesvPad</t>
  </si>
  <si>
    <t>RSD (%)</t>
  </si>
  <si>
    <t>Conc mg/g</t>
  </si>
  <si>
    <r>
      <t xml:space="preserve">Conc </t>
    </r>
    <r>
      <rPr>
        <b/>
        <sz val="11"/>
        <color theme="1"/>
        <rFont val="Calibri"/>
        <family val="2"/>
      </rPr>
      <t>μ</t>
    </r>
    <r>
      <rPr>
        <b/>
        <sz val="11"/>
        <color theme="1"/>
        <rFont val="Calibri"/>
        <family val="2"/>
        <scheme val="minor"/>
      </rPr>
      <t>g/L</t>
    </r>
  </si>
  <si>
    <t>Conc μg/g</t>
  </si>
  <si>
    <t>JM C</t>
  </si>
  <si>
    <t>&lt;LOD</t>
  </si>
  <si>
    <t>SD C</t>
  </si>
  <si>
    <t>JM S</t>
  </si>
  <si>
    <t>Ph S</t>
  </si>
  <si>
    <t>JM SA</t>
  </si>
  <si>
    <t>Ph SA</t>
  </si>
  <si>
    <t>Conc ug/L</t>
  </si>
  <si>
    <t>SNV C</t>
  </si>
  <si>
    <t>SNV S</t>
  </si>
  <si>
    <t>SNV SA</t>
  </si>
  <si>
    <t>mg/g</t>
  </si>
  <si>
    <t>μg/L</t>
  </si>
  <si>
    <t>μg/g</t>
  </si>
  <si>
    <t>superior</t>
  </si>
  <si>
    <t>using a microwave system</t>
  </si>
  <si>
    <t>rhizosediments), and 5 mL 30 % H2O2 (only for plant tissues),</t>
  </si>
  <si>
    <t>(1 mL for the different plant tissues and 5 mL for sediments and</t>
  </si>
  <si>
    <t>high-pressure, with suitable amounts of concentrated HNO3 65 %</t>
  </si>
  <si>
    <t>and rhizosediments (ca. 0.25 g) were digested in closed PTFE vessels at</t>
  </si>
  <si>
    <t>Aliquots of each specific tissue of the plant (ca. 0.50 g), sediments</t>
  </si>
  <si>
    <t>below were collected into a plastic bag.</t>
  </si>
  <si>
    <t>sediment was taken out and the sediments on the layer immediately</t>
  </si>
  <si>
    <t>location. To collect non-vegetated sediments, the first thin layer of</t>
  </si>
  <si>
    <t>sediment was located 50 m apart for the respective vegetated</t>
  </si>
  <si>
    <t>for which no non-vegetated sediment was available nearby. This nonvegetated</t>
  </si>
  <si>
    <t>also collected, with the exception of site L4 in the preliminary sampling</t>
  </si>
  <si>
    <t>sites are identified in Fig. 1. At each site, non-vegetated sediment was</t>
  </si>
  <si>
    <t>was collected simultaneously into plastic bags. The sampling</t>
  </si>
  <si>
    <t>with their belowground structures (vegetated sediments, rhizosediments)</t>
  </si>
  <si>
    <t>washed in local water and placed in plastic bags. Sediment in contact</t>
  </si>
  <si>
    <t>On site, from each cube, plants were individually separated,</t>
  </si>
  <si>
    <t>were retrieved with the sediment around the plants’ belowground tissues.</t>
  </si>
  <si>
    <t>For that cubes, each (ca. 20 × 20 × 20 cm3) containing ca. 10 plants</t>
  </si>
  <si>
    <t>summer sampling.</t>
  </si>
  <si>
    <t>2022, winter sampling; May 2022, spring sampling; August 2022,</t>
  </si>
  <si>
    <t>and S. maritima.</t>
  </si>
  <si>
    <t>entire seasonal cycle: November 2021, autumn sampling; February</t>
  </si>
  <si>
    <t>selected, and four sampling campaigns were carried out, to cover an</t>
  </si>
  <si>
    <t>After that, new sites were</t>
  </si>
  <si>
    <t>sampling to evaluate possible sampling sites</t>
  </si>
  <si>
    <t>Portugal). The sampling campaign in August 2021 was a preliminary</t>
  </si>
  <si>
    <t>2022 and August 2022, at different sites in Lima river estuary (NW</t>
  </si>
  <si>
    <t>Plants divided in shoots (aboveground tissues), rhizomes (when present, only in Juncus maritimus) and roots</t>
  </si>
  <si>
    <t>2021 (preliminary sampling), November 2021, February 2022, May</t>
  </si>
  <si>
    <t>Sediment non vegetated - sediment without plant, 50m apart from the respective vegetated sediment</t>
  </si>
  <si>
    <t>and Spartina maritima (Brongn.) were collected at low tide in August</t>
  </si>
  <si>
    <t>Rhizosediment - sediment in contact with plant belowground structures</t>
  </si>
  <si>
    <t>Juncus maritimus (Lam.), Phragmites australis (Cav.) Trin ex. Steud.,</t>
  </si>
  <si>
    <t>https://doi.org/10.1016/j.nbsj.2024.100110</t>
  </si>
  <si>
    <t>Nature-Based Solutions 5 (2024) 100110</t>
  </si>
  <si>
    <t>Patrícia Cunha, Ana M. Gorito, Joana P. Fernandes, Ana Paula Mucha, C. Marisa R. Almeida</t>
  </si>
  <si>
    <t>DATA SET for the article Saltmarsh plants role in metals retention and the potential of vegetation for
metal removal in the long term</t>
  </si>
  <si>
    <t>J. maritimus. B: Seasonal sampling locations, Salinas (S) and Srª das Areias (SA) colonized by J. maritimus and P. australis and Canoagem (C) colonized by J. maritimus</t>
  </si>
  <si>
    <t>L1 colonized by Juncus maritimus (JM) and Spartina maritima (SD), L2 colonized by J. maritimus and Phragmites australis (Ph), L3 and L4 colonized by</t>
  </si>
  <si>
    <t>near JM C and SD C</t>
  </si>
  <si>
    <t>near JM S and Ph S</t>
  </si>
  <si>
    <t>near JM SA and Ph SA</t>
  </si>
  <si>
    <t>Each sample was analysed in triplicate, the mean and standard deviation being calculated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</si>
</sst>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"/>
    <numFmt numFmtId="166" formatCode="0.0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26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16" fontId="0" fillId="0" borderId="12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/>
    </xf>
    <xf numFmtId="164" fontId="0" fillId="0" borderId="0" xfId="0" applyNumberFormat="1" applyAlignment="1">
      <alignment horizontal="left" vertical="center"/>
    </xf>
    <xf numFmtId="164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3" fillId="0" borderId="0" xfId="0" applyNumberFormat="1" applyFont="1" applyAlignment="1">
      <alignment horizontal="right" vertical="center"/>
    </xf>
    <xf numFmtId="164" fontId="3" fillId="0" borderId="0" xfId="0" applyNumberFormat="1" applyFont="1" applyAlignment="1">
      <alignment horizontal="center" vertical="center"/>
    </xf>
    <xf numFmtId="164" fontId="0" fillId="0" borderId="8" xfId="0" applyNumberFormat="1" applyBorder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4" borderId="0" xfId="0" applyFill="1" applyAlignment="1">
      <alignment horizontal="left" vertical="center"/>
    </xf>
    <xf numFmtId="164" fontId="0" fillId="0" borderId="9" xfId="0" applyNumberFormat="1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164" fontId="0" fillId="0" borderId="14" xfId="0" applyNumberForma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0" fontId="0" fillId="0" borderId="6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166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2" fontId="0" fillId="0" borderId="0" xfId="0" applyNumberFormat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0" fillId="0" borderId="0" xfId="0" applyNumberFormat="1" applyAlignment="1">
      <alignment horizontal="center"/>
    </xf>
    <xf numFmtId="2" fontId="3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65" fontId="1" fillId="3" borderId="10" xfId="0" applyNumberFormat="1" applyFont="1" applyFill="1" applyBorder="1" applyAlignment="1">
      <alignment horizontal="center" vertical="center"/>
    </xf>
    <xf numFmtId="165" fontId="1" fillId="3" borderId="0" xfId="0" applyNumberFormat="1" applyFont="1" applyFill="1" applyAlignment="1">
      <alignment horizontal="center" vertical="center"/>
    </xf>
    <xf numFmtId="165" fontId="1" fillId="3" borderId="8" xfId="0" applyNumberFormat="1" applyFont="1" applyFill="1" applyBorder="1" applyAlignment="1">
      <alignment horizontal="center" vertical="center"/>
    </xf>
    <xf numFmtId="165" fontId="1" fillId="3" borderId="15" xfId="0" applyNumberFormat="1" applyFont="1" applyFill="1" applyBorder="1" applyAlignment="1">
      <alignment horizontal="center" vertical="center"/>
    </xf>
    <xf numFmtId="165" fontId="1" fillId="3" borderId="16" xfId="0" applyNumberFormat="1" applyFont="1" applyFill="1" applyBorder="1" applyAlignment="1">
      <alignment horizontal="center" vertical="center"/>
    </xf>
    <xf numFmtId="165" fontId="1" fillId="3" borderId="17" xfId="0" applyNumberFormat="1" applyFont="1" applyFill="1" applyBorder="1" applyAlignment="1">
      <alignment horizontal="center" vertical="center"/>
    </xf>
    <xf numFmtId="9" fontId="1" fillId="3" borderId="11" xfId="1" applyFont="1" applyFill="1" applyBorder="1" applyAlignment="1">
      <alignment horizontal="center" vertical="center"/>
    </xf>
    <xf numFmtId="9" fontId="1" fillId="3" borderId="12" xfId="1" applyFont="1" applyFill="1" applyBorder="1" applyAlignment="1">
      <alignment horizontal="center" vertical="center"/>
    </xf>
    <xf numFmtId="9" fontId="1" fillId="3" borderId="13" xfId="1" applyFont="1" applyFill="1" applyBorder="1" applyAlignment="1">
      <alignment horizontal="center" vertical="center"/>
    </xf>
    <xf numFmtId="165" fontId="1" fillId="3" borderId="9" xfId="0" applyNumberFormat="1" applyFont="1" applyFill="1" applyBorder="1" applyAlignment="1">
      <alignment horizontal="center" vertical="center"/>
    </xf>
    <xf numFmtId="165" fontId="1" fillId="3" borderId="14" xfId="0" applyNumberFormat="1" applyFont="1" applyFill="1" applyBorder="1" applyAlignment="1">
      <alignment horizontal="center" vertical="center"/>
    </xf>
    <xf numFmtId="165" fontId="1" fillId="3" borderId="7" xfId="0" applyNumberFormat="1" applyFont="1" applyFill="1" applyBorder="1" applyAlignment="1">
      <alignment horizontal="center" vertical="center"/>
    </xf>
    <xf numFmtId="9" fontId="1" fillId="3" borderId="4" xfId="1" applyFont="1" applyFill="1" applyBorder="1" applyAlignment="1">
      <alignment horizontal="center" vertical="center"/>
    </xf>
    <xf numFmtId="9" fontId="1" fillId="3" borderId="6" xfId="1" applyFont="1" applyFill="1" applyBorder="1" applyAlignment="1">
      <alignment horizontal="center" vertical="center"/>
    </xf>
    <xf numFmtId="9" fontId="1" fillId="3" borderId="5" xfId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1" fontId="1" fillId="3" borderId="10" xfId="0" applyNumberFormat="1" applyFont="1" applyFill="1" applyBorder="1" applyAlignment="1">
      <alignment horizontal="center" vertical="center"/>
    </xf>
    <xf numFmtId="1" fontId="1" fillId="3" borderId="0" xfId="0" applyNumberFormat="1" applyFont="1" applyFill="1" applyAlignment="1">
      <alignment horizontal="center" vertical="center"/>
    </xf>
    <xf numFmtId="1" fontId="1" fillId="3" borderId="8" xfId="0" applyNumberFormat="1" applyFont="1" applyFill="1" applyBorder="1" applyAlignment="1">
      <alignment horizontal="center" vertical="center"/>
    </xf>
    <xf numFmtId="1" fontId="1" fillId="3" borderId="15" xfId="0" applyNumberFormat="1" applyFont="1" applyFill="1" applyBorder="1" applyAlignment="1">
      <alignment horizontal="center" vertical="center"/>
    </xf>
    <xf numFmtId="1" fontId="1" fillId="3" borderId="16" xfId="0" applyNumberFormat="1" applyFont="1" applyFill="1" applyBorder="1" applyAlignment="1">
      <alignment horizontal="center" vertical="center"/>
    </xf>
    <xf numFmtId="1" fontId="1" fillId="3" borderId="17" xfId="0" applyNumberFormat="1" applyFont="1" applyFill="1" applyBorder="1" applyAlignment="1">
      <alignment horizontal="center" vertical="center"/>
    </xf>
    <xf numFmtId="1" fontId="1" fillId="3" borderId="9" xfId="0" applyNumberFormat="1" applyFont="1" applyFill="1" applyBorder="1" applyAlignment="1">
      <alignment horizontal="center" vertical="center"/>
    </xf>
    <xf numFmtId="1" fontId="1" fillId="3" borderId="14" xfId="0" applyNumberFormat="1" applyFont="1" applyFill="1" applyBorder="1" applyAlignment="1">
      <alignment horizontal="center" vertical="center"/>
    </xf>
    <xf numFmtId="1" fontId="1" fillId="3" borderId="7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9" fontId="1" fillId="3" borderId="1" xfId="1" applyFont="1" applyFill="1" applyBorder="1" applyAlignment="1">
      <alignment horizontal="center" vertical="center"/>
    </xf>
    <xf numFmtId="165" fontId="1" fillId="3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1" fontId="1" fillId="3" borderId="6" xfId="0" applyNumberFormat="1" applyFont="1" applyFill="1" applyBorder="1" applyAlignment="1">
      <alignment horizontal="center" vertical="center"/>
    </xf>
    <xf numFmtId="1" fontId="1" fillId="3" borderId="5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/>
    </xf>
    <xf numFmtId="2" fontId="1" fillId="3" borderId="6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2" fontId="1" fillId="3" borderId="9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7" xfId="0" applyNumberFormat="1" applyFont="1" applyFill="1" applyBorder="1" applyAlignment="1">
      <alignment horizontal="center" vertical="center"/>
    </xf>
    <xf numFmtId="165" fontId="1" fillId="3" borderId="4" xfId="0" applyNumberFormat="1" applyFont="1" applyFill="1" applyBorder="1" applyAlignment="1">
      <alignment horizontal="center" vertical="center"/>
    </xf>
    <xf numFmtId="165" fontId="1" fillId="3" borderId="6" xfId="0" applyNumberFormat="1" applyFont="1" applyFill="1" applyBorder="1" applyAlignment="1">
      <alignment horizontal="center" vertical="center"/>
    </xf>
    <xf numFmtId="165" fontId="1" fillId="3" borderId="5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2" fontId="1" fillId="3" borderId="10" xfId="0" applyNumberFormat="1" applyFont="1" applyFill="1" applyBorder="1" applyAlignment="1">
      <alignment horizontal="center" vertical="center"/>
    </xf>
    <xf numFmtId="2" fontId="1" fillId="3" borderId="0" xfId="0" applyNumberFormat="1" applyFont="1" applyFill="1" applyAlignment="1">
      <alignment horizontal="center" vertical="center"/>
    </xf>
    <xf numFmtId="2" fontId="1" fillId="3" borderId="8" xfId="0" applyNumberFormat="1" applyFont="1" applyFill="1" applyBorder="1" applyAlignment="1">
      <alignment horizontal="center" vertical="center"/>
    </xf>
    <xf numFmtId="9" fontId="1" fillId="3" borderId="4" xfId="0" applyNumberFormat="1" applyFont="1" applyFill="1" applyBorder="1" applyAlignment="1">
      <alignment horizontal="center" vertical="center"/>
    </xf>
    <xf numFmtId="9" fontId="1" fillId="3" borderId="6" xfId="0" applyNumberFormat="1" applyFont="1" applyFill="1" applyBorder="1" applyAlignment="1">
      <alignment horizontal="center" vertical="center"/>
    </xf>
    <xf numFmtId="9" fontId="1" fillId="3" borderId="5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164" fontId="1" fillId="3" borderId="4" xfId="0" applyNumberFormat="1" applyFont="1" applyFill="1" applyBorder="1" applyAlignment="1">
      <alignment horizontal="center" vertical="center"/>
    </xf>
    <xf numFmtId="164" fontId="1" fillId="3" borderId="6" xfId="0" applyNumberFormat="1" applyFont="1" applyFill="1" applyBorder="1" applyAlignment="1">
      <alignment horizontal="center" vertical="center"/>
    </xf>
    <xf numFmtId="164" fontId="1" fillId="3" borderId="5" xfId="0" applyNumberFormat="1" applyFont="1" applyFill="1" applyBorder="1" applyAlignment="1">
      <alignment horizontal="center" vertical="center"/>
    </xf>
    <xf numFmtId="164" fontId="1" fillId="3" borderId="10" xfId="0" applyNumberFormat="1" applyFont="1" applyFill="1" applyBorder="1" applyAlignment="1">
      <alignment horizontal="center" vertical="center"/>
    </xf>
    <xf numFmtId="164" fontId="1" fillId="3" borderId="0" xfId="0" applyNumberFormat="1" applyFont="1" applyFill="1" applyAlignment="1">
      <alignment horizontal="center" vertical="center"/>
    </xf>
    <xf numFmtId="164" fontId="1" fillId="3" borderId="8" xfId="0" applyNumberFormat="1" applyFont="1" applyFill="1" applyBorder="1" applyAlignment="1">
      <alignment horizontal="center" vertical="center"/>
    </xf>
    <xf numFmtId="164" fontId="1" fillId="3" borderId="9" xfId="0" applyNumberFormat="1" applyFont="1" applyFill="1" applyBorder="1" applyAlignment="1">
      <alignment horizontal="center" vertical="center"/>
    </xf>
    <xf numFmtId="164" fontId="1" fillId="3" borderId="14" xfId="0" applyNumberFormat="1" applyFont="1" applyFill="1" applyBorder="1" applyAlignment="1">
      <alignment horizontal="center" vertical="center"/>
    </xf>
    <xf numFmtId="164" fontId="1" fillId="3" borderId="7" xfId="0" applyNumberFormat="1" applyFont="1" applyFill="1" applyBorder="1" applyAlignment="1">
      <alignment horizontal="center" vertical="center"/>
    </xf>
    <xf numFmtId="0" fontId="5" fillId="0" borderId="0" xfId="0" applyFont="1"/>
    <xf numFmtId="0" fontId="6" fillId="0" borderId="0" xfId="0" applyFont="1"/>
  </cellXfs>
  <cellStyles count="2">
    <cellStyle name="Normal" xfId="0" builtinId="0"/>
    <cellStyle name="Pe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P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Rhizosediments!$BA$3:$BA$8</c:f>
              <c:numCache>
                <c:formatCode>General</c:formatCode>
                <c:ptCount val="6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</c:numCache>
            </c:numRef>
          </c:xVal>
          <c:yVal>
            <c:numRef>
              <c:f>Rhizosediments!$BB$3:$BB$8</c:f>
              <c:numCache>
                <c:formatCode>0.0000</c:formatCode>
                <c:ptCount val="6"/>
                <c:pt idx="0">
                  <c:v>9.9999999999999991E-5</c:v>
                </c:pt>
                <c:pt idx="1">
                  <c:v>0.17219999999999999</c:v>
                </c:pt>
                <c:pt idx="2">
                  <c:v>0.25018999999999997</c:v>
                </c:pt>
                <c:pt idx="3">
                  <c:v>0.41346666666666665</c:v>
                </c:pt>
                <c:pt idx="4">
                  <c:v>0.47220000000000001</c:v>
                </c:pt>
                <c:pt idx="5">
                  <c:v>0.54456666666666664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FC3B-4F7D-B62F-2AAF7DAA24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25267647"/>
        <c:axId val="625264735"/>
      </c:scatterChart>
      <c:valAx>
        <c:axId val="6252676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PT"/>
          </a:p>
        </c:txPr>
        <c:crossAx val="625264735"/>
        <c:crosses val="autoZero"/>
        <c:crossBetween val="midCat"/>
      </c:valAx>
      <c:valAx>
        <c:axId val="625264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PT"/>
          </a:p>
        </c:txPr>
        <c:crossAx val="62526764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P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501692</xdr:colOff>
      <xdr:row>13</xdr:row>
      <xdr:rowOff>53340</xdr:rowOff>
    </xdr:from>
    <xdr:ext cx="5601927" cy="5615940"/>
    <xdr:pic>
      <xdr:nvPicPr>
        <xdr:cNvPr id="2" name="Imagem 1">
          <a:extLst>
            <a:ext uri="{FF2B5EF4-FFF2-40B4-BE49-F238E27FC236}">
              <a16:creationId xmlns:a16="http://schemas.microsoft.com/office/drawing/2014/main" id="{DE3DCAFC-C21F-490C-81C8-B04DCF287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4492" y="2430780"/>
          <a:ext cx="5601927" cy="56159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59</xdr:col>
      <xdr:colOff>7937</xdr:colOff>
      <xdr:row>0</xdr:row>
      <xdr:rowOff>116681</xdr:rowOff>
    </xdr:from>
    <xdr:to>
      <xdr:col>62</xdr:col>
      <xdr:colOff>476249</xdr:colOff>
      <xdr:row>8</xdr:row>
      <xdr:rowOff>31750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1A1E5DF-5E10-4DD1-8611-CA1B9F201E8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7F3A9-E3AD-4330-B199-62F263881BF7}">
  <dimension ref="A1:Q36"/>
  <sheetViews>
    <sheetView tabSelected="1" workbookViewId="0"/>
  </sheetViews>
  <sheetFormatPr defaultRowHeight="14.4" x14ac:dyDescent="0.3"/>
  <sheetData>
    <row r="1" spans="1:16" ht="23.4" x14ac:dyDescent="0.45">
      <c r="A1" s="125" t="s">
        <v>82</v>
      </c>
    </row>
    <row r="2" spans="1:16" ht="23.4" x14ac:dyDescent="0.45">
      <c r="A2" s="125"/>
      <c r="C2" s="124" t="s">
        <v>81</v>
      </c>
    </row>
    <row r="3" spans="1:16" ht="23.4" x14ac:dyDescent="0.45">
      <c r="A3" s="125"/>
      <c r="C3" s="124" t="s">
        <v>80</v>
      </c>
    </row>
    <row r="4" spans="1:16" ht="23.4" x14ac:dyDescent="0.45">
      <c r="A4" s="125"/>
      <c r="C4" s="124" t="s">
        <v>79</v>
      </c>
    </row>
    <row r="6" spans="1:16" x14ac:dyDescent="0.3">
      <c r="C6" t="s">
        <v>78</v>
      </c>
      <c r="L6" t="s">
        <v>77</v>
      </c>
    </row>
    <row r="7" spans="1:16" x14ac:dyDescent="0.3">
      <c r="C7" t="s">
        <v>76</v>
      </c>
      <c r="L7" t="s">
        <v>75</v>
      </c>
    </row>
    <row r="8" spans="1:16" x14ac:dyDescent="0.3">
      <c r="C8" t="s">
        <v>74</v>
      </c>
      <c r="L8" t="s">
        <v>73</v>
      </c>
    </row>
    <row r="9" spans="1:16" x14ac:dyDescent="0.3">
      <c r="C9" t="s">
        <v>72</v>
      </c>
    </row>
    <row r="10" spans="1:16" x14ac:dyDescent="0.3">
      <c r="C10" t="s">
        <v>71</v>
      </c>
    </row>
    <row r="11" spans="1:16" x14ac:dyDescent="0.3">
      <c r="C11" t="s">
        <v>70</v>
      </c>
      <c r="L11" s="88" t="s">
        <v>30</v>
      </c>
    </row>
    <row r="12" spans="1:16" x14ac:dyDescent="0.3">
      <c r="C12" t="s">
        <v>69</v>
      </c>
      <c r="L12" s="88"/>
      <c r="M12" t="s">
        <v>84</v>
      </c>
    </row>
    <row r="13" spans="1:16" x14ac:dyDescent="0.3">
      <c r="C13" t="s">
        <v>68</v>
      </c>
      <c r="L13" s="88"/>
      <c r="M13" t="s">
        <v>83</v>
      </c>
    </row>
    <row r="14" spans="1:16" x14ac:dyDescent="0.3">
      <c r="C14" t="s">
        <v>67</v>
      </c>
      <c r="L14" s="88" t="s">
        <v>32</v>
      </c>
      <c r="M14" t="s">
        <v>66</v>
      </c>
    </row>
    <row r="15" spans="1:16" x14ac:dyDescent="0.3">
      <c r="C15" t="s">
        <v>65</v>
      </c>
      <c r="L15" s="88"/>
    </row>
    <row r="16" spans="1:16" x14ac:dyDescent="0.3">
      <c r="C16" t="s">
        <v>64</v>
      </c>
      <c r="L16" s="88"/>
      <c r="P16" s="88" t="s">
        <v>38</v>
      </c>
    </row>
    <row r="17" spans="3:17" x14ac:dyDescent="0.3">
      <c r="C17" t="s">
        <v>63</v>
      </c>
      <c r="L17" s="88" t="s">
        <v>33</v>
      </c>
      <c r="P17" s="88"/>
      <c r="Q17" t="s">
        <v>85</v>
      </c>
    </row>
    <row r="18" spans="3:17" x14ac:dyDescent="0.3">
      <c r="C18" t="s">
        <v>62</v>
      </c>
      <c r="L18" s="88"/>
      <c r="P18" s="88"/>
    </row>
    <row r="19" spans="3:17" x14ac:dyDescent="0.3">
      <c r="C19" t="s">
        <v>61</v>
      </c>
      <c r="L19" s="88"/>
      <c r="P19" s="88" t="s">
        <v>39</v>
      </c>
    </row>
    <row r="20" spans="3:17" x14ac:dyDescent="0.3">
      <c r="C20" t="s">
        <v>60</v>
      </c>
      <c r="L20" s="88" t="s">
        <v>34</v>
      </c>
      <c r="P20" s="88"/>
      <c r="Q20" t="s">
        <v>86</v>
      </c>
    </row>
    <row r="21" spans="3:17" x14ac:dyDescent="0.3">
      <c r="C21" t="s">
        <v>59</v>
      </c>
      <c r="L21" s="88"/>
      <c r="P21" s="88"/>
    </row>
    <row r="22" spans="3:17" x14ac:dyDescent="0.3">
      <c r="C22" t="s">
        <v>58</v>
      </c>
      <c r="L22" s="88"/>
      <c r="P22" s="88" t="s">
        <v>40</v>
      </c>
    </row>
    <row r="23" spans="3:17" x14ac:dyDescent="0.3">
      <c r="C23" t="s">
        <v>57</v>
      </c>
      <c r="L23" s="88" t="s">
        <v>35</v>
      </c>
      <c r="P23" s="88"/>
      <c r="Q23" t="s">
        <v>87</v>
      </c>
    </row>
    <row r="24" spans="3:17" x14ac:dyDescent="0.3">
      <c r="C24" t="s">
        <v>56</v>
      </c>
      <c r="L24" s="88"/>
      <c r="P24" s="88"/>
    </row>
    <row r="25" spans="3:17" x14ac:dyDescent="0.3">
      <c r="C25" t="s">
        <v>55</v>
      </c>
      <c r="L25" s="88"/>
    </row>
    <row r="26" spans="3:17" x14ac:dyDescent="0.3">
      <c r="C26" t="s">
        <v>54</v>
      </c>
      <c r="L26" s="88" t="s">
        <v>36</v>
      </c>
    </row>
    <row r="27" spans="3:17" x14ac:dyDescent="0.3">
      <c r="C27" t="s">
        <v>53</v>
      </c>
      <c r="L27" s="88"/>
    </row>
    <row r="28" spans="3:17" x14ac:dyDescent="0.3">
      <c r="C28" t="s">
        <v>52</v>
      </c>
      <c r="L28" s="88"/>
    </row>
    <row r="29" spans="3:17" x14ac:dyDescent="0.3">
      <c r="C29" t="s">
        <v>51</v>
      </c>
    </row>
    <row r="30" spans="3:17" x14ac:dyDescent="0.3">
      <c r="C30" t="s">
        <v>50</v>
      </c>
    </row>
    <row r="31" spans="3:17" x14ac:dyDescent="0.3">
      <c r="C31" t="s">
        <v>49</v>
      </c>
    </row>
    <row r="32" spans="3:17" x14ac:dyDescent="0.3">
      <c r="C32" t="s">
        <v>48</v>
      </c>
    </row>
    <row r="33" spans="3:3" x14ac:dyDescent="0.3">
      <c r="C33" t="s">
        <v>47</v>
      </c>
    </row>
    <row r="34" spans="3:3" x14ac:dyDescent="0.3">
      <c r="C34" t="s">
        <v>46</v>
      </c>
    </row>
    <row r="35" spans="3:3" x14ac:dyDescent="0.3">
      <c r="C35" t="s">
        <v>45</v>
      </c>
    </row>
    <row r="36" spans="3:3" x14ac:dyDescent="0.3">
      <c r="C36" t="s">
        <v>88</v>
      </c>
    </row>
  </sheetData>
  <mergeCells count="9">
    <mergeCell ref="L26:L28"/>
    <mergeCell ref="P16:P18"/>
    <mergeCell ref="P19:P21"/>
    <mergeCell ref="P22:P24"/>
    <mergeCell ref="L11:L13"/>
    <mergeCell ref="L14:L16"/>
    <mergeCell ref="L17:L19"/>
    <mergeCell ref="L20:L22"/>
    <mergeCell ref="L23:L2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B99B7-C0C1-4878-A192-A3CEB11B902C}">
  <dimension ref="A1:BF33"/>
  <sheetViews>
    <sheetView zoomScale="80" zoomScaleNormal="80" workbookViewId="0">
      <pane xSplit="1" topLeftCell="B1" activePane="topRight" state="frozen"/>
      <selection pane="topRight"/>
    </sheetView>
  </sheetViews>
  <sheetFormatPr defaultRowHeight="14.4" x14ac:dyDescent="0.3"/>
  <cols>
    <col min="2" max="2" width="12.5546875" bestFit="1" customWidth="1"/>
  </cols>
  <sheetData>
    <row r="1" spans="1:58" x14ac:dyDescent="0.3">
      <c r="D1" s="65" t="s">
        <v>0</v>
      </c>
      <c r="E1" s="66"/>
      <c r="F1" s="66"/>
      <c r="G1" s="66"/>
      <c r="H1" s="66"/>
      <c r="I1" s="67"/>
      <c r="K1" s="65" t="s">
        <v>1</v>
      </c>
      <c r="L1" s="66"/>
      <c r="M1" s="66"/>
      <c r="N1" s="66"/>
      <c r="O1" s="66"/>
      <c r="P1" s="67"/>
      <c r="R1" s="65" t="s">
        <v>2</v>
      </c>
      <c r="S1" s="66"/>
      <c r="T1" s="66"/>
      <c r="U1" s="66"/>
      <c r="V1" s="66"/>
      <c r="W1" s="67"/>
      <c r="Y1" s="65" t="s">
        <v>3</v>
      </c>
      <c r="Z1" s="66"/>
      <c r="AA1" s="66"/>
      <c r="AB1" s="66"/>
      <c r="AC1" s="66"/>
      <c r="AD1" s="67"/>
      <c r="AF1" s="65" t="s">
        <v>4</v>
      </c>
      <c r="AG1" s="66"/>
      <c r="AH1" s="66"/>
      <c r="AI1" s="66"/>
      <c r="AJ1" s="66"/>
      <c r="AK1" s="67"/>
      <c r="AM1" s="65" t="s">
        <v>5</v>
      </c>
      <c r="AN1" s="66"/>
      <c r="AO1" s="66"/>
      <c r="AP1" s="66"/>
      <c r="AQ1" s="66"/>
      <c r="AR1" s="67"/>
      <c r="AT1" s="65" t="s">
        <v>6</v>
      </c>
      <c r="AU1" s="66"/>
      <c r="AV1" s="66"/>
      <c r="AW1" s="66"/>
      <c r="AX1" s="66"/>
      <c r="AY1" s="67"/>
      <c r="BA1" s="65" t="s">
        <v>7</v>
      </c>
      <c r="BB1" s="66"/>
      <c r="BC1" s="66"/>
      <c r="BD1" s="66"/>
      <c r="BE1" s="66"/>
      <c r="BF1" s="67"/>
    </row>
    <row r="2" spans="1:58" x14ac:dyDescent="0.3">
      <c r="D2" s="11" t="s">
        <v>8</v>
      </c>
      <c r="E2" s="12">
        <v>44650</v>
      </c>
      <c r="F2" s="13"/>
      <c r="G2" s="13"/>
      <c r="H2" s="13"/>
      <c r="I2" s="14"/>
      <c r="K2" s="29" t="s">
        <v>8</v>
      </c>
      <c r="L2" s="13">
        <v>44650</v>
      </c>
      <c r="M2" s="13"/>
      <c r="N2" s="13"/>
      <c r="O2" s="13"/>
      <c r="P2" s="14"/>
      <c r="R2" s="29" t="s">
        <v>8</v>
      </c>
      <c r="S2" s="13">
        <v>44650</v>
      </c>
      <c r="T2" s="13"/>
      <c r="U2" s="13"/>
      <c r="V2" s="13"/>
      <c r="W2" s="14"/>
      <c r="Y2" s="29" t="s">
        <v>8</v>
      </c>
      <c r="Z2" s="13">
        <v>44650</v>
      </c>
      <c r="AA2" s="13"/>
      <c r="AB2" s="13"/>
      <c r="AC2" s="13"/>
      <c r="AD2" s="14"/>
      <c r="AF2" s="29" t="s">
        <v>9</v>
      </c>
      <c r="AG2" s="13">
        <v>44630</v>
      </c>
      <c r="AH2" s="13"/>
      <c r="AI2" s="13"/>
      <c r="AJ2" s="13"/>
      <c r="AK2" s="14"/>
      <c r="AM2" s="29" t="s">
        <v>9</v>
      </c>
      <c r="AN2" s="13">
        <v>44650</v>
      </c>
      <c r="AO2" s="13"/>
      <c r="AP2" s="13"/>
      <c r="AQ2" s="13"/>
      <c r="AR2" s="14"/>
      <c r="AT2" s="29" t="s">
        <v>9</v>
      </c>
      <c r="AU2" s="13">
        <v>44630</v>
      </c>
      <c r="AV2" s="13"/>
      <c r="AW2" s="13"/>
      <c r="AX2" s="13"/>
      <c r="AY2" s="14"/>
      <c r="BA2" s="29" t="s">
        <v>9</v>
      </c>
      <c r="BB2" s="13">
        <v>44644</v>
      </c>
      <c r="BC2" s="13"/>
      <c r="BD2" s="13"/>
      <c r="BE2" s="13"/>
      <c r="BF2" s="14"/>
    </row>
    <row r="3" spans="1:58" x14ac:dyDescent="0.3">
      <c r="D3" s="11">
        <v>0</v>
      </c>
      <c r="E3" s="6">
        <v>0</v>
      </c>
      <c r="F3" s="15"/>
      <c r="G3" s="16"/>
      <c r="H3" s="16"/>
      <c r="I3" s="17"/>
      <c r="K3" s="3">
        <v>0</v>
      </c>
      <c r="L3" s="6">
        <f>AVERAGE(-0.001,-0.001,-0.002)</f>
        <v>-1.3333333333333333E-3</v>
      </c>
      <c r="M3" s="15"/>
      <c r="N3" s="16"/>
      <c r="O3" s="16"/>
      <c r="P3" s="17"/>
      <c r="R3" s="3">
        <v>0</v>
      </c>
      <c r="S3" s="6">
        <v>-7.4821157600000001E-4</v>
      </c>
      <c r="T3" s="15"/>
      <c r="U3" s="16"/>
      <c r="V3" s="16"/>
      <c r="W3" s="17"/>
      <c r="Y3" s="3">
        <v>0</v>
      </c>
      <c r="Z3" s="6">
        <v>2.8186006200000001E-4</v>
      </c>
      <c r="AA3" s="15"/>
      <c r="AB3" s="16"/>
      <c r="AC3" s="16"/>
      <c r="AD3" s="17"/>
      <c r="AF3" s="3">
        <v>0</v>
      </c>
      <c r="AG3" s="41">
        <f>AVERAGE(-0.0001,0.0003,-0.0001)</f>
        <v>3.3333333333333328E-5</v>
      </c>
      <c r="AH3" s="15"/>
      <c r="AI3" s="16"/>
      <c r="AJ3" s="16"/>
      <c r="AK3" s="17"/>
      <c r="AM3" s="11">
        <v>0</v>
      </c>
      <c r="AN3" s="46">
        <f>AVERAGE(0.0161,0.0149,0.0117)</f>
        <v>1.4233333333333334E-2</v>
      </c>
      <c r="AO3" s="21"/>
      <c r="AP3" s="16"/>
      <c r="AQ3" s="16"/>
      <c r="AR3" s="17"/>
      <c r="AT3" s="3">
        <v>0</v>
      </c>
      <c r="AU3" s="41">
        <f>AVERAGE(0.0829,0.051,0.0407)</f>
        <v>5.8199999999999995E-2</v>
      </c>
      <c r="AV3" s="21"/>
      <c r="AW3" s="16"/>
      <c r="AX3" s="16"/>
      <c r="AY3" s="17"/>
      <c r="BA3" s="3">
        <v>0</v>
      </c>
      <c r="BB3" s="46">
        <f>AVERAGE(0,-0.0003,0.0006)</f>
        <v>9.9999999999999991E-5</v>
      </c>
      <c r="BC3" s="21"/>
      <c r="BD3" s="16"/>
      <c r="BE3" s="16"/>
      <c r="BF3" s="17"/>
    </row>
    <row r="4" spans="1:58" x14ac:dyDescent="0.3">
      <c r="D4" s="11">
        <v>0.1</v>
      </c>
      <c r="E4" s="3"/>
      <c r="F4" s="3">
        <v>3.6999999999999998E-2</v>
      </c>
      <c r="G4" s="16"/>
      <c r="H4" s="16"/>
      <c r="I4" s="17"/>
      <c r="K4" s="3">
        <v>2.5000000000000001E-2</v>
      </c>
      <c r="L4" s="6">
        <v>1.7999999999999999E-2</v>
      </c>
      <c r="M4" s="15"/>
      <c r="N4" s="16"/>
      <c r="O4" s="16"/>
      <c r="P4" s="17"/>
      <c r="R4" s="3">
        <v>0.1</v>
      </c>
      <c r="S4" s="6">
        <v>1.1932020099999999E-2</v>
      </c>
      <c r="T4" s="15"/>
      <c r="U4" s="16"/>
      <c r="V4" s="16"/>
      <c r="W4" s="17"/>
      <c r="Y4" s="3">
        <v>0.1</v>
      </c>
      <c r="Z4" s="6"/>
      <c r="AA4" s="6">
        <v>4.1943683799999999E-4</v>
      </c>
      <c r="AB4" s="16"/>
      <c r="AC4" s="16"/>
      <c r="AD4" s="17"/>
      <c r="AF4" s="3">
        <v>10</v>
      </c>
      <c r="AG4" s="42">
        <f>AVERAGE(0.0373,0.0348,0.0377)</f>
        <v>3.6600000000000001E-2</v>
      </c>
      <c r="AH4" s="15"/>
      <c r="AI4" s="16"/>
      <c r="AJ4" s="16"/>
      <c r="AK4" s="17"/>
      <c r="AM4" s="11">
        <v>5</v>
      </c>
      <c r="AN4" s="46">
        <f>AVERAGE(0.0296,0.0287,0.0293)</f>
        <v>2.9200000000000004E-2</v>
      </c>
      <c r="AO4" s="15"/>
      <c r="AP4" s="16"/>
      <c r="AQ4" s="16"/>
      <c r="AR4" s="17"/>
      <c r="AT4" s="3">
        <v>10</v>
      </c>
      <c r="AU4" s="41">
        <f>AVERAGE(0.2535,0.1968,0.2008)</f>
        <v>0.21703333333333333</v>
      </c>
      <c r="AV4" s="15"/>
      <c r="AW4" s="16"/>
      <c r="AX4" s="16"/>
      <c r="AY4" s="17"/>
      <c r="BA4" s="3">
        <v>2</v>
      </c>
      <c r="BB4" s="46">
        <f>AVERAGE(0.1713,0.1716,0.1737)</f>
        <v>0.17219999999999999</v>
      </c>
      <c r="BC4" s="15"/>
      <c r="BD4" s="16"/>
      <c r="BE4" s="16"/>
      <c r="BF4" s="17"/>
    </row>
    <row r="5" spans="1:58" x14ac:dyDescent="0.3">
      <c r="D5" s="11">
        <v>0.25</v>
      </c>
      <c r="E5" s="3">
        <v>4.3999999999999997E-2</v>
      </c>
      <c r="F5" s="15"/>
      <c r="G5" s="16"/>
      <c r="H5" s="16"/>
      <c r="I5" s="17"/>
      <c r="K5" s="3">
        <v>0.05</v>
      </c>
      <c r="L5" s="6">
        <v>0.03</v>
      </c>
      <c r="M5" s="15"/>
      <c r="N5" s="16"/>
      <c r="O5" s="16"/>
      <c r="P5" s="17"/>
      <c r="R5" s="3">
        <v>0.25</v>
      </c>
      <c r="S5" s="6">
        <v>0.12606529899999999</v>
      </c>
      <c r="T5" s="15"/>
      <c r="U5" s="16"/>
      <c r="V5" s="16"/>
      <c r="W5" s="17"/>
      <c r="Y5" s="3">
        <v>0.25</v>
      </c>
      <c r="Z5" s="6">
        <v>5.0334036399999997E-3</v>
      </c>
      <c r="AA5" s="15"/>
      <c r="AB5" s="16"/>
      <c r="AC5" s="16"/>
      <c r="AD5" s="17"/>
      <c r="AF5" s="3">
        <v>20</v>
      </c>
      <c r="AG5" s="41">
        <f>AVERAGE(0.0488,0.0554,0.0545)</f>
        <v>5.2900000000000003E-2</v>
      </c>
      <c r="AH5" s="15"/>
      <c r="AI5" s="16"/>
      <c r="AJ5" s="16"/>
      <c r="AK5" s="17"/>
      <c r="AM5" s="11">
        <v>10</v>
      </c>
      <c r="AN5" s="46">
        <f>AVERAGE(0.0565,0.0575,0.0528)</f>
        <v>5.5600000000000004E-2</v>
      </c>
      <c r="AO5" s="15"/>
      <c r="AP5" s="16"/>
      <c r="AQ5" s="16"/>
      <c r="AR5" s="17"/>
      <c r="AT5" s="3">
        <v>25</v>
      </c>
      <c r="AU5" s="41">
        <f>AVERAGE(0.4002,0.4332,0.4407)</f>
        <v>0.42469999999999991</v>
      </c>
      <c r="AV5" s="15"/>
      <c r="AW5" s="16"/>
      <c r="AX5" s="16"/>
      <c r="AY5" s="17"/>
      <c r="BA5" s="3">
        <v>4</v>
      </c>
      <c r="BB5" s="46">
        <f>AVERAGE(0.3088,0.13107,0.3107)</f>
        <v>0.25018999999999997</v>
      </c>
      <c r="BC5" s="15"/>
      <c r="BD5" s="16"/>
      <c r="BE5" s="16"/>
      <c r="BF5" s="17"/>
    </row>
    <row r="6" spans="1:58" x14ac:dyDescent="0.3">
      <c r="D6" s="11">
        <v>0.5</v>
      </c>
      <c r="E6" s="3">
        <v>7.4999999999999997E-2</v>
      </c>
      <c r="F6" s="15"/>
      <c r="G6" s="16"/>
      <c r="H6" s="16"/>
      <c r="I6" s="17"/>
      <c r="K6" s="3">
        <v>0.1</v>
      </c>
      <c r="L6" s="6">
        <v>0.06</v>
      </c>
      <c r="M6" s="15"/>
      <c r="N6" s="16"/>
      <c r="O6" s="16"/>
      <c r="P6" s="17"/>
      <c r="R6" s="3">
        <v>0.5</v>
      </c>
      <c r="S6" s="6">
        <v>0.24470312899999999</v>
      </c>
      <c r="T6" s="15"/>
      <c r="U6" s="16"/>
      <c r="V6" s="16"/>
      <c r="W6" s="17"/>
      <c r="Y6" s="3">
        <v>0.5</v>
      </c>
      <c r="Z6" s="6">
        <v>2.0539153399999999E-2</v>
      </c>
      <c r="AA6" s="15"/>
      <c r="AB6" s="16"/>
      <c r="AC6" s="16"/>
      <c r="AD6" s="17"/>
      <c r="AF6" s="3">
        <v>40</v>
      </c>
      <c r="AG6" s="41">
        <f>AVERAGE(0.0979,0.0884,0.0998)</f>
        <v>9.5366666666666669E-2</v>
      </c>
      <c r="AH6" s="15"/>
      <c r="AI6" s="16"/>
      <c r="AJ6" s="16"/>
      <c r="AK6" s="17"/>
      <c r="AM6" s="11">
        <v>20</v>
      </c>
      <c r="AN6" s="46">
        <f>AVERAGE(0.0855,0.0877,0.0881)</f>
        <v>8.7100000000000011E-2</v>
      </c>
      <c r="AO6" s="15"/>
      <c r="AP6" s="16"/>
      <c r="AQ6" s="16"/>
      <c r="AR6" s="17"/>
      <c r="AT6" s="3">
        <v>50</v>
      </c>
      <c r="AU6" s="41">
        <f>AVERAGE(0.8798,0.7863,0.8098)</f>
        <v>0.82530000000000003</v>
      </c>
      <c r="AV6" s="15"/>
      <c r="AW6" s="16"/>
      <c r="AX6" s="16"/>
      <c r="AY6" s="17"/>
      <c r="BA6" s="3">
        <v>6</v>
      </c>
      <c r="BB6" s="46">
        <f>AVERAGE(0.4147,0.4117,0.414)</f>
        <v>0.41346666666666665</v>
      </c>
      <c r="BC6" s="15"/>
      <c r="BD6" s="16"/>
      <c r="BE6" s="16"/>
      <c r="BF6" s="17"/>
    </row>
    <row r="7" spans="1:58" x14ac:dyDescent="0.3">
      <c r="D7" s="11">
        <v>1</v>
      </c>
      <c r="E7" s="3">
        <v>0.14199999999999999</v>
      </c>
      <c r="F7" s="15"/>
      <c r="G7" s="16"/>
      <c r="H7" s="16"/>
      <c r="I7" s="17"/>
      <c r="K7" s="3">
        <v>0.25</v>
      </c>
      <c r="L7" s="6">
        <v>0.13200000000000001</v>
      </c>
      <c r="M7" s="15"/>
      <c r="N7" s="16"/>
      <c r="O7" s="16"/>
      <c r="P7" s="17"/>
      <c r="R7" s="3">
        <v>1</v>
      </c>
      <c r="S7" s="6">
        <v>0.46963051</v>
      </c>
      <c r="T7" s="15"/>
      <c r="U7" s="16"/>
      <c r="V7" s="16"/>
      <c r="W7" s="17"/>
      <c r="Y7" s="3">
        <v>1</v>
      </c>
      <c r="Z7" s="6">
        <v>4.31949981E-2</v>
      </c>
      <c r="AA7" s="15"/>
      <c r="AB7" s="16"/>
      <c r="AC7" s="16"/>
      <c r="AD7" s="17"/>
      <c r="AF7" s="3">
        <v>50</v>
      </c>
      <c r="AG7" s="41">
        <f>AVERAGE(0.1154,0.1145,0.1194)</f>
        <v>0.11643333333333333</v>
      </c>
      <c r="AH7" s="15"/>
      <c r="AI7" s="16"/>
      <c r="AJ7" s="16"/>
      <c r="AK7" s="17"/>
      <c r="AM7" s="11">
        <v>25</v>
      </c>
      <c r="AN7" s="46">
        <f>AVERAGE(0.1056,0.1043,0.1035)</f>
        <v>0.10446666666666667</v>
      </c>
      <c r="AO7" s="15"/>
      <c r="AP7" s="16"/>
      <c r="AQ7" s="16"/>
      <c r="AR7" s="17"/>
      <c r="AT7" s="3">
        <v>65</v>
      </c>
      <c r="AU7" s="41">
        <f>AVERAGE(1.013,1.0391,1.0514)</f>
        <v>1.0344999999999998</v>
      </c>
      <c r="AV7" s="15"/>
      <c r="AW7" s="16"/>
      <c r="AX7" s="16"/>
      <c r="AY7" s="17"/>
      <c r="BA7" s="3">
        <v>8</v>
      </c>
      <c r="BB7" s="46">
        <f>AVERAGE(0.4373,0.4856,0.4937)</f>
        <v>0.47220000000000001</v>
      </c>
      <c r="BC7" s="15"/>
      <c r="BD7" s="16"/>
      <c r="BE7" s="16"/>
      <c r="BF7" s="17"/>
    </row>
    <row r="8" spans="1:58" x14ac:dyDescent="0.3">
      <c r="D8" s="11">
        <v>3</v>
      </c>
      <c r="E8" s="3">
        <v>0.376</v>
      </c>
      <c r="F8" s="3"/>
      <c r="G8" s="18"/>
      <c r="H8" s="19" t="s">
        <v>10</v>
      </c>
      <c r="I8" s="17"/>
      <c r="K8" s="3">
        <v>0.5</v>
      </c>
      <c r="L8" s="6">
        <v>0.23599999999999999</v>
      </c>
      <c r="M8" s="15"/>
      <c r="N8" s="16"/>
      <c r="O8" s="16"/>
      <c r="P8" s="17"/>
      <c r="R8" s="3"/>
      <c r="S8" s="3"/>
      <c r="T8" s="15"/>
      <c r="U8" s="16"/>
      <c r="V8" s="16"/>
      <c r="W8" s="17"/>
      <c r="Y8" s="3">
        <v>2.5</v>
      </c>
      <c r="Z8" s="6">
        <v>0.13868945799999999</v>
      </c>
      <c r="AA8" s="15"/>
      <c r="AB8" s="16"/>
      <c r="AC8" s="16"/>
      <c r="AD8" s="17"/>
      <c r="AF8" s="3">
        <v>75</v>
      </c>
      <c r="AG8" s="41">
        <f>AVERAGE(0.1687,0.1588,0.149)</f>
        <v>0.15883333333333335</v>
      </c>
      <c r="AH8" s="15"/>
      <c r="AI8" s="16"/>
      <c r="AJ8" s="16"/>
      <c r="AK8" s="17"/>
      <c r="AM8" s="11">
        <v>35</v>
      </c>
      <c r="AN8" s="46">
        <f>AVERAGE(0.1476,0.1509,0.1499)</f>
        <v>0.14946666666666666</v>
      </c>
      <c r="AO8" s="15"/>
      <c r="AP8" s="16"/>
      <c r="AQ8" s="16"/>
      <c r="AR8" s="17"/>
      <c r="AT8" s="3">
        <v>75</v>
      </c>
      <c r="AU8" s="41">
        <f>AVERAGE(1.2053,1.1818,1.2065)</f>
        <v>1.1978666666666669</v>
      </c>
      <c r="AV8" s="15"/>
      <c r="AW8" s="16"/>
      <c r="AX8" s="16"/>
      <c r="AY8" s="17"/>
      <c r="BA8" s="3">
        <v>10</v>
      </c>
      <c r="BB8" s="46">
        <f>AVERAGE(0.544,0.545,0.5447)</f>
        <v>0.54456666666666664</v>
      </c>
      <c r="BC8" s="15"/>
      <c r="BD8" s="16"/>
      <c r="BE8" s="16"/>
      <c r="BF8" s="17"/>
    </row>
    <row r="9" spans="1:58" x14ac:dyDescent="0.3">
      <c r="D9" s="11">
        <v>5</v>
      </c>
      <c r="E9" s="3">
        <v>0.57599999999999996</v>
      </c>
      <c r="F9" s="3"/>
      <c r="G9" s="16"/>
      <c r="H9" s="16"/>
      <c r="I9" s="17"/>
      <c r="K9" s="3">
        <v>1</v>
      </c>
      <c r="L9" s="6">
        <v>0.44400000000000001</v>
      </c>
      <c r="N9" s="26" t="s">
        <v>11</v>
      </c>
      <c r="O9" s="18"/>
      <c r="P9" s="19" t="s">
        <v>10</v>
      </c>
      <c r="R9" s="3"/>
      <c r="S9" s="3"/>
      <c r="U9" s="26" t="s">
        <v>11</v>
      </c>
      <c r="V9" s="18"/>
      <c r="W9" s="19" t="s">
        <v>10</v>
      </c>
      <c r="Y9" s="3">
        <v>5</v>
      </c>
      <c r="Z9" s="6">
        <v>0.263099998</v>
      </c>
      <c r="AB9" s="26" t="s">
        <v>11</v>
      </c>
      <c r="AC9" s="18"/>
      <c r="AD9" s="19" t="s">
        <v>10</v>
      </c>
      <c r="AF9" s="3">
        <v>100</v>
      </c>
      <c r="AG9" s="41">
        <f>AVERAGE(0.1922,0.194,0.218)</f>
        <v>0.2014</v>
      </c>
      <c r="AI9" s="26" t="s">
        <v>11</v>
      </c>
      <c r="AJ9" s="18">
        <v>5</v>
      </c>
      <c r="AK9" s="19" t="s">
        <v>10</v>
      </c>
      <c r="AM9" s="3">
        <v>50</v>
      </c>
      <c r="AN9" s="41">
        <f>AVERAGE(0.1914,0.1934,0.1937)</f>
        <v>0.19283333333333333</v>
      </c>
      <c r="AP9" s="26" t="s">
        <v>11</v>
      </c>
      <c r="AQ9" s="18">
        <v>5</v>
      </c>
      <c r="AR9" s="19" t="s">
        <v>10</v>
      </c>
      <c r="AT9" s="3">
        <v>85</v>
      </c>
      <c r="AU9" s="41">
        <f>AVERAGE(1.4139,1.3164,1.3526)</f>
        <v>1.3609666666666664</v>
      </c>
      <c r="AW9" s="26" t="s">
        <v>11</v>
      </c>
      <c r="AX9" s="18">
        <v>5</v>
      </c>
      <c r="AY9" s="19" t="s">
        <v>12</v>
      </c>
      <c r="BA9" s="40">
        <v>16</v>
      </c>
      <c r="BB9" s="47">
        <f>AVERAGE(0.6613,0.6556,0.6718)</f>
        <v>0.66289999999999993</v>
      </c>
      <c r="BD9" s="26" t="s">
        <v>11</v>
      </c>
      <c r="BE9" s="18">
        <v>0.5</v>
      </c>
      <c r="BF9" s="19" t="s">
        <v>10</v>
      </c>
    </row>
    <row r="10" spans="1:58" x14ac:dyDescent="0.3">
      <c r="D10" s="11"/>
      <c r="E10" s="3"/>
      <c r="F10" s="20"/>
      <c r="G10" s="16"/>
      <c r="H10" s="16"/>
      <c r="I10" s="17"/>
      <c r="K10" s="3">
        <v>3</v>
      </c>
      <c r="L10" s="6">
        <v>0.877</v>
      </c>
      <c r="N10" s="26"/>
      <c r="O10" s="18"/>
      <c r="P10" s="19"/>
      <c r="R10" s="30"/>
      <c r="S10" s="20"/>
      <c r="U10" s="26"/>
      <c r="V10" s="18"/>
      <c r="W10" s="19"/>
      <c r="Y10" s="3">
        <v>10</v>
      </c>
      <c r="Z10" s="6">
        <v>0.51210653799999994</v>
      </c>
      <c r="AB10" s="26"/>
      <c r="AC10" s="18"/>
      <c r="AD10" s="19"/>
      <c r="AF10" s="30"/>
      <c r="AG10" s="20"/>
      <c r="AI10" s="26"/>
      <c r="AJ10" s="18">
        <f>AJ9*AH13*0.02/0.25</f>
        <v>2</v>
      </c>
      <c r="AK10" s="19" t="s">
        <v>13</v>
      </c>
      <c r="AM10" s="30"/>
      <c r="AN10" s="20"/>
      <c r="AP10" s="26"/>
      <c r="AQ10" s="18">
        <f>AQ9*AO13*0.02/0.25</f>
        <v>2</v>
      </c>
      <c r="AR10" s="19" t="s">
        <v>13</v>
      </c>
      <c r="AT10" s="30">
        <v>100</v>
      </c>
      <c r="AU10" s="47">
        <f>AVERAGE(1.5275,1.4936,1.62)</f>
        <v>1.5470333333333333</v>
      </c>
      <c r="AW10" s="26"/>
      <c r="AX10" s="18">
        <f>AX9*AV13*0.02/0.25</f>
        <v>2</v>
      </c>
      <c r="AY10" s="19" t="s">
        <v>13</v>
      </c>
      <c r="BA10" s="30">
        <v>20</v>
      </c>
      <c r="BB10" s="47">
        <f>AVERAGE(0.708,0.7008,0.7043)</f>
        <v>0.70436666666666659</v>
      </c>
      <c r="BD10" s="26"/>
      <c r="BE10" s="48">
        <f>(BE9*5*0.02)/0.25</f>
        <v>0.2</v>
      </c>
      <c r="BF10" s="19" t="s">
        <v>13</v>
      </c>
    </row>
    <row r="11" spans="1:58" x14ac:dyDescent="0.3">
      <c r="D11" s="11" t="s">
        <v>14</v>
      </c>
      <c r="E11" s="25">
        <f>SLOPE(E3:E7,D3:D7)</f>
        <v>0.13954285714285714</v>
      </c>
      <c r="F11" s="21"/>
      <c r="G11" s="16"/>
      <c r="H11" s="16"/>
      <c r="I11" s="17"/>
      <c r="K11" s="11" t="s">
        <v>14</v>
      </c>
      <c r="L11" s="25">
        <f>SLOPE(L3:L9,K3:K9)</f>
        <v>0.43995813710099424</v>
      </c>
      <c r="M11" s="15"/>
      <c r="N11" s="16"/>
      <c r="O11" s="16"/>
      <c r="P11" s="17"/>
      <c r="R11" s="29" t="s">
        <v>14</v>
      </c>
      <c r="S11" s="15">
        <f>SLOPE(S3:S7,R3:R7)</f>
        <v>0.48527583863028217</v>
      </c>
      <c r="T11" s="15"/>
      <c r="U11" s="16"/>
      <c r="V11" s="16"/>
      <c r="W11" s="17"/>
      <c r="Y11" s="29" t="s">
        <v>14</v>
      </c>
      <c r="Z11" s="15">
        <f>SLOPE(Z3:Z10,Y3:Y10)</f>
        <v>5.1929821857513339E-2</v>
      </c>
      <c r="AA11" s="15"/>
      <c r="AB11" s="16"/>
      <c r="AC11" s="16"/>
      <c r="AD11" s="17"/>
      <c r="AF11" s="29" t="s">
        <v>14</v>
      </c>
      <c r="AG11" s="15">
        <f>SLOPE(AG3:AG8,AF3:AF8)</f>
        <v>2.0623579849946413E-3</v>
      </c>
      <c r="AH11" s="15"/>
      <c r="AI11" s="16"/>
      <c r="AJ11" s="16"/>
      <c r="AK11" s="17"/>
      <c r="AM11" s="29" t="s">
        <v>14</v>
      </c>
      <c r="AN11" s="15">
        <f>SLOPE(AN3:AN7,AM3:AM7)</f>
        <v>3.6475968992248061E-3</v>
      </c>
      <c r="AO11" s="21"/>
      <c r="AP11" s="16"/>
      <c r="AQ11" s="16"/>
      <c r="AR11" s="17"/>
      <c r="AT11" s="29" t="s">
        <v>14</v>
      </c>
      <c r="AU11" s="42">
        <f>SLOPE(AU3:AU9,AT3:AT9)</f>
        <v>1.5238409420289855E-2</v>
      </c>
      <c r="AV11" s="21"/>
      <c r="AW11" s="16"/>
      <c r="AX11" s="16"/>
      <c r="AY11" s="17"/>
      <c r="BA11" s="29" t="s">
        <v>14</v>
      </c>
      <c r="BB11" s="15">
        <f>SLOPE(BB3:BB6,BA3:BA6)</f>
        <v>6.5904500000000005E-2</v>
      </c>
      <c r="BC11" s="21"/>
      <c r="BD11" s="16"/>
      <c r="BE11" s="16"/>
      <c r="BF11" s="17"/>
    </row>
    <row r="12" spans="1:58" x14ac:dyDescent="0.3">
      <c r="D12" s="11" t="s">
        <v>15</v>
      </c>
      <c r="E12" s="25">
        <f>INTERCEPT(E3:E7,D3:D7)</f>
        <v>4.2000000000000093E-3</v>
      </c>
      <c r="F12" s="15"/>
      <c r="G12" s="16"/>
      <c r="H12" s="16"/>
      <c r="I12" s="17"/>
      <c r="K12" s="11" t="s">
        <v>15</v>
      </c>
      <c r="L12" s="25">
        <f>INTERCEPT(L3:L9,K3:K9)</f>
        <v>1.0249607535321809E-2</v>
      </c>
      <c r="M12" s="15" t="s">
        <v>16</v>
      </c>
      <c r="N12" s="16"/>
      <c r="O12" s="16"/>
      <c r="P12" s="17"/>
      <c r="R12" s="29" t="s">
        <v>15</v>
      </c>
      <c r="S12" s="15">
        <f>INTERCEPT(S3:S7,R3:R7)</f>
        <v>-9.2355109884043884E-3</v>
      </c>
      <c r="T12" s="15" t="s">
        <v>16</v>
      </c>
      <c r="U12" s="16"/>
      <c r="V12" s="16"/>
      <c r="W12" s="17"/>
      <c r="Y12" s="29" t="s">
        <v>15</v>
      </c>
      <c r="Z12" s="15">
        <f>INTERCEPT(Z3:Z10,Y3:Y10)</f>
        <v>-2.386237365018834E-3</v>
      </c>
      <c r="AA12" s="15" t="s">
        <v>16</v>
      </c>
      <c r="AB12" s="16"/>
      <c r="AC12" s="16"/>
      <c r="AD12" s="17"/>
      <c r="AF12" s="29" t="s">
        <v>15</v>
      </c>
      <c r="AG12" s="15">
        <f>INTERCEPT(AG3:AG8,AF3:AF8)</f>
        <v>9.6678099321186178E-3</v>
      </c>
      <c r="AH12" s="15" t="s">
        <v>16</v>
      </c>
      <c r="AI12" s="16"/>
      <c r="AJ12" s="16"/>
      <c r="AK12" s="17"/>
      <c r="AM12" s="29" t="s">
        <v>15</v>
      </c>
      <c r="AN12" s="15">
        <f>INTERCEPT(AN3:AN7,AM3:AM7)</f>
        <v>1.4348837209302329E-2</v>
      </c>
      <c r="AO12" s="15" t="s">
        <v>16</v>
      </c>
      <c r="AP12" s="16"/>
      <c r="AQ12" s="16"/>
      <c r="AR12" s="17"/>
      <c r="AT12" s="29" t="s">
        <v>15</v>
      </c>
      <c r="AU12" s="42">
        <f>INTERCEPT(AU3:AU9,AT3:AT9)</f>
        <v>5.6379963768115937E-2</v>
      </c>
      <c r="AV12" s="15" t="s">
        <v>16</v>
      </c>
      <c r="AW12" s="16"/>
      <c r="AX12" s="16"/>
      <c r="AY12" s="17"/>
      <c r="BA12" s="29" t="s">
        <v>15</v>
      </c>
      <c r="BB12" s="15">
        <f>INTERCEPT(BB3:BB6,BA3:BA6)</f>
        <v>1.1275666666666628E-2</v>
      </c>
      <c r="BC12" s="15" t="s">
        <v>16</v>
      </c>
      <c r="BD12" s="16"/>
      <c r="BE12" s="16"/>
      <c r="BF12" s="17"/>
    </row>
    <row r="13" spans="1:58" x14ac:dyDescent="0.3">
      <c r="A13" s="89"/>
      <c r="B13" s="90"/>
      <c r="C13" s="90"/>
      <c r="D13" s="11" t="s">
        <v>18</v>
      </c>
      <c r="E13" s="25">
        <f>CORREL(E3:E7,D3:D7)</f>
        <v>0.99785244918300464</v>
      </c>
      <c r="F13" s="22"/>
      <c r="G13" s="23"/>
      <c r="H13" s="23"/>
      <c r="I13" s="24"/>
      <c r="K13" s="11" t="s">
        <v>18</v>
      </c>
      <c r="L13" s="25">
        <f>CORREL(L3:L9,K3:K9)</f>
        <v>0.99872734174379918</v>
      </c>
      <c r="M13" s="32">
        <v>1</v>
      </c>
      <c r="N13" s="33"/>
      <c r="O13" s="16"/>
      <c r="P13" s="17"/>
      <c r="R13" s="31" t="s">
        <v>18</v>
      </c>
      <c r="S13" s="22">
        <f>CORREL(S3:S7,R3:R7)</f>
        <v>0.99607995703664676</v>
      </c>
      <c r="T13" s="32">
        <v>1</v>
      </c>
      <c r="U13" s="33"/>
      <c r="V13" s="16"/>
      <c r="W13" s="17"/>
      <c r="Y13" s="31" t="s">
        <v>18</v>
      </c>
      <c r="Z13" s="22">
        <f>CORREL(Z3:Z10,Y3:Y10)</f>
        <v>0.99936872247279707</v>
      </c>
      <c r="AA13" s="32">
        <v>25</v>
      </c>
      <c r="AB13" s="16"/>
      <c r="AC13" s="16"/>
      <c r="AD13" s="17"/>
      <c r="AF13" s="31" t="s">
        <v>18</v>
      </c>
      <c r="AG13" s="22">
        <f>CORREL(AG3:AG8,AF3:AF8)</f>
        <v>0.99428839353082521</v>
      </c>
      <c r="AH13" s="43">
        <v>5</v>
      </c>
      <c r="AI13" s="16"/>
      <c r="AJ13" s="16"/>
      <c r="AK13" s="17"/>
      <c r="AM13" s="31" t="s">
        <v>18</v>
      </c>
      <c r="AN13" s="22">
        <f>CORREL(AN3:AN7,AM3:AM7)</f>
        <v>0.99691390446347461</v>
      </c>
      <c r="AO13" s="32">
        <v>5</v>
      </c>
      <c r="AP13" s="16"/>
      <c r="AQ13" s="16"/>
      <c r="AR13" s="17"/>
      <c r="AT13" s="31" t="s">
        <v>18</v>
      </c>
      <c r="AU13" s="22">
        <f>CORREL(AU3:AU9,AT3:AT9)</f>
        <v>0.99982884429650498</v>
      </c>
      <c r="AV13" s="32">
        <v>5</v>
      </c>
      <c r="AW13" s="16"/>
      <c r="AX13" s="16"/>
      <c r="AY13" s="17"/>
      <c r="BA13" s="31" t="s">
        <v>18</v>
      </c>
      <c r="BB13" s="22">
        <f>CORREL(BB3:BB6,BA3:BA6)</f>
        <v>0.99075567781189222</v>
      </c>
      <c r="BC13" s="32">
        <v>5</v>
      </c>
      <c r="BD13" s="16"/>
      <c r="BE13" s="16"/>
      <c r="BF13" s="17"/>
    </row>
    <row r="14" spans="1:58" ht="14.4" customHeight="1" x14ac:dyDescent="0.3">
      <c r="A14" s="1"/>
      <c r="B14" s="91" t="s">
        <v>19</v>
      </c>
      <c r="C14" s="93" t="s">
        <v>20</v>
      </c>
      <c r="D14" s="88" t="s">
        <v>21</v>
      </c>
      <c r="E14" s="88" t="s">
        <v>22</v>
      </c>
      <c r="F14" s="88" t="s">
        <v>23</v>
      </c>
      <c r="G14" s="88" t="s">
        <v>24</v>
      </c>
      <c r="H14" s="88" t="s">
        <v>25</v>
      </c>
      <c r="I14" s="88" t="s">
        <v>26</v>
      </c>
      <c r="K14" s="68" t="s">
        <v>21</v>
      </c>
      <c r="L14" s="70" t="s">
        <v>22</v>
      </c>
      <c r="M14" s="72" t="s">
        <v>23</v>
      </c>
      <c r="N14" s="73" t="s">
        <v>24</v>
      </c>
      <c r="O14" s="74" t="s">
        <v>25</v>
      </c>
      <c r="P14" s="72" t="s">
        <v>26</v>
      </c>
      <c r="R14" s="68" t="s">
        <v>21</v>
      </c>
      <c r="S14" s="70" t="s">
        <v>22</v>
      </c>
      <c r="T14" s="72" t="s">
        <v>23</v>
      </c>
      <c r="U14" s="73" t="s">
        <v>24</v>
      </c>
      <c r="V14" s="74" t="s">
        <v>25</v>
      </c>
      <c r="W14" s="72" t="s">
        <v>26</v>
      </c>
      <c r="Y14" s="68" t="s">
        <v>21</v>
      </c>
      <c r="Z14" s="70" t="s">
        <v>22</v>
      </c>
      <c r="AA14" s="72" t="s">
        <v>27</v>
      </c>
      <c r="AB14" s="73" t="s">
        <v>24</v>
      </c>
      <c r="AC14" s="74" t="s">
        <v>25</v>
      </c>
      <c r="AD14" s="72" t="s">
        <v>26</v>
      </c>
      <c r="AF14" s="68" t="s">
        <v>21</v>
      </c>
      <c r="AG14" s="70" t="s">
        <v>28</v>
      </c>
      <c r="AH14" s="72" t="s">
        <v>29</v>
      </c>
      <c r="AI14" s="73" t="s">
        <v>24</v>
      </c>
      <c r="AJ14" s="74" t="s">
        <v>25</v>
      </c>
      <c r="AK14" s="72" t="s">
        <v>26</v>
      </c>
      <c r="AM14" s="68" t="s">
        <v>21</v>
      </c>
      <c r="AN14" s="70" t="s">
        <v>28</v>
      </c>
      <c r="AO14" s="72" t="s">
        <v>29</v>
      </c>
      <c r="AP14" s="73" t="s">
        <v>24</v>
      </c>
      <c r="AQ14" s="74" t="s">
        <v>25</v>
      </c>
      <c r="AR14" s="72" t="s">
        <v>26</v>
      </c>
      <c r="AT14" s="68" t="s">
        <v>21</v>
      </c>
      <c r="AU14" s="70" t="s">
        <v>28</v>
      </c>
      <c r="AV14" s="72" t="s">
        <v>29</v>
      </c>
      <c r="AW14" s="73" t="s">
        <v>24</v>
      </c>
      <c r="AX14" s="74" t="s">
        <v>25</v>
      </c>
      <c r="AY14" s="72" t="s">
        <v>26</v>
      </c>
      <c r="BA14" s="68" t="s">
        <v>21</v>
      </c>
      <c r="BB14" s="70" t="s">
        <v>28</v>
      </c>
      <c r="BC14" s="72" t="s">
        <v>29</v>
      </c>
      <c r="BD14" s="73" t="s">
        <v>24</v>
      </c>
      <c r="BE14" s="74" t="s">
        <v>25</v>
      </c>
      <c r="BF14" s="72" t="s">
        <v>26</v>
      </c>
    </row>
    <row r="15" spans="1:58" x14ac:dyDescent="0.3">
      <c r="A15" s="2"/>
      <c r="B15" s="92"/>
      <c r="C15" s="94"/>
      <c r="D15" s="88"/>
      <c r="E15" s="88"/>
      <c r="F15" s="88"/>
      <c r="G15" s="88"/>
      <c r="H15" s="88"/>
      <c r="I15" s="88"/>
      <c r="K15" s="69"/>
      <c r="L15" s="71"/>
      <c r="M15" s="70"/>
      <c r="N15" s="69"/>
      <c r="O15" s="75"/>
      <c r="P15" s="71"/>
      <c r="R15" s="69"/>
      <c r="S15" s="71"/>
      <c r="T15" s="70"/>
      <c r="U15" s="69"/>
      <c r="V15" s="75"/>
      <c r="W15" s="71"/>
      <c r="Y15" s="69"/>
      <c r="Z15" s="71"/>
      <c r="AA15" s="70"/>
      <c r="AB15" s="69"/>
      <c r="AC15" s="75"/>
      <c r="AD15" s="71"/>
      <c r="AF15" s="69"/>
      <c r="AG15" s="71"/>
      <c r="AH15" s="70"/>
      <c r="AI15" s="69"/>
      <c r="AJ15" s="75"/>
      <c r="AK15" s="71"/>
      <c r="AM15" s="69"/>
      <c r="AN15" s="71"/>
      <c r="AO15" s="70"/>
      <c r="AP15" s="69"/>
      <c r="AQ15" s="75"/>
      <c r="AR15" s="71"/>
      <c r="AT15" s="69"/>
      <c r="AU15" s="71"/>
      <c r="AV15" s="70"/>
      <c r="AW15" s="69"/>
      <c r="AX15" s="75"/>
      <c r="AY15" s="71"/>
      <c r="BA15" s="69"/>
      <c r="BB15" s="71"/>
      <c r="BC15" s="70"/>
      <c r="BD15" s="69"/>
      <c r="BE15" s="75"/>
      <c r="BF15" s="71"/>
    </row>
    <row r="16" spans="1:58" ht="14.4" customHeight="1" x14ac:dyDescent="0.3">
      <c r="A16" s="88" t="s">
        <v>30</v>
      </c>
      <c r="B16" s="3">
        <v>0.25</v>
      </c>
      <c r="C16" s="4">
        <v>0.02</v>
      </c>
      <c r="D16" s="6">
        <v>3.5999999999999997E-2</v>
      </c>
      <c r="E16" s="25">
        <f>(D16-$E$12)/$E$11</f>
        <v>0.22788697788697782</v>
      </c>
      <c r="F16" s="25">
        <f>(E16*C16)/B16*1000</f>
        <v>18.230958230958226</v>
      </c>
      <c r="G16" s="87">
        <f>AVERAGE(F16:F18)</f>
        <v>18.629165295831957</v>
      </c>
      <c r="H16" s="87">
        <f>STDEV(F16:F18)</f>
        <v>0.49510550874739478</v>
      </c>
      <c r="I16" s="86">
        <f>H16/G16</f>
        <v>2.6576902447592136E-2</v>
      </c>
      <c r="K16" s="6">
        <v>0.45200000000000001</v>
      </c>
      <c r="L16" s="34">
        <f>(K16-$L$12)/$L$11</f>
        <v>1.0040736952281268</v>
      </c>
      <c r="M16" s="35">
        <f>(L16*C16)/B16*1000</f>
        <v>80.325895618250158</v>
      </c>
      <c r="N16" s="76">
        <f>AVERAGE(M16:M18)</f>
        <v>80.520312716658893</v>
      </c>
      <c r="O16" s="82">
        <f>STDEV(M16:M18)</f>
        <v>1.8717591937773932</v>
      </c>
      <c r="P16" s="62">
        <f>O16/N16</f>
        <v>2.32458013465979E-2</v>
      </c>
      <c r="R16" s="6">
        <v>0.44256785500000001</v>
      </c>
      <c r="S16" s="34">
        <f>(R16-$S$12)/$S$11</f>
        <v>0.93102382196411082</v>
      </c>
      <c r="T16" s="35">
        <f>(S16*C16)/B16*1000</f>
        <v>74.481905757128857</v>
      </c>
      <c r="U16" s="76">
        <f>AVERAGE(T16:T18)</f>
        <v>71.590218431605294</v>
      </c>
      <c r="V16" s="82">
        <f>STDEV(T16:T18)</f>
        <v>3.3579615465297756</v>
      </c>
      <c r="W16" s="62">
        <f>V16/U16</f>
        <v>4.6905312207391164E-2</v>
      </c>
      <c r="Y16" s="6">
        <v>0.53760337800000002</v>
      </c>
      <c r="Z16" s="34">
        <f>(Y16-$Z$12)/$Z$11*$AA$13</f>
        <v>259.96123039217196</v>
      </c>
      <c r="AA16" s="35">
        <f>(Z16*C16)/B16</f>
        <v>20.796898431373759</v>
      </c>
      <c r="AB16" s="50">
        <f>AVERAGE(AA16:AA18)</f>
        <v>20.231796204620011</v>
      </c>
      <c r="AC16" s="59">
        <f>STDEV(AA16:AA18)</f>
        <v>0.78574798370632803</v>
      </c>
      <c r="AD16" s="62">
        <f>AC16/AB16</f>
        <v>3.883728245181213E-2</v>
      </c>
      <c r="AF16" s="41">
        <f>AVERAGE(0.1618,0.1598,0.1607)</f>
        <v>0.16076666666666667</v>
      </c>
      <c r="AG16" s="34">
        <f>(AF16-$AG$12)/$AG$11*$AH$13</f>
        <v>366.32548236997911</v>
      </c>
      <c r="AH16" s="35">
        <f>(AG16*C16)/B16</f>
        <v>29.30603858959833</v>
      </c>
      <c r="AI16" s="50">
        <f>AVERAGE(AH16:AH18)</f>
        <v>29.686072115125295</v>
      </c>
      <c r="AJ16" s="59">
        <f>STDEV(AH16:AH18)</f>
        <v>0.32965339694253848</v>
      </c>
      <c r="AK16" s="62">
        <f>AJ16/AI16</f>
        <v>1.1104648525548025E-2</v>
      </c>
      <c r="AM16" s="41">
        <f>AVERAGE(0.0428,0.0305,0.022)</f>
        <v>3.1766666666666665E-2</v>
      </c>
      <c r="AN16" s="34">
        <f>(AM16-$AN$12)/$AN$11*$AO$13</f>
        <v>23.875759765375946</v>
      </c>
      <c r="AO16" s="35">
        <f>(AN16*C16)/B16</f>
        <v>1.9100607812300758</v>
      </c>
      <c r="AP16" s="50">
        <f>AVERAGE(AO16:AO18)</f>
        <v>1.9094007729334515</v>
      </c>
      <c r="AQ16" s="59">
        <f>STDEV(AO16:AO18)</f>
        <v>0.92572478189381169</v>
      </c>
      <c r="AR16" s="62">
        <f>AQ16/AP16</f>
        <v>0.48482476545330072</v>
      </c>
      <c r="AT16" s="41">
        <f>AVERAGE(1.1187,1.121,1.1434)</f>
        <v>1.1276999999999999</v>
      </c>
      <c r="AU16" s="34">
        <f>(AT16-$AU$12)/$AU$11*$AV$13</f>
        <v>351.51963918406977</v>
      </c>
      <c r="AV16" s="35">
        <f>(AU16*C16)/B16</f>
        <v>28.121571134725581</v>
      </c>
      <c r="AW16" s="95">
        <f>AVERAGE(AV16:AV18)</f>
        <v>29.067088237609937</v>
      </c>
      <c r="AX16" s="82">
        <f>STDEV(AV16:AV18)</f>
        <v>1.5303353027998525</v>
      </c>
      <c r="AY16" s="62">
        <f>AX16/AW16</f>
        <v>5.2648386735199365E-2</v>
      </c>
      <c r="BA16" s="41">
        <f>AVERAGE(0.0259,0.0264,0.0262)</f>
        <v>2.6166666666666668E-2</v>
      </c>
      <c r="BB16" s="34">
        <f>(BA16-$BB$12)/$BB$11*$BC$13</f>
        <v>1.1297407612530281</v>
      </c>
      <c r="BC16" s="35">
        <f>(BB16*C16)/B16</f>
        <v>9.0379260900242259E-2</v>
      </c>
      <c r="BD16" s="98" t="s">
        <v>31</v>
      </c>
      <c r="BE16" s="101"/>
      <c r="BF16" s="62"/>
    </row>
    <row r="17" spans="1:58" ht="14.4" customHeight="1" x14ac:dyDescent="0.3">
      <c r="A17" s="88"/>
      <c r="B17" s="3">
        <v>0.26</v>
      </c>
      <c r="C17" s="4">
        <v>0.02</v>
      </c>
      <c r="D17" s="3">
        <v>3.9E-2</v>
      </c>
      <c r="E17" s="25">
        <f t="shared" ref="E17:E33" si="0">(D17-$E$12)/$E$11</f>
        <v>0.24938574938574934</v>
      </c>
      <c r="F17" s="25">
        <f t="shared" ref="F17:F33" si="1">(E17*C17)/B17*1000</f>
        <v>19.183519183519177</v>
      </c>
      <c r="G17" s="87"/>
      <c r="H17" s="87"/>
      <c r="I17" s="86"/>
      <c r="K17" s="3">
        <v>0.48199999999999998</v>
      </c>
      <c r="L17" s="36">
        <f t="shared" ref="L17:L33" si="2">(K17-$L$12)/$L$11*$M$13</f>
        <v>1.0722620010466721</v>
      </c>
      <c r="M17" s="37">
        <f t="shared" ref="M17:M33" si="3">(L17*C17)/B17*1000</f>
        <v>82.481692388205545</v>
      </c>
      <c r="N17" s="77"/>
      <c r="O17" s="83"/>
      <c r="P17" s="63"/>
      <c r="R17" s="6">
        <v>0.44738909599999999</v>
      </c>
      <c r="S17" s="34">
        <f t="shared" ref="S17:S33" si="4">(R17-$S$12)/$S$11</f>
        <v>0.94095887460058281</v>
      </c>
      <c r="T17" s="35">
        <f>(S17*C17)/B17*1000</f>
        <v>72.38145189235253</v>
      </c>
      <c r="U17" s="77"/>
      <c r="V17" s="83"/>
      <c r="W17" s="63"/>
      <c r="Y17" s="6">
        <v>0.55291324900000005</v>
      </c>
      <c r="Z17" s="34">
        <f>(Y17-$Z$12)/$Z$11*$AA$13</f>
        <v>267.33169232154643</v>
      </c>
      <c r="AA17" s="35">
        <f t="shared" ref="AA17:AA33" si="5">(Z17*C17)/B17</f>
        <v>20.563976332426648</v>
      </c>
      <c r="AB17" s="51"/>
      <c r="AC17" s="60"/>
      <c r="AD17" s="63"/>
      <c r="AF17" s="41">
        <f>AVERAGE(0.1726,0.1758,0.1609)</f>
        <v>0.1697666666666667</v>
      </c>
      <c r="AG17" s="34">
        <f t="shared" ref="AG17:AG33" si="6">(AF17-$AG$12)/$AG$11*$AH$13</f>
        <v>388.14516659910544</v>
      </c>
      <c r="AH17" s="35">
        <f t="shared" ref="AH17:AH33" si="7">(AG17*C17)/B17</f>
        <v>29.857320507623495</v>
      </c>
      <c r="AI17" s="51"/>
      <c r="AJ17" s="60"/>
      <c r="AK17" s="63"/>
      <c r="AM17" s="41">
        <f>AVERAGE(0.0548,0.0344,0.0345)</f>
        <v>4.1233333333333337E-2</v>
      </c>
      <c r="AN17" s="34">
        <f t="shared" ref="AN17:AN33" si="8">(AM17-$AN$12)/$AN$11*$AO$13</f>
        <v>36.852339864836154</v>
      </c>
      <c r="AO17" s="35">
        <f t="shared" ref="AO17:AO33" si="9">(AN17*C17)/B17</f>
        <v>2.8347953742181655</v>
      </c>
      <c r="AP17" s="51"/>
      <c r="AQ17" s="60"/>
      <c r="AR17" s="63"/>
      <c r="AT17" s="41">
        <f>AVERAGE(1.3033,1.2706,1.26)</f>
        <v>1.2779666666666667</v>
      </c>
      <c r="AU17" s="34">
        <f t="shared" ref="AU17:AU33" si="10">(AT17-$AU$12)/$AU$11*$AV$13</f>
        <v>400.82487259858465</v>
      </c>
      <c r="AV17" s="35">
        <f t="shared" ref="AV17:AV33" si="11">(AU17*C17)/B17</f>
        <v>30.832682507583435</v>
      </c>
      <c r="AW17" s="96"/>
      <c r="AX17" s="83"/>
      <c r="AY17" s="63"/>
      <c r="BA17" s="41">
        <f>AVERAGE(0.0196,0.02,0.0202)</f>
        <v>1.9933333333333331E-2</v>
      </c>
      <c r="BB17" s="34">
        <f t="shared" ref="BB17:BB33" si="12">(BA17-$BB$12)/$BB$11*$BC$13</f>
        <v>0.656834257650593</v>
      </c>
      <c r="BC17" s="35">
        <f t="shared" ref="BC17:BC33" si="13">(BB17*C17)/B17</f>
        <v>5.0525712126968693E-2</v>
      </c>
      <c r="BD17" s="99"/>
      <c r="BE17" s="102"/>
      <c r="BF17" s="63"/>
    </row>
    <row r="18" spans="1:58" ht="14.4" customHeight="1" x14ac:dyDescent="0.3">
      <c r="A18" s="88"/>
      <c r="B18" s="3">
        <v>0.27</v>
      </c>
      <c r="C18" s="4">
        <v>0.02</v>
      </c>
      <c r="D18" s="3">
        <v>3.9E-2</v>
      </c>
      <c r="E18" s="25">
        <f t="shared" si="0"/>
        <v>0.24938574938574934</v>
      </c>
      <c r="F18" s="25">
        <f t="shared" si="1"/>
        <v>18.47301847301847</v>
      </c>
      <c r="G18" s="87"/>
      <c r="H18" s="87"/>
      <c r="I18" s="86"/>
      <c r="K18" s="6">
        <v>0.47799999999999998</v>
      </c>
      <c r="L18" s="38">
        <f t="shared" si="2"/>
        <v>1.0631702269375327</v>
      </c>
      <c r="M18" s="39">
        <f t="shared" si="3"/>
        <v>78.753350143520947</v>
      </c>
      <c r="N18" s="78"/>
      <c r="O18" s="84"/>
      <c r="P18" s="64"/>
      <c r="R18" s="6">
        <v>0.43564039500000001</v>
      </c>
      <c r="S18" s="34">
        <f t="shared" si="4"/>
        <v>0.91674851821201575</v>
      </c>
      <c r="T18" s="35">
        <f t="shared" ref="T18:T33" si="14">(S18*C18)/B18*1000</f>
        <v>67.907297645334481</v>
      </c>
      <c r="U18" s="78"/>
      <c r="V18" s="84"/>
      <c r="W18" s="64"/>
      <c r="Y18" s="6">
        <v>0.53979420700000003</v>
      </c>
      <c r="Z18" s="34">
        <f t="shared" ref="Z18:Z33" si="15">(Y18-$Z$12)/$Z$11*$AA$13</f>
        <v>261.01593697580483</v>
      </c>
      <c r="AA18" s="35">
        <f t="shared" si="5"/>
        <v>19.334513850059619</v>
      </c>
      <c r="AB18" s="52"/>
      <c r="AC18" s="61"/>
      <c r="AD18" s="64"/>
      <c r="AF18" s="41">
        <f>AVERAGE(0.1802,0.1756,0.1726)</f>
        <v>0.17613333333333334</v>
      </c>
      <c r="AG18" s="34">
        <f>(AF18-$AG$12)/$AG$11*$AH$13</f>
        <v>403.58057285007982</v>
      </c>
      <c r="AH18" s="35">
        <f t="shared" si="7"/>
        <v>29.894857248154057</v>
      </c>
      <c r="AI18" s="52"/>
      <c r="AJ18" s="61"/>
      <c r="AK18" s="64"/>
      <c r="AM18" s="41">
        <f>AVERAGE(0.0226,0.0276,0.0219)</f>
        <v>2.4033333333333334E-2</v>
      </c>
      <c r="AN18" s="34">
        <f>(AM18-$AN$12)/$AN$11*$AO$13</f>
        <v>13.275173205253534</v>
      </c>
      <c r="AO18" s="35">
        <f t="shared" si="9"/>
        <v>0.98334616335211367</v>
      </c>
      <c r="AP18" s="52"/>
      <c r="AQ18" s="61"/>
      <c r="AR18" s="64"/>
      <c r="AT18" s="41">
        <f>AVERAGE(1.2115,1.2072,1.237)</f>
        <v>1.2185666666666668</v>
      </c>
      <c r="AU18" s="34">
        <f t="shared" si="10"/>
        <v>381.3346494520307</v>
      </c>
      <c r="AV18" s="35">
        <f t="shared" si="11"/>
        <v>28.247011070520792</v>
      </c>
      <c r="AW18" s="97"/>
      <c r="AX18" s="84"/>
      <c r="AY18" s="64"/>
      <c r="BA18" s="41">
        <f>AVERAGE(0.0416,0.0418,0.0407)</f>
        <v>4.136666666666667E-2</v>
      </c>
      <c r="BB18" s="34">
        <f t="shared" si="12"/>
        <v>2.2829245347434575</v>
      </c>
      <c r="BC18" s="35">
        <f t="shared" si="13"/>
        <v>0.16910552109210797</v>
      </c>
      <c r="BD18" s="100"/>
      <c r="BE18" s="103"/>
      <c r="BF18" s="64"/>
    </row>
    <row r="19" spans="1:58" ht="14.4" customHeight="1" x14ac:dyDescent="0.3">
      <c r="A19" s="88" t="s">
        <v>32</v>
      </c>
      <c r="B19" s="3">
        <v>0.3</v>
      </c>
      <c r="C19" s="4">
        <v>0.02</v>
      </c>
      <c r="D19" s="3">
        <v>4.4999999999999998E-2</v>
      </c>
      <c r="E19" s="25">
        <f t="shared" si="0"/>
        <v>0.2923832923832923</v>
      </c>
      <c r="F19" s="25">
        <f t="shared" si="1"/>
        <v>19.49221949221949</v>
      </c>
      <c r="G19" s="85">
        <f>AVERAGE(F19:F21)</f>
        <v>17.925197925197924</v>
      </c>
      <c r="H19" s="85">
        <f>STDEV(F19:F21)</f>
        <v>1.3582909037119089</v>
      </c>
      <c r="I19" s="86">
        <f>H19/G19</f>
        <v>7.5775503812012215E-2</v>
      </c>
      <c r="K19" s="6">
        <v>0.52300000000000002</v>
      </c>
      <c r="L19" s="34">
        <f t="shared" si="2"/>
        <v>1.1654526856653507</v>
      </c>
      <c r="M19" s="37">
        <f t="shared" si="3"/>
        <v>77.696845711023386</v>
      </c>
      <c r="N19" s="76">
        <f>AVERAGE(M19:M21)</f>
        <v>76.090009832373894</v>
      </c>
      <c r="O19" s="82">
        <f>STDEV(M19:M21)</f>
        <v>1.3925352779881548</v>
      </c>
      <c r="P19" s="62">
        <f>O19/N19</f>
        <v>1.8301157813698628E-2</v>
      </c>
      <c r="R19" s="6">
        <v>0.54894864600000004</v>
      </c>
      <c r="S19" s="34">
        <f t="shared" si="4"/>
        <v>1.1502409816320343</v>
      </c>
      <c r="T19" s="35">
        <f t="shared" si="14"/>
        <v>76.682732108802284</v>
      </c>
      <c r="U19" s="76">
        <f>AVERAGE(T19:T21)</f>
        <v>72.130407472350342</v>
      </c>
      <c r="V19" s="82">
        <f>STDEV(T19:T21)</f>
        <v>3.9644160750212953</v>
      </c>
      <c r="W19" s="62">
        <f>V19/U19</f>
        <v>5.4961786768513265E-2</v>
      </c>
      <c r="Y19" s="6">
        <v>0.57274222399999997</v>
      </c>
      <c r="Z19" s="34">
        <f>(Y19-$Z$12)/$Z$11*$AA$13</f>
        <v>276.87773652636156</v>
      </c>
      <c r="AA19" s="35">
        <f t="shared" si="5"/>
        <v>18.458515768424107</v>
      </c>
      <c r="AB19" s="50">
        <f>AVERAGE(AA19:AA21)</f>
        <v>18.876003851575742</v>
      </c>
      <c r="AC19" s="59">
        <f>STDEV(AA19:AA21)</f>
        <v>0.59276991681874314</v>
      </c>
      <c r="AD19" s="62">
        <f>AC19/AB19</f>
        <v>3.1403358543458847E-2</v>
      </c>
      <c r="AF19" s="41">
        <f>AVERAGE(0.1619,0.1606,0.1808)</f>
        <v>0.16776666666666665</v>
      </c>
      <c r="AG19" s="34">
        <f t="shared" si="6"/>
        <v>383.2963478815218</v>
      </c>
      <c r="AH19" s="35">
        <f t="shared" si="7"/>
        <v>25.553089858768121</v>
      </c>
      <c r="AI19" s="76">
        <f>AVERAGE(AH19:AH21)</f>
        <v>24.06806651260392</v>
      </c>
      <c r="AJ19" s="82">
        <f>STDEV(AH19:AH21)</f>
        <v>2.4083610213052107</v>
      </c>
      <c r="AK19" s="62">
        <f>AJ19/AI19</f>
        <v>0.10006458225649346</v>
      </c>
      <c r="AM19" s="41">
        <f>AVERAGE(0.0231,0.0262,0.0291)</f>
        <v>2.6133333333333331E-2</v>
      </c>
      <c r="AN19" s="34">
        <f t="shared" si="8"/>
        <v>16.153780762528154</v>
      </c>
      <c r="AO19" s="35">
        <f t="shared" si="9"/>
        <v>1.0769187175018771</v>
      </c>
      <c r="AP19" s="50">
        <f>AVERAGE(AO19:AO21)</f>
        <v>0.83189763061824928</v>
      </c>
      <c r="AQ19" s="59">
        <f>STDEV(AO19:AO21)</f>
        <v>0.2432440111171861</v>
      </c>
      <c r="AR19" s="62">
        <f>AQ19/AP19</f>
        <v>0.29239656679441695</v>
      </c>
      <c r="AT19" s="41">
        <f>AVERAGE(1.1154,1.1219,1.1251)</f>
        <v>1.1208</v>
      </c>
      <c r="AU19" s="34">
        <f t="shared" si="10"/>
        <v>349.25562336401555</v>
      </c>
      <c r="AV19" s="35">
        <f t="shared" si="11"/>
        <v>23.283708224267706</v>
      </c>
      <c r="AW19" s="104">
        <f>AVERAGE(AV19:AV21)</f>
        <v>23.350029545171328</v>
      </c>
      <c r="AX19" s="104">
        <f>STDEV(AV19:AV21)</f>
        <v>0.42441703810172571</v>
      </c>
      <c r="AY19" s="62">
        <f>AX19/AW19</f>
        <v>1.8176295549462939E-2</v>
      </c>
      <c r="BA19" s="41">
        <f>AVERAGE(0.0275,0.0278,0.0284)</f>
        <v>2.7899999999999998E-2</v>
      </c>
      <c r="BB19" s="34">
        <f t="shared" si="12"/>
        <v>1.2612441740194802</v>
      </c>
      <c r="BC19" s="35">
        <f t="shared" si="13"/>
        <v>8.4082944934632017E-2</v>
      </c>
      <c r="BD19" s="98" t="s">
        <v>31</v>
      </c>
      <c r="BE19" s="101"/>
      <c r="BF19" s="62"/>
    </row>
    <row r="20" spans="1:58" ht="14.4" customHeight="1" x14ac:dyDescent="0.3">
      <c r="A20" s="88"/>
      <c r="B20" s="3">
        <v>0.24</v>
      </c>
      <c r="C20" s="4">
        <v>0.02</v>
      </c>
      <c r="D20" s="3">
        <v>3.3000000000000002E-2</v>
      </c>
      <c r="E20" s="25">
        <f t="shared" si="0"/>
        <v>0.20638820638820635</v>
      </c>
      <c r="F20" s="25">
        <f t="shared" si="1"/>
        <v>17.199017199017199</v>
      </c>
      <c r="G20" s="85"/>
      <c r="H20" s="85"/>
      <c r="I20" s="86"/>
      <c r="K20" s="6">
        <v>0.40799999999999997</v>
      </c>
      <c r="L20" s="36">
        <f t="shared" si="2"/>
        <v>0.90406418002759403</v>
      </c>
      <c r="M20" s="37">
        <f t="shared" si="3"/>
        <v>75.338681668966174</v>
      </c>
      <c r="N20" s="77"/>
      <c r="O20" s="83"/>
      <c r="P20" s="63"/>
      <c r="R20" s="6">
        <v>0.395119369</v>
      </c>
      <c r="S20" s="34">
        <f t="shared" si="4"/>
        <v>0.83324750131743286</v>
      </c>
      <c r="T20" s="35">
        <f t="shared" si="14"/>
        <v>69.437291776452753</v>
      </c>
      <c r="U20" s="77"/>
      <c r="V20" s="83"/>
      <c r="W20" s="63"/>
      <c r="Y20" s="6">
        <v>0.48503503199999998</v>
      </c>
      <c r="Z20" s="34">
        <f t="shared" si="15"/>
        <v>234.65383277378672</v>
      </c>
      <c r="AA20" s="35">
        <f t="shared" si="5"/>
        <v>19.554486064482226</v>
      </c>
      <c r="AB20" s="51"/>
      <c r="AC20" s="60"/>
      <c r="AD20" s="63"/>
      <c r="AF20" s="41">
        <f>AVERAGE(0.141,0.1335,0.1311)</f>
        <v>0.13519999999999999</v>
      </c>
      <c r="AG20" s="34">
        <f t="shared" si="6"/>
        <v>304.34141643020217</v>
      </c>
      <c r="AH20" s="35">
        <f t="shared" si="7"/>
        <v>25.361784702516847</v>
      </c>
      <c r="AI20" s="77"/>
      <c r="AJ20" s="83"/>
      <c r="AK20" s="63"/>
      <c r="AM20" s="41">
        <f>AVERAGE(0.0215,0.0212,0.0221)</f>
        <v>2.1599999999999998E-2</v>
      </c>
      <c r="AN20" s="34">
        <f t="shared" si="8"/>
        <v>9.9396438134908767</v>
      </c>
      <c r="AO20" s="35">
        <f t="shared" si="9"/>
        <v>0.82830365112423976</v>
      </c>
      <c r="AP20" s="51"/>
      <c r="AQ20" s="60"/>
      <c r="AR20" s="63"/>
      <c r="AT20" s="41">
        <f>AVERAGE(1.0414,0.8809,0.8585)</f>
        <v>0.92693333333333339</v>
      </c>
      <c r="AU20" s="34">
        <f t="shared" si="10"/>
        <v>285.64443491263614</v>
      </c>
      <c r="AV20" s="35">
        <f t="shared" si="11"/>
        <v>23.803702909386345</v>
      </c>
      <c r="AW20" s="105"/>
      <c r="AX20" s="105"/>
      <c r="AY20" s="63"/>
      <c r="BA20" s="41">
        <f>AVERAGE(0.0166,0.0151,0.0163)</f>
        <v>1.6E-2</v>
      </c>
      <c r="BB20" s="34">
        <f t="shared" si="12"/>
        <v>0.35842266714210502</v>
      </c>
      <c r="BC20" s="35">
        <f t="shared" si="13"/>
        <v>2.9868555595175417E-2</v>
      </c>
      <c r="BD20" s="99"/>
      <c r="BE20" s="102"/>
      <c r="BF20" s="63"/>
    </row>
    <row r="21" spans="1:58" ht="14.4" customHeight="1" x14ac:dyDescent="0.3">
      <c r="A21" s="88"/>
      <c r="B21" s="3">
        <v>0.25</v>
      </c>
      <c r="C21" s="4">
        <v>0.02</v>
      </c>
      <c r="D21" s="3">
        <v>3.4000000000000002E-2</v>
      </c>
      <c r="E21" s="25">
        <f t="shared" si="0"/>
        <v>0.21355446355446353</v>
      </c>
      <c r="F21" s="25">
        <f t="shared" si="1"/>
        <v>17.08435708435708</v>
      </c>
      <c r="G21" s="85"/>
      <c r="H21" s="85"/>
      <c r="I21" s="86"/>
      <c r="K21" s="6">
        <v>0.42399999999999999</v>
      </c>
      <c r="L21" s="38">
        <f t="shared" si="2"/>
        <v>0.94043127646415148</v>
      </c>
      <c r="M21" s="39">
        <f t="shared" si="3"/>
        <v>75.234502117132124</v>
      </c>
      <c r="N21" s="78"/>
      <c r="O21" s="84"/>
      <c r="P21" s="64"/>
      <c r="R21" s="6">
        <v>0.41702592399999999</v>
      </c>
      <c r="S21" s="34">
        <f t="shared" si="4"/>
        <v>0.87838998164744986</v>
      </c>
      <c r="T21" s="35">
        <f t="shared" si="14"/>
        <v>70.271198531795989</v>
      </c>
      <c r="U21" s="78"/>
      <c r="V21" s="84"/>
      <c r="W21" s="64"/>
      <c r="Y21" s="6">
        <v>0.48095083199999999</v>
      </c>
      <c r="Z21" s="34">
        <f t="shared" si="15"/>
        <v>232.68762152276113</v>
      </c>
      <c r="AA21" s="35">
        <f t="shared" si="5"/>
        <v>18.61500972182089</v>
      </c>
      <c r="AB21" s="52"/>
      <c r="AC21" s="61"/>
      <c r="AD21" s="64"/>
      <c r="AF21" s="41">
        <f>AVERAGE(0.1132,0.1206,0.1245)</f>
        <v>0.11943333333333334</v>
      </c>
      <c r="AG21" s="34">
        <f t="shared" si="6"/>
        <v>266.11656220658494</v>
      </c>
      <c r="AH21" s="35">
        <f t="shared" si="7"/>
        <v>21.289324976526796</v>
      </c>
      <c r="AI21" s="78"/>
      <c r="AJ21" s="84"/>
      <c r="AK21" s="64"/>
      <c r="AM21" s="41">
        <f>AVERAGE(0.0202,0.0211,0.0179)</f>
        <v>1.9733333333333335E-2</v>
      </c>
      <c r="AN21" s="34">
        <f t="shared" si="8"/>
        <v>7.3808815403578851</v>
      </c>
      <c r="AO21" s="35">
        <f t="shared" si="9"/>
        <v>0.59047052322863081</v>
      </c>
      <c r="AP21" s="52"/>
      <c r="AQ21" s="61"/>
      <c r="AR21" s="64"/>
      <c r="AT21" s="41">
        <f>AVERAGE(0.9764,0.8343,0.9828)</f>
        <v>0.93116666666666681</v>
      </c>
      <c r="AU21" s="34">
        <f t="shared" si="10"/>
        <v>287.03346877324918</v>
      </c>
      <c r="AV21" s="35">
        <f t="shared" si="11"/>
        <v>22.962677501859936</v>
      </c>
      <c r="AW21" s="106"/>
      <c r="AX21" s="106"/>
      <c r="AY21" s="64"/>
      <c r="BA21" s="41">
        <f>AVERAGE(0.016,0.0165,0.0161)</f>
        <v>1.6200000000000003E-2</v>
      </c>
      <c r="BB21" s="34">
        <f t="shared" si="12"/>
        <v>0.3735961378459266</v>
      </c>
      <c r="BC21" s="35">
        <f t="shared" si="13"/>
        <v>2.9887691027674128E-2</v>
      </c>
      <c r="BD21" s="100"/>
      <c r="BE21" s="103"/>
      <c r="BF21" s="64"/>
    </row>
    <row r="22" spans="1:58" ht="14.4" customHeight="1" x14ac:dyDescent="0.3">
      <c r="A22" s="88" t="s">
        <v>33</v>
      </c>
      <c r="B22" s="3">
        <v>0.25</v>
      </c>
      <c r="C22" s="4">
        <v>0.02</v>
      </c>
      <c r="D22" s="3">
        <v>3.5000000000000003E-2</v>
      </c>
      <c r="E22" s="25">
        <f t="shared" si="0"/>
        <v>0.22072072072072069</v>
      </c>
      <c r="F22" s="25">
        <f t="shared" si="1"/>
        <v>17.657657657657655</v>
      </c>
      <c r="G22" s="87">
        <f t="shared" ref="G22" si="16">AVERAGE(F22:F24)</f>
        <v>17.59961982184204</v>
      </c>
      <c r="H22" s="87">
        <f t="shared" ref="H22" si="17">STDEV(F22:F24)</f>
        <v>0.37496765533775017</v>
      </c>
      <c r="I22" s="86">
        <f t="shared" ref="I22" si="18">H22/G22</f>
        <v>2.1305440636416241E-2</v>
      </c>
      <c r="K22" s="6">
        <v>0.44600000000000001</v>
      </c>
      <c r="L22" s="34">
        <f t="shared" si="2"/>
        <v>0.99043603406441794</v>
      </c>
      <c r="M22" s="37">
        <f t="shared" si="3"/>
        <v>79.234882725153426</v>
      </c>
      <c r="N22" s="76">
        <f t="shared" ref="N22" si="19">AVERAGE(M22:M24)</f>
        <v>78.403922814589023</v>
      </c>
      <c r="O22" s="82">
        <f t="shared" ref="O22" si="20">STDEV(M22:M24)</f>
        <v>2.8767647447410942</v>
      </c>
      <c r="P22" s="62">
        <f t="shared" ref="P22" si="21">O22/N22</f>
        <v>3.6691591969755369E-2</v>
      </c>
      <c r="R22" s="6">
        <v>0.30934304000000001</v>
      </c>
      <c r="S22" s="34">
        <f t="shared" si="4"/>
        <v>0.65648962018717005</v>
      </c>
      <c r="T22" s="35">
        <f t="shared" si="14"/>
        <v>52.519169614973606</v>
      </c>
      <c r="U22" s="76">
        <f t="shared" ref="U22" si="22">AVERAGE(T22:T24)</f>
        <v>48.717460370111517</v>
      </c>
      <c r="V22" s="82">
        <f t="shared" ref="V22" si="23">STDEV(T22:T24)</f>
        <v>3.5767231685706888</v>
      </c>
      <c r="W22" s="62">
        <f t="shared" ref="W22" si="24">V22/U22</f>
        <v>7.3417685187157911E-2</v>
      </c>
      <c r="Y22" s="6">
        <v>0.42427253700000001</v>
      </c>
      <c r="Z22" s="34">
        <f t="shared" si="15"/>
        <v>205.40161659696162</v>
      </c>
      <c r="AA22" s="35">
        <f t="shared" si="5"/>
        <v>16.432129327756929</v>
      </c>
      <c r="AB22" s="76">
        <f t="shared" ref="AB22" si="25">AVERAGE(AA22:AA24)</f>
        <v>17.752166941342097</v>
      </c>
      <c r="AC22" s="82">
        <f t="shared" ref="AC22" si="26">STDEV(AA22:AA24)</f>
        <v>1.1474962876744232</v>
      </c>
      <c r="AD22" s="62">
        <f t="shared" ref="AD22" si="27">AC22/AB22</f>
        <v>6.4639786875937882E-2</v>
      </c>
      <c r="AF22" s="41">
        <f>AVERAGE(0.1267,0.1298,0.131)</f>
        <v>0.12916666666666668</v>
      </c>
      <c r="AG22" s="34">
        <f t="shared" si="6"/>
        <v>289.71414663215842</v>
      </c>
      <c r="AH22" s="35">
        <f t="shared" si="7"/>
        <v>23.177131730572675</v>
      </c>
      <c r="AI22" s="76">
        <f t="shared" ref="AI22" si="28">AVERAGE(AH22:AH24)</f>
        <v>24.719012578840573</v>
      </c>
      <c r="AJ22" s="82">
        <f t="shared" ref="AJ22" si="29">STDEV(AH22:AH24)</f>
        <v>3.0020591585343928</v>
      </c>
      <c r="AK22" s="62">
        <f t="shared" ref="AK22" si="30">AJ22/AI22</f>
        <v>0.12144737371524902</v>
      </c>
      <c r="AM22" s="41">
        <f>AVERAGE(0.0316,0.0359,0.0346)</f>
        <v>3.4033333333333332E-2</v>
      </c>
      <c r="AN22" s="34">
        <f t="shared" si="8"/>
        <v>26.982828239894584</v>
      </c>
      <c r="AO22" s="35">
        <f t="shared" si="9"/>
        <v>2.1586262591915668</v>
      </c>
      <c r="AP22" s="50">
        <f t="shared" ref="AP22" si="31">AVERAGE(AO22:AO24)</f>
        <v>2.593444995843023</v>
      </c>
      <c r="AQ22" s="59">
        <f t="shared" ref="AQ22" si="32">STDEV(AO22:AO24)</f>
        <v>0.39470387706530963</v>
      </c>
      <c r="AR22" s="62">
        <f t="shared" ref="AR22" si="33">AQ22/AP22</f>
        <v>0.15219288540839385</v>
      </c>
      <c r="AT22" s="41">
        <f>AVERAGE(1.1258,1.1609,1.1633)</f>
        <v>1.1499999999999999</v>
      </c>
      <c r="AU22" s="34">
        <f t="shared" si="10"/>
        <v>358.83667581989732</v>
      </c>
      <c r="AV22" s="35">
        <f t="shared" si="11"/>
        <v>28.706934065591785</v>
      </c>
      <c r="AW22" s="76">
        <f t="shared" ref="AW22" si="34">AVERAGE(AV22:AV24)</f>
        <v>30.260519558826065</v>
      </c>
      <c r="AX22" s="82">
        <f t="shared" ref="AX22" si="35">STDEV(AV22:AV24)</f>
        <v>1.3686700414856021</v>
      </c>
      <c r="AY22" s="62">
        <f t="shared" ref="AY22" si="36">AX22/AW22</f>
        <v>4.5229561866078502E-2</v>
      </c>
      <c r="BA22" s="41">
        <f>AVERAGE(0.0282,0.0284,0.0286)</f>
        <v>2.8399999999999998E-2</v>
      </c>
      <c r="BB22" s="34">
        <f t="shared" si="12"/>
        <v>1.2991778507790339</v>
      </c>
      <c r="BC22" s="35">
        <f t="shared" si="13"/>
        <v>0.10393422806232272</v>
      </c>
      <c r="BD22" s="98" t="s">
        <v>31</v>
      </c>
      <c r="BE22" s="101"/>
      <c r="BF22" s="62"/>
    </row>
    <row r="23" spans="1:58" ht="14.4" customHeight="1" x14ac:dyDescent="0.3">
      <c r="A23" s="88"/>
      <c r="B23" s="3">
        <v>0.28999999999999998</v>
      </c>
      <c r="C23" s="4">
        <v>0.02</v>
      </c>
      <c r="D23" s="6">
        <v>3.9E-2</v>
      </c>
      <c r="E23" s="25">
        <f t="shared" si="0"/>
        <v>0.24938574938574934</v>
      </c>
      <c r="F23" s="25">
        <f t="shared" si="1"/>
        <v>17.199017199017199</v>
      </c>
      <c r="G23" s="87"/>
      <c r="H23" s="87"/>
      <c r="I23" s="86"/>
      <c r="K23" s="6">
        <v>0.49</v>
      </c>
      <c r="L23" s="36">
        <f t="shared" si="2"/>
        <v>1.0904455492649507</v>
      </c>
      <c r="M23" s="37">
        <f t="shared" si="3"/>
        <v>75.203141328617306</v>
      </c>
      <c r="N23" s="77"/>
      <c r="O23" s="83"/>
      <c r="P23" s="63"/>
      <c r="R23" s="6">
        <v>0.310355514</v>
      </c>
      <c r="S23" s="34">
        <f t="shared" si="4"/>
        <v>0.65857600883338374</v>
      </c>
      <c r="T23" s="35">
        <f t="shared" si="14"/>
        <v>45.419035091957504</v>
      </c>
      <c r="U23" s="77"/>
      <c r="V23" s="83"/>
      <c r="W23" s="63"/>
      <c r="Y23" s="6">
        <v>0.55516862899999997</v>
      </c>
      <c r="Z23" s="34">
        <f t="shared" si="15"/>
        <v>268.41747497943243</v>
      </c>
      <c r="AA23" s="35">
        <f t="shared" si="5"/>
        <v>18.51154999858155</v>
      </c>
      <c r="AB23" s="77"/>
      <c r="AC23" s="83"/>
      <c r="AD23" s="63"/>
      <c r="AF23" s="41">
        <f>AVERAGE(0.1816,0.1758,0.1772)</f>
        <v>0.17820000000000003</v>
      </c>
      <c r="AG23" s="34">
        <f t="shared" si="6"/>
        <v>408.59101885824947</v>
      </c>
      <c r="AH23" s="35">
        <f t="shared" si="7"/>
        <v>28.178690955741345</v>
      </c>
      <c r="AI23" s="77"/>
      <c r="AJ23" s="83"/>
      <c r="AK23" s="63"/>
      <c r="AM23" s="41">
        <f>AVERAGE(0.042,0.0436,0.0504)</f>
        <v>4.5333333333333337E-2</v>
      </c>
      <c r="AN23" s="34">
        <f t="shared" si="8"/>
        <v>42.472478429038972</v>
      </c>
      <c r="AO23" s="35">
        <f t="shared" si="9"/>
        <v>2.9291364433819984</v>
      </c>
      <c r="AP23" s="51"/>
      <c r="AQ23" s="60"/>
      <c r="AR23" s="63"/>
      <c r="AT23" s="41">
        <f>AVERAGE(1.3498,1.4515,1.4493)</f>
        <v>1.4168666666666667</v>
      </c>
      <c r="AU23" s="34">
        <f t="shared" si="10"/>
        <v>446.40049541098119</v>
      </c>
      <c r="AV23" s="35">
        <f t="shared" si="11"/>
        <v>30.786241062826289</v>
      </c>
      <c r="AW23" s="77"/>
      <c r="AX23" s="83"/>
      <c r="AY23" s="63"/>
      <c r="BA23" s="41">
        <f>AVERAGE(0.0276,0.0286,0.0284)</f>
        <v>2.8200000000000003E-2</v>
      </c>
      <c r="BB23" s="34">
        <f t="shared" si="12"/>
        <v>1.284004380075213</v>
      </c>
      <c r="BC23" s="35">
        <f t="shared" si="13"/>
        <v>8.8552026212083662E-2</v>
      </c>
      <c r="BD23" s="99"/>
      <c r="BE23" s="102"/>
      <c r="BF23" s="63"/>
    </row>
    <row r="24" spans="1:58" ht="14.4" customHeight="1" x14ac:dyDescent="0.3">
      <c r="A24" s="88"/>
      <c r="B24" s="3">
        <v>0.27</v>
      </c>
      <c r="C24" s="4">
        <v>0.02</v>
      </c>
      <c r="D24" s="3">
        <v>3.7999999999999999E-2</v>
      </c>
      <c r="E24" s="25">
        <f t="shared" si="0"/>
        <v>0.24221949221949216</v>
      </c>
      <c r="F24" s="25">
        <f t="shared" si="1"/>
        <v>17.942184608851267</v>
      </c>
      <c r="G24" s="87"/>
      <c r="H24" s="87"/>
      <c r="I24" s="86"/>
      <c r="K24" s="6">
        <v>0.49</v>
      </c>
      <c r="L24" s="38">
        <f t="shared" si="2"/>
        <v>1.0904455492649507</v>
      </c>
      <c r="M24" s="39">
        <f t="shared" si="3"/>
        <v>80.773744389996352</v>
      </c>
      <c r="N24" s="78"/>
      <c r="O24" s="84"/>
      <c r="P24" s="64"/>
      <c r="R24" s="6">
        <v>0.30662634999999999</v>
      </c>
      <c r="S24" s="34">
        <f t="shared" si="4"/>
        <v>0.65089138144594616</v>
      </c>
      <c r="T24" s="35">
        <f t="shared" si="14"/>
        <v>48.214176403403414</v>
      </c>
      <c r="U24" s="78"/>
      <c r="V24" s="84"/>
      <c r="W24" s="64"/>
      <c r="Y24" s="6">
        <v>0.51114380400000003</v>
      </c>
      <c r="Z24" s="34">
        <f t="shared" si="15"/>
        <v>247.22309021878536</v>
      </c>
      <c r="AA24" s="35">
        <f t="shared" si="5"/>
        <v>18.312821497687803</v>
      </c>
      <c r="AB24" s="78"/>
      <c r="AC24" s="84"/>
      <c r="AD24" s="64"/>
      <c r="AF24" s="41">
        <f>AVERAGE(0.1369,0.13,0.143)</f>
        <v>0.13663333333333336</v>
      </c>
      <c r="AG24" s="34">
        <f t="shared" si="6"/>
        <v>307.81640317780392</v>
      </c>
      <c r="AH24" s="35">
        <f t="shared" si="7"/>
        <v>22.801215050207698</v>
      </c>
      <c r="AI24" s="78"/>
      <c r="AJ24" s="84"/>
      <c r="AK24" s="64"/>
      <c r="AM24" s="41">
        <f>AVERAGE(0.0436,0.0388,0.0402)</f>
        <v>4.0866666666666669E-2</v>
      </c>
      <c r="AN24" s="34">
        <f t="shared" si="8"/>
        <v>36.349725846899304</v>
      </c>
      <c r="AO24" s="35">
        <f t="shared" si="9"/>
        <v>2.6925722849555038</v>
      </c>
      <c r="AP24" s="52"/>
      <c r="AQ24" s="61"/>
      <c r="AR24" s="64"/>
      <c r="AT24" s="41">
        <f>AVERAGE(1.3014,1.3455,1.3842)</f>
        <v>1.3436999999999999</v>
      </c>
      <c r="AU24" s="34">
        <f t="shared" si="10"/>
        <v>422.39317789881164</v>
      </c>
      <c r="AV24" s="35">
        <f t="shared" si="11"/>
        <v>31.288383548060118</v>
      </c>
      <c r="AW24" s="78"/>
      <c r="AX24" s="84"/>
      <c r="AY24" s="64"/>
      <c r="BA24" s="41">
        <f>AVERAGE(0.0258,0.026,0.0266)</f>
        <v>2.6133333333333331E-2</v>
      </c>
      <c r="BB24" s="34">
        <f t="shared" si="12"/>
        <v>1.1272118494690577</v>
      </c>
      <c r="BC24" s="35">
        <f t="shared" si="13"/>
        <v>8.349717403474502E-2</v>
      </c>
      <c r="BD24" s="100"/>
      <c r="BE24" s="103"/>
      <c r="BF24" s="64"/>
    </row>
    <row r="25" spans="1:58" ht="14.4" customHeight="1" x14ac:dyDescent="0.3">
      <c r="A25" s="88" t="s">
        <v>34</v>
      </c>
      <c r="B25" s="3">
        <v>0.25</v>
      </c>
      <c r="C25" s="4">
        <v>0.02</v>
      </c>
      <c r="D25" s="3">
        <v>3.2000000000000001E-2</v>
      </c>
      <c r="E25" s="25">
        <f t="shared" si="0"/>
        <v>0.19922194922194916</v>
      </c>
      <c r="F25" s="25">
        <f t="shared" si="1"/>
        <v>15.937755937755933</v>
      </c>
      <c r="G25" s="87">
        <f t="shared" ref="G25" si="37">AVERAGE(F25:F27)</f>
        <v>16.100926100926099</v>
      </c>
      <c r="H25" s="87">
        <f t="shared" ref="H25" si="38">STDEV(F25:F27)</f>
        <v>0.28261901289002789</v>
      </c>
      <c r="I25" s="86">
        <f t="shared" ref="I25" si="39">H25/G25</f>
        <v>1.7552966277745483E-2</v>
      </c>
      <c r="K25" s="3">
        <v>0.44500000000000001</v>
      </c>
      <c r="L25" s="34">
        <f t="shared" si="2"/>
        <v>0.98816309053713303</v>
      </c>
      <c r="M25" s="37">
        <f t="shared" si="3"/>
        <v>79.053047242970649</v>
      </c>
      <c r="N25" s="76">
        <f t="shared" ref="N25" si="40">AVERAGE(M25:M27)</f>
        <v>79.431287443229024</v>
      </c>
      <c r="O25" s="82">
        <f t="shared" ref="O25" si="41">STDEV(M25:M27)</f>
        <v>1.1600739774921089</v>
      </c>
      <c r="P25" s="62">
        <f t="shared" ref="P25" si="42">O25/N25</f>
        <v>1.4604748517027812E-2</v>
      </c>
      <c r="R25" s="6">
        <v>0.223902717</v>
      </c>
      <c r="S25" s="34">
        <f t="shared" si="4"/>
        <v>0.48042414113682208</v>
      </c>
      <c r="T25" s="35">
        <f t="shared" si="14"/>
        <v>38.433931290945765</v>
      </c>
      <c r="U25" s="50">
        <f t="shared" ref="U25" si="43">AVERAGE(T25:T27)</f>
        <v>38.088055727017355</v>
      </c>
      <c r="V25" s="59">
        <f t="shared" ref="V25" si="44">STDEV(T25:T27)</f>
        <v>0.40311450575074276</v>
      </c>
      <c r="W25" s="62">
        <f t="shared" ref="W25" si="45">V25/U25</f>
        <v>1.0583751206412927E-2</v>
      </c>
      <c r="Y25" s="6">
        <v>0.49208137400000002</v>
      </c>
      <c r="Z25" s="34">
        <f t="shared" si="15"/>
        <v>238.04607529838751</v>
      </c>
      <c r="AA25" s="35">
        <f t="shared" si="5"/>
        <v>19.043686023871</v>
      </c>
      <c r="AB25" s="50">
        <f t="shared" ref="AB25" si="46">AVERAGE(AA25:AA27)</f>
        <v>18.794662072756779</v>
      </c>
      <c r="AC25" s="59">
        <f t="shared" ref="AC25" si="47">STDEV(AA25:AA27)</f>
        <v>0.43124932227412965</v>
      </c>
      <c r="AD25" s="62">
        <f t="shared" ref="AD25" si="48">AC25/AB25</f>
        <v>2.2945308652249394E-2</v>
      </c>
      <c r="AF25" s="41">
        <f>AVERAGE(0.1051,0.1027,0.1034)</f>
        <v>0.10373333333333333</v>
      </c>
      <c r="AG25" s="34">
        <f t="shared" si="6"/>
        <v>228.0533352735537</v>
      </c>
      <c r="AH25" s="35">
        <f t="shared" si="7"/>
        <v>18.244266821884295</v>
      </c>
      <c r="AI25" s="76">
        <f t="shared" ref="AI25" si="49">AVERAGE(AH25:AH27)</f>
        <v>20.974942017703086</v>
      </c>
      <c r="AJ25" s="82">
        <f t="shared" ref="AJ25" si="50">STDEV(AH25:AH27)</f>
        <v>2.5172828793068636</v>
      </c>
      <c r="AK25" s="62">
        <f t="shared" ref="AK25" si="51">AJ25/AI25</f>
        <v>0.12001381825905638</v>
      </c>
      <c r="AM25" s="41">
        <f>AVERAGE(0.03875,0.0431,0.0524)</f>
        <v>4.4750000000000005E-2</v>
      </c>
      <c r="AN25" s="34">
        <f t="shared" si="8"/>
        <v>41.672865218684919</v>
      </c>
      <c r="AO25" s="35">
        <f t="shared" si="9"/>
        <v>3.3338292174947934</v>
      </c>
      <c r="AP25" s="50">
        <f t="shared" ref="AP25" si="52">AVERAGE(AO25:AO27)</f>
        <v>4.308617594841933</v>
      </c>
      <c r="AQ25" s="59">
        <f t="shared" ref="AQ25" si="53">STDEV(AO25:AO27)</f>
        <v>0.84542891482827875</v>
      </c>
      <c r="AR25" s="62">
        <f t="shared" ref="AR25" si="54">AQ25/AP25</f>
        <v>0.19621813637868096</v>
      </c>
      <c r="AT25" s="41">
        <f>AVERAGE(1.0668,1.017,1.0909)</f>
        <v>1.0582333333333334</v>
      </c>
      <c r="AU25" s="34">
        <f t="shared" si="10"/>
        <v>328.72635914062505</v>
      </c>
      <c r="AV25" s="35">
        <f t="shared" si="11"/>
        <v>26.298108731250004</v>
      </c>
      <c r="AW25" s="76">
        <f t="shared" ref="AW25" si="55">AVERAGE(AV25:AV27)</f>
        <v>28.686443770743292</v>
      </c>
      <c r="AX25" s="82">
        <f t="shared" ref="AX25" si="56">STDEV(AV25:AV27)</f>
        <v>2.0951038743314125</v>
      </c>
      <c r="AY25" s="62">
        <f t="shared" ref="AY25" si="57">AX25/AW25</f>
        <v>7.3034632353703097E-2</v>
      </c>
      <c r="BA25" s="41">
        <f>AVERAGE(0.049,0.0501,0.0497)</f>
        <v>4.9599999999999998E-2</v>
      </c>
      <c r="BB25" s="34">
        <f t="shared" si="12"/>
        <v>2.9075657453841064</v>
      </c>
      <c r="BC25" s="35">
        <f t="shared" si="13"/>
        <v>0.23260525963072851</v>
      </c>
      <c r="BD25" s="98">
        <f>AVERAGE(BC25:BC27)</f>
        <v>0.18712964167978643</v>
      </c>
      <c r="BE25" s="101">
        <f>STDEV(BC25:BC27)</f>
        <v>3.9392066281505801E-2</v>
      </c>
      <c r="BF25" s="62">
        <f>BE25/BD25</f>
        <v>0.21050682258513026</v>
      </c>
    </row>
    <row r="26" spans="1:58" ht="14.4" customHeight="1" x14ac:dyDescent="0.3">
      <c r="A26" s="88"/>
      <c r="B26" s="3">
        <v>0.25</v>
      </c>
      <c r="C26" s="4">
        <v>0.02</v>
      </c>
      <c r="D26" s="3">
        <v>3.2000000000000001E-2</v>
      </c>
      <c r="E26" s="25">
        <f t="shared" si="0"/>
        <v>0.19922194922194916</v>
      </c>
      <c r="F26" s="25">
        <f t="shared" si="1"/>
        <v>15.937755937755933</v>
      </c>
      <c r="G26" s="87"/>
      <c r="H26" s="87"/>
      <c r="I26" s="86"/>
      <c r="K26" s="6">
        <v>0.442</v>
      </c>
      <c r="L26" s="36">
        <f t="shared" si="2"/>
        <v>0.98134425995527852</v>
      </c>
      <c r="M26" s="37">
        <f t="shared" si="3"/>
        <v>78.50754079642229</v>
      </c>
      <c r="N26" s="77"/>
      <c r="O26" s="83"/>
      <c r="P26" s="63"/>
      <c r="R26" s="6">
        <v>0.222392067</v>
      </c>
      <c r="S26" s="34">
        <f t="shared" si="4"/>
        <v>0.47731116933863016</v>
      </c>
      <c r="T26" s="35">
        <f t="shared" si="14"/>
        <v>38.184893547090411</v>
      </c>
      <c r="U26" s="51"/>
      <c r="V26" s="60"/>
      <c r="W26" s="63"/>
      <c r="Y26" s="6">
        <v>0.47268590300000002</v>
      </c>
      <c r="Z26" s="34">
        <f t="shared" si="15"/>
        <v>228.70872813146588</v>
      </c>
      <c r="AA26" s="35">
        <f t="shared" si="5"/>
        <v>18.29669825051727</v>
      </c>
      <c r="AB26" s="51"/>
      <c r="AC26" s="60"/>
      <c r="AD26" s="63"/>
      <c r="AF26" s="41">
        <f>AVERAGE(0.1234,0.1298,0.1347)</f>
        <v>0.1293</v>
      </c>
      <c r="AG26" s="34">
        <f t="shared" si="6"/>
        <v>290.03740121333061</v>
      </c>
      <c r="AH26" s="35">
        <f t="shared" si="7"/>
        <v>23.202992097066449</v>
      </c>
      <c r="AI26" s="77"/>
      <c r="AJ26" s="83"/>
      <c r="AK26" s="63"/>
      <c r="AM26" s="41">
        <f>AVERAGE(0.0537,0.053,0.0663)</f>
        <v>5.7666666666666665E-2</v>
      </c>
      <c r="AN26" s="34">
        <f t="shared" si="8"/>
        <v>59.37858630509627</v>
      </c>
      <c r="AO26" s="35">
        <f t="shared" si="9"/>
        <v>4.7502869044077016</v>
      </c>
      <c r="AP26" s="51"/>
      <c r="AQ26" s="60"/>
      <c r="AR26" s="63"/>
      <c r="AT26" s="41">
        <f>AVERAGE(1.1646,1.1832,1.1982)</f>
        <v>1.1820000000000002</v>
      </c>
      <c r="AU26" s="34">
        <f t="shared" si="10"/>
        <v>369.33645933319247</v>
      </c>
      <c r="AV26" s="35">
        <f t="shared" si="11"/>
        <v>29.546916746655398</v>
      </c>
      <c r="AW26" s="77"/>
      <c r="AX26" s="83"/>
      <c r="AY26" s="63"/>
      <c r="BA26" s="41">
        <f>AVERAGE(0.0385,0.0381,0.0389)</f>
        <v>3.85E-2</v>
      </c>
      <c r="BB26" s="34">
        <f t="shared" si="12"/>
        <v>2.0654381213220168</v>
      </c>
      <c r="BC26" s="35">
        <f t="shared" si="13"/>
        <v>0.16523504970576133</v>
      </c>
      <c r="BD26" s="99"/>
      <c r="BE26" s="102"/>
      <c r="BF26" s="63"/>
    </row>
    <row r="27" spans="1:58" ht="14.4" customHeight="1" x14ac:dyDescent="0.3">
      <c r="A27" s="88"/>
      <c r="B27" s="3">
        <v>0.26</v>
      </c>
      <c r="C27" s="4">
        <v>0.02</v>
      </c>
      <c r="D27" s="3">
        <v>3.4000000000000002E-2</v>
      </c>
      <c r="E27" s="25">
        <f t="shared" si="0"/>
        <v>0.21355446355446353</v>
      </c>
      <c r="F27" s="25">
        <f t="shared" si="1"/>
        <v>16.427266427266424</v>
      </c>
      <c r="G27" s="87"/>
      <c r="H27" s="87"/>
      <c r="I27" s="86"/>
      <c r="K27" s="6">
        <v>0.47199999999999998</v>
      </c>
      <c r="L27" s="38">
        <f t="shared" si="2"/>
        <v>1.0495325657738237</v>
      </c>
      <c r="M27" s="39">
        <f t="shared" si="3"/>
        <v>80.733274290294133</v>
      </c>
      <c r="N27" s="78"/>
      <c r="O27" s="84"/>
      <c r="P27" s="64"/>
      <c r="R27" s="6">
        <v>0.22825336500000001</v>
      </c>
      <c r="S27" s="34">
        <f t="shared" si="4"/>
        <v>0.48938945045920657</v>
      </c>
      <c r="T27" s="35">
        <f t="shared" si="14"/>
        <v>37.645342343015884</v>
      </c>
      <c r="U27" s="52"/>
      <c r="V27" s="61"/>
      <c r="W27" s="64"/>
      <c r="Y27" s="6">
        <v>0.51185780800000003</v>
      </c>
      <c r="Z27" s="34">
        <f t="shared" si="15"/>
        <v>247.56682527046681</v>
      </c>
      <c r="AA27" s="35">
        <f t="shared" si="5"/>
        <v>19.043601943882063</v>
      </c>
      <c r="AB27" s="52"/>
      <c r="AC27" s="61"/>
      <c r="AD27" s="64"/>
      <c r="AF27" s="41">
        <f>AVERAGE(0.1222,0.1241,0.1282)</f>
        <v>0.12483333333333335</v>
      </c>
      <c r="AG27" s="34">
        <f t="shared" si="6"/>
        <v>279.20837274406063</v>
      </c>
      <c r="AH27" s="35">
        <f t="shared" si="7"/>
        <v>21.477567134158509</v>
      </c>
      <c r="AI27" s="78"/>
      <c r="AJ27" s="84"/>
      <c r="AK27" s="64"/>
      <c r="AM27" s="41">
        <f>AVERAGE(0.057,0.0532,0.0706)</f>
        <v>6.0266666666666663E-2</v>
      </c>
      <c r="AN27" s="34">
        <f t="shared" si="8"/>
        <v>62.942576614102933</v>
      </c>
      <c r="AO27" s="35">
        <f t="shared" si="9"/>
        <v>4.841736662623302</v>
      </c>
      <c r="AP27" s="52"/>
      <c r="AQ27" s="61"/>
      <c r="AR27" s="64"/>
      <c r="AT27" s="41">
        <f>AVERAGE(1.2202,1.2885,1.2517)</f>
        <v>1.2534666666666667</v>
      </c>
      <c r="AU27" s="34">
        <f t="shared" si="10"/>
        <v>392.78597584621815</v>
      </c>
      <c r="AV27" s="35">
        <f t="shared" si="11"/>
        <v>30.214305834324474</v>
      </c>
      <c r="AW27" s="78"/>
      <c r="AX27" s="84"/>
      <c r="AY27" s="64"/>
      <c r="BA27" s="41">
        <f>AVERAGE(0.0394,0.0392,0.0393)</f>
        <v>3.9300000000000002E-2</v>
      </c>
      <c r="BB27" s="34">
        <f t="shared" si="12"/>
        <v>2.1261320041373026</v>
      </c>
      <c r="BC27" s="35">
        <f t="shared" si="13"/>
        <v>0.16354861570286944</v>
      </c>
      <c r="BD27" s="100"/>
      <c r="BE27" s="103"/>
      <c r="BF27" s="64"/>
    </row>
    <row r="28" spans="1:58" ht="14.4" customHeight="1" x14ac:dyDescent="0.3">
      <c r="A28" s="88" t="s">
        <v>35</v>
      </c>
      <c r="B28" s="3">
        <v>0.25</v>
      </c>
      <c r="C28" s="4">
        <v>0.02</v>
      </c>
      <c r="D28" s="3">
        <v>3.3000000000000002E-2</v>
      </c>
      <c r="E28" s="25">
        <f t="shared" si="0"/>
        <v>0.20638820638820635</v>
      </c>
      <c r="F28" s="25">
        <f t="shared" si="1"/>
        <v>16.511056511056509</v>
      </c>
      <c r="G28" s="85">
        <f t="shared" ref="G28" si="58">AVERAGE(F28:F30)</f>
        <v>14.608874608874606</v>
      </c>
      <c r="H28" s="85">
        <f t="shared" ref="H28" si="59">STDEV(F28:F30)</f>
        <v>1.6473909751456508</v>
      </c>
      <c r="I28" s="86">
        <f t="shared" ref="I28" si="60">H28/G28</f>
        <v>0.11276645321775114</v>
      </c>
      <c r="K28" s="6">
        <v>0.53300000000000003</v>
      </c>
      <c r="L28" s="34">
        <f t="shared" si="2"/>
        <v>1.1881821209381989</v>
      </c>
      <c r="M28" s="37">
        <f t="shared" si="3"/>
        <v>95.054569675055902</v>
      </c>
      <c r="N28" s="76">
        <f t="shared" ref="N28" si="61">AVERAGE(M28:M30)</f>
        <v>90.67711264899522</v>
      </c>
      <c r="O28" s="82">
        <f t="shared" ref="O28" si="62">STDEV(M28:M30)</f>
        <v>3.9504667510903557</v>
      </c>
      <c r="P28" s="62">
        <f t="shared" ref="P28" si="63">O28/N28</f>
        <v>4.356630505409162E-2</v>
      </c>
      <c r="R28" s="6">
        <v>0.30341342100000002</v>
      </c>
      <c r="S28" s="34">
        <f t="shared" si="4"/>
        <v>0.64427055109702813</v>
      </c>
      <c r="T28" s="35">
        <f t="shared" si="14"/>
        <v>51.541644087762251</v>
      </c>
      <c r="U28" s="76">
        <f t="shared" ref="U28" si="64">AVERAGE(T28:T30)</f>
        <v>50.183336547420176</v>
      </c>
      <c r="V28" s="82">
        <f t="shared" ref="V28" si="65">STDEV(T28:T30)</f>
        <v>1.2093654003928511</v>
      </c>
      <c r="W28" s="62">
        <f t="shared" ref="W28" si="66">V28/U28</f>
        <v>2.409894366529565E-2</v>
      </c>
      <c r="Y28" s="6">
        <v>0.60681217899999995</v>
      </c>
      <c r="Z28" s="34">
        <f t="shared" si="15"/>
        <v>293.2796582840956</v>
      </c>
      <c r="AA28" s="35">
        <f t="shared" si="5"/>
        <v>23.462372662727649</v>
      </c>
      <c r="AB28" s="76">
        <f t="shared" ref="AB28" si="67">AVERAGE(AA28:AA30)</f>
        <v>21.351188416213422</v>
      </c>
      <c r="AC28" s="82">
        <f t="shared" ref="AC28" si="68">STDEV(AA28:AA30)</f>
        <v>1.8357402240704348</v>
      </c>
      <c r="AD28" s="62">
        <f t="shared" ref="AD28" si="69">AC28/AB28</f>
        <v>8.5978362809839254E-2</v>
      </c>
      <c r="AF28" s="41">
        <f>AVERAGE(0.1308,0.1281,0.1302)</f>
        <v>0.12970000000000001</v>
      </c>
      <c r="AG28" s="34">
        <f t="shared" si="6"/>
        <v>291.00716495684742</v>
      </c>
      <c r="AH28" s="35">
        <f t="shared" si="7"/>
        <v>23.280573196547795</v>
      </c>
      <c r="AI28" s="76">
        <f t="shared" ref="AI28" si="70">AVERAGE(AH28:AH30)</f>
        <v>22.151671578960087</v>
      </c>
      <c r="AJ28" s="79">
        <f t="shared" ref="AJ28" si="71">STDEV(AH28:AH30)</f>
        <v>2.1312390691127874</v>
      </c>
      <c r="AK28" s="56">
        <f t="shared" ref="AK28" si="72">AJ28/AI28</f>
        <v>9.6211207425856871E-2</v>
      </c>
      <c r="AM28" s="41">
        <f>AVERAGE(0.0435,0.0468,0.0454)</f>
        <v>4.5233333333333327E-2</v>
      </c>
      <c r="AN28" s="34">
        <f t="shared" si="8"/>
        <v>42.335401878692558</v>
      </c>
      <c r="AO28" s="35">
        <f t="shared" si="9"/>
        <v>3.3868321502954046</v>
      </c>
      <c r="AP28" s="50">
        <f t="shared" ref="AP28" si="73">AVERAGE(AO28:AO30)</f>
        <v>3.1549251105930662</v>
      </c>
      <c r="AQ28" s="53">
        <f t="shared" ref="AQ28" si="74">STDEV(AO28:AO30)</f>
        <v>0.26708062075051142</v>
      </c>
      <c r="AR28" s="56">
        <f t="shared" ref="AR28" si="75">AQ28/AP28</f>
        <v>8.4655138042343356E-2</v>
      </c>
      <c r="AT28" s="41">
        <f>AVERAGE(1.1797,1.1851,1.188)</f>
        <v>1.1842666666666666</v>
      </c>
      <c r="AU28" s="34">
        <f t="shared" si="10"/>
        <v>370.0801939987175</v>
      </c>
      <c r="AV28" s="35">
        <f t="shared" si="11"/>
        <v>29.6064155198974</v>
      </c>
      <c r="AW28" s="50">
        <f t="shared" ref="AW28" si="76">AVERAGE(AV28:AV30)</f>
        <v>29.006058975722784</v>
      </c>
      <c r="AX28" s="53">
        <f t="shared" ref="AX28" si="77">STDEV(AV28:AV30)</f>
        <v>0.75280211733393165</v>
      </c>
      <c r="AY28" s="56">
        <f t="shared" ref="AY28" si="78">AX28/AW28</f>
        <v>2.5953271279080169E-2</v>
      </c>
      <c r="BA28" s="41">
        <f>AVERAGE(0.0357,0.0349,0.0344)</f>
        <v>3.4999999999999996E-2</v>
      </c>
      <c r="BB28" s="34">
        <f t="shared" si="12"/>
        <v>1.7999023840051411</v>
      </c>
      <c r="BC28" s="35">
        <f t="shared" si="13"/>
        <v>0.14399219072041131</v>
      </c>
      <c r="BD28" s="98" t="s">
        <v>31</v>
      </c>
      <c r="BE28" s="101"/>
      <c r="BF28" s="62"/>
    </row>
    <row r="29" spans="1:58" ht="14.4" customHeight="1" x14ac:dyDescent="0.3">
      <c r="A29" s="88"/>
      <c r="B29" s="3">
        <v>0.26</v>
      </c>
      <c r="C29" s="4">
        <v>0.02</v>
      </c>
      <c r="D29" s="3">
        <v>2.9000000000000001E-2</v>
      </c>
      <c r="E29" s="25">
        <f t="shared" si="0"/>
        <v>0.17772317772317767</v>
      </c>
      <c r="F29" s="25">
        <f t="shared" si="1"/>
        <v>13.671013671013668</v>
      </c>
      <c r="G29" s="85"/>
      <c r="H29" s="85"/>
      <c r="I29" s="86"/>
      <c r="K29" s="3">
        <v>0.51</v>
      </c>
      <c r="L29" s="36">
        <f t="shared" si="2"/>
        <v>1.1359044198106476</v>
      </c>
      <c r="M29" s="37">
        <f t="shared" si="3"/>
        <v>87.3772630623575</v>
      </c>
      <c r="N29" s="77"/>
      <c r="O29" s="83"/>
      <c r="P29" s="63"/>
      <c r="R29" s="6">
        <v>0.30129480400000003</v>
      </c>
      <c r="S29" s="34">
        <f t="shared" si="4"/>
        <v>0.63990475162516514</v>
      </c>
      <c r="T29" s="35">
        <f t="shared" si="14"/>
        <v>49.223442432705006</v>
      </c>
      <c r="U29" s="77"/>
      <c r="V29" s="83"/>
      <c r="W29" s="63"/>
      <c r="Y29" s="6">
        <v>0.54121923400000005</v>
      </c>
      <c r="Z29" s="34">
        <f t="shared" si="15"/>
        <v>261.7019719692957</v>
      </c>
      <c r="AA29" s="35">
        <f t="shared" si="5"/>
        <v>20.130920920715056</v>
      </c>
      <c r="AB29" s="77"/>
      <c r="AC29" s="83"/>
      <c r="AD29" s="63"/>
      <c r="AF29" s="41">
        <f>AVERAGE(0.1219,0.1166,0.1073)</f>
        <v>0.11526666666666667</v>
      </c>
      <c r="AG29" s="34">
        <f t="shared" si="6"/>
        <v>256.01485654495241</v>
      </c>
      <c r="AH29" s="35">
        <f t="shared" si="7"/>
        <v>19.693450503457875</v>
      </c>
      <c r="AI29" s="77"/>
      <c r="AJ29" s="80"/>
      <c r="AK29" s="57"/>
      <c r="AM29" s="41">
        <f>AVERAGE(0.0427,0.0422,0.0396)</f>
        <v>4.1500000000000002E-2</v>
      </c>
      <c r="AN29" s="34">
        <f t="shared" si="8"/>
        <v>37.217877332426575</v>
      </c>
      <c r="AO29" s="35">
        <f t="shared" si="9"/>
        <v>2.8629136409558904</v>
      </c>
      <c r="AP29" s="51"/>
      <c r="AQ29" s="54"/>
      <c r="AR29" s="57"/>
      <c r="AT29" s="41">
        <f>AVERAGE(1.1876,1.134,1.1948)</f>
        <v>1.1721333333333332</v>
      </c>
      <c r="AU29" s="34">
        <f t="shared" si="10"/>
        <v>366.09902608325973</v>
      </c>
      <c r="AV29" s="35">
        <f t="shared" si="11"/>
        <v>28.16146354486613</v>
      </c>
      <c r="AW29" s="51"/>
      <c r="AX29" s="54"/>
      <c r="AY29" s="57"/>
      <c r="BA29" s="41">
        <f>AVERAGE(0.0395,0.0398,0.0402)</f>
        <v>3.9833333333333339E-2</v>
      </c>
      <c r="BB29" s="34">
        <f t="shared" si="12"/>
        <v>2.1665945926808265</v>
      </c>
      <c r="BC29" s="35">
        <f t="shared" si="13"/>
        <v>0.16666112251390972</v>
      </c>
      <c r="BD29" s="99"/>
      <c r="BE29" s="102"/>
      <c r="BF29" s="63"/>
    </row>
    <row r="30" spans="1:58" ht="14.4" customHeight="1" x14ac:dyDescent="0.3">
      <c r="A30" s="88"/>
      <c r="B30" s="3">
        <v>0.25</v>
      </c>
      <c r="C30" s="4">
        <v>0.02</v>
      </c>
      <c r="D30" s="3">
        <v>2.8000000000000001E-2</v>
      </c>
      <c r="E30" s="25">
        <f t="shared" si="0"/>
        <v>0.17055692055692051</v>
      </c>
      <c r="F30" s="25">
        <f t="shared" si="1"/>
        <v>13.644553644553641</v>
      </c>
      <c r="G30" s="85"/>
      <c r="H30" s="85"/>
      <c r="I30" s="86"/>
      <c r="K30" s="6">
        <v>0.503</v>
      </c>
      <c r="L30" s="38">
        <f t="shared" si="2"/>
        <v>1.1199938151196538</v>
      </c>
      <c r="M30" s="39">
        <f t="shared" si="3"/>
        <v>89.5995052095723</v>
      </c>
      <c r="N30" s="78"/>
      <c r="O30" s="84"/>
      <c r="P30" s="64"/>
      <c r="R30" s="6">
        <v>0.292757243</v>
      </c>
      <c r="S30" s="34">
        <f t="shared" si="4"/>
        <v>0.62231153902241587</v>
      </c>
      <c r="T30" s="35">
        <f t="shared" si="14"/>
        <v>49.78492312179327</v>
      </c>
      <c r="U30" s="78"/>
      <c r="V30" s="84"/>
      <c r="W30" s="64"/>
      <c r="Y30" s="6">
        <v>0.52886289399999997</v>
      </c>
      <c r="Z30" s="34">
        <f t="shared" si="15"/>
        <v>255.75339581496962</v>
      </c>
      <c r="AA30" s="35">
        <f t="shared" si="5"/>
        <v>20.46027166519757</v>
      </c>
      <c r="AB30" s="78"/>
      <c r="AC30" s="84"/>
      <c r="AD30" s="64"/>
      <c r="AF30" s="41">
        <f>AVERAGE(0.1279,0.134,0.1303)</f>
        <v>0.13073333333333334</v>
      </c>
      <c r="AG30" s="34">
        <f t="shared" si="6"/>
        <v>293.51238796093224</v>
      </c>
      <c r="AH30" s="35">
        <f t="shared" si="7"/>
        <v>23.480991036874581</v>
      </c>
      <c r="AI30" s="78"/>
      <c r="AJ30" s="81"/>
      <c r="AK30" s="58"/>
      <c r="AM30" s="41">
        <f>AVERAGE(0.0429,0.0431,0.045)</f>
        <v>4.3666666666666666E-2</v>
      </c>
      <c r="AN30" s="34">
        <f t="shared" si="8"/>
        <v>40.187869256598802</v>
      </c>
      <c r="AO30" s="35">
        <f t="shared" si="9"/>
        <v>3.2150295405279041</v>
      </c>
      <c r="AP30" s="52"/>
      <c r="AQ30" s="55"/>
      <c r="AR30" s="58"/>
      <c r="AT30" s="41">
        <f>AVERAGE(1.1712,1.1842,1.1567)</f>
        <v>1.1707000000000001</v>
      </c>
      <c r="AU30" s="34">
        <f t="shared" si="10"/>
        <v>365.62872328006017</v>
      </c>
      <c r="AV30" s="35">
        <f t="shared" si="11"/>
        <v>29.250297862404814</v>
      </c>
      <c r="AW30" s="52"/>
      <c r="AX30" s="55"/>
      <c r="AY30" s="58"/>
      <c r="BA30" s="41">
        <f>AVERAGE(0.0432,0.0439,0.0429)</f>
        <v>4.3333333333333335E-2</v>
      </c>
      <c r="BB30" s="34">
        <f t="shared" si="12"/>
        <v>2.4321303299977015</v>
      </c>
      <c r="BC30" s="35">
        <f t="shared" si="13"/>
        <v>0.19457042639981612</v>
      </c>
      <c r="BD30" s="100"/>
      <c r="BE30" s="103"/>
      <c r="BF30" s="64"/>
    </row>
    <row r="31" spans="1:58" ht="14.4" customHeight="1" x14ac:dyDescent="0.3">
      <c r="A31" s="88" t="s">
        <v>36</v>
      </c>
      <c r="B31" s="3">
        <v>0.25</v>
      </c>
      <c r="C31" s="4">
        <v>0.02</v>
      </c>
      <c r="D31" s="3">
        <v>2.3E-2</v>
      </c>
      <c r="E31" s="25">
        <f t="shared" si="0"/>
        <v>0.13472563472563467</v>
      </c>
      <c r="F31" s="25">
        <f t="shared" si="1"/>
        <v>10.778050778050774</v>
      </c>
      <c r="G31" s="87">
        <f t="shared" ref="G31" si="79">AVERAGE(F31:F33)</f>
        <v>10.317940317940314</v>
      </c>
      <c r="H31" s="87">
        <f t="shared" ref="H31" si="80">STDEV(F31:F33)</f>
        <v>0.48450543773089311</v>
      </c>
      <c r="I31" s="86">
        <f t="shared" ref="I31" si="81">H31/G31</f>
        <v>4.695757319786581E-2</v>
      </c>
      <c r="K31" s="6">
        <v>0.42</v>
      </c>
      <c r="L31" s="34">
        <f t="shared" si="2"/>
        <v>0.93133950235501206</v>
      </c>
      <c r="M31" s="37">
        <f t="shared" si="3"/>
        <v>74.50716018840096</v>
      </c>
      <c r="N31" s="76">
        <f t="shared" ref="N31" si="82">AVERAGE(M31:M33)</f>
        <v>71.605949928087043</v>
      </c>
      <c r="O31" s="82">
        <f t="shared" ref="O31" si="83">STDEV(M31:M33)</f>
        <v>2.834132851294048</v>
      </c>
      <c r="P31" s="62">
        <f t="shared" ref="P31" si="84">O31/N31</f>
        <v>3.9579572006800165E-2</v>
      </c>
      <c r="R31" s="6">
        <v>0.27283731100000003</v>
      </c>
      <c r="S31" s="34">
        <f t="shared" si="4"/>
        <v>0.58126286028286622</v>
      </c>
      <c r="T31" s="35">
        <f t="shared" si="14"/>
        <v>46.501028822629294</v>
      </c>
      <c r="U31" s="76">
        <f t="shared" ref="U31" si="85">AVERAGE(T31:T33)</f>
        <v>44.489413258839534</v>
      </c>
      <c r="V31" s="82">
        <f t="shared" ref="V31" si="86">STDEV(T31:T33)</f>
        <v>1.8310509775452266</v>
      </c>
      <c r="W31" s="62">
        <f t="shared" ref="W31" si="87">V31/U31</f>
        <v>4.1157004406692593E-2</v>
      </c>
      <c r="Y31" s="6">
        <v>0.49153012000000001</v>
      </c>
      <c r="Z31" s="34">
        <f t="shared" si="15"/>
        <v>237.78069117983972</v>
      </c>
      <c r="AA31" s="35">
        <f t="shared" si="5"/>
        <v>19.022455294387179</v>
      </c>
      <c r="AB31" s="50">
        <f t="shared" ref="AB31" si="88">AVERAGE(AA31:AA33)</f>
        <v>18.567060061349427</v>
      </c>
      <c r="AC31" s="59">
        <f t="shared" ref="AC31" si="89">STDEV(AA31:AA33)</f>
        <v>0.46493420221669313</v>
      </c>
      <c r="AD31" s="62">
        <f t="shared" ref="AD31" si="90">AC31/AB31</f>
        <v>2.5040808866910208E-2</v>
      </c>
      <c r="AF31" s="41">
        <f>AVERAGE(0.1084,0.1071,0.1014)</f>
        <v>0.10563333333333334</v>
      </c>
      <c r="AG31" s="34">
        <f t="shared" si="6"/>
        <v>232.65971305525812</v>
      </c>
      <c r="AH31" s="35">
        <f t="shared" si="7"/>
        <v>18.61277704442065</v>
      </c>
      <c r="AI31" s="76">
        <f t="shared" ref="AI31" si="91">AVERAGE(AH31:AH33)</f>
        <v>17.321173463790057</v>
      </c>
      <c r="AJ31" s="82">
        <f t="shared" ref="AJ31" si="92">STDEV(AH31:AH33)</f>
        <v>1.1925072446641671</v>
      </c>
      <c r="AK31" s="62">
        <f t="shared" ref="AK31" si="93">AJ31/AI31</f>
        <v>6.8846793039576998E-2</v>
      </c>
      <c r="AM31" s="41">
        <f>AVERAGE(0.0424,0.0426,0.0445)</f>
        <v>4.3166666666666666E-2</v>
      </c>
      <c r="AN31" s="34">
        <f t="shared" si="8"/>
        <v>39.502486504866745</v>
      </c>
      <c r="AO31" s="35">
        <f t="shared" si="9"/>
        <v>3.1601989203893397</v>
      </c>
      <c r="AP31" s="50">
        <f t="shared" ref="AP31" si="94">AVERAGE(AO31:AO33)</f>
        <v>2.8296185615435836</v>
      </c>
      <c r="AQ31" s="59">
        <f t="shared" ref="AQ31" si="95">STDEV(AO31:AO33)</f>
        <v>0.32291857235992688</v>
      </c>
      <c r="AR31" s="62">
        <f t="shared" ref="AR31" si="96">AQ31/AP31</f>
        <v>0.11412088425931577</v>
      </c>
      <c r="AT31" s="41">
        <f>AVERAGE(0.942,0.9759,0.9926)</f>
        <v>0.97016666666666662</v>
      </c>
      <c r="AU31" s="34">
        <f t="shared" si="10"/>
        <v>299.83007993007755</v>
      </c>
      <c r="AV31" s="35">
        <f t="shared" si="11"/>
        <v>23.986406394406202</v>
      </c>
      <c r="AW31" s="76">
        <f t="shared" ref="AW31" si="97">AVERAGE(AV31:AV33)</f>
        <v>24.71160712280918</v>
      </c>
      <c r="AX31" s="82">
        <f t="shared" ref="AX31" si="98">STDEV(AV31:AV33)</f>
        <v>1.1139229262178361</v>
      </c>
      <c r="AY31" s="62">
        <f t="shared" ref="AY31" si="99">AX31/AW31</f>
        <v>4.5076911456303811E-2</v>
      </c>
      <c r="BA31" s="41">
        <f>AVERAGE(0.0658,0.0531,0.0653)</f>
        <v>6.1400000000000003E-2</v>
      </c>
      <c r="BB31" s="34">
        <f t="shared" si="12"/>
        <v>3.8028005169095715</v>
      </c>
      <c r="BC31" s="35">
        <f t="shared" si="13"/>
        <v>0.30422404135276571</v>
      </c>
      <c r="BD31" s="98">
        <f t="shared" ref="BD31" si="100">AVERAGE(BC31:BC33)</f>
        <v>0.22989359182183669</v>
      </c>
      <c r="BE31" s="101">
        <f t="shared" ref="BE31" si="101">STDEV(BC31:BC33)</f>
        <v>6.5717165584388462E-2</v>
      </c>
      <c r="BF31" s="62">
        <f t="shared" ref="BF31" si="102">BE31/BD31</f>
        <v>0.28585905793893573</v>
      </c>
    </row>
    <row r="32" spans="1:58" ht="14.4" customHeight="1" x14ac:dyDescent="0.3">
      <c r="A32" s="88"/>
      <c r="B32" s="3">
        <v>0.26</v>
      </c>
      <c r="C32" s="4">
        <v>0.02</v>
      </c>
      <c r="D32" s="3">
        <v>2.3E-2</v>
      </c>
      <c r="E32" s="25">
        <f t="shared" si="0"/>
        <v>0.13472563472563467</v>
      </c>
      <c r="F32" s="25">
        <f t="shared" si="1"/>
        <v>10.363510363510358</v>
      </c>
      <c r="G32" s="87"/>
      <c r="H32" s="87"/>
      <c r="I32" s="86"/>
      <c r="K32" s="6">
        <v>0.41899999999999998</v>
      </c>
      <c r="L32" s="36">
        <f t="shared" si="2"/>
        <v>0.92906655882772726</v>
      </c>
      <c r="M32" s="37">
        <f t="shared" si="3"/>
        <v>71.466658371363636</v>
      </c>
      <c r="N32" s="77"/>
      <c r="O32" s="83"/>
      <c r="P32" s="63"/>
      <c r="R32" s="6">
        <v>0.26152816400000001</v>
      </c>
      <c r="S32" s="34">
        <f t="shared" si="4"/>
        <v>0.55795828564770455</v>
      </c>
      <c r="T32" s="35">
        <f t="shared" si="14"/>
        <v>42.919868126746508</v>
      </c>
      <c r="U32" s="77"/>
      <c r="V32" s="83"/>
      <c r="W32" s="63"/>
      <c r="Y32" s="6">
        <v>0.486192018</v>
      </c>
      <c r="Z32" s="34">
        <f t="shared" si="15"/>
        <v>235.21082775211278</v>
      </c>
      <c r="AA32" s="35">
        <f t="shared" si="5"/>
        <v>18.093140596316367</v>
      </c>
      <c r="AB32" s="51"/>
      <c r="AC32" s="60"/>
      <c r="AD32" s="63"/>
      <c r="AF32" s="41">
        <f>AVERAGE(0.0892,0.1012,0.1002)</f>
        <v>9.686666666666667E-2</v>
      </c>
      <c r="AG32" s="34">
        <f t="shared" si="6"/>
        <v>211.40572434318335</v>
      </c>
      <c r="AH32" s="35">
        <f t="shared" si="7"/>
        <v>16.261978795629489</v>
      </c>
      <c r="AI32" s="77"/>
      <c r="AJ32" s="83"/>
      <c r="AK32" s="63"/>
      <c r="AM32" s="41">
        <f>AVERAGE(0.0386,0.0372,0.0388)</f>
        <v>3.8200000000000005E-2</v>
      </c>
      <c r="AN32" s="34">
        <f t="shared" si="8"/>
        <v>32.694351170995034</v>
      </c>
      <c r="AO32" s="35">
        <f t="shared" si="9"/>
        <v>2.5149500900765411</v>
      </c>
      <c r="AP32" s="51"/>
      <c r="AQ32" s="60"/>
      <c r="AR32" s="63"/>
      <c r="AT32" s="41">
        <f>AVERAGE(1.0071,1.0256,1.0074)</f>
        <v>1.0133666666666667</v>
      </c>
      <c r="AU32" s="34">
        <f t="shared" si="10"/>
        <v>314.00478767302593</v>
      </c>
      <c r="AV32" s="35">
        <f t="shared" si="11"/>
        <v>24.15421443638661</v>
      </c>
      <c r="AW32" s="77"/>
      <c r="AX32" s="83"/>
      <c r="AY32" s="63"/>
      <c r="BA32" s="41">
        <f>AVERAGE(0.0471,0.0466,0.046)</f>
        <v>4.6566666666666666E-2</v>
      </c>
      <c r="BB32" s="34">
        <f t="shared" si="12"/>
        <v>2.6774347730428145</v>
      </c>
      <c r="BC32" s="35">
        <f t="shared" si="13"/>
        <v>0.20595652100329342</v>
      </c>
      <c r="BD32" s="99"/>
      <c r="BE32" s="102"/>
      <c r="BF32" s="63"/>
    </row>
    <row r="33" spans="1:58" ht="14.4" customHeight="1" x14ac:dyDescent="0.3">
      <c r="A33" s="88"/>
      <c r="B33" s="3">
        <v>0.26</v>
      </c>
      <c r="C33" s="4">
        <v>0.02</v>
      </c>
      <c r="D33" s="3">
        <v>2.1999999999999999E-2</v>
      </c>
      <c r="E33" s="25">
        <f t="shared" si="0"/>
        <v>0.12755937755937749</v>
      </c>
      <c r="F33" s="25">
        <f t="shared" si="1"/>
        <v>9.812259812259807</v>
      </c>
      <c r="G33" s="87"/>
      <c r="H33" s="87"/>
      <c r="I33" s="86"/>
      <c r="K33" s="6">
        <v>0.40400000000000003</v>
      </c>
      <c r="L33" s="38">
        <f t="shared" si="2"/>
        <v>0.89497240591845484</v>
      </c>
      <c r="M33" s="39">
        <f t="shared" si="3"/>
        <v>68.844031224496533</v>
      </c>
      <c r="N33" s="78"/>
      <c r="O33" s="84"/>
      <c r="P33" s="64"/>
      <c r="R33" s="6">
        <v>0.26864093500000003</v>
      </c>
      <c r="S33" s="34">
        <f t="shared" si="4"/>
        <v>0.5726154567528563</v>
      </c>
      <c r="T33" s="35">
        <f t="shared" si="14"/>
        <v>44.047342827142785</v>
      </c>
      <c r="U33" s="78"/>
      <c r="V33" s="84"/>
      <c r="W33" s="64"/>
      <c r="Y33" s="6">
        <v>0.499489725</v>
      </c>
      <c r="Z33" s="34">
        <f t="shared" si="15"/>
        <v>241.61259581348156</v>
      </c>
      <c r="AA33" s="35">
        <f t="shared" si="5"/>
        <v>18.585584293344734</v>
      </c>
      <c r="AB33" s="52"/>
      <c r="AC33" s="61"/>
      <c r="AD33" s="64"/>
      <c r="AF33" s="41">
        <f>AVERAGE(0.104,0.0951,0.1048)</f>
        <v>0.1013</v>
      </c>
      <c r="AG33" s="34">
        <f t="shared" si="6"/>
        <v>222.15393916716036</v>
      </c>
      <c r="AH33" s="35">
        <f t="shared" si="7"/>
        <v>17.088764551320025</v>
      </c>
      <c r="AI33" s="78"/>
      <c r="AJ33" s="84"/>
      <c r="AK33" s="64"/>
      <c r="AM33" s="41">
        <f>AVERAGE(0.0424,0.0434,0.0373)</f>
        <v>4.1033333333333331E-2</v>
      </c>
      <c r="AN33" s="34">
        <f t="shared" si="8"/>
        <v>36.578186764143318</v>
      </c>
      <c r="AO33" s="35">
        <f t="shared" si="9"/>
        <v>2.8137066741648704</v>
      </c>
      <c r="AP33" s="52"/>
      <c r="AQ33" s="61"/>
      <c r="AR33" s="64"/>
      <c r="AT33" s="41">
        <f>AVERAGE(1.1154,1.0804,1.063)</f>
        <v>1.0862666666666667</v>
      </c>
      <c r="AU33" s="34">
        <f t="shared" si="10"/>
        <v>337.92460698925134</v>
      </c>
      <c r="AV33" s="35">
        <f t="shared" si="11"/>
        <v>25.994200537634718</v>
      </c>
      <c r="AW33" s="78"/>
      <c r="AX33" s="84"/>
      <c r="AY33" s="64"/>
      <c r="BA33" s="41">
        <f>AVERAGE(0.043,0.0409,0.0422)</f>
        <v>4.2033333333333332E-2</v>
      </c>
      <c r="BB33" s="34">
        <f t="shared" si="12"/>
        <v>2.3335027704228621</v>
      </c>
      <c r="BC33" s="35">
        <f t="shared" si="13"/>
        <v>0.17950021310945091</v>
      </c>
      <c r="BD33" s="100"/>
      <c r="BE33" s="103"/>
      <c r="BF33" s="64"/>
    </row>
  </sheetData>
  <mergeCells count="209">
    <mergeCell ref="BD28:BD30"/>
    <mergeCell ref="BE28:BE30"/>
    <mergeCell ref="BF28:BF30"/>
    <mergeCell ref="BD31:BD33"/>
    <mergeCell ref="BE31:BE33"/>
    <mergeCell ref="BF31:BF33"/>
    <mergeCell ref="AW28:AW30"/>
    <mergeCell ref="AX28:AX30"/>
    <mergeCell ref="AY28:AY30"/>
    <mergeCell ref="AW31:AW33"/>
    <mergeCell ref="AX31:AX33"/>
    <mergeCell ref="AY31:AY33"/>
    <mergeCell ref="BA1:BF1"/>
    <mergeCell ref="BA14:BA15"/>
    <mergeCell ref="BB14:BB15"/>
    <mergeCell ref="BC14:BC15"/>
    <mergeCell ref="BD14:BD15"/>
    <mergeCell ref="BE14:BE15"/>
    <mergeCell ref="BF14:BF15"/>
    <mergeCell ref="BD16:BD18"/>
    <mergeCell ref="BE16:BE18"/>
    <mergeCell ref="BF16:BF18"/>
    <mergeCell ref="BD19:BD21"/>
    <mergeCell ref="BE19:BE21"/>
    <mergeCell ref="BF19:BF21"/>
    <mergeCell ref="BD22:BD24"/>
    <mergeCell ref="BE22:BE24"/>
    <mergeCell ref="BF22:BF24"/>
    <mergeCell ref="BD25:BD27"/>
    <mergeCell ref="BE25:BE27"/>
    <mergeCell ref="AW19:AW21"/>
    <mergeCell ref="AX19:AX21"/>
    <mergeCell ref="AY19:AY21"/>
    <mergeCell ref="AW22:AW24"/>
    <mergeCell ref="AX22:AX24"/>
    <mergeCell ref="AY22:AY24"/>
    <mergeCell ref="AW25:AW27"/>
    <mergeCell ref="AX25:AX27"/>
    <mergeCell ref="AY25:AY27"/>
    <mergeCell ref="BF25:BF27"/>
    <mergeCell ref="AT1:AY1"/>
    <mergeCell ref="AT14:AT15"/>
    <mergeCell ref="AU14:AU15"/>
    <mergeCell ref="AV14:AV15"/>
    <mergeCell ref="AW14:AW15"/>
    <mergeCell ref="AX14:AX15"/>
    <mergeCell ref="AY14:AY15"/>
    <mergeCell ref="AW16:AW18"/>
    <mergeCell ref="AX16:AX18"/>
    <mergeCell ref="AY16:AY18"/>
    <mergeCell ref="AB22:AB24"/>
    <mergeCell ref="AC22:AC24"/>
    <mergeCell ref="AD22:AD24"/>
    <mergeCell ref="AB25:AB27"/>
    <mergeCell ref="AC25:AC27"/>
    <mergeCell ref="AD25:AD27"/>
    <mergeCell ref="AC16:AC18"/>
    <mergeCell ref="AD16:AD18"/>
    <mergeCell ref="AB19:AB21"/>
    <mergeCell ref="AC19:AC21"/>
    <mergeCell ref="AD19:AD21"/>
    <mergeCell ref="Y1:AD1"/>
    <mergeCell ref="Y14:Y15"/>
    <mergeCell ref="Z14:Z15"/>
    <mergeCell ref="AA14:AA15"/>
    <mergeCell ref="AB14:AB15"/>
    <mergeCell ref="AC14:AC15"/>
    <mergeCell ref="AD14:AD15"/>
    <mergeCell ref="N28:N30"/>
    <mergeCell ref="O28:O30"/>
    <mergeCell ref="P28:P30"/>
    <mergeCell ref="N16:N18"/>
    <mergeCell ref="O16:O18"/>
    <mergeCell ref="P16:P18"/>
    <mergeCell ref="N19:N21"/>
    <mergeCell ref="O19:O21"/>
    <mergeCell ref="P19:P21"/>
    <mergeCell ref="K1:P1"/>
    <mergeCell ref="K14:K15"/>
    <mergeCell ref="L14:L15"/>
    <mergeCell ref="M14:M15"/>
    <mergeCell ref="N14:N15"/>
    <mergeCell ref="O14:O15"/>
    <mergeCell ref="P14:P15"/>
    <mergeCell ref="U28:U30"/>
    <mergeCell ref="N31:N33"/>
    <mergeCell ref="O31:O33"/>
    <mergeCell ref="P31:P33"/>
    <mergeCell ref="N22:N24"/>
    <mergeCell ref="O22:O24"/>
    <mergeCell ref="P22:P24"/>
    <mergeCell ref="N25:N27"/>
    <mergeCell ref="O25:O27"/>
    <mergeCell ref="P25:P27"/>
    <mergeCell ref="A25:A27"/>
    <mergeCell ref="A28:A30"/>
    <mergeCell ref="A31:A33"/>
    <mergeCell ref="A13:C13"/>
    <mergeCell ref="B14:B15"/>
    <mergeCell ref="C14:C15"/>
    <mergeCell ref="A16:A18"/>
    <mergeCell ref="A19:A21"/>
    <mergeCell ref="A22:A24"/>
    <mergeCell ref="D1:I1"/>
    <mergeCell ref="D14:D15"/>
    <mergeCell ref="E14:E15"/>
    <mergeCell ref="F14:F15"/>
    <mergeCell ref="G14:G15"/>
    <mergeCell ref="H14:H15"/>
    <mergeCell ref="I14:I15"/>
    <mergeCell ref="G16:G18"/>
    <mergeCell ref="H16:H18"/>
    <mergeCell ref="I16:I18"/>
    <mergeCell ref="G19:G21"/>
    <mergeCell ref="H19:H21"/>
    <mergeCell ref="I19:I21"/>
    <mergeCell ref="G22:G24"/>
    <mergeCell ref="H22:H24"/>
    <mergeCell ref="I22:I24"/>
    <mergeCell ref="G25:G27"/>
    <mergeCell ref="H25:H27"/>
    <mergeCell ref="I25:I27"/>
    <mergeCell ref="G28:G30"/>
    <mergeCell ref="H28:H30"/>
    <mergeCell ref="I28:I30"/>
    <mergeCell ref="G31:G33"/>
    <mergeCell ref="H31:H33"/>
    <mergeCell ref="I31:I33"/>
    <mergeCell ref="R1:W1"/>
    <mergeCell ref="R14:R15"/>
    <mergeCell ref="S14:S15"/>
    <mergeCell ref="T14:T15"/>
    <mergeCell ref="U14:U15"/>
    <mergeCell ref="V14:V15"/>
    <mergeCell ref="W14:W15"/>
    <mergeCell ref="U16:U18"/>
    <mergeCell ref="V16:V18"/>
    <mergeCell ref="W16:W18"/>
    <mergeCell ref="U19:U21"/>
    <mergeCell ref="V19:V21"/>
    <mergeCell ref="W19:W21"/>
    <mergeCell ref="U22:U24"/>
    <mergeCell ref="V22:V24"/>
    <mergeCell ref="W22:W24"/>
    <mergeCell ref="U25:U27"/>
    <mergeCell ref="V25:V27"/>
    <mergeCell ref="V28:V30"/>
    <mergeCell ref="W28:W30"/>
    <mergeCell ref="U31:U33"/>
    <mergeCell ref="V31:V33"/>
    <mergeCell ref="W31:W33"/>
    <mergeCell ref="AF1:AK1"/>
    <mergeCell ref="AF14:AF15"/>
    <mergeCell ref="AG14:AG15"/>
    <mergeCell ref="AH14:AH15"/>
    <mergeCell ref="AI14:AI15"/>
    <mergeCell ref="AJ14:AJ15"/>
    <mergeCell ref="AK14:AK15"/>
    <mergeCell ref="AI16:AI18"/>
    <mergeCell ref="AJ16:AJ18"/>
    <mergeCell ref="AK16:AK18"/>
    <mergeCell ref="AI19:AI21"/>
    <mergeCell ref="AJ19:AJ21"/>
    <mergeCell ref="AK19:AK21"/>
    <mergeCell ref="AI22:AI24"/>
    <mergeCell ref="AJ22:AJ24"/>
    <mergeCell ref="AK22:AK24"/>
    <mergeCell ref="AI25:AI27"/>
    <mergeCell ref="AB16:AB18"/>
    <mergeCell ref="AJ25:AJ27"/>
    <mergeCell ref="AK25:AK27"/>
    <mergeCell ref="AI28:AI30"/>
    <mergeCell ref="AJ28:AJ30"/>
    <mergeCell ref="AK28:AK30"/>
    <mergeCell ref="AI31:AI33"/>
    <mergeCell ref="AJ31:AJ33"/>
    <mergeCell ref="AK31:AK33"/>
    <mergeCell ref="W25:W27"/>
    <mergeCell ref="AB28:AB30"/>
    <mergeCell ref="AC28:AC30"/>
    <mergeCell ref="AD28:AD30"/>
    <mergeCell ref="AB31:AB33"/>
    <mergeCell ref="AC31:AC33"/>
    <mergeCell ref="AD31:AD33"/>
    <mergeCell ref="AM1:AR1"/>
    <mergeCell ref="AM14:AM15"/>
    <mergeCell ref="AN14:AN15"/>
    <mergeCell ref="AO14:AO15"/>
    <mergeCell ref="AP14:AP15"/>
    <mergeCell ref="AQ14:AQ15"/>
    <mergeCell ref="AR14:AR15"/>
    <mergeCell ref="AP16:AP18"/>
    <mergeCell ref="AQ16:AQ18"/>
    <mergeCell ref="AR16:AR18"/>
    <mergeCell ref="AP28:AP30"/>
    <mergeCell ref="AQ28:AQ30"/>
    <mergeCell ref="AR28:AR30"/>
    <mergeCell ref="AP31:AP33"/>
    <mergeCell ref="AQ31:AQ33"/>
    <mergeCell ref="AR31:AR33"/>
    <mergeCell ref="AP19:AP21"/>
    <mergeCell ref="AQ19:AQ21"/>
    <mergeCell ref="AR19:AR21"/>
    <mergeCell ref="AP22:AP24"/>
    <mergeCell ref="AQ22:AQ24"/>
    <mergeCell ref="AR22:AR24"/>
    <mergeCell ref="AP25:AP27"/>
    <mergeCell ref="AQ25:AQ27"/>
    <mergeCell ref="AR25:AR2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E03719-F279-4E5D-968E-45566ECEC2D9}">
  <dimension ref="A1:BF24"/>
  <sheetViews>
    <sheetView zoomScale="85" zoomScaleNormal="85" workbookViewId="0">
      <pane xSplit="1" topLeftCell="B1" activePane="topRight" state="frozen"/>
      <selection pane="topRight"/>
    </sheetView>
  </sheetViews>
  <sheetFormatPr defaultRowHeight="14.4" x14ac:dyDescent="0.3"/>
  <cols>
    <col min="2" max="2" width="12.5546875" bestFit="1" customWidth="1"/>
  </cols>
  <sheetData>
    <row r="1" spans="1:58" x14ac:dyDescent="0.3">
      <c r="D1" s="65" t="s">
        <v>0</v>
      </c>
      <c r="E1" s="66"/>
      <c r="F1" s="66"/>
      <c r="G1" s="66"/>
      <c r="H1" s="66"/>
      <c r="I1" s="67"/>
      <c r="K1" s="65" t="s">
        <v>1</v>
      </c>
      <c r="L1" s="66"/>
      <c r="M1" s="66"/>
      <c r="N1" s="66"/>
      <c r="O1" s="66"/>
      <c r="P1" s="67"/>
      <c r="R1" s="65" t="s">
        <v>2</v>
      </c>
      <c r="S1" s="66"/>
      <c r="T1" s="66"/>
      <c r="U1" s="66"/>
      <c r="V1" s="66"/>
      <c r="W1" s="67"/>
      <c r="Y1" s="65" t="s">
        <v>3</v>
      </c>
      <c r="Z1" s="66"/>
      <c r="AA1" s="66"/>
      <c r="AB1" s="66"/>
      <c r="AC1" s="66"/>
      <c r="AD1" s="67"/>
      <c r="AF1" s="65" t="s">
        <v>4</v>
      </c>
      <c r="AG1" s="66"/>
      <c r="AH1" s="66"/>
      <c r="AI1" s="66"/>
      <c r="AJ1" s="66"/>
      <c r="AK1" s="67"/>
      <c r="AM1" s="65" t="s">
        <v>5</v>
      </c>
      <c r="AN1" s="66"/>
      <c r="AO1" s="66"/>
      <c r="AP1" s="66"/>
      <c r="AQ1" s="66"/>
      <c r="AR1" s="67"/>
      <c r="AT1" s="65" t="s">
        <v>6</v>
      </c>
      <c r="AU1" s="66"/>
      <c r="AV1" s="66"/>
      <c r="AW1" s="66"/>
      <c r="AX1" s="66"/>
      <c r="AY1" s="67"/>
      <c r="BA1" s="65" t="s">
        <v>7</v>
      </c>
      <c r="BB1" s="66"/>
      <c r="BC1" s="66"/>
      <c r="BD1" s="66"/>
      <c r="BE1" s="66"/>
      <c r="BF1" s="67"/>
    </row>
    <row r="2" spans="1:58" x14ac:dyDescent="0.3">
      <c r="D2" s="11" t="s">
        <v>8</v>
      </c>
      <c r="E2" s="12">
        <v>44650</v>
      </c>
      <c r="F2" s="13"/>
      <c r="G2" s="13"/>
      <c r="H2" s="13"/>
      <c r="I2" s="14"/>
      <c r="K2" s="29" t="s">
        <v>8</v>
      </c>
      <c r="L2" s="13">
        <v>44650</v>
      </c>
      <c r="M2" s="13"/>
      <c r="N2" s="13"/>
      <c r="O2" s="13"/>
      <c r="P2" s="14"/>
      <c r="R2" s="29" t="s">
        <v>8</v>
      </c>
      <c r="S2" s="13">
        <v>44650</v>
      </c>
      <c r="T2" s="13"/>
      <c r="U2" s="13"/>
      <c r="V2" s="13"/>
      <c r="W2" s="14"/>
      <c r="Y2" s="29" t="s">
        <v>8</v>
      </c>
      <c r="Z2" s="13">
        <v>44650</v>
      </c>
      <c r="AA2" s="13"/>
      <c r="AB2" s="13"/>
      <c r="AC2" s="13"/>
      <c r="AD2" s="14"/>
      <c r="AF2" s="29" t="s">
        <v>9</v>
      </c>
      <c r="AG2" s="13">
        <v>44630</v>
      </c>
      <c r="AH2" s="13"/>
      <c r="AI2" s="13"/>
      <c r="AJ2" s="13"/>
      <c r="AK2" s="14"/>
      <c r="AM2" s="29" t="s">
        <v>9</v>
      </c>
      <c r="AN2" s="13">
        <v>44630</v>
      </c>
      <c r="AO2" s="13"/>
      <c r="AP2" s="13"/>
      <c r="AQ2" s="13"/>
      <c r="AR2" s="14"/>
      <c r="AT2" s="29" t="s">
        <v>9</v>
      </c>
      <c r="AU2" s="13">
        <v>44630</v>
      </c>
      <c r="AV2" s="13"/>
      <c r="AW2" s="13"/>
      <c r="AX2" s="13"/>
      <c r="AY2" s="14"/>
      <c r="BA2" s="29" t="s">
        <v>9</v>
      </c>
      <c r="BB2" s="13">
        <v>44644</v>
      </c>
      <c r="BC2" s="13"/>
      <c r="BD2" s="13"/>
      <c r="BE2" s="13"/>
      <c r="BF2" s="14"/>
    </row>
    <row r="3" spans="1:58" x14ac:dyDescent="0.3">
      <c r="D3" s="11">
        <v>0</v>
      </c>
      <c r="E3" s="6">
        <v>0</v>
      </c>
      <c r="F3" s="15"/>
      <c r="G3" s="16"/>
      <c r="H3" s="16"/>
      <c r="I3" s="17"/>
      <c r="K3" s="3">
        <v>0</v>
      </c>
      <c r="L3" s="6">
        <f>AVERAGE(-0.001,-0.001,-0.002)</f>
        <v>-1.3333333333333333E-3</v>
      </c>
      <c r="M3" s="15"/>
      <c r="N3" s="16"/>
      <c r="O3" s="16"/>
      <c r="P3" s="17"/>
      <c r="R3" s="3">
        <v>0</v>
      </c>
      <c r="S3" s="6">
        <v>-7.4821157600000001E-4</v>
      </c>
      <c r="T3" s="15"/>
      <c r="U3" s="16"/>
      <c r="V3" s="16"/>
      <c r="W3" s="17"/>
      <c r="Y3" s="3">
        <v>0</v>
      </c>
      <c r="Z3" s="6">
        <v>2.8186006200000001E-4</v>
      </c>
      <c r="AA3" s="15"/>
      <c r="AB3" s="16"/>
      <c r="AC3" s="16"/>
      <c r="AD3" s="17"/>
      <c r="AF3" s="3">
        <v>0</v>
      </c>
      <c r="AG3" s="41">
        <f>AVERAGE(-0.0001,0.0003,-0.0001)</f>
        <v>3.3333333333333328E-5</v>
      </c>
      <c r="AH3" s="15"/>
      <c r="AI3" s="16"/>
      <c r="AJ3" s="16"/>
      <c r="AK3" s="17"/>
      <c r="AM3" s="3">
        <v>0</v>
      </c>
      <c r="AN3" s="46">
        <f>AVERAGE(0.0161,0.0149,0.0117)</f>
        <v>1.4233333333333334E-2</v>
      </c>
      <c r="AO3" s="15"/>
      <c r="AP3" s="16"/>
      <c r="AQ3" s="16"/>
      <c r="AR3" s="17"/>
      <c r="AT3" s="3">
        <v>0</v>
      </c>
      <c r="AU3" s="41">
        <f>AVERAGE(0.0829,0.051,0.0407)</f>
        <v>5.8199999999999995E-2</v>
      </c>
      <c r="AV3" s="15"/>
      <c r="AW3" s="16"/>
      <c r="AX3" s="16"/>
      <c r="AY3" s="17"/>
      <c r="BA3" s="3">
        <v>0</v>
      </c>
      <c r="BB3" s="46">
        <f>AVERAGE(0,-0.0003,0.0006)</f>
        <v>9.9999999999999991E-5</v>
      </c>
      <c r="BC3" s="15"/>
      <c r="BD3" s="16"/>
      <c r="BE3" s="16"/>
      <c r="BF3" s="17"/>
    </row>
    <row r="4" spans="1:58" x14ac:dyDescent="0.3">
      <c r="D4" s="11">
        <v>0.1</v>
      </c>
      <c r="E4" s="3"/>
      <c r="F4" s="3">
        <v>3.6999999999999998E-2</v>
      </c>
      <c r="G4" s="16"/>
      <c r="H4" s="16"/>
      <c r="I4" s="17"/>
      <c r="K4" s="3">
        <v>2.5000000000000001E-2</v>
      </c>
      <c r="L4" s="6">
        <v>1.7999999999999999E-2</v>
      </c>
      <c r="M4" s="15"/>
      <c r="N4" s="16"/>
      <c r="O4" s="16"/>
      <c r="P4" s="17"/>
      <c r="R4" s="3">
        <v>0.1</v>
      </c>
      <c r="S4" s="6">
        <v>1.1932020099999999E-2</v>
      </c>
      <c r="T4" s="15"/>
      <c r="U4" s="16"/>
      <c r="V4" s="16"/>
      <c r="W4" s="17"/>
      <c r="Y4" s="3">
        <v>0.1</v>
      </c>
      <c r="Z4" s="6"/>
      <c r="AA4" s="6">
        <v>4.1943683799999999E-4</v>
      </c>
      <c r="AB4" s="16"/>
      <c r="AC4" s="16"/>
      <c r="AD4" s="17"/>
      <c r="AF4" s="16">
        <v>10</v>
      </c>
      <c r="AG4" s="42">
        <f>AVERAGE(0.0373,0.0348,0.0377)</f>
        <v>3.6600000000000001E-2</v>
      </c>
      <c r="AH4" s="15"/>
      <c r="AI4" s="16"/>
      <c r="AJ4" s="16"/>
      <c r="AK4" s="17"/>
      <c r="AM4" s="3">
        <v>5</v>
      </c>
      <c r="AN4" s="46">
        <f>AVERAGE(0.0296,0.0287,0.0293)</f>
        <v>2.9200000000000004E-2</v>
      </c>
      <c r="AO4" s="15"/>
      <c r="AP4" s="16"/>
      <c r="AQ4" s="16"/>
      <c r="AR4" s="17"/>
      <c r="AT4" s="3">
        <v>10</v>
      </c>
      <c r="AU4" s="41">
        <f>AVERAGE(0.2535,0.1968,0.2008)</f>
        <v>0.21703333333333333</v>
      </c>
      <c r="AV4" s="15"/>
      <c r="AW4" s="16"/>
      <c r="AX4" s="16"/>
      <c r="AY4" s="17"/>
      <c r="BA4" s="3">
        <v>2</v>
      </c>
      <c r="BB4" s="46">
        <f>AVERAGE(0.1713,0.1716,0.1737)</f>
        <v>0.17219999999999999</v>
      </c>
      <c r="BC4" s="15"/>
      <c r="BD4" s="16"/>
      <c r="BE4" s="16"/>
      <c r="BF4" s="17"/>
    </row>
    <row r="5" spans="1:58" x14ac:dyDescent="0.3">
      <c r="D5" s="11">
        <v>0.25</v>
      </c>
      <c r="E5" s="3">
        <v>4.3999999999999997E-2</v>
      </c>
      <c r="F5" s="15"/>
      <c r="G5" s="16"/>
      <c r="H5" s="16"/>
      <c r="I5" s="17"/>
      <c r="K5" s="3">
        <v>0.05</v>
      </c>
      <c r="L5" s="6">
        <v>0.03</v>
      </c>
      <c r="M5" s="15"/>
      <c r="N5" s="16"/>
      <c r="O5" s="16"/>
      <c r="P5" s="17"/>
      <c r="R5" s="3">
        <v>0.25</v>
      </c>
      <c r="S5" s="6">
        <v>0.12606529899999999</v>
      </c>
      <c r="T5" s="15"/>
      <c r="U5" s="16"/>
      <c r="V5" s="16"/>
      <c r="W5" s="17"/>
      <c r="Y5" s="3">
        <v>0.25</v>
      </c>
      <c r="Z5" s="6">
        <v>5.0334036399999997E-3</v>
      </c>
      <c r="AA5" s="15"/>
      <c r="AB5" s="16"/>
      <c r="AC5" s="16"/>
      <c r="AD5" s="17"/>
      <c r="AF5" s="3">
        <v>20</v>
      </c>
      <c r="AG5" s="41">
        <f>AVERAGE(0.0488,0.0554,0.0545)</f>
        <v>5.2900000000000003E-2</v>
      </c>
      <c r="AH5" s="15"/>
      <c r="AI5" s="16"/>
      <c r="AJ5" s="16"/>
      <c r="AK5" s="17"/>
      <c r="AM5" s="3">
        <v>10</v>
      </c>
      <c r="AN5" s="46">
        <f>AVERAGE(0.0565,0.0575,0.0528)</f>
        <v>5.5600000000000004E-2</v>
      </c>
      <c r="AO5" s="15"/>
      <c r="AP5" s="16"/>
      <c r="AQ5" s="16"/>
      <c r="AR5" s="17"/>
      <c r="AT5" s="3">
        <v>25</v>
      </c>
      <c r="AU5" s="41">
        <f>AVERAGE(0.4002,0.4332,0.4407)</f>
        <v>0.42469999999999991</v>
      </c>
      <c r="AV5" s="15"/>
      <c r="AW5" s="16"/>
      <c r="AX5" s="16"/>
      <c r="AY5" s="17"/>
      <c r="BA5" s="3">
        <v>4</v>
      </c>
      <c r="BB5" s="46">
        <f>AVERAGE(0.3088,0.13107,0.3107)</f>
        <v>0.25018999999999997</v>
      </c>
      <c r="BC5" s="15"/>
      <c r="BD5" s="16"/>
      <c r="BE5" s="16"/>
      <c r="BF5" s="17"/>
    </row>
    <row r="6" spans="1:58" x14ac:dyDescent="0.3">
      <c r="D6" s="11">
        <v>0.5</v>
      </c>
      <c r="E6" s="3">
        <v>7.4999999999999997E-2</v>
      </c>
      <c r="F6" s="15"/>
      <c r="G6" s="16"/>
      <c r="H6" s="16"/>
      <c r="I6" s="17"/>
      <c r="K6" s="3">
        <v>0.1</v>
      </c>
      <c r="L6" s="6">
        <v>0.06</v>
      </c>
      <c r="M6" s="15"/>
      <c r="N6" s="16"/>
      <c r="O6" s="16"/>
      <c r="P6" s="17"/>
      <c r="R6" s="3">
        <v>0.5</v>
      </c>
      <c r="S6" s="6">
        <v>0.24470312899999999</v>
      </c>
      <c r="T6" s="15"/>
      <c r="U6" s="16"/>
      <c r="V6" s="16"/>
      <c r="W6" s="17"/>
      <c r="Y6" s="3">
        <v>0.5</v>
      </c>
      <c r="Z6" s="6">
        <v>2.0539153399999999E-2</v>
      </c>
      <c r="AA6" s="15"/>
      <c r="AB6" s="16"/>
      <c r="AC6" s="16"/>
      <c r="AD6" s="17"/>
      <c r="AF6" s="3">
        <v>40</v>
      </c>
      <c r="AG6" s="41">
        <f>AVERAGE(0.0979,0.0884,0.0998)</f>
        <v>9.5366666666666669E-2</v>
      </c>
      <c r="AH6" s="15"/>
      <c r="AI6" s="16"/>
      <c r="AJ6" s="16"/>
      <c r="AK6" s="17"/>
      <c r="AM6" s="3">
        <v>20</v>
      </c>
      <c r="AN6" s="46">
        <f>AVERAGE(0.0855,0.0877,0.0881)</f>
        <v>8.7100000000000011E-2</v>
      </c>
      <c r="AO6" s="15"/>
      <c r="AP6" s="16"/>
      <c r="AQ6" s="16"/>
      <c r="AR6" s="17"/>
      <c r="AT6" s="3">
        <v>50</v>
      </c>
      <c r="AU6" s="41">
        <f>AVERAGE(0.8798,0.7863,0.8098)</f>
        <v>0.82530000000000003</v>
      </c>
      <c r="AV6" s="15"/>
      <c r="AW6" s="16"/>
      <c r="AX6" s="16"/>
      <c r="AY6" s="17"/>
      <c r="BA6" s="3">
        <v>6</v>
      </c>
      <c r="BB6" s="46">
        <f>AVERAGE(0.4147,0.4117,0.414)</f>
        <v>0.41346666666666665</v>
      </c>
      <c r="BC6" s="15"/>
      <c r="BD6" s="16"/>
      <c r="BE6" s="16"/>
      <c r="BF6" s="17"/>
    </row>
    <row r="7" spans="1:58" x14ac:dyDescent="0.3">
      <c r="D7" s="11">
        <v>1</v>
      </c>
      <c r="E7" s="3">
        <v>0.14199999999999999</v>
      </c>
      <c r="F7" s="15"/>
      <c r="G7" s="16"/>
      <c r="H7" s="16"/>
      <c r="I7" s="17"/>
      <c r="K7" s="3">
        <v>0.25</v>
      </c>
      <c r="L7" s="6">
        <v>0.13200000000000001</v>
      </c>
      <c r="M7" s="15"/>
      <c r="N7" s="16"/>
      <c r="O7" s="16"/>
      <c r="P7" s="17"/>
      <c r="R7" s="3">
        <v>1</v>
      </c>
      <c r="S7" s="6">
        <v>0.46963051</v>
      </c>
      <c r="T7" s="15"/>
      <c r="U7" s="16"/>
      <c r="V7" s="16"/>
      <c r="W7" s="17"/>
      <c r="Y7" s="3">
        <v>1</v>
      </c>
      <c r="Z7" s="6">
        <v>4.31949981E-2</v>
      </c>
      <c r="AA7" s="15"/>
      <c r="AB7" s="16"/>
      <c r="AC7" s="16"/>
      <c r="AD7" s="17"/>
      <c r="AF7" s="3">
        <v>50</v>
      </c>
      <c r="AG7" s="41">
        <f>AVERAGE(0.1154,0.1145,0.1194)</f>
        <v>0.11643333333333333</v>
      </c>
      <c r="AH7" s="15"/>
      <c r="AI7" s="16"/>
      <c r="AJ7" s="16"/>
      <c r="AK7" s="17"/>
      <c r="AM7" s="3">
        <v>25</v>
      </c>
      <c r="AN7" s="46">
        <f>AVERAGE(0.1056,0.1043,0.1035)</f>
        <v>0.10446666666666667</v>
      </c>
      <c r="AO7" s="15"/>
      <c r="AP7" s="16"/>
      <c r="AQ7" s="16"/>
      <c r="AR7" s="17"/>
      <c r="AT7" s="3">
        <v>65</v>
      </c>
      <c r="AU7" s="41">
        <f>AVERAGE(1.013,1.0391,1.0514)</f>
        <v>1.0344999999999998</v>
      </c>
      <c r="AV7" s="15"/>
      <c r="AW7" s="16"/>
      <c r="AX7" s="16"/>
      <c r="AY7" s="17"/>
      <c r="BA7" s="3">
        <v>8</v>
      </c>
      <c r="BB7" s="46">
        <f>AVERAGE(0.4373,0.4856,0.4937)</f>
        <v>0.47220000000000001</v>
      </c>
      <c r="BC7" s="15"/>
      <c r="BD7" s="16"/>
      <c r="BE7" s="16"/>
      <c r="BF7" s="17"/>
    </row>
    <row r="8" spans="1:58" x14ac:dyDescent="0.3">
      <c r="D8" s="11">
        <v>3</v>
      </c>
      <c r="E8" s="3">
        <v>0.376</v>
      </c>
      <c r="F8" s="6"/>
      <c r="G8" s="18"/>
      <c r="H8" s="19" t="s">
        <v>10</v>
      </c>
      <c r="I8" s="17"/>
      <c r="K8" s="3">
        <v>0.5</v>
      </c>
      <c r="L8" s="6">
        <v>0.23599999999999999</v>
      </c>
      <c r="M8" s="15"/>
      <c r="N8" s="16"/>
      <c r="O8" s="16"/>
      <c r="P8" s="17"/>
      <c r="R8" s="3"/>
      <c r="S8" s="3"/>
      <c r="T8" s="15"/>
      <c r="U8" s="16"/>
      <c r="V8" s="16"/>
      <c r="W8" s="17"/>
      <c r="Y8" s="3">
        <v>2.5</v>
      </c>
      <c r="Z8" s="6">
        <v>0.13868945799999999</v>
      </c>
      <c r="AA8" s="15"/>
      <c r="AB8" s="16"/>
      <c r="AC8" s="16"/>
      <c r="AD8" s="17"/>
      <c r="AF8" s="3">
        <v>75</v>
      </c>
      <c r="AG8" s="41">
        <f>AVERAGE(0.1687,0.1588,0.149)</f>
        <v>0.15883333333333335</v>
      </c>
      <c r="AH8" s="15"/>
      <c r="AI8" s="16"/>
      <c r="AJ8" s="16"/>
      <c r="AK8" s="17"/>
      <c r="AM8" s="3">
        <v>35</v>
      </c>
      <c r="AN8" s="46">
        <f>AVERAGE(0.1476,0.1509,0.1499)</f>
        <v>0.14946666666666666</v>
      </c>
      <c r="AO8" s="15"/>
      <c r="AP8" s="16"/>
      <c r="AQ8" s="16"/>
      <c r="AR8" s="17"/>
      <c r="AT8" s="3">
        <v>75</v>
      </c>
      <c r="AU8" s="41">
        <f>AVERAGE(1.2053,1.1818,1.2065)</f>
        <v>1.1978666666666669</v>
      </c>
      <c r="AV8" s="15"/>
      <c r="AW8" s="16"/>
      <c r="AX8" s="16"/>
      <c r="AY8" s="17"/>
      <c r="BA8" s="3">
        <v>10</v>
      </c>
      <c r="BB8" s="46">
        <f>AVERAGE(0.544,0.545,0.5447)</f>
        <v>0.54456666666666664</v>
      </c>
      <c r="BC8" s="15"/>
      <c r="BD8" s="16"/>
      <c r="BE8" s="16"/>
      <c r="BF8" s="17"/>
    </row>
    <row r="9" spans="1:58" x14ac:dyDescent="0.3">
      <c r="D9" s="11">
        <v>5</v>
      </c>
      <c r="E9" s="3">
        <v>0.57599999999999996</v>
      </c>
      <c r="F9" s="3"/>
      <c r="G9" s="16"/>
      <c r="H9" s="16"/>
      <c r="I9" s="17"/>
      <c r="K9" s="3">
        <v>1</v>
      </c>
      <c r="L9" s="6">
        <v>0.44400000000000001</v>
      </c>
      <c r="M9" s="15"/>
      <c r="N9" s="26"/>
      <c r="O9" s="18"/>
      <c r="P9" s="19"/>
      <c r="R9" s="3"/>
      <c r="S9" s="3"/>
      <c r="U9" s="26" t="s">
        <v>11</v>
      </c>
      <c r="V9" s="18"/>
      <c r="W9" s="19" t="s">
        <v>10</v>
      </c>
      <c r="Y9" s="3">
        <v>5</v>
      </c>
      <c r="Z9" s="6">
        <v>0.263099998</v>
      </c>
      <c r="AA9" s="15"/>
      <c r="AB9" s="26" t="s">
        <v>11</v>
      </c>
      <c r="AC9" s="18"/>
      <c r="AD9" s="19" t="s">
        <v>10</v>
      </c>
      <c r="AF9" s="3">
        <v>100</v>
      </c>
      <c r="AG9" s="41">
        <f>AVERAGE(0.1922,0.194,0.218)</f>
        <v>0.2014</v>
      </c>
      <c r="AH9" s="15"/>
      <c r="AI9" s="26" t="s">
        <v>11</v>
      </c>
      <c r="AJ9" s="18">
        <v>5</v>
      </c>
      <c r="AK9" s="19" t="s">
        <v>12</v>
      </c>
      <c r="AM9" s="3">
        <v>50</v>
      </c>
      <c r="AN9" s="41">
        <f>AVERAGE(0.1914,0.1934,0.1937)</f>
        <v>0.19283333333333333</v>
      </c>
      <c r="AO9" s="15"/>
      <c r="AP9" s="26" t="s">
        <v>11</v>
      </c>
      <c r="AQ9" s="18">
        <v>5</v>
      </c>
      <c r="AR9" s="19" t="s">
        <v>12</v>
      </c>
      <c r="AT9" s="3">
        <v>85</v>
      </c>
      <c r="AU9" s="41">
        <f>AVERAGE(1.4139,1.3164,1.3526)</f>
        <v>1.3609666666666664</v>
      </c>
      <c r="AV9" s="15"/>
      <c r="AW9" s="26" t="s">
        <v>11</v>
      </c>
      <c r="AX9" s="18">
        <v>5</v>
      </c>
      <c r="AY9" s="19" t="s">
        <v>12</v>
      </c>
      <c r="BA9" s="40">
        <v>16</v>
      </c>
      <c r="BB9" s="47">
        <f>AVERAGE(0.6613,0.6556,0.6718)</f>
        <v>0.66289999999999993</v>
      </c>
      <c r="BC9" s="15"/>
      <c r="BD9" s="26" t="s">
        <v>11</v>
      </c>
      <c r="BE9" s="18">
        <v>0.5</v>
      </c>
      <c r="BF9" s="19" t="s">
        <v>10</v>
      </c>
    </row>
    <row r="10" spans="1:58" x14ac:dyDescent="0.3">
      <c r="D10" s="11"/>
      <c r="E10" s="3"/>
      <c r="F10" s="20"/>
      <c r="G10" s="16"/>
      <c r="H10" s="16"/>
      <c r="I10" s="17"/>
      <c r="K10" s="3">
        <v>3</v>
      </c>
      <c r="L10" s="6">
        <v>0.877</v>
      </c>
      <c r="N10" s="26"/>
      <c r="O10" s="18"/>
      <c r="P10" s="19"/>
      <c r="R10" s="30"/>
      <c r="S10" s="20"/>
      <c r="U10" s="26"/>
      <c r="V10" s="18"/>
      <c r="W10" s="19"/>
      <c r="Y10" s="3">
        <v>10</v>
      </c>
      <c r="Z10" s="6">
        <v>0.51210653799999994</v>
      </c>
      <c r="AA10" s="15"/>
      <c r="AB10" s="26"/>
      <c r="AC10" s="18"/>
      <c r="AD10" s="19"/>
      <c r="AF10" s="30"/>
      <c r="AG10" s="20"/>
      <c r="AH10" s="15"/>
      <c r="AI10" s="26"/>
      <c r="AJ10" s="18">
        <f>AJ9*AI13*0.02/0.25</f>
        <v>2</v>
      </c>
      <c r="AK10" s="19" t="s">
        <v>13</v>
      </c>
      <c r="AM10" s="30"/>
      <c r="AN10" s="20"/>
      <c r="AO10" s="15"/>
      <c r="AP10" s="26"/>
      <c r="AQ10" s="18">
        <f>AQ9*AP13*0.02/0.25</f>
        <v>2</v>
      </c>
      <c r="AR10" s="19" t="s">
        <v>13</v>
      </c>
      <c r="AT10" s="30">
        <v>100</v>
      </c>
      <c r="AU10" s="47">
        <f>AVERAGE(1.5275,1.4936,1.62)</f>
        <v>1.5470333333333333</v>
      </c>
      <c r="AV10" s="15"/>
      <c r="AW10" s="26"/>
      <c r="AX10" s="18">
        <f>AX9*5*0.02/0.25</f>
        <v>2</v>
      </c>
      <c r="AY10" s="19" t="s">
        <v>13</v>
      </c>
      <c r="BA10" s="30"/>
      <c r="BB10" s="20"/>
      <c r="BC10" s="15"/>
      <c r="BD10" s="26"/>
      <c r="BE10" s="48">
        <f>(BE9*5*0.02)/0.25</f>
        <v>0.2</v>
      </c>
      <c r="BF10" s="19" t="s">
        <v>13</v>
      </c>
    </row>
    <row r="11" spans="1:58" x14ac:dyDescent="0.3">
      <c r="D11" s="11" t="s">
        <v>14</v>
      </c>
      <c r="E11" s="25">
        <f>SLOPE(E3:E7,D3:D7)</f>
        <v>0.13954285714285714</v>
      </c>
      <c r="F11" s="21"/>
      <c r="G11" s="16"/>
      <c r="H11" s="16"/>
      <c r="I11" s="17"/>
      <c r="K11" s="11" t="s">
        <v>14</v>
      </c>
      <c r="L11" s="25">
        <f>SLOPE(L3:L9,K3:K9)</f>
        <v>0.43995813710099424</v>
      </c>
      <c r="M11" s="15"/>
      <c r="N11" s="16"/>
      <c r="O11" s="16"/>
      <c r="P11" s="17"/>
      <c r="R11" s="29" t="s">
        <v>14</v>
      </c>
      <c r="S11" s="15">
        <f>SLOPE(S3:S7,R3:R7)</f>
        <v>0.48527583863028217</v>
      </c>
      <c r="T11" s="15"/>
      <c r="U11" s="16"/>
      <c r="V11" s="16"/>
      <c r="W11" s="17"/>
      <c r="Y11" s="29" t="s">
        <v>14</v>
      </c>
      <c r="Z11" s="15">
        <f>SLOPE(Z3:Z10,Y3:Y10)</f>
        <v>5.1929821857513339E-2</v>
      </c>
      <c r="AA11" s="15"/>
      <c r="AB11" s="16"/>
      <c r="AC11" s="16"/>
      <c r="AD11" s="17"/>
      <c r="AF11" s="29" t="s">
        <v>14</v>
      </c>
      <c r="AG11" s="15">
        <f>SLOPE(AG3:AG8,AF3:AF8)</f>
        <v>2.0623579849946413E-3</v>
      </c>
      <c r="AH11" s="15"/>
      <c r="AI11" s="16"/>
      <c r="AJ11" s="16"/>
      <c r="AK11" s="17"/>
      <c r="AM11" s="29" t="s">
        <v>14</v>
      </c>
      <c r="AN11" s="15">
        <f>SLOPE(AN3:AN7,AM3:AM7)</f>
        <v>3.6475968992248061E-3</v>
      </c>
      <c r="AO11" s="21"/>
      <c r="AP11" s="16"/>
      <c r="AQ11" s="16"/>
      <c r="AR11" s="17"/>
      <c r="AT11" s="29" t="s">
        <v>14</v>
      </c>
      <c r="AU11" s="42">
        <f>SLOPE(AU3:AU9,AT3:AT9)</f>
        <v>1.5238409420289855E-2</v>
      </c>
      <c r="AV11" s="15"/>
      <c r="AW11" s="16"/>
      <c r="AX11" s="16"/>
      <c r="AY11" s="17"/>
      <c r="BA11" s="29" t="s">
        <v>14</v>
      </c>
      <c r="BB11" s="15">
        <f>SLOPE(BB3:BB6,BA3:BA6)</f>
        <v>6.5904500000000005E-2</v>
      </c>
      <c r="BC11" s="21"/>
      <c r="BD11" s="16"/>
      <c r="BE11" s="16"/>
      <c r="BF11" s="17"/>
    </row>
    <row r="12" spans="1:58" x14ac:dyDescent="0.3">
      <c r="D12" s="11" t="s">
        <v>15</v>
      </c>
      <c r="E12" s="25">
        <f>INTERCEPT(E3:E7,D3:D7)</f>
        <v>4.2000000000000093E-3</v>
      </c>
      <c r="F12" s="15"/>
      <c r="G12" s="16"/>
      <c r="H12" s="16"/>
      <c r="I12" s="17"/>
      <c r="K12" s="11" t="s">
        <v>15</v>
      </c>
      <c r="L12" s="25">
        <f>INTERCEPT(L3:L9,K3:K9)</f>
        <v>1.0249607535321809E-2</v>
      </c>
      <c r="M12" s="15"/>
      <c r="N12" s="16"/>
      <c r="O12" s="16"/>
      <c r="P12" s="17"/>
      <c r="R12" s="29" t="s">
        <v>15</v>
      </c>
      <c r="S12" s="15">
        <f>INTERCEPT(S3:S7,R3:R7)</f>
        <v>-9.2355109884043884E-3</v>
      </c>
      <c r="T12" s="15"/>
      <c r="U12" s="16"/>
      <c r="V12" s="16"/>
      <c r="W12" s="17"/>
      <c r="Y12" s="29" t="s">
        <v>15</v>
      </c>
      <c r="Z12" s="15">
        <f>INTERCEPT(Z3:Z10,Y3:Y10)</f>
        <v>-2.386237365018834E-3</v>
      </c>
      <c r="AA12" s="15"/>
      <c r="AB12" s="15" t="s">
        <v>16</v>
      </c>
      <c r="AC12" s="16"/>
      <c r="AD12" s="17"/>
      <c r="AF12" s="29" t="s">
        <v>15</v>
      </c>
      <c r="AG12" s="15">
        <f>INTERCEPT(AG3:AG8,AF3:AF8)</f>
        <v>9.6678099321186178E-3</v>
      </c>
      <c r="AH12" s="15"/>
      <c r="AI12" s="15" t="s">
        <v>16</v>
      </c>
      <c r="AJ12" s="16"/>
      <c r="AK12" s="17"/>
      <c r="AM12" s="29" t="s">
        <v>15</v>
      </c>
      <c r="AN12" s="15">
        <f>INTERCEPT(AN3:AN7,AM3:AM7)</f>
        <v>1.4348837209302329E-2</v>
      </c>
      <c r="AO12" s="15"/>
      <c r="AP12" s="15" t="s">
        <v>16</v>
      </c>
      <c r="AQ12" s="16"/>
      <c r="AR12" s="17"/>
      <c r="AT12" s="29" t="s">
        <v>15</v>
      </c>
      <c r="AU12" s="42">
        <f>INTERCEPT(AU3:AU9,AT3:AT9)</f>
        <v>5.6379963768115937E-2</v>
      </c>
      <c r="AV12" s="15"/>
      <c r="AW12" s="15" t="s">
        <v>16</v>
      </c>
      <c r="AX12" s="16"/>
      <c r="AY12" s="17"/>
      <c r="BA12" s="29" t="s">
        <v>15</v>
      </c>
      <c r="BB12" s="15">
        <f>INTERCEPT(BB3:BB6,BA3:BA6)</f>
        <v>1.1275666666666628E-2</v>
      </c>
      <c r="BC12" s="15"/>
      <c r="BD12" s="15" t="s">
        <v>16</v>
      </c>
      <c r="BE12" s="16"/>
      <c r="BF12" s="17"/>
    </row>
    <row r="13" spans="1:58" x14ac:dyDescent="0.3">
      <c r="A13" s="89"/>
      <c r="B13" s="90"/>
      <c r="C13" s="90"/>
      <c r="D13" s="11" t="s">
        <v>18</v>
      </c>
      <c r="E13" s="25">
        <f>CORREL(E3:E7,D3:D7)</f>
        <v>0.99785244918300464</v>
      </c>
      <c r="F13" s="22"/>
      <c r="G13" s="23"/>
      <c r="H13" s="23"/>
      <c r="I13" s="24"/>
      <c r="K13" s="11" t="s">
        <v>18</v>
      </c>
      <c r="L13" s="25">
        <f>CORREL(L3:L9,K3:K9)</f>
        <v>0.99872734174379918</v>
      </c>
      <c r="M13" s="22"/>
      <c r="N13" s="16"/>
      <c r="O13" s="16"/>
      <c r="P13" s="17"/>
      <c r="R13" s="31" t="s">
        <v>18</v>
      </c>
      <c r="S13" s="22">
        <f>CORREL(S3:S7,R3:R7)</f>
        <v>0.99607995703664676</v>
      </c>
      <c r="T13" s="22"/>
      <c r="U13" s="16"/>
      <c r="V13" s="16"/>
      <c r="W13" s="17"/>
      <c r="Y13" s="31" t="s">
        <v>18</v>
      </c>
      <c r="Z13" s="22">
        <f>CORREL(Z3:Z10,Y3:Y10)</f>
        <v>0.99936872247279707</v>
      </c>
      <c r="AA13" s="22"/>
      <c r="AB13" s="32">
        <v>25</v>
      </c>
      <c r="AC13" s="16"/>
      <c r="AD13" s="17"/>
      <c r="AF13" s="31" t="s">
        <v>18</v>
      </c>
      <c r="AG13" s="22">
        <f>CORREL(AG3:AG8,AF3:AF8)</f>
        <v>0.99428839353082521</v>
      </c>
      <c r="AH13" s="22"/>
      <c r="AI13" s="32">
        <v>5</v>
      </c>
      <c r="AJ13" s="16"/>
      <c r="AK13" s="17"/>
      <c r="AM13" s="31" t="s">
        <v>18</v>
      </c>
      <c r="AN13" s="22">
        <f>CORREL(AN3:AN7,AM3:AM7)</f>
        <v>0.99691390446347461</v>
      </c>
      <c r="AO13" s="22"/>
      <c r="AP13" s="32">
        <v>5</v>
      </c>
      <c r="AQ13" s="16"/>
      <c r="AR13" s="17"/>
      <c r="AT13" s="31" t="s">
        <v>18</v>
      </c>
      <c r="AU13" s="22">
        <f>CORREL(AU3:AU9,AT3:AT9)</f>
        <v>0.99982884429650498</v>
      </c>
      <c r="AV13" s="22"/>
      <c r="AW13" s="32">
        <v>5</v>
      </c>
      <c r="AX13" s="16"/>
      <c r="AY13" s="17"/>
      <c r="BA13" s="31" t="s">
        <v>18</v>
      </c>
      <c r="BB13" s="22">
        <f>CORREL(BB3:BB6,BA3:BA6)</f>
        <v>0.99075567781189222</v>
      </c>
      <c r="BC13" s="22"/>
      <c r="BD13" s="32">
        <v>5</v>
      </c>
      <c r="BE13" s="16"/>
      <c r="BF13" s="17"/>
    </row>
    <row r="14" spans="1:58" ht="14.4" customHeight="1" x14ac:dyDescent="0.3">
      <c r="A14" s="1"/>
      <c r="B14" s="91" t="s">
        <v>19</v>
      </c>
      <c r="C14" s="93" t="s">
        <v>20</v>
      </c>
      <c r="D14" s="88" t="s">
        <v>21</v>
      </c>
      <c r="E14" s="88" t="s">
        <v>22</v>
      </c>
      <c r="F14" s="88" t="s">
        <v>23</v>
      </c>
      <c r="G14" s="88" t="s">
        <v>24</v>
      </c>
      <c r="H14" s="88" t="s">
        <v>25</v>
      </c>
      <c r="I14" s="88" t="s">
        <v>26</v>
      </c>
      <c r="K14" s="88" t="s">
        <v>21</v>
      </c>
      <c r="L14" s="88" t="s">
        <v>22</v>
      </c>
      <c r="M14" s="72" t="s">
        <v>23</v>
      </c>
      <c r="N14" s="73" t="s">
        <v>24</v>
      </c>
      <c r="O14" s="74" t="s">
        <v>25</v>
      </c>
      <c r="P14" s="72" t="s">
        <v>26</v>
      </c>
      <c r="R14" s="88" t="s">
        <v>21</v>
      </c>
      <c r="S14" s="88" t="s">
        <v>22</v>
      </c>
      <c r="T14" s="72" t="s">
        <v>23</v>
      </c>
      <c r="U14" s="73" t="s">
        <v>24</v>
      </c>
      <c r="V14" s="74" t="s">
        <v>25</v>
      </c>
      <c r="W14" s="72" t="s">
        <v>26</v>
      </c>
      <c r="Y14" s="68" t="s">
        <v>21</v>
      </c>
      <c r="Z14" s="70" t="s">
        <v>22</v>
      </c>
      <c r="AA14" s="72" t="s">
        <v>27</v>
      </c>
      <c r="AB14" s="73" t="s">
        <v>24</v>
      </c>
      <c r="AC14" s="74" t="s">
        <v>25</v>
      </c>
      <c r="AD14" s="72" t="s">
        <v>26</v>
      </c>
      <c r="AF14" s="73" t="s">
        <v>21</v>
      </c>
      <c r="AG14" s="72" t="s">
        <v>37</v>
      </c>
      <c r="AH14" s="93" t="s">
        <v>23</v>
      </c>
      <c r="AI14" s="73" t="s">
        <v>24</v>
      </c>
      <c r="AJ14" s="74" t="s">
        <v>25</v>
      </c>
      <c r="AK14" s="72" t="s">
        <v>26</v>
      </c>
      <c r="AM14" s="68" t="s">
        <v>21</v>
      </c>
      <c r="AN14" s="70" t="s">
        <v>37</v>
      </c>
      <c r="AO14" s="72" t="s">
        <v>23</v>
      </c>
      <c r="AP14" s="73" t="s">
        <v>24</v>
      </c>
      <c r="AQ14" s="74" t="s">
        <v>25</v>
      </c>
      <c r="AR14" s="72" t="s">
        <v>26</v>
      </c>
      <c r="AT14" s="68" t="s">
        <v>21</v>
      </c>
      <c r="AU14" s="70" t="s">
        <v>37</v>
      </c>
      <c r="AV14" s="72" t="s">
        <v>23</v>
      </c>
      <c r="AW14" s="73" t="s">
        <v>24</v>
      </c>
      <c r="AX14" s="74" t="s">
        <v>25</v>
      </c>
      <c r="AY14" s="72" t="s">
        <v>26</v>
      </c>
      <c r="BA14" s="68" t="s">
        <v>21</v>
      </c>
      <c r="BB14" s="70" t="s">
        <v>37</v>
      </c>
      <c r="BC14" s="72" t="s">
        <v>23</v>
      </c>
      <c r="BD14" s="73" t="s">
        <v>24</v>
      </c>
      <c r="BE14" s="74" t="s">
        <v>25</v>
      </c>
      <c r="BF14" s="72" t="s">
        <v>26</v>
      </c>
    </row>
    <row r="15" spans="1:58" x14ac:dyDescent="0.3">
      <c r="A15" s="2"/>
      <c r="B15" s="92"/>
      <c r="C15" s="94"/>
      <c r="D15" s="88"/>
      <c r="E15" s="88"/>
      <c r="F15" s="88"/>
      <c r="G15" s="88"/>
      <c r="H15" s="88"/>
      <c r="I15" s="88"/>
      <c r="K15" s="88"/>
      <c r="L15" s="88"/>
      <c r="M15" s="70"/>
      <c r="N15" s="69"/>
      <c r="O15" s="75"/>
      <c r="P15" s="71"/>
      <c r="R15" s="88"/>
      <c r="S15" s="88"/>
      <c r="T15" s="70"/>
      <c r="U15" s="69"/>
      <c r="V15" s="75"/>
      <c r="W15" s="71"/>
      <c r="Y15" s="69"/>
      <c r="Z15" s="71"/>
      <c r="AA15" s="70"/>
      <c r="AB15" s="69"/>
      <c r="AC15" s="75"/>
      <c r="AD15" s="71"/>
      <c r="AF15" s="69"/>
      <c r="AG15" s="71"/>
      <c r="AH15" s="94"/>
      <c r="AI15" s="69"/>
      <c r="AJ15" s="75"/>
      <c r="AK15" s="71"/>
      <c r="AM15" s="69"/>
      <c r="AN15" s="71"/>
      <c r="AO15" s="70"/>
      <c r="AP15" s="69"/>
      <c r="AQ15" s="75"/>
      <c r="AR15" s="71"/>
      <c r="AT15" s="69"/>
      <c r="AU15" s="71"/>
      <c r="AV15" s="70"/>
      <c r="AW15" s="69"/>
      <c r="AX15" s="75"/>
      <c r="AY15" s="71"/>
      <c r="BA15" s="69"/>
      <c r="BB15" s="71"/>
      <c r="BC15" s="70"/>
      <c r="BD15" s="69"/>
      <c r="BE15" s="75"/>
      <c r="BF15" s="71"/>
    </row>
    <row r="16" spans="1:58" x14ac:dyDescent="0.3">
      <c r="A16" s="88" t="s">
        <v>38</v>
      </c>
      <c r="B16" s="3">
        <v>0.27</v>
      </c>
      <c r="C16" s="4">
        <v>0.02</v>
      </c>
      <c r="D16" s="6">
        <v>1.2999999999999999E-2</v>
      </c>
      <c r="E16" s="25">
        <f>(D16-$E$12)/$E$11</f>
        <v>6.3063063063063002E-2</v>
      </c>
      <c r="F16" s="25">
        <f>(E16*C16)/B16*1000</f>
        <v>4.6713380046713331</v>
      </c>
      <c r="G16" s="87">
        <f>AVERAGE(F16:F18)</f>
        <v>5.1115762226873294</v>
      </c>
      <c r="H16" s="87">
        <f>STDEV(F16:F18)</f>
        <v>0.47699649190336413</v>
      </c>
      <c r="I16" s="86">
        <f>H16/G16</f>
        <v>9.331690874260129E-2</v>
      </c>
      <c r="K16" s="3">
        <v>0.28299999999999997</v>
      </c>
      <c r="L16" s="5">
        <f>(K16-$L$12)/$L$11</f>
        <v>0.61994623911698932</v>
      </c>
      <c r="M16" s="5">
        <f>(L16*C16)/B16*1000</f>
        <v>45.92194363829551</v>
      </c>
      <c r="N16" s="76">
        <f>AVERAGE(M16:M18)</f>
        <v>46.734594626026194</v>
      </c>
      <c r="O16" s="82">
        <f>STDEV(M16:M18)</f>
        <v>1.6982889984765435</v>
      </c>
      <c r="P16" s="62">
        <f>O16/N16</f>
        <v>3.6339012075880452E-2</v>
      </c>
      <c r="R16" s="6">
        <v>0.20377403499999999</v>
      </c>
      <c r="S16" s="34">
        <f>(R16-$S$12)/$S$11</f>
        <v>0.43894529467948701</v>
      </c>
      <c r="T16" s="35">
        <f>(S16*C16)/B16*1000</f>
        <v>32.514466272554586</v>
      </c>
      <c r="U16" s="76">
        <f>AVERAGE(T16:T18)</f>
        <v>32.586674539631112</v>
      </c>
      <c r="V16" s="82">
        <f>STDEV(T16:T18)</f>
        <v>1.710550534370054</v>
      </c>
      <c r="W16" s="62">
        <f>V16/U16</f>
        <v>5.24923318668103E-2</v>
      </c>
      <c r="Y16" s="6">
        <v>0.33322572700000003</v>
      </c>
      <c r="Z16" s="5">
        <f>(Y16-$Z$12)/$Z$11*$AB$13</f>
        <v>161.56995747351175</v>
      </c>
      <c r="AA16" s="5">
        <f>(Z16*C16)/B16</f>
        <v>11.968144998037907</v>
      </c>
      <c r="AB16" s="50">
        <f>AVERAGE(AA16:AA18)</f>
        <v>12.148612027247841</v>
      </c>
      <c r="AC16" s="59">
        <f>STDEV(AA16:AA18)</f>
        <v>0.62207048396541242</v>
      </c>
      <c r="AD16" s="62">
        <f>AC16/AB16</f>
        <v>5.1205066271783548E-2</v>
      </c>
      <c r="AF16" s="41">
        <f>AVERAGE(0.0928,0.0915,0.092)</f>
        <v>9.2100000000000001E-2</v>
      </c>
      <c r="AG16" s="25">
        <f>(AF16-$AG$12)/$AG$11*$AI$13</f>
        <v>199.84937306627583</v>
      </c>
      <c r="AH16" s="25">
        <f>(AG16*C16)/B16</f>
        <v>14.80365726416858</v>
      </c>
      <c r="AI16" s="95">
        <f>AVERAGE(AH16:AH18)</f>
        <v>14.933746305999534</v>
      </c>
      <c r="AJ16" s="95">
        <f>STDEV(AH16:AH18)</f>
        <v>4.7079348711831379</v>
      </c>
      <c r="AK16" s="62">
        <f>AJ16/AI16</f>
        <v>0.31525477765025084</v>
      </c>
      <c r="AM16" s="41">
        <f>AVERAGE(0.0309,0.0258,0.0264)</f>
        <v>2.7700000000000002E-2</v>
      </c>
      <c r="AN16" s="5">
        <f>(AM16-$AN$12)/$AN$11*$AP$13</f>
        <v>18.301313384621924</v>
      </c>
      <c r="AO16" s="5">
        <f>(AN16*C16)/B16</f>
        <v>1.3556528433053276</v>
      </c>
      <c r="AP16" s="50">
        <f t="shared" ref="AP16" si="0">AVERAGE(AO17:AO18)</f>
        <v>1.2520933395673055</v>
      </c>
      <c r="AQ16" s="59">
        <f t="shared" ref="AQ16" si="1">STDEV(AO17:AO18)</f>
        <v>0.62033765306627886</v>
      </c>
      <c r="AR16" s="62">
        <f t="shared" ref="AR16" si="2">AQ16/AP16</f>
        <v>0.49544042242142522</v>
      </c>
      <c r="AT16" s="41">
        <f>AVERAGE(0.6593,0.6602,0.6614)</f>
        <v>0.6603</v>
      </c>
      <c r="AU16" s="5">
        <f>(AT16-$AU$12)/$AU$11*$AW$13</f>
        <v>198.15717624300339</v>
      </c>
      <c r="AV16" s="5">
        <f>(AU16*C16)/B16</f>
        <v>14.678309351333583</v>
      </c>
      <c r="AW16" s="50">
        <f>AVERAGE(AV16:AV18)</f>
        <v>15.338363381763122</v>
      </c>
      <c r="AX16" s="59">
        <f>STDEV(AV16:AV18)</f>
        <v>0.62417555509710454</v>
      </c>
      <c r="AY16" s="62">
        <f>AX16/AW16</f>
        <v>4.0693751970906591E-2</v>
      </c>
      <c r="BA16" s="41">
        <f>AVERAGE(0.0235,0.0236,0.0233)</f>
        <v>2.3466666666666667E-2</v>
      </c>
      <c r="BB16" s="5">
        <f>(BA16-$BB$12)/$BB$11*$BD$13</f>
        <v>0.9248989067514386</v>
      </c>
      <c r="BC16" s="5">
        <f>(BB16*C16)/B16</f>
        <v>6.8511030129736181E-2</v>
      </c>
      <c r="BD16" s="50" t="s">
        <v>31</v>
      </c>
      <c r="BE16" s="59"/>
      <c r="BF16" s="62"/>
    </row>
    <row r="17" spans="1:58" x14ac:dyDescent="0.3">
      <c r="A17" s="88"/>
      <c r="B17" s="3">
        <v>0.25</v>
      </c>
      <c r="C17" s="4">
        <v>0.02</v>
      </c>
      <c r="D17" s="6">
        <v>1.2999999999999999E-2</v>
      </c>
      <c r="E17" s="25">
        <f t="shared" ref="E17:E24" si="3">(D17-$E$12)/$E$11</f>
        <v>6.3063063063063002E-2</v>
      </c>
      <c r="F17" s="25">
        <f t="shared" ref="F17:F24" si="4">(E17*C17)/B17*1000</f>
        <v>5.0450450450450406</v>
      </c>
      <c r="G17" s="87"/>
      <c r="H17" s="87"/>
      <c r="I17" s="86"/>
      <c r="K17" s="6">
        <v>0.26100000000000001</v>
      </c>
      <c r="L17" s="5">
        <f t="shared" ref="L17:L24" si="5">(K17-$L$12)/$L$11</f>
        <v>0.56994148151672308</v>
      </c>
      <c r="M17" s="5">
        <f t="shared" ref="M17:M24" si="6">(L17*C17)/B17*1000</f>
        <v>45.595318521337852</v>
      </c>
      <c r="N17" s="77"/>
      <c r="O17" s="83"/>
      <c r="P17" s="63"/>
      <c r="R17" s="6">
        <v>0.17828339300000001</v>
      </c>
      <c r="S17" s="34">
        <f t="shared" ref="S17:S24" si="7">(R17-$S$12)/$S$11</f>
        <v>0.38641714476798772</v>
      </c>
      <c r="T17" s="35">
        <f>(S17*C17)/B17*1000</f>
        <v>30.913371581439016</v>
      </c>
      <c r="U17" s="77"/>
      <c r="V17" s="83"/>
      <c r="W17" s="63"/>
      <c r="Y17" s="6">
        <v>0.29976037100000003</v>
      </c>
      <c r="Z17" s="5">
        <f>(Y17-$Z$12)/$Z$11*$AB$13</f>
        <v>145.45910112789241</v>
      </c>
      <c r="AA17" s="5">
        <f t="shared" ref="AA17:AA24" si="8">(Z17*C17)/B17</f>
        <v>11.636728090231394</v>
      </c>
      <c r="AB17" s="51"/>
      <c r="AC17" s="60"/>
      <c r="AD17" s="63"/>
      <c r="AF17" s="41">
        <f>AVERAGE(0.063,0.0623,0.0629)</f>
        <v>6.2733333333333322E-2</v>
      </c>
      <c r="AG17" s="25">
        <f t="shared" ref="AG17:AG24" si="9">(AF17-$AG$12)/$AG$11*$AI$13</f>
        <v>128.65255156309001</v>
      </c>
      <c r="AH17" s="25">
        <f t="shared" ref="AH17:AH24" si="10">(AG17*C17)/B17</f>
        <v>10.292204125047201</v>
      </c>
      <c r="AI17" s="96"/>
      <c r="AJ17" s="96"/>
      <c r="AK17" s="63"/>
      <c r="AM17" s="41">
        <f>AVERAGE(0.0262,0.0387,0.0244)</f>
        <v>2.9766666666666667E-2</v>
      </c>
      <c r="AN17" s="5">
        <f t="shared" ref="AN17:AN24" si="11">(AM17-$AN$12)/$AN$11*$AP$13</f>
        <v>21.13422875844774</v>
      </c>
      <c r="AO17" s="5">
        <f t="shared" ref="AO17:AO23" si="12">(AN17*C17)/B17</f>
        <v>1.6907383006758192</v>
      </c>
      <c r="AP17" s="51"/>
      <c r="AQ17" s="60"/>
      <c r="AR17" s="63"/>
      <c r="AT17" s="41">
        <f>AVERAGE(0.6558,0.6272,0.6482)</f>
        <v>0.64373333333333338</v>
      </c>
      <c r="AU17" s="5">
        <f t="shared" ref="AU17:AU24" si="13">(AT17-$AU$12)/$AU$11*$AW$13</f>
        <v>192.72135081997462</v>
      </c>
      <c r="AV17" s="5">
        <f t="shared" ref="AV17:AV24" si="14">(AU17*C17)/B17</f>
        <v>15.417708065597969</v>
      </c>
      <c r="AW17" s="51"/>
      <c r="AX17" s="60"/>
      <c r="AY17" s="63"/>
      <c r="BA17" s="41">
        <f>AVERAGE(0.0265,0.0267,0.0267)</f>
        <v>2.6633333333333332E-2</v>
      </c>
      <c r="BB17" s="5">
        <f t="shared" ref="BB17:BB24" si="15">(BA17-$BB$12)/$BB$11*$BD$13</f>
        <v>1.1651455262286112</v>
      </c>
      <c r="BC17" s="5">
        <f t="shared" ref="BC17:BC24" si="16">(BB17*C17)/B17</f>
        <v>9.3211642098288902E-2</v>
      </c>
      <c r="BD17" s="51"/>
      <c r="BE17" s="60"/>
      <c r="BF17" s="63"/>
    </row>
    <row r="18" spans="1:58" x14ac:dyDescent="0.3">
      <c r="A18" s="88"/>
      <c r="B18" s="3">
        <v>0.25</v>
      </c>
      <c r="C18" s="4">
        <v>0.02</v>
      </c>
      <c r="D18" s="6">
        <v>1.4E-2</v>
      </c>
      <c r="E18" s="25">
        <f>(D18-$E$12)/$E$11</f>
        <v>7.0229320229320172E-2</v>
      </c>
      <c r="F18" s="25">
        <f>(E18*C18)/B18*1000</f>
        <v>5.6183456183456135</v>
      </c>
      <c r="G18" s="87"/>
      <c r="H18" s="87"/>
      <c r="I18" s="86"/>
      <c r="K18" s="6">
        <v>0.27800000000000002</v>
      </c>
      <c r="L18" s="5">
        <f t="shared" si="5"/>
        <v>0.60858152148056532</v>
      </c>
      <c r="M18" s="5">
        <f t="shared" si="6"/>
        <v>48.686521718445228</v>
      </c>
      <c r="N18" s="78"/>
      <c r="O18" s="84"/>
      <c r="P18" s="64"/>
      <c r="R18" s="6">
        <v>0.199021742</v>
      </c>
      <c r="S18" s="34">
        <f t="shared" si="7"/>
        <v>0.42915232206124659</v>
      </c>
      <c r="T18" s="35">
        <f t="shared" ref="T18:T24" si="17">(S18*C18)/B18*1000</f>
        <v>34.332185764899727</v>
      </c>
      <c r="U18" s="78"/>
      <c r="V18" s="84"/>
      <c r="W18" s="64"/>
      <c r="Y18" s="6">
        <v>0.33102822300000001</v>
      </c>
      <c r="Z18" s="5">
        <f t="shared" ref="Z18:Z24" si="18">(Y18-$Z$12)/$Z$11*$AB$13</f>
        <v>160.51203741842781</v>
      </c>
      <c r="AA18" s="5">
        <f t="shared" si="8"/>
        <v>12.840962993474225</v>
      </c>
      <c r="AB18" s="52"/>
      <c r="AC18" s="61"/>
      <c r="AD18" s="64"/>
      <c r="AF18" s="41">
        <f>AVERAGE(0.1108,0.1116,0.1114)</f>
        <v>0.11126666666666667</v>
      </c>
      <c r="AG18" s="25">
        <f t="shared" si="9"/>
        <v>246.31721910978524</v>
      </c>
      <c r="AH18" s="25">
        <f t="shared" si="10"/>
        <v>19.705377528782819</v>
      </c>
      <c r="AI18" s="97"/>
      <c r="AJ18" s="97"/>
      <c r="AK18" s="64"/>
      <c r="AM18" s="41">
        <f>AVERAGE(0.0242,0.0244,0.0167)</f>
        <v>2.1766666666666667E-2</v>
      </c>
      <c r="AN18" s="5">
        <f t="shared" si="11"/>
        <v>10.168104730734896</v>
      </c>
      <c r="AO18" s="5">
        <f t="shared" si="12"/>
        <v>0.8134483784587917</v>
      </c>
      <c r="AP18" s="52"/>
      <c r="AQ18" s="61"/>
      <c r="AR18" s="64"/>
      <c r="AT18" s="41">
        <f>AVERAGE(0.6765,0.6715,0.6405)</f>
        <v>0.66283333333333327</v>
      </c>
      <c r="AU18" s="5">
        <f t="shared" si="13"/>
        <v>198.98840910447259</v>
      </c>
      <c r="AV18" s="5">
        <f t="shared" si="14"/>
        <v>15.919072728357808</v>
      </c>
      <c r="AW18" s="52"/>
      <c r="AX18" s="61"/>
      <c r="AY18" s="64"/>
      <c r="BA18" s="41">
        <f>AVERAGE(0.0197,0.0165,0.0203)</f>
        <v>1.883333333333333E-2</v>
      </c>
      <c r="BB18" s="5">
        <f t="shared" si="15"/>
        <v>0.57338016877957509</v>
      </c>
      <c r="BC18" s="5">
        <f t="shared" si="16"/>
        <v>4.5870413502366009E-2</v>
      </c>
      <c r="BD18" s="52"/>
      <c r="BE18" s="61"/>
      <c r="BF18" s="64"/>
    </row>
    <row r="19" spans="1:58" ht="14.4" customHeight="1" x14ac:dyDescent="0.3">
      <c r="A19" s="88" t="s">
        <v>39</v>
      </c>
      <c r="B19" s="3">
        <v>0.25</v>
      </c>
      <c r="C19" s="4">
        <v>0.02</v>
      </c>
      <c r="D19" s="6">
        <v>2.5000000000000001E-2</v>
      </c>
      <c r="E19" s="25">
        <f t="shared" si="3"/>
        <v>0.14905814905814901</v>
      </c>
      <c r="F19" s="25">
        <f t="shared" si="4"/>
        <v>11.92465192465192</v>
      </c>
      <c r="G19" s="85">
        <f>AVERAGE(F19:F21)</f>
        <v>13.106490328712546</v>
      </c>
      <c r="H19" s="85">
        <f>STDEV(F19:F21)</f>
        <v>1.153844635383537</v>
      </c>
      <c r="I19" s="86">
        <f>H19/G19</f>
        <v>8.803612610584205E-2</v>
      </c>
      <c r="K19" s="6">
        <v>0.41899999999999998</v>
      </c>
      <c r="L19" s="5">
        <f t="shared" si="5"/>
        <v>0.92906655882772726</v>
      </c>
      <c r="M19" s="5">
        <f t="shared" si="6"/>
        <v>74.325324706218183</v>
      </c>
      <c r="N19" s="76">
        <f>AVERAGE(M19:M21)</f>
        <v>75.077055377711929</v>
      </c>
      <c r="O19" s="82">
        <f>STDEV(M19:M21)</f>
        <v>1.9001386107650198</v>
      </c>
      <c r="P19" s="62">
        <f>O19/N19</f>
        <v>2.5309178699210313E-2</v>
      </c>
      <c r="R19" s="6">
        <v>0.19275406</v>
      </c>
      <c r="S19" s="34">
        <f t="shared" si="7"/>
        <v>0.41623661206486418</v>
      </c>
      <c r="T19" s="35">
        <f t="shared" si="17"/>
        <v>33.298928965189134</v>
      </c>
      <c r="U19" s="50">
        <f>AVERAGE(T19:T21)</f>
        <v>33.808991355331507</v>
      </c>
      <c r="V19" s="59">
        <f>STDEV(T19:T21)</f>
        <v>0.63536227782252941</v>
      </c>
      <c r="W19" s="62">
        <f>V19/U19</f>
        <v>1.879270135996932E-2</v>
      </c>
      <c r="Y19" s="6">
        <v>0.40746408699999997</v>
      </c>
      <c r="Z19" s="5">
        <f t="shared" si="18"/>
        <v>197.30971034792825</v>
      </c>
      <c r="AA19" s="5">
        <f t="shared" si="8"/>
        <v>15.784776827834261</v>
      </c>
      <c r="AB19" s="50">
        <f>AVERAGE(AA19:AA21)</f>
        <v>15.804250266350758</v>
      </c>
      <c r="AC19" s="59">
        <f>STDEV(AA19:AA21)</f>
        <v>0.33954117883448415</v>
      </c>
      <c r="AD19" s="62">
        <f>AC19/AB19</f>
        <v>2.1484168695898857E-2</v>
      </c>
      <c r="AF19" s="41">
        <f>AVERAGE(0.1438,0.143,0.1438)</f>
        <v>0.14353333333333332</v>
      </c>
      <c r="AG19" s="25">
        <f t="shared" si="9"/>
        <v>324.54482775346719</v>
      </c>
      <c r="AH19" s="25">
        <f t="shared" si="10"/>
        <v>25.963586220277374</v>
      </c>
      <c r="AI19" s="95">
        <f>AVERAGE(AH19:AH21)</f>
        <v>20.854760499030892</v>
      </c>
      <c r="AJ19" s="95">
        <f>STDEV(AH19:AH21)</f>
        <v>5.5297610638865207</v>
      </c>
      <c r="AK19" s="62">
        <f>AJ19/AI19</f>
        <v>0.26515581726021192</v>
      </c>
      <c r="AM19" s="41">
        <f>AVERAGE(0.0302,0.0363,0.0348)</f>
        <v>3.3766666666666667E-2</v>
      </c>
      <c r="AN19" s="5">
        <f t="shared" si="11"/>
        <v>26.617290772304155</v>
      </c>
      <c r="AO19" s="5">
        <f t="shared" si="12"/>
        <v>2.1293832617843327</v>
      </c>
      <c r="AP19" s="76">
        <f t="shared" ref="AP19" si="19">AVERAGE(AO20:AO21)</f>
        <v>2.8622537811448421</v>
      </c>
      <c r="AQ19" s="82">
        <f t="shared" ref="AQ19" si="20">STDEV(AO20:AO21)</f>
        <v>1.2164232900583094</v>
      </c>
      <c r="AR19" s="62">
        <f t="shared" ref="AR19" si="21">AQ19/AP19</f>
        <v>0.42498792317841411</v>
      </c>
      <c r="AT19" s="41">
        <f>AVERAGE(0.98,0.9606,1.145)</f>
        <v>1.0285333333333333</v>
      </c>
      <c r="AU19" s="5">
        <f t="shared" si="13"/>
        <v>318.98124756734808</v>
      </c>
      <c r="AV19" s="5">
        <f t="shared" si="14"/>
        <v>25.518499805387847</v>
      </c>
      <c r="AW19" s="76">
        <f>AVERAGE(AV19:AV21)</f>
        <v>25.103606604759651</v>
      </c>
      <c r="AX19" s="82">
        <f>STDEV(AV19:AV21)</f>
        <v>1.5333953790722057</v>
      </c>
      <c r="AY19" s="62">
        <f>AX19/AW19</f>
        <v>6.108267243087985E-2</v>
      </c>
      <c r="BA19" s="41">
        <f>AVERAGE(0.0455,0.045,0.0452)</f>
        <v>4.5233333333333327E-2</v>
      </c>
      <c r="BB19" s="5">
        <f t="shared" si="15"/>
        <v>2.5762783016840047</v>
      </c>
      <c r="BC19" s="5">
        <f t="shared" si="16"/>
        <v>0.20610226413472038</v>
      </c>
      <c r="BD19" s="108">
        <f>AVERAGE(BC19:BC21)</f>
        <v>0.22364934289394031</v>
      </c>
      <c r="BE19" s="101">
        <f>STDEV(BC19:BC21)</f>
        <v>1.8360143337912568E-2</v>
      </c>
      <c r="BF19" s="62">
        <f>BE19/BD19</f>
        <v>8.2093437433524555E-2</v>
      </c>
    </row>
    <row r="20" spans="1:58" ht="14.4" customHeight="1" x14ac:dyDescent="0.3">
      <c r="A20" s="88"/>
      <c r="B20" s="3">
        <v>0.27</v>
      </c>
      <c r="C20" s="4">
        <v>0.02</v>
      </c>
      <c r="D20" s="6">
        <v>2.9000000000000001E-2</v>
      </c>
      <c r="E20" s="25">
        <f t="shared" si="3"/>
        <v>0.17772317772317767</v>
      </c>
      <c r="F20" s="25">
        <f t="shared" si="4"/>
        <v>13.164679831346493</v>
      </c>
      <c r="G20" s="85"/>
      <c r="H20" s="85"/>
      <c r="I20" s="86"/>
      <c r="K20" s="6">
        <v>0.46899999999999997</v>
      </c>
      <c r="L20" s="5">
        <f t="shared" si="5"/>
        <v>1.0427137351919693</v>
      </c>
      <c r="M20" s="5">
        <f t="shared" si="6"/>
        <v>77.238054458664379</v>
      </c>
      <c r="N20" s="77"/>
      <c r="O20" s="83"/>
      <c r="P20" s="63"/>
      <c r="R20" s="6">
        <v>0.21093366999999999</v>
      </c>
      <c r="S20" s="34">
        <f t="shared" si="7"/>
        <v>0.45369903766452507</v>
      </c>
      <c r="T20" s="35">
        <f t="shared" si="17"/>
        <v>33.607336123298154</v>
      </c>
      <c r="U20" s="51"/>
      <c r="V20" s="60"/>
      <c r="W20" s="63"/>
      <c r="Y20" s="6">
        <v>0.43156153000000003</v>
      </c>
      <c r="Z20" s="5">
        <f t="shared" si="18"/>
        <v>208.91067590973938</v>
      </c>
      <c r="AA20" s="5">
        <f t="shared" si="8"/>
        <v>15.474864882202917</v>
      </c>
      <c r="AB20" s="51"/>
      <c r="AC20" s="60"/>
      <c r="AD20" s="63"/>
      <c r="AF20" s="41">
        <f>AVERAGE(0.0923,0.0938,0.0932)</f>
        <v>9.3100000000000002E-2</v>
      </c>
      <c r="AG20" s="25">
        <f t="shared" si="9"/>
        <v>202.27378242506759</v>
      </c>
      <c r="AH20" s="25">
        <f t="shared" si="10"/>
        <v>14.983243142597599</v>
      </c>
      <c r="AI20" s="96"/>
      <c r="AJ20" s="96"/>
      <c r="AK20" s="63"/>
      <c r="AM20" s="41">
        <f>AVERAGE(0.0314,0.0305,0.0403)</f>
        <v>3.4066666666666669E-2</v>
      </c>
      <c r="AN20" s="5">
        <f t="shared" si="11"/>
        <v>27.028520423343391</v>
      </c>
      <c r="AO20" s="5">
        <f t="shared" si="12"/>
        <v>2.0021126239513625</v>
      </c>
      <c r="AP20" s="77"/>
      <c r="AQ20" s="83"/>
      <c r="AR20" s="63"/>
      <c r="AT20" s="41">
        <f>AVERAGE(1.1349,1.1427,1.1485)</f>
        <v>1.1420333333333332</v>
      </c>
      <c r="AU20" s="5">
        <f t="shared" si="13"/>
        <v>356.22266721606655</v>
      </c>
      <c r="AV20" s="5">
        <f t="shared" si="14"/>
        <v>26.386864238227151</v>
      </c>
      <c r="AW20" s="77"/>
      <c r="AX20" s="83"/>
      <c r="AY20" s="63"/>
      <c r="BA20" s="41">
        <f>AVERAGE(0.0504,0.0504,0.0516)</f>
        <v>5.0800000000000005E-2</v>
      </c>
      <c r="BB20" s="5">
        <f t="shared" si="15"/>
        <v>2.998606569607035</v>
      </c>
      <c r="BC20" s="5">
        <f t="shared" si="16"/>
        <v>0.22211900515607666</v>
      </c>
      <c r="BD20" s="109"/>
      <c r="BE20" s="102"/>
      <c r="BF20" s="63"/>
    </row>
    <row r="21" spans="1:58" ht="14.4" customHeight="1" x14ac:dyDescent="0.3">
      <c r="A21" s="88"/>
      <c r="B21" s="3">
        <v>0.28000000000000003</v>
      </c>
      <c r="C21" s="4">
        <v>0.02</v>
      </c>
      <c r="D21" s="3">
        <v>3.2000000000000001E-2</v>
      </c>
      <c r="E21" s="25">
        <f t="shared" si="3"/>
        <v>0.19922194922194916</v>
      </c>
      <c r="F21" s="25">
        <f t="shared" si="4"/>
        <v>14.230139230139224</v>
      </c>
      <c r="G21" s="85"/>
      <c r="H21" s="85"/>
      <c r="I21" s="86"/>
      <c r="K21" s="6">
        <v>0.46400000000000002</v>
      </c>
      <c r="L21" s="5">
        <f t="shared" si="5"/>
        <v>1.0313490175555451</v>
      </c>
      <c r="M21" s="5">
        <f t="shared" si="6"/>
        <v>73.667786968253225</v>
      </c>
      <c r="N21" s="78"/>
      <c r="O21" s="84"/>
      <c r="P21" s="64"/>
      <c r="R21" s="6">
        <v>0.225293413</v>
      </c>
      <c r="S21" s="34">
        <f t="shared" si="7"/>
        <v>0.48328992568510154</v>
      </c>
      <c r="T21" s="35">
        <f t="shared" si="17"/>
        <v>34.520708977507248</v>
      </c>
      <c r="U21" s="52"/>
      <c r="V21" s="61"/>
      <c r="W21" s="64"/>
      <c r="Y21" s="6">
        <v>0.46735748599999999</v>
      </c>
      <c r="Z21" s="5">
        <f t="shared" si="18"/>
        <v>226.14352724621133</v>
      </c>
      <c r="AA21" s="5">
        <f t="shared" si="8"/>
        <v>16.153109089015093</v>
      </c>
      <c r="AB21" s="52"/>
      <c r="AC21" s="61"/>
      <c r="AD21" s="64"/>
      <c r="AF21" s="41">
        <f>AVERAGE(0.1346,0.1338,0.1351)</f>
        <v>0.13449999999999998</v>
      </c>
      <c r="AG21" s="25">
        <f t="shared" si="9"/>
        <v>302.64432987904792</v>
      </c>
      <c r="AH21" s="25">
        <f t="shared" si="10"/>
        <v>21.617452134217704</v>
      </c>
      <c r="AI21" s="97"/>
      <c r="AJ21" s="97"/>
      <c r="AK21" s="64"/>
      <c r="AM21" s="41">
        <f>AVERAGE(0.0452,0.0464,0.0655)</f>
        <v>5.2366666666666666E-2</v>
      </c>
      <c r="AN21" s="5">
        <f t="shared" si="11"/>
        <v>52.11352913673651</v>
      </c>
      <c r="AO21" s="5">
        <f t="shared" si="12"/>
        <v>3.7223949383383221</v>
      </c>
      <c r="AP21" s="78"/>
      <c r="AQ21" s="84"/>
      <c r="AR21" s="64"/>
      <c r="AT21" s="41">
        <f>AVERAGE(1.0454,1.0206,1.0991)</f>
        <v>1.0550333333333333</v>
      </c>
      <c r="AU21" s="5">
        <f t="shared" si="13"/>
        <v>327.67638078929554</v>
      </c>
      <c r="AV21" s="5">
        <f t="shared" si="14"/>
        <v>23.405455770663966</v>
      </c>
      <c r="AW21" s="78"/>
      <c r="AX21" s="84"/>
      <c r="AY21" s="64"/>
      <c r="BA21" s="41">
        <f>AVERAGE(0.056,0.056,0.0562)</f>
        <v>5.6066666666666674E-2</v>
      </c>
      <c r="BB21" s="5">
        <f t="shared" si="15"/>
        <v>3.3981746314743333</v>
      </c>
      <c r="BC21" s="5">
        <f t="shared" si="16"/>
        <v>0.24272675939102381</v>
      </c>
      <c r="BD21" s="110"/>
      <c r="BE21" s="103"/>
      <c r="BF21" s="64"/>
    </row>
    <row r="22" spans="1:58" x14ac:dyDescent="0.3">
      <c r="A22" s="88" t="s">
        <v>40</v>
      </c>
      <c r="B22" s="3">
        <v>0.28000000000000003</v>
      </c>
      <c r="C22" s="4">
        <v>0.02</v>
      </c>
      <c r="D22" s="3">
        <v>3.1E-2</v>
      </c>
      <c r="E22" s="25">
        <f t="shared" si="3"/>
        <v>0.19205569205569201</v>
      </c>
      <c r="F22" s="25">
        <f t="shared" si="4"/>
        <v>13.718263718263714</v>
      </c>
      <c r="G22" s="107">
        <f t="shared" ref="G22" si="22">AVERAGE(F22:F24)</f>
        <v>13.717740729234977</v>
      </c>
      <c r="H22" s="107">
        <f t="shared" ref="H22" si="23">STDEV(F22:F24)</f>
        <v>2.1970208255586134E-2</v>
      </c>
      <c r="I22" s="86">
        <f t="shared" ref="I22" si="24">H22/G22</f>
        <v>1.6015908661084154E-3</v>
      </c>
      <c r="K22" s="6">
        <v>0.48899999999999999</v>
      </c>
      <c r="L22" s="5">
        <f t="shared" si="5"/>
        <v>1.0881726057376659</v>
      </c>
      <c r="M22" s="5">
        <f t="shared" si="6"/>
        <v>77.726614695547568</v>
      </c>
      <c r="N22" s="76">
        <f t="shared" ref="N22" si="25">AVERAGE(M22:M24)</f>
        <v>76.412964529299344</v>
      </c>
      <c r="O22" s="82">
        <f t="shared" ref="O22" si="26">STDEV(M22:M24)</f>
        <v>2.0044165254585167</v>
      </c>
      <c r="P22" s="62">
        <f t="shared" ref="P22" si="27">O22/N22</f>
        <v>2.6231367122132199E-2</v>
      </c>
      <c r="R22" s="6">
        <v>0.37665426699999999</v>
      </c>
      <c r="S22" s="34">
        <f t="shared" si="7"/>
        <v>0.79519676701316844</v>
      </c>
      <c r="T22" s="35">
        <f t="shared" si="17"/>
        <v>56.799769072369173</v>
      </c>
      <c r="U22" s="76">
        <f t="shared" ref="U22" si="28">AVERAGE(T22:T24)</f>
        <v>55.931675222528135</v>
      </c>
      <c r="V22" s="82">
        <f t="shared" ref="V22" si="29">STDEV(T22:T24)</f>
        <v>1.3931861658093385</v>
      </c>
      <c r="W22" s="62">
        <f t="shared" ref="W22" si="30">V22/U22</f>
        <v>2.4908715146943993E-2</v>
      </c>
      <c r="Y22" s="6">
        <v>0.57136631000000004</v>
      </c>
      <c r="Z22" s="5">
        <f t="shared" si="18"/>
        <v>276.21534546146671</v>
      </c>
      <c r="AA22" s="5">
        <f t="shared" si="8"/>
        <v>19.729667532961908</v>
      </c>
      <c r="AB22" s="76">
        <f t="shared" ref="AB22" si="31">AVERAGE(AA22:AA24)</f>
        <v>19.012162415229781</v>
      </c>
      <c r="AC22" s="82">
        <f t="shared" ref="AC22" si="32">STDEV(AA22:AA24)</f>
        <v>1.0080784569389454</v>
      </c>
      <c r="AD22" s="62">
        <f t="shared" ref="AD22" si="33">AC22/AB22</f>
        <v>5.3022819546892752E-2</v>
      </c>
      <c r="AF22" s="41">
        <f>AVERAGE(0.1625,0.1606,0.1596)</f>
        <v>0.16090000000000002</v>
      </c>
      <c r="AG22" s="25">
        <f t="shared" si="9"/>
        <v>366.64873695115148</v>
      </c>
      <c r="AH22" s="25">
        <f t="shared" si="10"/>
        <v>26.189195496510816</v>
      </c>
      <c r="AI22" s="95">
        <f t="shared" ref="AI22" si="34">AVERAGE(AH22:AH24)</f>
        <v>23.760043211279122</v>
      </c>
      <c r="AJ22" s="95">
        <f t="shared" ref="AJ22" si="35">STDEV(AH22:AH24)</f>
        <v>7.2254293993695082</v>
      </c>
      <c r="AK22" s="62">
        <f t="shared" ref="AK22" si="36">AJ22/AI22</f>
        <v>0.30410001089305794</v>
      </c>
      <c r="AM22" s="41">
        <f>AVERAGE(0.0651,0.0656,0.0544)</f>
        <v>6.1700000000000005E-2</v>
      </c>
      <c r="AN22" s="5">
        <f t="shared" si="11"/>
        <v>64.90734050240151</v>
      </c>
      <c r="AO22" s="5">
        <f t="shared" si="12"/>
        <v>4.6362386073143931</v>
      </c>
      <c r="AP22" s="50">
        <f>AVERAGE(AO23:AO24)</f>
        <v>4.5996770863138634</v>
      </c>
      <c r="AQ22" s="59">
        <f>STDEV(AO23:AO24)</f>
        <v>0.87850383092029249</v>
      </c>
      <c r="AR22" s="62">
        <f>AQ22/AP22</f>
        <v>0.19099250108974866</v>
      </c>
      <c r="AT22" s="41">
        <f>AVERAGE(1.0476,1.0373,1.0131)</f>
        <v>1.0326666666666666</v>
      </c>
      <c r="AU22" s="5">
        <f t="shared" si="13"/>
        <v>320.33746960448195</v>
      </c>
      <c r="AV22" s="5">
        <f t="shared" si="14"/>
        <v>22.881247828891567</v>
      </c>
      <c r="AW22" s="50">
        <f t="shared" ref="AW22" si="37">AVERAGE(AV22:AV24)</f>
        <v>23.57066435688726</v>
      </c>
      <c r="AX22" s="59">
        <f t="shared" ref="AX22" si="38">STDEV(AV22:AV24)</f>
        <v>0.60410288167905368</v>
      </c>
      <c r="AY22" s="62">
        <f t="shared" ref="AY22" si="39">AX22/AW22</f>
        <v>2.5629438039260741E-2</v>
      </c>
      <c r="BA22" s="41">
        <f>AVERAGE(0.0504,0.0514,0.0509)</f>
        <v>5.0900000000000001E-2</v>
      </c>
      <c r="BB22" s="5">
        <f t="shared" si="15"/>
        <v>3.0061933049589458</v>
      </c>
      <c r="BC22" s="5">
        <f t="shared" si="16"/>
        <v>0.21472809321135328</v>
      </c>
      <c r="BD22" s="108">
        <f>AVERAGE(BC22:BC24)</f>
        <v>0.19382265777585461</v>
      </c>
      <c r="BE22" s="101">
        <f>STDEV(BC22:BC24)</f>
        <v>1.8355582389885258E-2</v>
      </c>
      <c r="BF22" s="62">
        <f>BE22/BD22</f>
        <v>9.4702975392652461E-2</v>
      </c>
    </row>
    <row r="23" spans="1:58" ht="14.4" customHeight="1" x14ac:dyDescent="0.3">
      <c r="A23" s="88"/>
      <c r="B23" s="3">
        <v>0.27</v>
      </c>
      <c r="C23" s="4">
        <v>0.02</v>
      </c>
      <c r="D23" s="6">
        <v>0.03</v>
      </c>
      <c r="E23" s="25">
        <f t="shared" si="3"/>
        <v>0.18488943488943482</v>
      </c>
      <c r="F23" s="25">
        <f t="shared" si="4"/>
        <v>13.695513695513691</v>
      </c>
      <c r="G23" s="107"/>
      <c r="H23" s="107"/>
      <c r="I23" s="86"/>
      <c r="K23" s="6">
        <v>0.47</v>
      </c>
      <c r="L23" s="5">
        <f t="shared" si="5"/>
        <v>1.0449866787192541</v>
      </c>
      <c r="M23" s="5">
        <f t="shared" si="6"/>
        <v>77.406420645870668</v>
      </c>
      <c r="N23" s="77"/>
      <c r="O23" s="83"/>
      <c r="P23" s="63"/>
      <c r="R23" s="6">
        <v>0.362026036</v>
      </c>
      <c r="S23" s="34">
        <f t="shared" si="7"/>
        <v>0.76505261015324932</v>
      </c>
      <c r="T23" s="35">
        <f t="shared" si="17"/>
        <v>56.670563715055508</v>
      </c>
      <c r="U23" s="77"/>
      <c r="V23" s="83"/>
      <c r="W23" s="63"/>
      <c r="Y23" s="6">
        <v>0.54295432600000004</v>
      </c>
      <c r="Z23" s="5">
        <f t="shared" si="18"/>
        <v>262.53727812765339</v>
      </c>
      <c r="AA23" s="5">
        <f t="shared" si="8"/>
        <v>19.447205787233585</v>
      </c>
      <c r="AB23" s="77"/>
      <c r="AC23" s="83"/>
      <c r="AD23" s="63"/>
      <c r="AF23" s="41">
        <f>AVERAGE(0.1736,0.1722,0.1753)</f>
        <v>0.17369999999999999</v>
      </c>
      <c r="AG23" s="25">
        <f t="shared" si="9"/>
        <v>397.68117674368636</v>
      </c>
      <c r="AH23" s="25">
        <f t="shared" si="10"/>
        <v>29.457864943976769</v>
      </c>
      <c r="AI23" s="96"/>
      <c r="AJ23" s="96"/>
      <c r="AK23" s="63"/>
      <c r="AM23" s="41">
        <f>AVERAGE(0.062,0.0589,0.0764)</f>
        <v>6.5766666666666668E-2</v>
      </c>
      <c r="AN23" s="5">
        <f t="shared" si="11"/>
        <v>70.481786883155522</v>
      </c>
      <c r="AO23" s="5">
        <f t="shared" si="12"/>
        <v>5.2208731024559647</v>
      </c>
      <c r="AP23" s="51"/>
      <c r="AQ23" s="60"/>
      <c r="AR23" s="63"/>
      <c r="AT23" s="41">
        <f>AVERAGE(1.031,1.0803,1.0211)</f>
        <v>1.0441333333333331</v>
      </c>
      <c r="AU23" s="5">
        <f t="shared" si="13"/>
        <v>324.09989203007939</v>
      </c>
      <c r="AV23" s="5">
        <f t="shared" si="14"/>
        <v>24.007399409635511</v>
      </c>
      <c r="AW23" s="51"/>
      <c r="AX23" s="60"/>
      <c r="AY23" s="63"/>
      <c r="BA23" s="41">
        <f>AVERAGE(0.0436,0.0429,0.0436)</f>
        <v>4.3366666666666664E-2</v>
      </c>
      <c r="BB23" s="5">
        <f t="shared" si="15"/>
        <v>2.4346592417816715</v>
      </c>
      <c r="BC23" s="5">
        <f t="shared" si="16"/>
        <v>0.18034512902086455</v>
      </c>
      <c r="BD23" s="109"/>
      <c r="BE23" s="102"/>
      <c r="BF23" s="63"/>
    </row>
    <row r="24" spans="1:58" ht="14.4" customHeight="1" x14ac:dyDescent="0.3">
      <c r="A24" s="88"/>
      <c r="B24" s="3">
        <v>0.28999999999999998</v>
      </c>
      <c r="C24" s="4">
        <v>0.02</v>
      </c>
      <c r="D24" s="3">
        <v>3.2000000000000001E-2</v>
      </c>
      <c r="E24" s="25">
        <f t="shared" si="3"/>
        <v>0.19922194922194916</v>
      </c>
      <c r="F24" s="25">
        <f t="shared" si="4"/>
        <v>13.739444773927529</v>
      </c>
      <c r="G24" s="107"/>
      <c r="H24" s="107"/>
      <c r="I24" s="86"/>
      <c r="K24" s="6">
        <v>0.48299999999999998</v>
      </c>
      <c r="L24" s="5">
        <f t="shared" si="5"/>
        <v>1.0745349445739569</v>
      </c>
      <c r="M24" s="5">
        <f t="shared" si="6"/>
        <v>74.105858246479798</v>
      </c>
      <c r="N24" s="78"/>
      <c r="O24" s="84"/>
      <c r="P24" s="64"/>
      <c r="R24" s="6">
        <v>0.37302017199999998</v>
      </c>
      <c r="S24" s="34">
        <f t="shared" si="7"/>
        <v>0.78770804676231598</v>
      </c>
      <c r="T24" s="35">
        <f t="shared" si="17"/>
        <v>54.324692880159731</v>
      </c>
      <c r="U24" s="78"/>
      <c r="V24" s="84"/>
      <c r="W24" s="64"/>
      <c r="Y24" s="6">
        <v>0.53553277300000002</v>
      </c>
      <c r="Z24" s="5">
        <f t="shared" si="18"/>
        <v>258.96440191966082</v>
      </c>
      <c r="AA24" s="5">
        <f t="shared" si="8"/>
        <v>17.85961392549385</v>
      </c>
      <c r="AB24" s="78"/>
      <c r="AC24" s="84"/>
      <c r="AD24" s="64"/>
      <c r="AF24" s="41">
        <f>AVERAGE(0.1023,0.1026,0.1046)</f>
        <v>0.10316666666666667</v>
      </c>
      <c r="AG24" s="25">
        <f t="shared" si="9"/>
        <v>226.67950330357169</v>
      </c>
      <c r="AH24" s="25">
        <f t="shared" si="10"/>
        <v>15.633069193349773</v>
      </c>
      <c r="AI24" s="97"/>
      <c r="AJ24" s="97"/>
      <c r="AK24" s="64"/>
      <c r="AM24" s="41">
        <f>AVERAGE(0.056,0.0575,0.0558)</f>
        <v>5.6433333333333335E-2</v>
      </c>
      <c r="AN24" s="5">
        <f t="shared" si="11"/>
        <v>57.687975517490543</v>
      </c>
      <c r="AO24" s="5">
        <f>(AN24*C24)/B24</f>
        <v>3.9784810701717617</v>
      </c>
      <c r="AP24" s="52"/>
      <c r="AQ24" s="61"/>
      <c r="AR24" s="64"/>
      <c r="AT24" s="41">
        <f>AVERAGE(1.1432,1.0958,1.0885)</f>
        <v>1.1091666666666666</v>
      </c>
      <c r="AU24" s="5">
        <f t="shared" si="13"/>
        <v>345.43851456595303</v>
      </c>
      <c r="AV24" s="5">
        <f t="shared" si="14"/>
        <v>23.823345832134695</v>
      </c>
      <c r="AW24" s="52"/>
      <c r="AX24" s="61"/>
      <c r="AY24" s="64"/>
      <c r="BA24" s="41">
        <f>AVERAGE(0.0466,0.0471,0.047)</f>
        <v>4.6899999999999997E-2</v>
      </c>
      <c r="BB24" s="5">
        <f t="shared" si="15"/>
        <v>2.7027238908825169</v>
      </c>
      <c r="BC24" s="5">
        <f t="shared" si="16"/>
        <v>0.18639475109534601</v>
      </c>
      <c r="BD24" s="110"/>
      <c r="BE24" s="103"/>
      <c r="BF24" s="64"/>
    </row>
  </sheetData>
  <mergeCells count="134">
    <mergeCell ref="AW19:AW21"/>
    <mergeCell ref="AX19:AX21"/>
    <mergeCell ref="AY19:AY21"/>
    <mergeCell ref="AW22:AW24"/>
    <mergeCell ref="AX22:AX24"/>
    <mergeCell ref="AY22:AY24"/>
    <mergeCell ref="BA1:BF1"/>
    <mergeCell ref="BA14:BA15"/>
    <mergeCell ref="BB14:BB15"/>
    <mergeCell ref="BC14:BC15"/>
    <mergeCell ref="BD14:BD15"/>
    <mergeCell ref="BE14:BE15"/>
    <mergeCell ref="BF14:BF15"/>
    <mergeCell ref="BD16:BD18"/>
    <mergeCell ref="BE16:BE18"/>
    <mergeCell ref="BF16:BF18"/>
    <mergeCell ref="BD19:BD21"/>
    <mergeCell ref="BE19:BE21"/>
    <mergeCell ref="BF19:BF21"/>
    <mergeCell ref="BD22:BD24"/>
    <mergeCell ref="BE22:BE24"/>
    <mergeCell ref="BF22:BF24"/>
    <mergeCell ref="AT1:AY1"/>
    <mergeCell ref="AT14:AT15"/>
    <mergeCell ref="AV14:AV15"/>
    <mergeCell ref="AW14:AW15"/>
    <mergeCell ref="AX14:AX15"/>
    <mergeCell ref="AY14:AY15"/>
    <mergeCell ref="AW16:AW18"/>
    <mergeCell ref="AX16:AX18"/>
    <mergeCell ref="AY16:AY18"/>
    <mergeCell ref="Y1:AD1"/>
    <mergeCell ref="Y14:Y15"/>
    <mergeCell ref="Z14:Z15"/>
    <mergeCell ref="AA14:AA15"/>
    <mergeCell ref="AB14:AB15"/>
    <mergeCell ref="AC14:AC15"/>
    <mergeCell ref="AD14:AD15"/>
    <mergeCell ref="AM1:AR1"/>
    <mergeCell ref="AM14:AM15"/>
    <mergeCell ref="AN14:AN15"/>
    <mergeCell ref="AO14:AO15"/>
    <mergeCell ref="AP14:AP15"/>
    <mergeCell ref="AQ14:AQ15"/>
    <mergeCell ref="AR14:AR15"/>
    <mergeCell ref="AF1:AK1"/>
    <mergeCell ref="AF14:AF15"/>
    <mergeCell ref="AU14:AU15"/>
    <mergeCell ref="AG14:AG15"/>
    <mergeCell ref="AH14:AH15"/>
    <mergeCell ref="AI14:AI15"/>
    <mergeCell ref="AJ14:AJ15"/>
    <mergeCell ref="AK14:AK15"/>
    <mergeCell ref="AP22:AP24"/>
    <mergeCell ref="AQ22:AQ24"/>
    <mergeCell ref="AR22:AR24"/>
    <mergeCell ref="AP16:AP18"/>
    <mergeCell ref="AQ16:AQ18"/>
    <mergeCell ref="AR16:AR18"/>
    <mergeCell ref="AP19:AP21"/>
    <mergeCell ref="AQ19:AQ21"/>
    <mergeCell ref="AR19:AR21"/>
    <mergeCell ref="AI22:AI24"/>
    <mergeCell ref="AJ22:AJ24"/>
    <mergeCell ref="AK22:AK24"/>
    <mergeCell ref="AI16:AI18"/>
    <mergeCell ref="AJ16:AJ18"/>
    <mergeCell ref="AK16:AK18"/>
    <mergeCell ref="AI19:AI21"/>
    <mergeCell ref="AJ19:AJ21"/>
    <mergeCell ref="AK19:AK21"/>
    <mergeCell ref="P14:P15"/>
    <mergeCell ref="P16:P18"/>
    <mergeCell ref="P19:P21"/>
    <mergeCell ref="O16:O18"/>
    <mergeCell ref="N19:N21"/>
    <mergeCell ref="O19:O21"/>
    <mergeCell ref="N22:N24"/>
    <mergeCell ref="AB22:AB24"/>
    <mergeCell ref="O22:O24"/>
    <mergeCell ref="AB16:AB18"/>
    <mergeCell ref="AB19:AB21"/>
    <mergeCell ref="R1:W1"/>
    <mergeCell ref="R14:R15"/>
    <mergeCell ref="S14:S15"/>
    <mergeCell ref="T14:T15"/>
    <mergeCell ref="U14:U15"/>
    <mergeCell ref="V14:V15"/>
    <mergeCell ref="W14:W15"/>
    <mergeCell ref="N16:N18"/>
    <mergeCell ref="U22:U24"/>
    <mergeCell ref="V22:V24"/>
    <mergeCell ref="W22:W24"/>
    <mergeCell ref="U16:U18"/>
    <mergeCell ref="V16:V18"/>
    <mergeCell ref="W16:W18"/>
    <mergeCell ref="U19:U21"/>
    <mergeCell ref="V19:V21"/>
    <mergeCell ref="W19:W21"/>
    <mergeCell ref="P22:P24"/>
    <mergeCell ref="K1:P1"/>
    <mergeCell ref="K14:K15"/>
    <mergeCell ref="L14:L15"/>
    <mergeCell ref="M14:M15"/>
    <mergeCell ref="N14:N15"/>
    <mergeCell ref="O14:O15"/>
    <mergeCell ref="A13:C13"/>
    <mergeCell ref="B14:B15"/>
    <mergeCell ref="C14:C15"/>
    <mergeCell ref="A16:A18"/>
    <mergeCell ref="A19:A21"/>
    <mergeCell ref="D1:I1"/>
    <mergeCell ref="D14:D15"/>
    <mergeCell ref="E14:E15"/>
    <mergeCell ref="F14:F15"/>
    <mergeCell ref="G14:G15"/>
    <mergeCell ref="H14:H15"/>
    <mergeCell ref="I14:I15"/>
    <mergeCell ref="G16:G18"/>
    <mergeCell ref="H16:H18"/>
    <mergeCell ref="I16:I18"/>
    <mergeCell ref="G19:G21"/>
    <mergeCell ref="H19:H21"/>
    <mergeCell ref="I19:I21"/>
    <mergeCell ref="A22:A24"/>
    <mergeCell ref="G22:G24"/>
    <mergeCell ref="H22:H24"/>
    <mergeCell ref="I22:I24"/>
    <mergeCell ref="AC22:AC24"/>
    <mergeCell ref="AD22:AD24"/>
    <mergeCell ref="AC16:AC18"/>
    <mergeCell ref="AD16:AD18"/>
    <mergeCell ref="AC19:AC21"/>
    <mergeCell ref="AD19:AD2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50D244-98A3-4061-A80A-EDBFA4A2D6E4}">
  <dimension ref="A1:BF33"/>
  <sheetViews>
    <sheetView topLeftCell="A2" zoomScale="85" zoomScaleNormal="85" workbookViewId="0">
      <pane xSplit="1" topLeftCell="B1" activePane="topRight" state="frozen"/>
      <selection pane="topRight" activeCell="A2" sqref="A2"/>
    </sheetView>
  </sheetViews>
  <sheetFormatPr defaultRowHeight="14.4" x14ac:dyDescent="0.3"/>
  <cols>
    <col min="2" max="2" width="12.5546875" bestFit="1" customWidth="1"/>
  </cols>
  <sheetData>
    <row r="1" spans="1:58" x14ac:dyDescent="0.3">
      <c r="D1" s="65" t="s">
        <v>0</v>
      </c>
      <c r="E1" s="66"/>
      <c r="F1" s="66"/>
      <c r="G1" s="66"/>
      <c r="H1" s="66"/>
      <c r="I1" s="67"/>
      <c r="K1" s="65" t="s">
        <v>1</v>
      </c>
      <c r="L1" s="66"/>
      <c r="M1" s="66"/>
      <c r="N1" s="66"/>
      <c r="O1" s="66"/>
      <c r="P1" s="67"/>
      <c r="R1" s="65" t="s">
        <v>2</v>
      </c>
      <c r="S1" s="66"/>
      <c r="T1" s="66"/>
      <c r="U1" s="66"/>
      <c r="V1" s="66"/>
      <c r="W1" s="67"/>
      <c r="Y1" s="65" t="s">
        <v>3</v>
      </c>
      <c r="Z1" s="66"/>
      <c r="AA1" s="66"/>
      <c r="AB1" s="66"/>
      <c r="AC1" s="66"/>
      <c r="AD1" s="67"/>
      <c r="AF1" s="65" t="s">
        <v>4</v>
      </c>
      <c r="AG1" s="66"/>
      <c r="AH1" s="66"/>
      <c r="AI1" s="66"/>
      <c r="AJ1" s="66"/>
      <c r="AK1" s="67"/>
      <c r="AM1" s="65" t="s">
        <v>5</v>
      </c>
      <c r="AN1" s="66"/>
      <c r="AO1" s="66"/>
      <c r="AP1" s="66"/>
      <c r="AQ1" s="66"/>
      <c r="AR1" s="67"/>
      <c r="AT1" s="65" t="s">
        <v>6</v>
      </c>
      <c r="AU1" s="66"/>
      <c r="AV1" s="66"/>
      <c r="AW1" s="66"/>
      <c r="AX1" s="66"/>
      <c r="AY1" s="67"/>
      <c r="BA1" s="65" t="s">
        <v>7</v>
      </c>
      <c r="BB1" s="66"/>
      <c r="BC1" s="66"/>
      <c r="BD1" s="66"/>
      <c r="BE1" s="66"/>
      <c r="BF1" s="67"/>
    </row>
    <row r="2" spans="1:58" x14ac:dyDescent="0.3">
      <c r="D2" s="11" t="s">
        <v>8</v>
      </c>
      <c r="E2" s="12">
        <v>44575</v>
      </c>
      <c r="F2" s="13"/>
      <c r="G2" s="13"/>
      <c r="H2" s="13"/>
      <c r="I2" s="14"/>
      <c r="K2" s="29" t="s">
        <v>8</v>
      </c>
      <c r="L2" s="13">
        <v>44650</v>
      </c>
      <c r="M2" s="13"/>
      <c r="N2" s="13"/>
      <c r="O2" s="13"/>
      <c r="P2" s="14"/>
      <c r="R2" s="29" t="s">
        <v>8</v>
      </c>
      <c r="S2" s="13">
        <v>44650</v>
      </c>
      <c r="T2" s="13"/>
      <c r="U2" s="13"/>
      <c r="V2" s="13"/>
      <c r="W2" s="14"/>
      <c r="Y2" s="29" t="s">
        <v>8</v>
      </c>
      <c r="Z2" s="13">
        <v>44650</v>
      </c>
      <c r="AA2" s="13"/>
      <c r="AB2" s="13"/>
      <c r="AC2" s="13"/>
      <c r="AD2" s="14"/>
      <c r="AF2" s="29" t="s">
        <v>9</v>
      </c>
      <c r="AG2" s="13">
        <v>44630</v>
      </c>
      <c r="AH2" s="13"/>
      <c r="AI2" s="13"/>
      <c r="AJ2" s="13"/>
      <c r="AK2" s="14"/>
      <c r="AM2" s="29" t="s">
        <v>9</v>
      </c>
      <c r="AN2" s="13">
        <v>44630</v>
      </c>
      <c r="AO2" s="13"/>
      <c r="AP2" s="13"/>
      <c r="AQ2" s="13"/>
      <c r="AR2" s="14"/>
      <c r="AT2" s="29" t="s">
        <v>9</v>
      </c>
      <c r="AU2" s="13">
        <v>44575</v>
      </c>
      <c r="AV2" s="13"/>
      <c r="AW2" s="13"/>
      <c r="AX2" s="13"/>
      <c r="AY2" s="14"/>
      <c r="BA2" s="29" t="s">
        <v>9</v>
      </c>
      <c r="BB2" s="13">
        <v>44644</v>
      </c>
      <c r="BC2" s="13"/>
      <c r="BD2" s="13"/>
      <c r="BE2" s="13"/>
      <c r="BF2" s="14"/>
    </row>
    <row r="3" spans="1:58" x14ac:dyDescent="0.3">
      <c r="D3" s="11">
        <v>0</v>
      </c>
      <c r="E3" s="6">
        <v>0</v>
      </c>
      <c r="F3" s="15"/>
      <c r="G3" s="16"/>
      <c r="H3" s="16"/>
      <c r="I3" s="17"/>
      <c r="K3" s="3">
        <v>0</v>
      </c>
      <c r="L3" s="6">
        <f>AVERAGE(-0.001,-0.001,-0.002)</f>
        <v>-1.3333333333333333E-3</v>
      </c>
      <c r="M3" s="15"/>
      <c r="N3" s="16"/>
      <c r="O3" s="16"/>
      <c r="P3" s="17"/>
      <c r="R3" s="3">
        <v>0</v>
      </c>
      <c r="S3" s="6">
        <v>-7.4821157600000001E-4</v>
      </c>
      <c r="T3" s="15"/>
      <c r="U3" s="16"/>
      <c r="V3" s="16"/>
      <c r="W3" s="17"/>
      <c r="Y3" s="3">
        <v>0</v>
      </c>
      <c r="Z3" s="6">
        <v>2.8186006200000001E-4</v>
      </c>
      <c r="AA3" s="15"/>
      <c r="AB3" s="16"/>
      <c r="AC3" s="16"/>
      <c r="AD3" s="17"/>
      <c r="AF3" s="3">
        <v>0</v>
      </c>
      <c r="AG3" s="41">
        <f>AVERAGE(-0.0001,0.0003,-0.0001)</f>
        <v>3.3333333333333328E-5</v>
      </c>
      <c r="AH3" s="15"/>
      <c r="AI3" s="16"/>
      <c r="AJ3" s="16"/>
      <c r="AK3" s="17"/>
      <c r="AM3" s="3">
        <v>0</v>
      </c>
      <c r="AN3" s="46">
        <f>AVERAGE(0.0161,0.0149,0.0117)</f>
        <v>1.4233333333333334E-2</v>
      </c>
      <c r="AO3" s="47"/>
      <c r="AP3" s="16"/>
      <c r="AQ3" s="16"/>
      <c r="AR3" s="17"/>
      <c r="AT3" s="3">
        <v>0</v>
      </c>
      <c r="AU3" s="41">
        <f>AVERAGE(0.0829,0.051,0.0407)</f>
        <v>5.8199999999999995E-2</v>
      </c>
      <c r="AV3" s="15"/>
      <c r="AW3" s="16"/>
      <c r="AX3" s="16"/>
      <c r="AY3" s="17"/>
      <c r="BA3" s="3">
        <v>0</v>
      </c>
      <c r="BB3" s="46">
        <f>AVERAGE(0,-0.0003,0.0006)</f>
        <v>9.9999999999999991E-5</v>
      </c>
      <c r="BC3" s="21"/>
      <c r="BD3" s="16"/>
      <c r="BE3" s="16"/>
      <c r="BF3" s="17"/>
    </row>
    <row r="4" spans="1:58" x14ac:dyDescent="0.3">
      <c r="D4" s="11">
        <v>0.1</v>
      </c>
      <c r="E4" s="6"/>
      <c r="F4" s="6">
        <v>3.6999999999999998E-2</v>
      </c>
      <c r="G4" s="16"/>
      <c r="H4" s="16"/>
      <c r="I4" s="17"/>
      <c r="K4" s="3">
        <v>2.5000000000000001E-2</v>
      </c>
      <c r="L4" s="6">
        <v>1.7999999999999999E-2</v>
      </c>
      <c r="N4" s="16"/>
      <c r="O4" s="16"/>
      <c r="P4" s="17"/>
      <c r="R4" s="3">
        <v>0.1</v>
      </c>
      <c r="S4" s="6">
        <v>1.1932020099999999E-2</v>
      </c>
      <c r="T4" s="15"/>
      <c r="U4" s="16"/>
      <c r="V4" s="16"/>
      <c r="W4" s="17"/>
      <c r="Y4" s="3">
        <v>0.1</v>
      </c>
      <c r="Z4" s="6"/>
      <c r="AA4" s="6">
        <v>4.1943683799999999E-4</v>
      </c>
      <c r="AB4" s="16"/>
      <c r="AC4" s="16"/>
      <c r="AD4" s="17"/>
      <c r="AF4" s="3">
        <v>10</v>
      </c>
      <c r="AG4" s="42">
        <f>AVERAGE(0.0373,0.0348,0.0377)</f>
        <v>3.6600000000000001E-2</v>
      </c>
      <c r="AH4" s="15"/>
      <c r="AI4" s="16"/>
      <c r="AJ4" s="16"/>
      <c r="AK4" s="17"/>
      <c r="AM4" s="3">
        <v>5</v>
      </c>
      <c r="AN4" s="46">
        <f>AVERAGE(0.0296,0.0287,0.0293)</f>
        <v>2.9200000000000004E-2</v>
      </c>
      <c r="AO4" s="47"/>
      <c r="AP4" s="16"/>
      <c r="AQ4" s="16"/>
      <c r="AR4" s="17"/>
      <c r="AT4" s="3">
        <v>10</v>
      </c>
      <c r="AU4" s="41">
        <f>AVERAGE(0.2535,0.1968,0.2008)</f>
        <v>0.21703333333333333</v>
      </c>
      <c r="AV4" s="15"/>
      <c r="AW4" s="16"/>
      <c r="AX4" s="16"/>
      <c r="AY4" s="17"/>
      <c r="BA4" s="3">
        <v>2</v>
      </c>
      <c r="BB4" s="46">
        <f>AVERAGE(0.1713,0.1716,0.1737)</f>
        <v>0.17219999999999999</v>
      </c>
      <c r="BC4" s="15"/>
      <c r="BD4" s="16"/>
      <c r="BE4" s="16"/>
      <c r="BF4" s="17"/>
    </row>
    <row r="5" spans="1:58" x14ac:dyDescent="0.3">
      <c r="D5" s="11">
        <v>0.25</v>
      </c>
      <c r="E5" s="3">
        <v>4.3999999999999997E-2</v>
      </c>
      <c r="F5" s="15"/>
      <c r="G5" s="16"/>
      <c r="H5" s="16"/>
      <c r="I5" s="17"/>
      <c r="K5" s="3">
        <v>0.05</v>
      </c>
      <c r="L5" s="6">
        <v>0.03</v>
      </c>
      <c r="M5" s="15"/>
      <c r="N5" s="16"/>
      <c r="O5" s="16"/>
      <c r="P5" s="17"/>
      <c r="R5" s="3">
        <v>0.25</v>
      </c>
      <c r="S5" s="6">
        <v>0.12606529899999999</v>
      </c>
      <c r="T5" s="15"/>
      <c r="U5" s="16"/>
      <c r="V5" s="16"/>
      <c r="W5" s="17"/>
      <c r="Y5" s="3">
        <v>0.25</v>
      </c>
      <c r="Z5" s="6">
        <v>5.0334036399999997E-3</v>
      </c>
      <c r="AA5" s="15"/>
      <c r="AB5" s="16"/>
      <c r="AC5" s="16"/>
      <c r="AD5" s="17"/>
      <c r="AF5" s="3">
        <v>20</v>
      </c>
      <c r="AG5" s="41">
        <f>AVERAGE(0.0488,0.0554,0.0545)</f>
        <v>5.2900000000000003E-2</v>
      </c>
      <c r="AH5" s="15"/>
      <c r="AI5" s="16"/>
      <c r="AJ5" s="16"/>
      <c r="AK5" s="17"/>
      <c r="AM5" s="3">
        <v>10</v>
      </c>
      <c r="AN5" s="46">
        <f>AVERAGE(0.0565,0.0575,0.0528)</f>
        <v>5.5600000000000004E-2</v>
      </c>
      <c r="AO5" s="47"/>
      <c r="AP5" s="26"/>
      <c r="AQ5" s="18"/>
      <c r="AR5" s="19"/>
      <c r="AT5" s="3">
        <v>25</v>
      </c>
      <c r="AU5" s="41">
        <f>AVERAGE(0.4002,0.4332,0.4407)</f>
        <v>0.42469999999999991</v>
      </c>
      <c r="AV5" s="15"/>
      <c r="AW5" s="16"/>
      <c r="AX5" s="16"/>
      <c r="AY5" s="17"/>
      <c r="BA5" s="3">
        <v>4</v>
      </c>
      <c r="BB5" s="46">
        <f>AVERAGE(0.3088,0.13107,0.3107)</f>
        <v>0.25018999999999997</v>
      </c>
      <c r="BC5" s="15"/>
      <c r="BD5" s="16"/>
      <c r="BE5" s="16"/>
      <c r="BF5" s="17"/>
    </row>
    <row r="6" spans="1:58" x14ac:dyDescent="0.3">
      <c r="D6" s="11">
        <v>0.5</v>
      </c>
      <c r="E6" s="3">
        <v>7.4999999999999997E-2</v>
      </c>
      <c r="G6" s="16"/>
      <c r="H6" s="16"/>
      <c r="I6" s="17"/>
      <c r="K6" s="3">
        <v>0.1</v>
      </c>
      <c r="L6" s="6">
        <v>0.06</v>
      </c>
      <c r="M6" s="15"/>
      <c r="N6" s="16"/>
      <c r="O6" s="16"/>
      <c r="P6" s="17"/>
      <c r="R6" s="3">
        <v>0.5</v>
      </c>
      <c r="S6" s="6">
        <v>0.24470312899999999</v>
      </c>
      <c r="T6" s="15"/>
      <c r="U6" s="16"/>
      <c r="V6" s="16"/>
      <c r="W6" s="17"/>
      <c r="Y6" s="3">
        <v>0.5</v>
      </c>
      <c r="Z6" s="6">
        <v>2.0539153399999999E-2</v>
      </c>
      <c r="AA6" s="15"/>
      <c r="AB6" s="16"/>
      <c r="AC6" s="16"/>
      <c r="AD6" s="17"/>
      <c r="AF6" s="3">
        <v>40</v>
      </c>
      <c r="AG6" s="41">
        <f>AVERAGE(0.0979,0.0884,0.0998)</f>
        <v>9.5366666666666669E-2</v>
      </c>
      <c r="AH6" s="15"/>
      <c r="AI6" s="16"/>
      <c r="AJ6" s="16"/>
      <c r="AK6" s="17"/>
      <c r="AM6" s="3">
        <v>20</v>
      </c>
      <c r="AN6" s="46">
        <f>AVERAGE(0.0855,0.0877,0.0881)</f>
        <v>8.7100000000000011E-2</v>
      </c>
      <c r="AO6" s="47"/>
      <c r="AP6" s="16"/>
      <c r="AQ6" s="16"/>
      <c r="AR6" s="19"/>
      <c r="AT6" s="3">
        <v>50</v>
      </c>
      <c r="AU6" s="41">
        <f>AVERAGE(0.8798,0.7863,0.8098)</f>
        <v>0.82530000000000003</v>
      </c>
      <c r="AV6" s="15"/>
      <c r="AW6" s="16"/>
      <c r="AX6" s="16"/>
      <c r="AY6" s="17"/>
      <c r="BA6" s="3">
        <v>6</v>
      </c>
      <c r="BB6" s="46">
        <f>AVERAGE(0.4147,0.4117,0.414)</f>
        <v>0.41346666666666665</v>
      </c>
      <c r="BC6" s="15"/>
      <c r="BD6" s="16"/>
      <c r="BE6" s="16"/>
      <c r="BF6" s="17"/>
    </row>
    <row r="7" spans="1:58" x14ac:dyDescent="0.3">
      <c r="D7" s="11">
        <v>1</v>
      </c>
      <c r="E7" s="3">
        <v>0.14199999999999999</v>
      </c>
      <c r="F7" s="15"/>
      <c r="G7" s="16"/>
      <c r="H7" s="16"/>
      <c r="I7" s="17"/>
      <c r="K7" s="3">
        <v>0.25</v>
      </c>
      <c r="L7" s="6">
        <v>0.13200000000000001</v>
      </c>
      <c r="M7" s="15"/>
      <c r="N7" s="16"/>
      <c r="O7" s="16"/>
      <c r="P7" s="17"/>
      <c r="R7" s="3">
        <v>1</v>
      </c>
      <c r="S7" s="6">
        <v>0.46963051</v>
      </c>
      <c r="T7" s="15"/>
      <c r="U7" s="16"/>
      <c r="V7" s="16"/>
      <c r="W7" s="17"/>
      <c r="Y7" s="3">
        <v>1</v>
      </c>
      <c r="Z7" s="6">
        <v>4.31949981E-2</v>
      </c>
      <c r="AA7" s="15"/>
      <c r="AB7" s="16"/>
      <c r="AC7" s="16"/>
      <c r="AD7" s="17"/>
      <c r="AF7" s="3">
        <v>50</v>
      </c>
      <c r="AG7" s="41">
        <f>AVERAGE(0.1154,0.1145,0.1194)</f>
        <v>0.11643333333333333</v>
      </c>
      <c r="AH7" s="15"/>
      <c r="AI7" s="16"/>
      <c r="AJ7" s="16"/>
      <c r="AK7" s="17"/>
      <c r="AM7" s="3">
        <v>25</v>
      </c>
      <c r="AN7" s="46">
        <f>AVERAGE(0.1056,0.1043,0.1035)</f>
        <v>0.10446666666666667</v>
      </c>
      <c r="AO7" s="47"/>
      <c r="AP7" s="16"/>
      <c r="AQ7" s="16"/>
      <c r="AR7" s="17"/>
      <c r="AT7" s="3">
        <v>65</v>
      </c>
      <c r="AU7" s="41">
        <f>AVERAGE(1.013,1.0391,1.0514)</f>
        <v>1.0344999999999998</v>
      </c>
      <c r="AV7" s="15"/>
      <c r="AW7" s="16"/>
      <c r="AX7" s="16"/>
      <c r="AY7" s="17"/>
      <c r="BA7" s="3">
        <v>8</v>
      </c>
      <c r="BB7" s="46">
        <f>AVERAGE(0.4373,0.4856,0.4937)</f>
        <v>0.47220000000000001</v>
      </c>
      <c r="BC7" s="15"/>
      <c r="BD7" s="16"/>
      <c r="BE7" s="16"/>
      <c r="BF7" s="17"/>
    </row>
    <row r="8" spans="1:58" x14ac:dyDescent="0.3">
      <c r="D8" s="11">
        <v>3</v>
      </c>
      <c r="E8" s="3">
        <v>0.376</v>
      </c>
      <c r="F8" s="26" t="s">
        <v>11</v>
      </c>
      <c r="G8" s="27">
        <v>0.05</v>
      </c>
      <c r="H8" s="19" t="s">
        <v>10</v>
      </c>
      <c r="I8" s="17"/>
      <c r="K8" s="3">
        <v>0.5</v>
      </c>
      <c r="L8" s="6">
        <v>0.23599999999999999</v>
      </c>
      <c r="M8" s="15"/>
      <c r="N8" s="16"/>
      <c r="O8" s="16"/>
      <c r="P8" s="17"/>
      <c r="R8" s="3"/>
      <c r="S8" s="3"/>
      <c r="T8" s="15"/>
      <c r="U8" s="16"/>
      <c r="V8" s="16"/>
      <c r="W8" s="17"/>
      <c r="Y8" s="3">
        <v>2.5</v>
      </c>
      <c r="Z8" s="6">
        <v>0.13868945799999999</v>
      </c>
      <c r="AA8" s="15"/>
      <c r="AB8" s="16"/>
      <c r="AC8" s="16"/>
      <c r="AD8" s="17"/>
      <c r="AF8" s="3">
        <v>75</v>
      </c>
      <c r="AG8" s="41">
        <f>AVERAGE(0.1687,0.1588,0.149)</f>
        <v>0.15883333333333335</v>
      </c>
      <c r="AH8" s="15"/>
      <c r="AI8" s="16"/>
      <c r="AJ8" s="16"/>
      <c r="AK8" s="17"/>
      <c r="AM8" s="3">
        <v>35</v>
      </c>
      <c r="AN8" s="46">
        <f>AVERAGE(0.1476,0.1509,0.1499)</f>
        <v>0.14946666666666666</v>
      </c>
      <c r="AO8" s="47"/>
      <c r="AP8" s="16"/>
      <c r="AQ8" s="16"/>
      <c r="AR8" s="19"/>
      <c r="AT8" s="3">
        <v>75</v>
      </c>
      <c r="AU8" s="41">
        <f>AVERAGE(1.2053,1.1818,1.2065)</f>
        <v>1.1978666666666669</v>
      </c>
      <c r="AV8" s="15"/>
      <c r="AW8" s="16"/>
      <c r="AX8" s="16"/>
      <c r="AY8" s="17"/>
      <c r="BA8" s="3">
        <v>10</v>
      </c>
      <c r="BB8" s="46">
        <f>AVERAGE(0.544,0.545,0.5447)</f>
        <v>0.54456666666666664</v>
      </c>
      <c r="BC8" s="15"/>
      <c r="BD8" s="16"/>
      <c r="BE8" s="16"/>
      <c r="BF8" s="17"/>
    </row>
    <row r="9" spans="1:58" x14ac:dyDescent="0.3">
      <c r="D9" s="11">
        <v>5</v>
      </c>
      <c r="E9" s="3">
        <v>0.57599999999999996</v>
      </c>
      <c r="F9" s="15"/>
      <c r="G9" s="49">
        <f>G8*0.01/0.5*1000</f>
        <v>1</v>
      </c>
      <c r="H9" s="16" t="s">
        <v>13</v>
      </c>
      <c r="I9" s="17"/>
      <c r="K9" s="3">
        <v>1</v>
      </c>
      <c r="L9" s="6">
        <v>0.44400000000000001</v>
      </c>
      <c r="N9" s="26" t="s">
        <v>11</v>
      </c>
      <c r="O9" s="18"/>
      <c r="P9" s="19" t="s">
        <v>10</v>
      </c>
      <c r="R9" s="3"/>
      <c r="S9" s="3"/>
      <c r="U9" s="26" t="s">
        <v>11</v>
      </c>
      <c r="V9" s="18">
        <v>0.05</v>
      </c>
      <c r="W9" s="19" t="s">
        <v>10</v>
      </c>
      <c r="Y9" s="3">
        <v>5</v>
      </c>
      <c r="Z9" s="6">
        <v>0.263099998</v>
      </c>
      <c r="AB9" s="26" t="s">
        <v>11</v>
      </c>
      <c r="AC9" s="18"/>
      <c r="AD9" s="19" t="s">
        <v>10</v>
      </c>
      <c r="AF9" s="3">
        <v>100</v>
      </c>
      <c r="AG9" s="41">
        <f>AVERAGE(0.1922,0.194,0.218)</f>
        <v>0.2014</v>
      </c>
      <c r="AI9" s="26"/>
      <c r="AJ9" s="18"/>
      <c r="AK9" s="19"/>
      <c r="AM9" s="3">
        <v>50</v>
      </c>
      <c r="AN9" s="41">
        <f>AVERAGE(0.1914,0.1934,0.1937)</f>
        <v>0.19283333333333333</v>
      </c>
      <c r="AP9" s="16"/>
      <c r="AQ9" s="16"/>
      <c r="AR9" s="19"/>
      <c r="AT9" s="3">
        <v>85</v>
      </c>
      <c r="AU9" s="41">
        <f>AVERAGE(1.4139,1.3164,1.3526)</f>
        <v>1.3609666666666664</v>
      </c>
      <c r="AW9" s="26"/>
      <c r="AX9" s="18"/>
      <c r="AY9" s="19"/>
      <c r="BA9" s="40">
        <v>16</v>
      </c>
      <c r="BB9" s="47">
        <f>AVERAGE(0.6613,0.6556,0.6718)</f>
        <v>0.66289999999999993</v>
      </c>
      <c r="BD9" s="26" t="s">
        <v>11</v>
      </c>
      <c r="BE9" s="18">
        <v>0.5</v>
      </c>
      <c r="BF9" s="19" t="s">
        <v>10</v>
      </c>
    </row>
    <row r="10" spans="1:58" x14ac:dyDescent="0.3">
      <c r="D10" s="11" t="s">
        <v>14</v>
      </c>
      <c r="E10" s="25">
        <f>SLOPE(E3:E6,D3:D6)</f>
        <v>0.15</v>
      </c>
      <c r="F10" s="21"/>
      <c r="G10" s="16"/>
      <c r="H10" s="16"/>
      <c r="I10" s="17"/>
      <c r="K10" s="29" t="s">
        <v>14</v>
      </c>
      <c r="L10" s="6">
        <f>SLOPE(L3:L9,K3:K9)</f>
        <v>0.43995813710099424</v>
      </c>
      <c r="M10" s="15"/>
      <c r="N10" s="16"/>
      <c r="O10" s="16"/>
      <c r="P10" s="17"/>
      <c r="R10" s="29" t="s">
        <v>14</v>
      </c>
      <c r="S10" s="15">
        <f>SLOPE(S3:S7,R3:R7)</f>
        <v>0.48527583863028217</v>
      </c>
      <c r="T10" s="15"/>
      <c r="U10" s="16"/>
      <c r="V10" s="16">
        <f>V9*0.01/0.5</f>
        <v>1E-3</v>
      </c>
      <c r="W10" s="17" t="s">
        <v>41</v>
      </c>
      <c r="Y10" s="40">
        <v>10</v>
      </c>
      <c r="Z10" s="6">
        <v>0.51210653799999994</v>
      </c>
      <c r="AA10" s="15"/>
      <c r="AB10" s="16"/>
      <c r="AC10" s="16"/>
      <c r="AD10" s="17"/>
      <c r="AF10" s="29" t="s">
        <v>14</v>
      </c>
      <c r="AG10" s="15">
        <f>SLOPE(AG3:AG7,AF3:AF7)</f>
        <v>2.2257751937984497E-3</v>
      </c>
      <c r="AH10" s="15"/>
      <c r="AI10" s="16"/>
      <c r="AJ10" s="16"/>
      <c r="AK10" s="19"/>
      <c r="AM10" s="29" t="s">
        <v>14</v>
      </c>
      <c r="AN10" s="15">
        <f>SLOPE(AN3:AN8,AM3:AM8)</f>
        <v>3.8116108452950562E-3</v>
      </c>
      <c r="AO10" s="15"/>
      <c r="AP10" s="44"/>
      <c r="AQ10" s="16"/>
      <c r="AR10" s="17"/>
      <c r="AT10" s="29" t="s">
        <v>14</v>
      </c>
      <c r="AU10" s="42">
        <f>SLOPE(AU3:AU7,AT3:AT7)</f>
        <v>1.5085875706214688E-2</v>
      </c>
      <c r="AW10" s="26"/>
      <c r="AX10" s="18"/>
      <c r="AY10" s="19"/>
      <c r="BA10" s="30"/>
      <c r="BB10" s="20"/>
      <c r="BD10" s="26"/>
      <c r="BE10" s="27">
        <f>(BE9*0.01)/0.5</f>
        <v>0.01</v>
      </c>
      <c r="BF10" s="19" t="s">
        <v>13</v>
      </c>
    </row>
    <row r="11" spans="1:58" x14ac:dyDescent="0.3">
      <c r="D11" s="11" t="s">
        <v>15</v>
      </c>
      <c r="E11" s="25">
        <f>INTERCEPT(E3:E6,D3:D6)</f>
        <v>2.166666666666664E-3</v>
      </c>
      <c r="F11" s="15"/>
      <c r="G11" s="16"/>
      <c r="H11" s="16"/>
      <c r="I11" s="17"/>
      <c r="K11" s="29" t="s">
        <v>15</v>
      </c>
      <c r="L11" s="15">
        <f>INTERCEPT(L3:L9,K3:K9)</f>
        <v>1.0249607535321809E-2</v>
      </c>
      <c r="M11" s="15" t="s">
        <v>16</v>
      </c>
      <c r="N11" s="16"/>
      <c r="O11" s="16"/>
      <c r="P11" s="17"/>
      <c r="R11" s="29" t="s">
        <v>15</v>
      </c>
      <c r="S11" s="15">
        <f>INTERCEPT(S3:S7,R3:R7)</f>
        <v>-9.2355109884043884E-3</v>
      </c>
      <c r="T11" s="15" t="s">
        <v>16</v>
      </c>
      <c r="U11" s="16"/>
      <c r="V11" s="16"/>
      <c r="W11" s="17"/>
      <c r="Y11" s="29" t="s">
        <v>14</v>
      </c>
      <c r="Z11" s="15">
        <f>SLOPE(Z3:Z10,Y3:Y10)</f>
        <v>5.1929821857513339E-2</v>
      </c>
      <c r="AA11" s="15" t="s">
        <v>16</v>
      </c>
      <c r="AB11" s="16"/>
      <c r="AC11" s="16"/>
      <c r="AD11" s="17"/>
      <c r="AF11" s="29" t="s">
        <v>15</v>
      </c>
      <c r="AG11" s="15">
        <f>INTERCEPT(AG3:AG7,AF3:AF7)</f>
        <v>6.8480620155038779E-3</v>
      </c>
      <c r="AH11" s="15" t="s">
        <v>16</v>
      </c>
      <c r="AI11" s="44"/>
      <c r="AJ11" s="16"/>
      <c r="AK11" s="17"/>
      <c r="AM11" s="29" t="s">
        <v>15</v>
      </c>
      <c r="AN11" s="15">
        <f>INTERCEPT(AN3:AN8,AM3:AM8)</f>
        <v>1.2993939393939391E-2</v>
      </c>
      <c r="AO11" s="15"/>
      <c r="AP11" t="s">
        <v>11</v>
      </c>
      <c r="AQ11">
        <v>5</v>
      </c>
      <c r="AR11" s="19" t="s">
        <v>42</v>
      </c>
      <c r="AT11" s="29" t="s">
        <v>15</v>
      </c>
      <c r="AU11" s="42">
        <f>INTERCEPT(AU3:AU7,AT3:AT7)</f>
        <v>5.9370395480225935E-2</v>
      </c>
      <c r="AV11" s="15"/>
      <c r="AW11" s="44"/>
      <c r="AX11" s="16"/>
      <c r="AY11" s="17"/>
      <c r="BA11" s="29" t="s">
        <v>14</v>
      </c>
      <c r="BB11" s="15">
        <f>SLOPE(BB3:BB6,BA3:BA6)</f>
        <v>6.5904500000000005E-2</v>
      </c>
      <c r="BC11" s="21"/>
      <c r="BD11" s="16"/>
      <c r="BE11" s="16"/>
      <c r="BF11" s="17"/>
    </row>
    <row r="12" spans="1:58" x14ac:dyDescent="0.3">
      <c r="D12" s="11" t="s">
        <v>18</v>
      </c>
      <c r="E12" s="25">
        <f>CORREL(E3:E6,D3:D6)</f>
        <v>0.99502989262110875</v>
      </c>
      <c r="K12" s="31" t="s">
        <v>18</v>
      </c>
      <c r="L12" s="22">
        <f>CORREL(L3:L9,K3:K9)</f>
        <v>0.99872734174379918</v>
      </c>
      <c r="M12" s="32">
        <v>1</v>
      </c>
      <c r="R12" s="31" t="s">
        <v>18</v>
      </c>
      <c r="S12" s="22">
        <f>CORREL(S3:S7,R3:R7)</f>
        <v>0.99607995703664676</v>
      </c>
      <c r="T12" s="32">
        <v>1</v>
      </c>
      <c r="Y12" s="29" t="s">
        <v>15</v>
      </c>
      <c r="Z12" s="15">
        <f>INTERCEPT(Z3:Z10,Y3:Y10)</f>
        <v>-2.386237365018834E-3</v>
      </c>
      <c r="AA12" s="32">
        <v>1</v>
      </c>
      <c r="AF12" s="31" t="s">
        <v>18</v>
      </c>
      <c r="AG12" s="22">
        <f>CORREL(AG3:AG7,AF3:AF7)</f>
        <v>0.99371494107811398</v>
      </c>
      <c r="AI12" t="s">
        <v>11</v>
      </c>
      <c r="AJ12">
        <v>5</v>
      </c>
      <c r="AK12" s="19" t="s">
        <v>42</v>
      </c>
      <c r="AM12" s="31" t="s">
        <v>18</v>
      </c>
      <c r="AN12" s="22">
        <f>CORREL(AN3:AN8,AM3:AM8)</f>
        <v>0.99770287901796917</v>
      </c>
      <c r="AO12" s="22"/>
      <c r="AP12" s="16"/>
      <c r="AQ12" s="45">
        <f>AQ11*0.01/0.5</f>
        <v>0.1</v>
      </c>
      <c r="AR12" s="19" t="s">
        <v>43</v>
      </c>
      <c r="AT12" s="31" t="s">
        <v>18</v>
      </c>
      <c r="AU12" s="22">
        <f>CORREL(AU3:AU7,AT3:AT7)</f>
        <v>0.99973762945506639</v>
      </c>
      <c r="AW12" t="s">
        <v>11</v>
      </c>
      <c r="AX12">
        <v>5</v>
      </c>
      <c r="AY12" s="19" t="s">
        <v>42</v>
      </c>
      <c r="BA12" s="29" t="s">
        <v>15</v>
      </c>
      <c r="BB12" s="15">
        <f>INTERCEPT(BB3:BB6,BA3:BA6)</f>
        <v>1.1275666666666628E-2</v>
      </c>
      <c r="BC12" s="15" t="s">
        <v>16</v>
      </c>
      <c r="BD12" s="16"/>
      <c r="BE12" s="16"/>
      <c r="BF12" s="17"/>
    </row>
    <row r="13" spans="1:58" x14ac:dyDescent="0.3">
      <c r="A13" s="89"/>
      <c r="B13" s="90"/>
      <c r="C13" s="90"/>
      <c r="F13" s="28"/>
      <c r="G13" s="23"/>
      <c r="H13" s="23"/>
      <c r="I13" s="24"/>
      <c r="N13" s="16"/>
      <c r="O13" s="16"/>
      <c r="P13" s="17"/>
      <c r="U13" s="16"/>
      <c r="V13" s="16"/>
      <c r="W13" s="17"/>
      <c r="Y13" s="31" t="s">
        <v>18</v>
      </c>
      <c r="Z13" s="22">
        <f>CORREL(Z3:Z10,Y3:Y10)</f>
        <v>0.99936872247279707</v>
      </c>
      <c r="AB13" s="16"/>
      <c r="AC13" s="16"/>
      <c r="AD13" s="17"/>
      <c r="AH13" s="32"/>
      <c r="AI13" s="16"/>
      <c r="AJ13" s="45">
        <f>AJ12*0.01/0.5</f>
        <v>0.1</v>
      </c>
      <c r="AK13" s="19" t="s">
        <v>43</v>
      </c>
      <c r="AP13" s="16"/>
      <c r="AQ13" s="16"/>
      <c r="AR13" s="17"/>
      <c r="AV13" s="15"/>
      <c r="AW13" s="16"/>
      <c r="AX13" s="45">
        <f>AX12*0.01/0.5</f>
        <v>0.1</v>
      </c>
      <c r="AY13" s="19" t="s">
        <v>43</v>
      </c>
      <c r="BA13" s="31" t="s">
        <v>18</v>
      </c>
      <c r="BB13" s="22">
        <f>CORREL(BB3:BB6,BA3:BA6)</f>
        <v>0.99075567781189222</v>
      </c>
      <c r="BC13" s="32">
        <v>1</v>
      </c>
      <c r="BD13" s="16"/>
      <c r="BE13" s="16"/>
      <c r="BF13" s="17"/>
    </row>
    <row r="14" spans="1:58" ht="14.4" customHeight="1" x14ac:dyDescent="0.3">
      <c r="A14" s="1"/>
      <c r="B14" s="91" t="s">
        <v>19</v>
      </c>
      <c r="C14" s="93" t="s">
        <v>20</v>
      </c>
      <c r="D14" s="93" t="s">
        <v>21</v>
      </c>
      <c r="E14" s="93" t="s">
        <v>22</v>
      </c>
      <c r="F14" s="93" t="s">
        <v>23</v>
      </c>
      <c r="G14" s="93" t="s">
        <v>24</v>
      </c>
      <c r="H14" s="93" t="s">
        <v>25</v>
      </c>
      <c r="I14" s="93" t="s">
        <v>26</v>
      </c>
      <c r="K14" s="93" t="s">
        <v>21</v>
      </c>
      <c r="L14" s="93" t="s">
        <v>22</v>
      </c>
      <c r="M14" s="93" t="s">
        <v>23</v>
      </c>
      <c r="N14" s="93" t="s">
        <v>24</v>
      </c>
      <c r="O14" s="93" t="s">
        <v>25</v>
      </c>
      <c r="P14" s="93" t="s">
        <v>26</v>
      </c>
      <c r="R14" s="93" t="s">
        <v>21</v>
      </c>
      <c r="S14" s="93" t="s">
        <v>22</v>
      </c>
      <c r="T14" s="93" t="s">
        <v>23</v>
      </c>
      <c r="U14" s="93" t="s">
        <v>24</v>
      </c>
      <c r="V14" s="93" t="s">
        <v>25</v>
      </c>
      <c r="W14" s="93" t="s">
        <v>26</v>
      </c>
      <c r="Y14" s="93" t="s">
        <v>21</v>
      </c>
      <c r="Z14" s="93" t="s">
        <v>22</v>
      </c>
      <c r="AA14" s="93" t="s">
        <v>27</v>
      </c>
      <c r="AB14" s="93" t="s">
        <v>24</v>
      </c>
      <c r="AC14" s="93" t="s">
        <v>25</v>
      </c>
      <c r="AD14" s="93" t="s">
        <v>26</v>
      </c>
      <c r="AF14" s="93" t="s">
        <v>21</v>
      </c>
      <c r="AG14" s="93" t="s">
        <v>28</v>
      </c>
      <c r="AH14" s="93" t="s">
        <v>29</v>
      </c>
      <c r="AI14" s="93" t="s">
        <v>24</v>
      </c>
      <c r="AJ14" s="93" t="s">
        <v>25</v>
      </c>
      <c r="AK14" s="93" t="s">
        <v>26</v>
      </c>
      <c r="AM14" s="93" t="s">
        <v>21</v>
      </c>
      <c r="AN14" s="93" t="s">
        <v>28</v>
      </c>
      <c r="AO14" s="93" t="s">
        <v>29</v>
      </c>
      <c r="AP14" s="93" t="s">
        <v>24</v>
      </c>
      <c r="AQ14" s="93" t="s">
        <v>25</v>
      </c>
      <c r="AR14" s="93" t="s">
        <v>26</v>
      </c>
      <c r="AT14" s="93" t="s">
        <v>21</v>
      </c>
      <c r="AU14" s="93" t="s">
        <v>28</v>
      </c>
      <c r="AV14" s="93" t="s">
        <v>29</v>
      </c>
      <c r="AW14" s="93" t="s">
        <v>24</v>
      </c>
      <c r="AX14" s="93" t="s">
        <v>25</v>
      </c>
      <c r="AY14" s="93" t="s">
        <v>26</v>
      </c>
      <c r="BA14" s="68" t="s">
        <v>21</v>
      </c>
      <c r="BB14" s="70" t="s">
        <v>28</v>
      </c>
      <c r="BC14" s="72" t="s">
        <v>29</v>
      </c>
      <c r="BD14" s="73" t="s">
        <v>24</v>
      </c>
      <c r="BE14" s="74" t="s">
        <v>25</v>
      </c>
      <c r="BF14" s="72" t="s">
        <v>26</v>
      </c>
    </row>
    <row r="15" spans="1:58" x14ac:dyDescent="0.3">
      <c r="A15" s="2"/>
      <c r="B15" s="92"/>
      <c r="C15" s="94"/>
      <c r="D15" s="94"/>
      <c r="E15" s="94"/>
      <c r="F15" s="94"/>
      <c r="G15" s="94"/>
      <c r="H15" s="94"/>
      <c r="I15" s="94"/>
      <c r="K15" s="94"/>
      <c r="L15" s="94"/>
      <c r="M15" s="94"/>
      <c r="N15" s="94"/>
      <c r="O15" s="94"/>
      <c r="P15" s="94"/>
      <c r="R15" s="94"/>
      <c r="S15" s="94"/>
      <c r="T15" s="94"/>
      <c r="U15" s="94"/>
      <c r="V15" s="94"/>
      <c r="W15" s="94"/>
      <c r="Y15" s="94"/>
      <c r="Z15" s="94"/>
      <c r="AA15" s="94"/>
      <c r="AB15" s="94"/>
      <c r="AC15" s="94"/>
      <c r="AD15" s="94"/>
      <c r="AF15" s="94"/>
      <c r="AG15" s="94"/>
      <c r="AH15" s="94"/>
      <c r="AI15" s="94"/>
      <c r="AJ15" s="94"/>
      <c r="AK15" s="94"/>
      <c r="AM15" s="94"/>
      <c r="AN15" s="94"/>
      <c r="AO15" s="94"/>
      <c r="AP15" s="94"/>
      <c r="AQ15" s="94"/>
      <c r="AR15" s="94"/>
      <c r="AT15" s="94"/>
      <c r="AU15" s="94"/>
      <c r="AV15" s="94"/>
      <c r="AW15" s="94"/>
      <c r="AX15" s="94"/>
      <c r="AY15" s="94"/>
      <c r="BA15" s="69"/>
      <c r="BB15" s="71"/>
      <c r="BC15" s="70"/>
      <c r="BD15" s="69"/>
      <c r="BE15" s="75"/>
      <c r="BF15" s="71"/>
    </row>
    <row r="16" spans="1:58" ht="14.4" customHeight="1" x14ac:dyDescent="0.3">
      <c r="A16" s="93" t="s">
        <v>30</v>
      </c>
      <c r="B16" s="5">
        <v>0.52</v>
      </c>
      <c r="C16" s="4">
        <v>0.01</v>
      </c>
      <c r="D16" s="3">
        <v>2.8000000000000001E-2</v>
      </c>
      <c r="E16" s="25">
        <f>(D16-$E$11)/$E$10</f>
        <v>0.17222222222222225</v>
      </c>
      <c r="F16" s="25">
        <f>(E16*C16)/B16*1000</f>
        <v>3.3119658119658122</v>
      </c>
      <c r="G16" s="104">
        <f>AVERAGE(F16:F18)</f>
        <v>3.1673673262071609</v>
      </c>
      <c r="H16" s="104">
        <f>STDEV(F16:F18)</f>
        <v>0.13507144175053096</v>
      </c>
      <c r="I16" s="111">
        <f>H16/G16</f>
        <v>4.2644703894282911E-2</v>
      </c>
      <c r="K16" s="6">
        <v>0.315</v>
      </c>
      <c r="L16" s="34">
        <f>(K16-$L$11)/$L$10</f>
        <v>0.69268043199010421</v>
      </c>
      <c r="M16" s="35">
        <f>(L16*C16)/B16*1000</f>
        <v>13.320777538271233</v>
      </c>
      <c r="N16" s="95">
        <f>AVERAGE(M16:M18)</f>
        <v>11.986420274029356</v>
      </c>
      <c r="O16" s="95">
        <f>STDEV(M16:M18)</f>
        <v>1.1680985340606216</v>
      </c>
      <c r="P16" s="111">
        <f>O16/N16</f>
        <v>9.7451825261918118E-2</v>
      </c>
      <c r="R16" s="6">
        <v>0.12349497500000001</v>
      </c>
      <c r="S16" s="34">
        <f>(R16-$S$11)/$S$10</f>
        <v>0.27351554605117684</v>
      </c>
      <c r="T16" s="35">
        <f>(S16*C16)/B16*1000</f>
        <v>5.2599143471380163</v>
      </c>
      <c r="U16" s="104">
        <f>AVERAGE(T16:T18)</f>
        <v>5.3075109219529102</v>
      </c>
      <c r="V16" s="104">
        <f>STDEV(T16:T18)</f>
        <v>0.1619343173674922</v>
      </c>
      <c r="W16" s="111">
        <f>V16/U16</f>
        <v>3.0510406808151817E-2</v>
      </c>
      <c r="Y16" s="6">
        <v>0.334329665</v>
      </c>
      <c r="Z16" s="34">
        <f>(Y16-$Z$12)/$Z$11*$AA$12</f>
        <v>6.4840565655878883</v>
      </c>
      <c r="AA16" s="35">
        <f>(Z16*C16)/B16</f>
        <v>0.12469339549207477</v>
      </c>
      <c r="AB16" s="98">
        <f>AVERAGE(AA16:AA18)</f>
        <v>0.12735400431206856</v>
      </c>
      <c r="AC16" s="98">
        <f>STDEV(AA16:AA18)</f>
        <v>2.7470466533947562E-2</v>
      </c>
      <c r="AD16" s="111">
        <f>AC16/AB16</f>
        <v>0.21570163170239912</v>
      </c>
      <c r="AF16" s="41">
        <f>AVERAGE(0.0383,0.0379,0.0374)</f>
        <v>3.7866666666666667E-2</v>
      </c>
      <c r="AG16" s="34">
        <f t="shared" ref="AG16:AG33" si="0">(AF16-$AG$11)/$AG$10</f>
        <v>13.936090552895079</v>
      </c>
      <c r="AH16" s="35">
        <f>(AG16*C16)/B16</f>
        <v>0.26800174140182847</v>
      </c>
      <c r="AI16" s="98">
        <f>AVERAGE(AH16:AH18)</f>
        <v>0.22471462819194868</v>
      </c>
      <c r="AJ16" s="98">
        <f>STDEV(AH16:AH18)</f>
        <v>4.3791512734792162E-2</v>
      </c>
      <c r="AK16" s="111">
        <f>AJ16/AI16</f>
        <v>0.19487611059029922</v>
      </c>
      <c r="AM16" s="41">
        <f>AVERAGE(0.0525,0.051,0.0516)</f>
        <v>5.1699999999999996E-2</v>
      </c>
      <c r="AN16" s="34">
        <f>(AM16-$AN$11)/$AN$10</f>
        <v>10.154777645739534</v>
      </c>
      <c r="AO16" s="35">
        <f>(AN16*C16)/B16</f>
        <v>0.19528418549499102</v>
      </c>
      <c r="AP16" s="98">
        <f>AVERAGE(AO16:AO18)</f>
        <v>0.1774398792004499</v>
      </c>
      <c r="AQ16" s="98">
        <f>STDEV(AO16:AO18)</f>
        <v>1.8231292734762893E-2</v>
      </c>
      <c r="AR16" s="111">
        <f>AQ16/AP16</f>
        <v>0.10274630943682848</v>
      </c>
      <c r="AT16" s="41">
        <f>AVERAGE(0.2275,0.2011,0.1833)</f>
        <v>0.20396666666666666</v>
      </c>
      <c r="AU16" s="34">
        <f>(AT16-$AU$11)/$AU$10</f>
        <v>9.5848775372631305</v>
      </c>
      <c r="AV16" s="35">
        <f>(AU16*C16)/B16</f>
        <v>0.18432456802429098</v>
      </c>
      <c r="AW16" s="98">
        <f>AVERAGE(AV16:AV18)</f>
        <v>0.16861633911761562</v>
      </c>
      <c r="AX16" s="98">
        <f>STDEV(AV16:AV18)</f>
        <v>6.1964315271723171E-2</v>
      </c>
      <c r="AY16" s="111">
        <f>AX16/AW16</f>
        <v>0.36748701576601633</v>
      </c>
      <c r="BA16" s="41">
        <f>AVERAGE(0.231,0.2281,0.23)</f>
        <v>0.22970000000000002</v>
      </c>
      <c r="BB16" s="34">
        <f>(BA16-$BB$12)/$BB$11*$BC$13</f>
        <v>3.3142552228350626</v>
      </c>
      <c r="BC16" s="35">
        <f>(BB16*C16)/B16</f>
        <v>6.373567736221275E-2</v>
      </c>
      <c r="BD16" s="115">
        <f t="shared" ref="BD16" si="1">AVERAGE(BC16:BC18)</f>
        <v>5.9787583879276462E-2</v>
      </c>
      <c r="BE16" s="115">
        <f t="shared" ref="BE16" si="2">STDEV(BC16:BC18)</f>
        <v>3.7895145494988691E-3</v>
      </c>
      <c r="BF16" s="111">
        <f t="shared" ref="BF16" si="3">BE16/BD16</f>
        <v>6.3382968563350628E-2</v>
      </c>
    </row>
    <row r="17" spans="1:58" ht="14.4" customHeight="1" x14ac:dyDescent="0.3">
      <c r="A17" s="114"/>
      <c r="B17" s="5">
        <v>0.50509999999999999</v>
      </c>
      <c r="C17" s="4">
        <v>0.01</v>
      </c>
      <c r="D17" s="3">
        <v>2.5999999999999999E-2</v>
      </c>
      <c r="E17" s="25">
        <f t="shared" ref="E17:E33" si="4">(D17-$E$11)/$E$10</f>
        <v>0.15888888888888891</v>
      </c>
      <c r="F17" s="25">
        <f t="shared" ref="F17:F33" si="5">(E17*C17)/B17*1000</f>
        <v>3.145691722211224</v>
      </c>
      <c r="G17" s="105"/>
      <c r="H17" s="105"/>
      <c r="I17" s="112"/>
      <c r="K17" s="6">
        <v>0.25800000000000001</v>
      </c>
      <c r="L17" s="36">
        <f>(K17-$L$11)/$L$10*$M$12</f>
        <v>0.56312265093486846</v>
      </c>
      <c r="M17" s="37">
        <f t="shared" ref="M17:M33" si="6">(L17*C17)/B17*1000</f>
        <v>11.148735912390981</v>
      </c>
      <c r="N17" s="96"/>
      <c r="O17" s="96"/>
      <c r="P17" s="112"/>
      <c r="R17" s="6">
        <v>0.117603242</v>
      </c>
      <c r="S17" s="34">
        <f t="shared" ref="S17:S33" si="7">(R17-$S$11)/$S$10</f>
        <v>0.26137454802286009</v>
      </c>
      <c r="T17" s="35">
        <f t="shared" ref="T17:T33" si="8">(S17*C17)/B17*1000</f>
        <v>5.1747089293775508</v>
      </c>
      <c r="U17" s="105"/>
      <c r="V17" s="105"/>
      <c r="W17" s="112"/>
      <c r="Y17" s="6">
        <v>0.40694996700000002</v>
      </c>
      <c r="Z17" s="34">
        <f>(Y17-$Z$12)/$Z$11*$AA$12</f>
        <v>7.8824881296178573</v>
      </c>
      <c r="AA17" s="35">
        <f t="shared" ref="AA17:AA33" si="9">(Z17*C17)/B17</f>
        <v>0.15605797128524765</v>
      </c>
      <c r="AB17" s="99"/>
      <c r="AC17" s="99"/>
      <c r="AD17" s="112"/>
      <c r="AF17" s="41">
        <f>AVERAGE(0.0271,0.0278,0.0265)</f>
        <v>2.7133333333333332E-2</v>
      </c>
      <c r="AG17" s="34">
        <f>(AF17-$AG$11)/$AG$10</f>
        <v>9.1138006094906387</v>
      </c>
      <c r="AH17" s="35">
        <f>(AG17*C17)/B17</f>
        <v>0.18043556938211522</v>
      </c>
      <c r="AI17" s="99"/>
      <c r="AJ17" s="99"/>
      <c r="AK17" s="112"/>
      <c r="AM17" s="41">
        <f>AVERAGE(0.0493,0.0464,0.0462)</f>
        <v>4.7300000000000002E-2</v>
      </c>
      <c r="AN17" s="34">
        <f t="shared" ref="AN17:AN33" si="10">(AM17-$AN$11)/$AN$10</f>
        <v>9.0004100624299124</v>
      </c>
      <c r="AO17" s="35">
        <f t="shared" ref="AO17:AO33" si="11">(AN17*C17)/B17</f>
        <v>0.17819065655177022</v>
      </c>
      <c r="AP17" s="99"/>
      <c r="AQ17" s="99"/>
      <c r="AR17" s="112"/>
      <c r="AT17" s="41">
        <f>AVERAGE(0.2324,0.228,0.2234)</f>
        <v>0.22793333333333332</v>
      </c>
      <c r="AU17" s="34">
        <f>(AT17-$AU$11)/$AU$10</f>
        <v>11.173560032956336</v>
      </c>
      <c r="AV17" s="35">
        <f t="shared" ref="AV17:AV33" si="12">(AU17*C17)/B17</f>
        <v>0.22121480960119455</v>
      </c>
      <c r="AW17" s="99"/>
      <c r="AX17" s="99"/>
      <c r="AY17" s="112"/>
      <c r="BA17" s="41">
        <f>AVERAGE(0.2102,0.2089,0.2084)</f>
        <v>0.2091666666666667</v>
      </c>
      <c r="BB17" s="34">
        <f t="shared" ref="BB17:BB33" si="13">(BA17-$BB$12)/$BB$11*$BC$13</f>
        <v>3.0026932910499293</v>
      </c>
      <c r="BC17" s="35">
        <f t="shared" ref="BC17:BC33" si="14">(BB17*C17)/B17</f>
        <v>5.9447501307660452E-2</v>
      </c>
      <c r="BD17" s="116"/>
      <c r="BE17" s="116"/>
      <c r="BF17" s="112"/>
    </row>
    <row r="18" spans="1:58" x14ac:dyDescent="0.3">
      <c r="A18" s="94"/>
      <c r="B18" s="5">
        <v>0.5</v>
      </c>
      <c r="C18" s="4">
        <v>0.01</v>
      </c>
      <c r="D18" s="3">
        <v>2.5000000000000001E-2</v>
      </c>
      <c r="E18" s="25">
        <f t="shared" si="4"/>
        <v>0.15222222222222226</v>
      </c>
      <c r="F18" s="25">
        <f t="shared" si="5"/>
        <v>3.0444444444444452</v>
      </c>
      <c r="G18" s="106"/>
      <c r="H18" s="106"/>
      <c r="I18" s="113"/>
      <c r="K18" s="6">
        <v>0.26300000000000001</v>
      </c>
      <c r="L18" s="38">
        <f t="shared" ref="L18:L31" si="15">(K18-$L$11)/$L$10*$M$12</f>
        <v>0.57448736857129279</v>
      </c>
      <c r="M18" s="39">
        <f t="shared" si="6"/>
        <v>11.489747371425855</v>
      </c>
      <c r="N18" s="97"/>
      <c r="O18" s="97"/>
      <c r="P18" s="113"/>
      <c r="R18" s="6">
        <v>0.123921983</v>
      </c>
      <c r="S18" s="34">
        <f t="shared" si="7"/>
        <v>0.27439547446715817</v>
      </c>
      <c r="T18" s="35">
        <f t="shared" si="8"/>
        <v>5.4879094893431635</v>
      </c>
      <c r="U18" s="106"/>
      <c r="V18" s="106"/>
      <c r="W18" s="113"/>
      <c r="Y18" s="6">
        <v>0.26066595300000001</v>
      </c>
      <c r="Z18" s="34">
        <f t="shared" ref="Z18:Z33" si="16">(Y18-$Z$12)/$Z$11*$AA$12</f>
        <v>5.0655323079441636</v>
      </c>
      <c r="AA18" s="35">
        <f t="shared" si="9"/>
        <v>0.10131064615888327</v>
      </c>
      <c r="AB18" s="100"/>
      <c r="AC18" s="100"/>
      <c r="AD18" s="113"/>
      <c r="AF18" s="41">
        <f>AVERAGE(0.0319,0.0316,0.0324)</f>
        <v>3.1966666666666664E-2</v>
      </c>
      <c r="AG18" s="34">
        <f t="shared" si="0"/>
        <v>11.285328689595122</v>
      </c>
      <c r="AH18" s="35">
        <f t="shared" ref="AH18:AH33" si="17">(AG18*C18)/B18</f>
        <v>0.22570657379190245</v>
      </c>
      <c r="AI18" s="100"/>
      <c r="AJ18" s="100"/>
      <c r="AK18" s="113"/>
      <c r="AM18" s="41">
        <f>AVERAGE(0.0431,0.0435,0.0432)</f>
        <v>4.3266666666666669E-2</v>
      </c>
      <c r="AN18" s="34">
        <f t="shared" si="10"/>
        <v>7.9422397777294265</v>
      </c>
      <c r="AO18" s="35">
        <f t="shared" si="11"/>
        <v>0.15884479555458852</v>
      </c>
      <c r="AP18" s="100"/>
      <c r="AQ18" s="100"/>
      <c r="AR18" s="113"/>
      <c r="AT18" s="41">
        <f>AVERAGE(0.1391,0.1278,0.1382)</f>
        <v>0.13503333333333334</v>
      </c>
      <c r="AU18" s="34">
        <f t="shared" ref="AU18:AU33" si="18">(AT18-$AU$11)/$AU$10</f>
        <v>5.0154819863680666</v>
      </c>
      <c r="AV18" s="35">
        <f t="shared" si="12"/>
        <v>0.10030963972736133</v>
      </c>
      <c r="AW18" s="100"/>
      <c r="AX18" s="100"/>
      <c r="AY18" s="113"/>
      <c r="BA18" s="41">
        <f>AVERAGE(0.1967,0.1958,0.1967)</f>
        <v>0.19640000000000002</v>
      </c>
      <c r="BB18" s="34">
        <f t="shared" si="13"/>
        <v>2.8089786483978085</v>
      </c>
      <c r="BC18" s="35">
        <f t="shared" si="14"/>
        <v>5.6179572967956171E-2</v>
      </c>
      <c r="BD18" s="117"/>
      <c r="BE18" s="117"/>
      <c r="BF18" s="113"/>
    </row>
    <row r="19" spans="1:58" ht="14.4" customHeight="1" x14ac:dyDescent="0.3">
      <c r="A19" s="93" t="s">
        <v>32</v>
      </c>
      <c r="B19" s="5">
        <v>0.51</v>
      </c>
      <c r="C19" s="4">
        <v>0.01</v>
      </c>
      <c r="D19" s="3">
        <v>1.4E-2</v>
      </c>
      <c r="E19" s="25">
        <f t="shared" si="4"/>
        <v>7.8888888888888911E-2</v>
      </c>
      <c r="F19" s="25">
        <f t="shared" si="5"/>
        <v>1.5468409586056651</v>
      </c>
      <c r="G19" s="98">
        <f>AVERAGE(F19:F21)</f>
        <v>1.5425168372493545</v>
      </c>
      <c r="H19" s="98">
        <f>STDEV(F19:F21)</f>
        <v>3.7609899473884434E-2</v>
      </c>
      <c r="I19" s="111">
        <f>H19/G19</f>
        <v>2.4382164632284421E-2</v>
      </c>
      <c r="K19" s="3">
        <v>0.26200000000000001</v>
      </c>
      <c r="L19" s="34">
        <f t="shared" si="15"/>
        <v>0.57221442504400788</v>
      </c>
      <c r="M19" s="37">
        <f t="shared" si="6"/>
        <v>11.21989068713741</v>
      </c>
      <c r="N19" s="95">
        <f>AVERAGE(M19:M21)</f>
        <v>10.113269419581465</v>
      </c>
      <c r="O19" s="95">
        <f>STDEV(M19:M21)</f>
        <v>1.0906165378595909</v>
      </c>
      <c r="P19" s="111">
        <f>O19/N19</f>
        <v>0.10784015461389</v>
      </c>
      <c r="R19" s="6">
        <v>0.11598008899999999</v>
      </c>
      <c r="S19" s="34">
        <f t="shared" si="7"/>
        <v>0.25802974312884053</v>
      </c>
      <c r="T19" s="35">
        <f t="shared" si="8"/>
        <v>5.0594067280164809</v>
      </c>
      <c r="U19" s="104">
        <f t="shared" ref="U19" si="19">AVERAGE(T19:T21)</f>
        <v>4.9518112246909247</v>
      </c>
      <c r="V19" s="104">
        <f t="shared" ref="V19" si="20">STDEV(T19:T21)</f>
        <v>0.19044361327991519</v>
      </c>
      <c r="W19" s="111">
        <f>V19/U19</f>
        <v>3.8459384786382285E-2</v>
      </c>
      <c r="Y19" s="6">
        <v>0.71673882</v>
      </c>
      <c r="Z19" s="34">
        <f t="shared" si="16"/>
        <v>13.848017028407618</v>
      </c>
      <c r="AA19" s="35">
        <f t="shared" si="9"/>
        <v>0.27152974565505134</v>
      </c>
      <c r="AB19" s="98">
        <f>AVERAGE(AA19:AA21)</f>
        <v>0.28557928258469206</v>
      </c>
      <c r="AC19" s="98">
        <f>STDEV(AA19:AA21)</f>
        <v>2.8629064264071517E-2</v>
      </c>
      <c r="AD19" s="111">
        <f>AC19/AB19</f>
        <v>0.10024909371911885</v>
      </c>
      <c r="AF19" s="41">
        <f>AVERAGE(0.0467,0.049,0.0461)</f>
        <v>4.7266666666666672E-2</v>
      </c>
      <c r="AG19" s="34">
        <f t="shared" si="0"/>
        <v>18.159338267305181</v>
      </c>
      <c r="AH19" s="35">
        <f t="shared" si="17"/>
        <v>0.35606545622167018</v>
      </c>
      <c r="AI19" s="104">
        <f>AVERAGE(AH19:AH21)</f>
        <v>0.58186165185040906</v>
      </c>
      <c r="AJ19" s="104">
        <f>STDEV(AH19:AH21)</f>
        <v>0.19669786958729607</v>
      </c>
      <c r="AK19" s="111">
        <f>AJ19/AI19</f>
        <v>0.33804920630491242</v>
      </c>
      <c r="AM19" s="41">
        <f>AVERAGE(0.073,0.07,0.0714)</f>
        <v>7.1466666666666678E-2</v>
      </c>
      <c r="AN19" s="34">
        <f t="shared" si="10"/>
        <v>15.34068656166837</v>
      </c>
      <c r="AO19" s="35">
        <f t="shared" si="11"/>
        <v>0.30079777571898764</v>
      </c>
      <c r="AP19" s="104">
        <f>AVERAGE(AO19:AO21)</f>
        <v>0.55499841815809636</v>
      </c>
      <c r="AQ19" s="104">
        <f>STDEV(AO19:AO21)</f>
        <v>0.22014969876635843</v>
      </c>
      <c r="AR19" s="111">
        <f>AQ19/AP19</f>
        <v>0.39666725447070872</v>
      </c>
      <c r="AT19" s="41">
        <f>AVERAGE(0.4276,0.5125,0.4766)</f>
        <v>0.47223333333333334</v>
      </c>
      <c r="AU19" s="34">
        <f t="shared" si="18"/>
        <v>27.367515541906979</v>
      </c>
      <c r="AV19" s="35">
        <f t="shared" si="12"/>
        <v>0.53661795180209759</v>
      </c>
      <c r="AW19" s="104">
        <f t="shared" ref="AW19" si="21">AVERAGE(AV19:AV21)</f>
        <v>0.76631924964092979</v>
      </c>
      <c r="AX19" s="104">
        <f t="shared" ref="AX19" si="22">STDEV(AV19:AV21)</f>
        <v>0.27617393835069215</v>
      </c>
      <c r="AY19" s="111">
        <f t="shared" ref="AY19" si="23">AX19/AW19</f>
        <v>0.36039018787548077</v>
      </c>
      <c r="BA19" s="41">
        <f>AVERAGE(0.0621,0.062,0.0619)</f>
        <v>6.2E-2</v>
      </c>
      <c r="BB19" s="34">
        <f t="shared" si="13"/>
        <v>0.76966418580420715</v>
      </c>
      <c r="BC19" s="35">
        <f t="shared" si="14"/>
        <v>1.5091454623611906E-2</v>
      </c>
      <c r="BD19" s="115">
        <f t="shared" ref="BD19" si="24">AVERAGE(BC19:BC21)</f>
        <v>1.3714250351285715E-2</v>
      </c>
      <c r="BE19" s="115">
        <f t="shared" ref="BE19" si="25">STDEV(BC19:BC21)</f>
        <v>2.35774023639072E-3</v>
      </c>
      <c r="BF19" s="111">
        <f t="shared" ref="BF19" si="26">BE19/BD19</f>
        <v>0.17191900220559131</v>
      </c>
    </row>
    <row r="20" spans="1:58" ht="14.4" customHeight="1" x14ac:dyDescent="0.3">
      <c r="A20" s="114"/>
      <c r="B20" s="5">
        <v>0.52490000000000003</v>
      </c>
      <c r="C20" s="4">
        <v>0.01</v>
      </c>
      <c r="D20" s="3">
        <v>1.4E-2</v>
      </c>
      <c r="E20" s="25">
        <f t="shared" si="4"/>
        <v>7.8888888888888911E-2</v>
      </c>
      <c r="F20" s="25">
        <f t="shared" si="5"/>
        <v>1.5029317753646201</v>
      </c>
      <c r="G20" s="99"/>
      <c r="H20" s="99"/>
      <c r="I20" s="112"/>
      <c r="K20" s="3">
        <v>0.219</v>
      </c>
      <c r="L20" s="36">
        <f t="shared" si="15"/>
        <v>0.47447785337075982</v>
      </c>
      <c r="M20" s="37">
        <f t="shared" si="6"/>
        <v>9.0393951870977283</v>
      </c>
      <c r="N20" s="96"/>
      <c r="O20" s="96"/>
      <c r="P20" s="112"/>
      <c r="R20" s="6">
        <v>0.11129663099999999</v>
      </c>
      <c r="S20" s="34">
        <f t="shared" si="7"/>
        <v>0.24837861767157624</v>
      </c>
      <c r="T20" s="35">
        <f t="shared" si="8"/>
        <v>4.7319226075743233</v>
      </c>
      <c r="U20" s="105"/>
      <c r="V20" s="105"/>
      <c r="W20" s="112"/>
      <c r="Y20" s="6">
        <v>0.72455412100000005</v>
      </c>
      <c r="Z20" s="34">
        <f t="shared" si="16"/>
        <v>13.998514386581578</v>
      </c>
      <c r="AA20" s="35">
        <f t="shared" si="9"/>
        <v>0.26668916720483099</v>
      </c>
      <c r="AB20" s="99"/>
      <c r="AC20" s="99"/>
      <c r="AD20" s="112"/>
      <c r="AF20" s="41">
        <f>AVERAGE(0.0864,0.0852,0.085)</f>
        <v>8.5533333333333336E-2</v>
      </c>
      <c r="AG20" s="34">
        <f t="shared" si="0"/>
        <v>35.351850239442754</v>
      </c>
      <c r="AH20" s="35">
        <f t="shared" si="17"/>
        <v>0.67349686110578688</v>
      </c>
      <c r="AI20" s="105"/>
      <c r="AJ20" s="105"/>
      <c r="AK20" s="112"/>
      <c r="AM20" s="41">
        <f>AVERAGE(0.0493,0.0454,0.0464)</f>
        <v>4.7033333333333337E-2</v>
      </c>
      <c r="AN20" s="34">
        <f>(AM20-$AN$11)/$AN$10*4</f>
        <v>35.721793562856718</v>
      </c>
      <c r="AO20" s="35">
        <f t="shared" si="11"/>
        <v>0.68054474305309043</v>
      </c>
      <c r="AP20" s="105"/>
      <c r="AQ20" s="105"/>
      <c r="AR20" s="112"/>
      <c r="AT20" s="41">
        <f>AVERAGE(0.6053,0.6084,0.6026)</f>
        <v>0.60543333333333338</v>
      </c>
      <c r="AU20" s="34">
        <f t="shared" si="18"/>
        <v>36.196966519361858</v>
      </c>
      <c r="AV20" s="35">
        <f t="shared" si="12"/>
        <v>0.68959738082228716</v>
      </c>
      <c r="AW20" s="105"/>
      <c r="AX20" s="105"/>
      <c r="AY20" s="112"/>
      <c r="BA20" s="41">
        <f>AVERAGE(0.0493,0.049,0.0496)</f>
        <v>4.9300000000000004E-2</v>
      </c>
      <c r="BB20" s="34">
        <f t="shared" si="13"/>
        <v>0.57696110786567489</v>
      </c>
      <c r="BC20" s="35">
        <f t="shared" si="14"/>
        <v>1.0991829069645168E-2</v>
      </c>
      <c r="BD20" s="116"/>
      <c r="BE20" s="116"/>
      <c r="BF20" s="112"/>
    </row>
    <row r="21" spans="1:58" ht="14.4" customHeight="1" x14ac:dyDescent="0.3">
      <c r="A21" s="94"/>
      <c r="B21" s="5">
        <v>0.5</v>
      </c>
      <c r="C21" s="4">
        <v>0.01</v>
      </c>
      <c r="D21" s="6">
        <v>1.4E-2</v>
      </c>
      <c r="E21" s="25">
        <f t="shared" si="4"/>
        <v>7.8888888888888911E-2</v>
      </c>
      <c r="F21" s="25">
        <f t="shared" si="5"/>
        <v>1.5777777777777782</v>
      </c>
      <c r="G21" s="100"/>
      <c r="H21" s="100"/>
      <c r="I21" s="113"/>
      <c r="K21" s="6">
        <v>0.23200000000000001</v>
      </c>
      <c r="L21" s="38">
        <f t="shared" si="15"/>
        <v>0.5040261192254627</v>
      </c>
      <c r="M21" s="39">
        <f t="shared" si="6"/>
        <v>10.080522384509255</v>
      </c>
      <c r="N21" s="97"/>
      <c r="O21" s="97"/>
      <c r="P21" s="113"/>
      <c r="R21" s="6">
        <v>0.11363886300000001</v>
      </c>
      <c r="S21" s="34">
        <f t="shared" si="7"/>
        <v>0.25320521692409848</v>
      </c>
      <c r="T21" s="35">
        <f t="shared" si="8"/>
        <v>5.0641043384819699</v>
      </c>
      <c r="U21" s="106"/>
      <c r="V21" s="106"/>
      <c r="W21" s="113"/>
      <c r="Y21" s="6">
        <v>0.82464534</v>
      </c>
      <c r="Z21" s="34">
        <f t="shared" si="16"/>
        <v>15.925946744709695</v>
      </c>
      <c r="AA21" s="35">
        <f t="shared" si="9"/>
        <v>0.31851893489419392</v>
      </c>
      <c r="AB21" s="100"/>
      <c r="AC21" s="100"/>
      <c r="AD21" s="113"/>
      <c r="AF21" s="41">
        <f>AVERAGE(0.087,0.0847,0.0879)</f>
        <v>8.6533333333333337E-2</v>
      </c>
      <c r="AG21" s="34">
        <f t="shared" si="0"/>
        <v>35.801131911188506</v>
      </c>
      <c r="AH21" s="35">
        <f t="shared" si="17"/>
        <v>0.7160226382237701</v>
      </c>
      <c r="AI21" s="106"/>
      <c r="AJ21" s="106"/>
      <c r="AK21" s="113"/>
      <c r="AM21" s="41">
        <f>AVERAGE(0.0468,0.0452,0.0447)</f>
        <v>4.5566666666666665E-2</v>
      </c>
      <c r="AN21" s="34">
        <f>(AM21-$AN$11)/$AN$10*4</f>
        <v>34.182636785110546</v>
      </c>
      <c r="AO21" s="35">
        <f t="shared" si="11"/>
        <v>0.68365273570221097</v>
      </c>
      <c r="AP21" s="106"/>
      <c r="AQ21" s="106"/>
      <c r="AR21" s="113"/>
      <c r="AT21" s="41">
        <f>AVERAGE(0.8725,0.8962,0.8369)</f>
        <v>0.86853333333333327</v>
      </c>
      <c r="AU21" s="34">
        <f t="shared" si="18"/>
        <v>53.637120814920237</v>
      </c>
      <c r="AV21" s="35">
        <f t="shared" si="12"/>
        <v>1.0727424162984047</v>
      </c>
      <c r="AW21" s="106"/>
      <c r="AX21" s="106"/>
      <c r="AY21" s="113"/>
      <c r="BA21" s="41">
        <f>AVERAGE(0.0605,0.0611,0.0611)</f>
        <v>6.0900000000000003E-2</v>
      </c>
      <c r="BB21" s="34">
        <f t="shared" si="13"/>
        <v>0.75297336803000359</v>
      </c>
      <c r="BC21" s="35">
        <f t="shared" si="14"/>
        <v>1.5059467360600072E-2</v>
      </c>
      <c r="BD21" s="117"/>
      <c r="BE21" s="117"/>
      <c r="BF21" s="113"/>
    </row>
    <row r="22" spans="1:58" x14ac:dyDescent="0.3">
      <c r="A22" s="93" t="s">
        <v>33</v>
      </c>
      <c r="B22" s="5">
        <v>0.5</v>
      </c>
      <c r="C22" s="4">
        <v>0.01</v>
      </c>
      <c r="D22" s="6">
        <v>2.8000000000000001E-2</v>
      </c>
      <c r="E22" s="25">
        <f t="shared" si="4"/>
        <v>0.17222222222222225</v>
      </c>
      <c r="F22" s="25">
        <f t="shared" si="5"/>
        <v>3.4444444444444446</v>
      </c>
      <c r="G22" s="104">
        <f t="shared" ref="G22" si="27">AVERAGE(F22:F24)</f>
        <v>3.5450657629306872</v>
      </c>
      <c r="H22" s="104">
        <f t="shared" ref="H22" si="28">STDEV(F22:F24)</f>
        <v>0.12366790852577782</v>
      </c>
      <c r="I22" s="111">
        <f t="shared" ref="I22" si="29">H22/G22</f>
        <v>3.4884517466198486E-2</v>
      </c>
      <c r="K22" s="6">
        <v>0.20499999999999999</v>
      </c>
      <c r="L22" s="34">
        <f t="shared" si="15"/>
        <v>0.44265664398877208</v>
      </c>
      <c r="M22" s="37">
        <f t="shared" si="6"/>
        <v>8.8531328797754423</v>
      </c>
      <c r="N22" s="104">
        <f t="shared" ref="N22" si="30">AVERAGE(M22:M24)</f>
        <v>8.7664980154380512</v>
      </c>
      <c r="O22" s="104">
        <f t="shared" ref="O22" si="31">STDEV(M22:M24)</f>
        <v>0.40715131837921142</v>
      </c>
      <c r="P22" s="111">
        <f>O22/N22</f>
        <v>4.6444009644695798E-2</v>
      </c>
      <c r="R22" s="6">
        <v>0.30343383600000001</v>
      </c>
      <c r="S22" s="34">
        <f t="shared" si="7"/>
        <v>0.64431261995431488</v>
      </c>
      <c r="T22" s="35">
        <f t="shared" si="8"/>
        <v>12.886252399086297</v>
      </c>
      <c r="U22" s="104">
        <f t="shared" ref="U22" si="32">AVERAGE(T22:T24)</f>
        <v>12.064993115621341</v>
      </c>
      <c r="V22" s="104">
        <f t="shared" ref="V22" si="33">STDEV(T22:T24)</f>
        <v>0.72088338665749641</v>
      </c>
      <c r="W22" s="111">
        <f>V22/U22</f>
        <v>5.9750003978379498E-2</v>
      </c>
      <c r="Y22" s="6">
        <v>0.17177103499999999</v>
      </c>
      <c r="Z22" s="34">
        <f t="shared" si="16"/>
        <v>3.3537044059746046</v>
      </c>
      <c r="AA22" s="35">
        <f t="shared" si="9"/>
        <v>6.7074088119492101E-2</v>
      </c>
      <c r="AB22" s="98">
        <f t="shared" ref="AB22" si="34">AVERAGE(AA22:AA24)</f>
        <v>6.3277283456345493E-2</v>
      </c>
      <c r="AC22" s="98">
        <f t="shared" ref="AC22" si="35">STDEV(AA22:AA24)</f>
        <v>1.7910570286601049E-2</v>
      </c>
      <c r="AD22" s="111">
        <f>AC22/AB22</f>
        <v>0.28304897600348811</v>
      </c>
      <c r="AF22" s="41">
        <f>AVERAGE(0.0172,0.017,0.0164)</f>
        <v>1.6866666666666669E-2</v>
      </c>
      <c r="AG22" s="34">
        <f t="shared" si="0"/>
        <v>4.5011754462342184</v>
      </c>
      <c r="AH22" s="35">
        <f t="shared" si="17"/>
        <v>9.0023508924684373E-2</v>
      </c>
      <c r="AI22" s="104">
        <f t="shared" ref="AI22" si="36">AVERAGE(AH22:AH24)</f>
        <v>0.14832376036565645</v>
      </c>
      <c r="AJ22" s="104">
        <f t="shared" ref="AJ22" si="37">STDEV(AH22:AH24)</f>
        <v>0.10827526320021098</v>
      </c>
      <c r="AK22" s="111">
        <f>AJ22/AI22</f>
        <v>0.72999270604577748</v>
      </c>
      <c r="AM22" s="41">
        <f>AVERAGE(0.0147,0.0121,0.0126)</f>
        <v>1.3133333333333332E-2</v>
      </c>
      <c r="AN22" s="34">
        <f t="shared" si="10"/>
        <v>3.6570873851407164E-2</v>
      </c>
      <c r="AO22" s="35">
        <f t="shared" si="11"/>
        <v>7.3141747702814327E-4</v>
      </c>
      <c r="AP22" s="104" t="s">
        <v>31</v>
      </c>
      <c r="AQ22" s="104"/>
      <c r="AR22" s="111"/>
      <c r="AT22" s="41">
        <f>AVERAGE(0.2159,0.1978,0.1892)</f>
        <v>0.20096666666666665</v>
      </c>
      <c r="AU22" s="34">
        <f t="shared" si="18"/>
        <v>9.3860160287618939</v>
      </c>
      <c r="AV22" s="35">
        <f t="shared" si="12"/>
        <v>0.18772032057523788</v>
      </c>
      <c r="AW22" s="98">
        <f t="shared" ref="AW22" si="38">AVERAGE(AV22:AV24)</f>
        <v>0.10200803575784967</v>
      </c>
      <c r="AX22" s="98">
        <f t="shared" ref="AX22" si="39">STDEV(AV22:AV24)</f>
        <v>8.9073364386435122E-2</v>
      </c>
      <c r="AY22" s="111">
        <f t="shared" ref="AY22" si="40">AX22/AW22</f>
        <v>0.8731994859491331</v>
      </c>
      <c r="BA22" s="41">
        <f>AVERAGE(0.1449,0.1459,0.147)</f>
        <v>0.14593333333333333</v>
      </c>
      <c r="BB22" s="34">
        <f t="shared" si="13"/>
        <v>2.0432241602116199</v>
      </c>
      <c r="BC22" s="35">
        <f t="shared" si="14"/>
        <v>4.0864483204232402E-2</v>
      </c>
      <c r="BD22" s="115">
        <f t="shared" ref="BD22" si="41">AVERAGE(BC22:BC24)</f>
        <v>4.1491048077443131E-2</v>
      </c>
      <c r="BE22" s="115">
        <f t="shared" ref="BE22" si="42">STDEV(BC22:BC24)</f>
        <v>2.4080008883983284E-3</v>
      </c>
      <c r="BF22" s="111">
        <f t="shared" ref="BF22" si="43">BE22/BD22</f>
        <v>5.8036636816302868E-2</v>
      </c>
    </row>
    <row r="23" spans="1:58" ht="14.4" customHeight="1" x14ac:dyDescent="0.3">
      <c r="A23" s="114"/>
      <c r="B23" s="5">
        <v>0.54</v>
      </c>
      <c r="C23" s="4">
        <v>0.01</v>
      </c>
      <c r="D23" s="6">
        <v>3.2000000000000001E-2</v>
      </c>
      <c r="E23" s="25">
        <f t="shared" si="4"/>
        <v>0.19888888888888892</v>
      </c>
      <c r="F23" s="25">
        <f t="shared" si="5"/>
        <v>3.6831275720164616</v>
      </c>
      <c r="G23" s="105"/>
      <c r="H23" s="105"/>
      <c r="I23" s="112"/>
      <c r="K23" s="6">
        <v>0.22700000000000001</v>
      </c>
      <c r="L23" s="36">
        <f t="shared" si="15"/>
        <v>0.49266140158903854</v>
      </c>
      <c r="M23" s="37">
        <f t="shared" si="6"/>
        <v>9.123359288685899</v>
      </c>
      <c r="N23" s="105"/>
      <c r="O23" s="105"/>
      <c r="P23" s="112"/>
      <c r="R23" s="6">
        <v>0.29308494899999998</v>
      </c>
      <c r="S23" s="34">
        <f t="shared" si="7"/>
        <v>0.62298683742780303</v>
      </c>
      <c r="T23" s="35">
        <f t="shared" si="8"/>
        <v>11.536793285700055</v>
      </c>
      <c r="U23" s="105"/>
      <c r="V23" s="105"/>
      <c r="W23" s="112"/>
      <c r="Y23" s="6">
        <v>0.21910442399999999</v>
      </c>
      <c r="Z23" s="34">
        <f t="shared" si="16"/>
        <v>4.2651920118800293</v>
      </c>
      <c r="AA23" s="35">
        <f t="shared" si="9"/>
        <v>7.8985037257037566E-2</v>
      </c>
      <c r="AB23" s="99"/>
      <c r="AC23" s="99"/>
      <c r="AD23" s="112"/>
      <c r="AF23" s="41">
        <f>AVERAGE(0.0166,0.0165,0.0169)</f>
        <v>1.6666666666666666E-2</v>
      </c>
      <c r="AG23" s="34">
        <f t="shared" si="0"/>
        <v>4.4113191118850663</v>
      </c>
      <c r="AH23" s="35">
        <f t="shared" si="17"/>
        <v>8.1691094664538264E-2</v>
      </c>
      <c r="AI23" s="105"/>
      <c r="AJ23" s="105"/>
      <c r="AK23" s="112"/>
      <c r="AM23" s="41">
        <f>AVERAGE(0.0418,0.0376,0.0403)</f>
        <v>3.9899999999999998E-2</v>
      </c>
      <c r="AN23" s="34">
        <f t="shared" si="10"/>
        <v>7.0589736723182748</v>
      </c>
      <c r="AO23" s="35">
        <f t="shared" si="11"/>
        <v>0.13072173467256065</v>
      </c>
      <c r="AP23" s="105"/>
      <c r="AQ23" s="105"/>
      <c r="AR23" s="112"/>
      <c r="AT23" s="41">
        <f>AVERAGE(0.176,0.1358,0.1312)</f>
        <v>0.14766666666666664</v>
      </c>
      <c r="AU23" s="34">
        <f t="shared" si="18"/>
        <v>5.8529098943899358</v>
      </c>
      <c r="AV23" s="35">
        <f t="shared" si="12"/>
        <v>0.10838722026648029</v>
      </c>
      <c r="AW23" s="99"/>
      <c r="AX23" s="99"/>
      <c r="AY23" s="112"/>
      <c r="BA23" s="41">
        <f>AVERAGE(0.1682,0.1691,0.1679)</f>
        <v>0.16839999999999999</v>
      </c>
      <c r="BB23" s="34">
        <f t="shared" si="13"/>
        <v>2.3841214686908079</v>
      </c>
      <c r="BC23" s="35">
        <f t="shared" si="14"/>
        <v>4.4150397568348293E-2</v>
      </c>
      <c r="BD23" s="116"/>
      <c r="BE23" s="116"/>
      <c r="BF23" s="112"/>
    </row>
    <row r="24" spans="1:58" x14ac:dyDescent="0.3">
      <c r="A24" s="94"/>
      <c r="B24" s="5">
        <v>0.51</v>
      </c>
      <c r="C24" s="4">
        <v>0.01</v>
      </c>
      <c r="D24" s="6">
        <v>2.9000000000000001E-2</v>
      </c>
      <c r="E24" s="25">
        <f t="shared" si="4"/>
        <v>0.17888888888888893</v>
      </c>
      <c r="F24" s="25">
        <f t="shared" si="5"/>
        <v>3.5076252723311554</v>
      </c>
      <c r="G24" s="106"/>
      <c r="H24" s="106"/>
      <c r="I24" s="113"/>
      <c r="K24" s="6">
        <v>0.19700000000000001</v>
      </c>
      <c r="L24" s="38">
        <f t="shared" si="15"/>
        <v>0.42447309577049341</v>
      </c>
      <c r="M24" s="39">
        <f t="shared" si="6"/>
        <v>8.3230018778528105</v>
      </c>
      <c r="N24" s="106"/>
      <c r="O24" s="106"/>
      <c r="P24" s="113"/>
      <c r="R24" s="6">
        <v>0.28210887299999998</v>
      </c>
      <c r="S24" s="34">
        <f t="shared" si="7"/>
        <v>0.60036861676596132</v>
      </c>
      <c r="T24" s="35">
        <f t="shared" si="8"/>
        <v>11.771933662077672</v>
      </c>
      <c r="U24" s="106"/>
      <c r="V24" s="106"/>
      <c r="W24" s="113"/>
      <c r="Y24" s="6">
        <v>0.11354236299999999</v>
      </c>
      <c r="Z24" s="34">
        <f t="shared" si="16"/>
        <v>2.2324089746178473</v>
      </c>
      <c r="AA24" s="35">
        <f t="shared" si="9"/>
        <v>4.3772724992506805E-2</v>
      </c>
      <c r="AB24" s="100"/>
      <c r="AC24" s="100"/>
      <c r="AD24" s="113"/>
      <c r="AF24" s="41">
        <f>AVERAGE(0.0383,0.0377,0.0376)</f>
        <v>3.7866666666666667E-2</v>
      </c>
      <c r="AG24" s="34">
        <f t="shared" si="0"/>
        <v>13.936090552895079</v>
      </c>
      <c r="AH24" s="35">
        <f t="shared" si="17"/>
        <v>0.27325667750774668</v>
      </c>
      <c r="AI24" s="106"/>
      <c r="AJ24" s="106"/>
      <c r="AK24" s="113"/>
      <c r="AM24" s="41">
        <f>AVERAGE(0.0134,0.013,0.0182)</f>
        <v>1.4866666666666667E-2</v>
      </c>
      <c r="AN24" s="34">
        <f t="shared" si="10"/>
        <v>0.49132174000368301</v>
      </c>
      <c r="AO24" s="35">
        <f t="shared" si="11"/>
        <v>9.6337596079153539E-3</v>
      </c>
      <c r="AP24" s="106"/>
      <c r="AQ24" s="106"/>
      <c r="AR24" s="113"/>
      <c r="AT24" s="41">
        <f>AVERAGE(0.0521,0.0498,0.0991)</f>
        <v>6.699999999999999E-2</v>
      </c>
      <c r="AU24" s="34">
        <f t="shared" si="18"/>
        <v>0.50574488802337203</v>
      </c>
      <c r="AV24" s="35">
        <f t="shared" si="12"/>
        <v>9.9165664318308228E-3</v>
      </c>
      <c r="AW24" s="100"/>
      <c r="AX24" s="100"/>
      <c r="AY24" s="113"/>
      <c r="BA24" s="41">
        <f>AVERAGE(0.1445,0.1433,0.1439)</f>
        <v>0.1439</v>
      </c>
      <c r="BB24" s="34">
        <f t="shared" si="13"/>
        <v>2.0123714364471827</v>
      </c>
      <c r="BC24" s="35">
        <f t="shared" si="14"/>
        <v>3.9458263459748684E-2</v>
      </c>
      <c r="BD24" s="117"/>
      <c r="BE24" s="117"/>
      <c r="BF24" s="113"/>
    </row>
    <row r="25" spans="1:58" ht="14.4" customHeight="1" x14ac:dyDescent="0.3">
      <c r="A25" s="93" t="s">
        <v>34</v>
      </c>
      <c r="B25" s="5">
        <v>0.52</v>
      </c>
      <c r="C25" s="4">
        <v>0.01</v>
      </c>
      <c r="D25" s="6">
        <v>1.4E-2</v>
      </c>
      <c r="E25" s="25">
        <f t="shared" si="4"/>
        <v>7.8888888888888911E-2</v>
      </c>
      <c r="F25" s="25">
        <f t="shared" si="5"/>
        <v>1.5170940170940175</v>
      </c>
      <c r="G25" s="104">
        <f>AVERAGE(F25:F27)</f>
        <v>1.0447424145167397</v>
      </c>
      <c r="H25" s="104">
        <f>STDEV(F25:F27)</f>
        <v>0.44562376070971127</v>
      </c>
      <c r="I25" s="111">
        <f>H25/G25</f>
        <v>0.42653935986301544</v>
      </c>
      <c r="K25" s="6">
        <v>0.29699999999999999</v>
      </c>
      <c r="L25" s="34">
        <f t="shared" si="15"/>
        <v>0.65176744849897705</v>
      </c>
      <c r="M25" s="37">
        <f t="shared" si="6"/>
        <v>12.533989394211096</v>
      </c>
      <c r="N25" s="95">
        <f t="shared" ref="N25" si="44">AVERAGE(M25:M27)</f>
        <v>9.5275118169920976</v>
      </c>
      <c r="O25" s="95">
        <f t="shared" ref="O25" si="45">STDEV(M25:M27)</f>
        <v>2.7080099626357899</v>
      </c>
      <c r="P25" s="111">
        <f>O25/N25</f>
        <v>0.28423055406828429</v>
      </c>
      <c r="R25" s="6">
        <v>3.8831036499999999E-2</v>
      </c>
      <c r="S25" s="34">
        <f t="shared" si="7"/>
        <v>9.9049949867841908E-2</v>
      </c>
      <c r="T25" s="35">
        <f t="shared" si="8"/>
        <v>1.9048067282277288</v>
      </c>
      <c r="U25" s="104">
        <f t="shared" ref="U25" si="46">AVERAGE(T25:T27)</f>
        <v>1.559495927345419</v>
      </c>
      <c r="V25" s="104">
        <f t="shared" ref="V25" si="47">STDEV(T25:T27)</f>
        <v>0.36278275310163988</v>
      </c>
      <c r="W25" s="111">
        <f>V25/U25</f>
        <v>0.23262821450208615</v>
      </c>
      <c r="Y25" s="6">
        <v>0.57367020800000001</v>
      </c>
      <c r="Z25" s="34">
        <f t="shared" si="16"/>
        <v>11.092979424147082</v>
      </c>
      <c r="AA25" s="35">
        <f t="shared" si="9"/>
        <v>0.21332652738744387</v>
      </c>
      <c r="AB25" s="98">
        <f t="shared" ref="AB25" si="48">AVERAGE(AA25:AA27)</f>
        <v>0.13265009222160926</v>
      </c>
      <c r="AC25" s="98">
        <f t="shared" ref="AC25" si="49">STDEV(AA25:AA27)</f>
        <v>7.2913234758491333E-2</v>
      </c>
      <c r="AD25" s="111">
        <f>AC25/AB25</f>
        <v>0.54966591833709599</v>
      </c>
      <c r="AF25" s="41">
        <f>AVERAGE(0.0464,0.0463,0.0455)</f>
        <v>4.6066666666666665E-2</v>
      </c>
      <c r="AG25" s="34">
        <f t="shared" si="0"/>
        <v>17.620200261210272</v>
      </c>
      <c r="AH25" s="35">
        <f t="shared" si="17"/>
        <v>0.33885000502327445</v>
      </c>
      <c r="AI25" s="98">
        <f t="shared" ref="AI25" si="50">AVERAGE(AH25:AH27)</f>
        <v>0.26225262758017681</v>
      </c>
      <c r="AJ25" s="98">
        <f t="shared" ref="AJ25" si="51">STDEV(AH25:AH27)</f>
        <v>7.2437941513043447E-2</v>
      </c>
      <c r="AK25" s="111">
        <f>AJ25/AI25</f>
        <v>0.27621435934287242</v>
      </c>
      <c r="AM25" s="41">
        <f>AVERAGE(0.0503,0.0269,0.0273)</f>
        <v>3.4833333333333334E-2</v>
      </c>
      <c r="AN25" s="34">
        <f t="shared" si="10"/>
        <v>5.7297019097193171</v>
      </c>
      <c r="AO25" s="35">
        <f t="shared" si="11"/>
        <v>0.11018657518690994</v>
      </c>
      <c r="AP25" s="104" t="s">
        <v>31</v>
      </c>
      <c r="AQ25" s="104"/>
      <c r="AR25" s="111"/>
      <c r="AT25" s="41">
        <f>AVERAGE(0.3424,0.3526,0.4332)</f>
        <v>0.37606666666666672</v>
      </c>
      <c r="AU25" s="34">
        <f t="shared" si="18"/>
        <v>20.992899408284032</v>
      </c>
      <c r="AV25" s="35">
        <f t="shared" si="12"/>
        <v>0.40370960400546213</v>
      </c>
      <c r="AW25" s="104">
        <f t="shared" ref="AW25" si="52">AVERAGE(AV25:AV27)</f>
        <v>0.26585927247097679</v>
      </c>
      <c r="AX25" s="104">
        <f t="shared" ref="AX25" si="53">STDEV(AV25:AV27)</f>
        <v>0.11944466999366224</v>
      </c>
      <c r="AY25" s="111">
        <f t="shared" ref="AY25" si="54">AX25/AW25</f>
        <v>0.44927780356692926</v>
      </c>
      <c r="BA25" s="41">
        <f>AVERAGE(0.013,0.0917,0.0912)</f>
        <v>6.5300000000000011E-2</v>
      </c>
      <c r="BB25" s="34">
        <f t="shared" si="13"/>
        <v>0.81973663912681805</v>
      </c>
      <c r="BC25" s="35">
        <f t="shared" si="14"/>
        <v>1.5764166137054194E-2</v>
      </c>
      <c r="BD25" s="115">
        <f t="shared" ref="BD25" si="55">AVERAGE(BC25:BC27)</f>
        <v>1.752073446338134E-2</v>
      </c>
      <c r="BE25" s="115">
        <f t="shared" ref="BE25" si="56">STDEV(BC25:BC27)</f>
        <v>6.310188164780588E-3</v>
      </c>
      <c r="BF25" s="111">
        <f t="shared" ref="BF25" si="57">BE25/BD25</f>
        <v>0.36015545912010699</v>
      </c>
    </row>
    <row r="26" spans="1:58" ht="14.4" customHeight="1" x14ac:dyDescent="0.3">
      <c r="A26" s="114"/>
      <c r="B26" s="5">
        <v>0.51</v>
      </c>
      <c r="C26" s="4">
        <v>0.01</v>
      </c>
      <c r="D26" s="6">
        <v>7.0000000000000001E-3</v>
      </c>
      <c r="E26" s="25">
        <f t="shared" si="4"/>
        <v>3.2222222222222242E-2</v>
      </c>
      <c r="F26" s="25">
        <f t="shared" si="5"/>
        <v>0.63180827886710278</v>
      </c>
      <c r="G26" s="105"/>
      <c r="H26" s="105"/>
      <c r="I26" s="112"/>
      <c r="K26" s="6">
        <v>0.20699999999999999</v>
      </c>
      <c r="L26" s="36">
        <f t="shared" si="15"/>
        <v>0.44720253104334173</v>
      </c>
      <c r="M26" s="37">
        <f t="shared" si="6"/>
        <v>8.7686770792812112</v>
      </c>
      <c r="N26" s="96"/>
      <c r="O26" s="96"/>
      <c r="P26" s="112"/>
      <c r="R26" s="6">
        <v>2.0004492299999999E-2</v>
      </c>
      <c r="S26" s="34">
        <f t="shared" si="7"/>
        <v>6.025439752149192E-2</v>
      </c>
      <c r="T26" s="35">
        <f t="shared" si="8"/>
        <v>1.181458774931214</v>
      </c>
      <c r="U26" s="105"/>
      <c r="V26" s="105"/>
      <c r="W26" s="112"/>
      <c r="Y26" s="6">
        <v>0.18686841400000001</v>
      </c>
      <c r="Z26" s="34">
        <f t="shared" si="16"/>
        <v>3.6444309761797689</v>
      </c>
      <c r="AA26" s="35">
        <f t="shared" si="9"/>
        <v>7.1459430905485663E-2</v>
      </c>
      <c r="AB26" s="99"/>
      <c r="AC26" s="99"/>
      <c r="AD26" s="112"/>
      <c r="AF26" s="41">
        <f>AVERAGE(0.0283,0.0293,0.0293)</f>
        <v>2.8966666666666668E-2</v>
      </c>
      <c r="AG26" s="34">
        <f t="shared" si="0"/>
        <v>9.937483674357857</v>
      </c>
      <c r="AH26" s="35">
        <f t="shared" si="17"/>
        <v>0.19485262106584034</v>
      </c>
      <c r="AI26" s="99"/>
      <c r="AJ26" s="99"/>
      <c r="AK26" s="112"/>
      <c r="AM26" s="41">
        <f>AVERAGE(0.0148,0.0232,0.0152)</f>
        <v>1.7733333333333334E-2</v>
      </c>
      <c r="AN26" s="34">
        <f t="shared" si="10"/>
        <v>1.2434097109478308</v>
      </c>
      <c r="AO26" s="35">
        <f t="shared" si="11"/>
        <v>2.4380582567604527E-2</v>
      </c>
      <c r="AP26" s="105"/>
      <c r="AQ26" s="105"/>
      <c r="AR26" s="112"/>
      <c r="AT26" s="41">
        <f>AVERAGE(0.2226,0.2145,0.2045)</f>
        <v>0.21386666666666665</v>
      </c>
      <c r="AU26" s="34">
        <f t="shared" si="18"/>
        <v>10.241120515317208</v>
      </c>
      <c r="AV26" s="35">
        <f t="shared" si="12"/>
        <v>0.20080628461406289</v>
      </c>
      <c r="AW26" s="105"/>
      <c r="AX26" s="105"/>
      <c r="AY26" s="112"/>
      <c r="BA26" s="41">
        <f>AVERAGE(0.0527,0.0543,0.0506)</f>
        <v>5.2533333333333328E-2</v>
      </c>
      <c r="BB26" s="34">
        <f t="shared" si="13"/>
        <v>0.62602199647469747</v>
      </c>
      <c r="BC26" s="35">
        <f t="shared" si="14"/>
        <v>1.2274941107347009E-2</v>
      </c>
      <c r="BD26" s="116"/>
      <c r="BE26" s="116"/>
      <c r="BF26" s="112"/>
    </row>
    <row r="27" spans="1:58" ht="14.4" customHeight="1" x14ac:dyDescent="0.3">
      <c r="A27" s="94"/>
      <c r="B27" s="5">
        <v>0.53</v>
      </c>
      <c r="C27" s="4">
        <v>0.01</v>
      </c>
      <c r="D27" s="6">
        <v>0.01</v>
      </c>
      <c r="E27" s="25">
        <f t="shared" si="4"/>
        <v>5.2222222222222246E-2</v>
      </c>
      <c r="F27" s="25">
        <f t="shared" si="5"/>
        <v>0.98532494758909883</v>
      </c>
      <c r="G27" s="106"/>
      <c r="H27" s="106"/>
      <c r="I27" s="113"/>
      <c r="K27" s="6">
        <v>0.18</v>
      </c>
      <c r="L27" s="38">
        <f t="shared" si="15"/>
        <v>0.38583305580665112</v>
      </c>
      <c r="M27" s="39">
        <f t="shared" si="6"/>
        <v>7.2798689774839831</v>
      </c>
      <c r="N27" s="97"/>
      <c r="O27" s="97"/>
      <c r="P27" s="113"/>
      <c r="R27" s="6">
        <v>3.1715840100000003E-2</v>
      </c>
      <c r="S27" s="34">
        <f t="shared" si="7"/>
        <v>8.438778078049762E-2</v>
      </c>
      <c r="T27" s="35">
        <f t="shared" si="8"/>
        <v>1.5922222788773137</v>
      </c>
      <c r="U27" s="106"/>
      <c r="V27" s="106"/>
      <c r="W27" s="113"/>
      <c r="Y27" s="6">
        <v>0.309073716</v>
      </c>
      <c r="Z27" s="34">
        <f t="shared" si="16"/>
        <v>5.9977088737106081</v>
      </c>
      <c r="AA27" s="35">
        <f t="shared" si="9"/>
        <v>0.11316431837189826</v>
      </c>
      <c r="AB27" s="100"/>
      <c r="AC27" s="100"/>
      <c r="AD27" s="113"/>
      <c r="AF27" s="41">
        <f>AVERAGE(0.0373,0.0356,0.0372)</f>
        <v>3.6699999999999997E-2</v>
      </c>
      <c r="AG27" s="34">
        <f t="shared" si="0"/>
        <v>13.41192860252503</v>
      </c>
      <c r="AH27" s="35">
        <f t="shared" si="17"/>
        <v>0.25305525665141565</v>
      </c>
      <c r="AI27" s="100"/>
      <c r="AJ27" s="100"/>
      <c r="AK27" s="113"/>
      <c r="AM27" s="41">
        <f>AVERAGE(0.0292,0.0272,0.0302)</f>
        <v>2.8866666666666665E-2</v>
      </c>
      <c r="AN27" s="34">
        <f t="shared" si="10"/>
        <v>4.1643095050797534</v>
      </c>
      <c r="AO27" s="35">
        <f t="shared" si="11"/>
        <v>7.8571877454334971E-2</v>
      </c>
      <c r="AP27" s="106"/>
      <c r="AQ27" s="106"/>
      <c r="AR27" s="113"/>
      <c r="AT27" s="41">
        <f>AVERAGE(0.241,0.1789,0.2213)</f>
        <v>0.21373333333333333</v>
      </c>
      <c r="AU27" s="34">
        <f t="shared" si="18"/>
        <v>10.232282226050488</v>
      </c>
      <c r="AV27" s="35">
        <f t="shared" si="12"/>
        <v>0.19306192879340545</v>
      </c>
      <c r="AW27" s="106"/>
      <c r="AX27" s="106"/>
      <c r="AY27" s="113"/>
      <c r="BA27" s="41">
        <f>AVERAGE(0.0928,0.1047,0.0933)</f>
        <v>9.693333333333333E-2</v>
      </c>
      <c r="BB27" s="34">
        <f t="shared" si="13"/>
        <v>1.2997240957243692</v>
      </c>
      <c r="BC27" s="35">
        <f t="shared" si="14"/>
        <v>2.4523096145742815E-2</v>
      </c>
      <c r="BD27" s="117"/>
      <c r="BE27" s="117"/>
      <c r="BF27" s="113"/>
    </row>
    <row r="28" spans="1:58" x14ac:dyDescent="0.3">
      <c r="A28" s="93" t="s">
        <v>35</v>
      </c>
      <c r="B28" s="5">
        <v>0.5</v>
      </c>
      <c r="C28" s="4">
        <v>0.01</v>
      </c>
      <c r="D28" s="3">
        <v>1.7000000000000001E-2</v>
      </c>
      <c r="E28" s="25">
        <f t="shared" si="4"/>
        <v>9.8888888888888915E-2</v>
      </c>
      <c r="F28" s="25">
        <f>(E28*C28)/B28*1000</f>
        <v>1.9777777777777783</v>
      </c>
      <c r="G28" s="104">
        <f t="shared" ref="G28" si="58">AVERAGE(F28:F30)</f>
        <v>1.9777777777777781</v>
      </c>
      <c r="H28" s="104">
        <f t="shared" ref="H28" si="59">STDEV(F28:F30)</f>
        <v>0.13333333333333308</v>
      </c>
      <c r="I28" s="111">
        <f t="shared" ref="I28" si="60">H28/G28</f>
        <v>6.7415730337078511E-2</v>
      </c>
      <c r="K28" s="6">
        <v>0.17199999999999999</v>
      </c>
      <c r="L28" s="38">
        <f t="shared" si="15"/>
        <v>0.36764950758837245</v>
      </c>
      <c r="M28" s="37">
        <f t="shared" si="6"/>
        <v>7.3529901517674494</v>
      </c>
      <c r="N28" s="104">
        <f>AVERAGE(M28:M30)</f>
        <v>7.4742138065559738</v>
      </c>
      <c r="O28" s="104">
        <f>STDEV(M28,M30)</f>
        <v>0.19286565376766132</v>
      </c>
      <c r="P28" s="111">
        <f>O28/N28</f>
        <v>2.5804139239165202E-2</v>
      </c>
      <c r="R28" s="6">
        <v>0.77670735099999999</v>
      </c>
      <c r="S28" s="34">
        <f t="shared" si="7"/>
        <v>1.61957962755115</v>
      </c>
      <c r="T28" s="35">
        <f t="shared" si="8"/>
        <v>32.391592551023002</v>
      </c>
      <c r="U28" s="95">
        <f t="shared" ref="U28" si="61">AVERAGE(T28:T30)</f>
        <v>32.05919178601625</v>
      </c>
      <c r="V28" s="95">
        <f t="shared" ref="V28" si="62">STDEV(T28:T30)</f>
        <v>1.5703989921757961</v>
      </c>
      <c r="W28" s="111">
        <f>V28/U28</f>
        <v>4.8984360013117401E-2</v>
      </c>
      <c r="Y28" s="6">
        <v>0.30287250900000001</v>
      </c>
      <c r="Z28" s="34">
        <f t="shared" si="16"/>
        <v>5.8782937326955844</v>
      </c>
      <c r="AA28" s="35">
        <f t="shared" si="9"/>
        <v>0.11756587465391169</v>
      </c>
      <c r="AB28" s="98">
        <f t="shared" ref="AB28" si="63">AVERAGE(AA28:AA30)</f>
        <v>0.13078347465293855</v>
      </c>
      <c r="AC28" s="98">
        <f t="shared" ref="AC28" si="64">STDEV(AA28:AA30)</f>
        <v>1.1773892948373761E-2</v>
      </c>
      <c r="AD28" s="111">
        <f>AC28/AB28</f>
        <v>9.0025845999414392E-2</v>
      </c>
      <c r="AF28" s="41">
        <f>AVERAGE(0.0383,0.0372,0.0371)</f>
        <v>3.7533333333333335E-2</v>
      </c>
      <c r="AG28" s="34">
        <f t="shared" si="0"/>
        <v>13.786329995646495</v>
      </c>
      <c r="AH28" s="35">
        <f t="shared" si="17"/>
        <v>0.27572659991292991</v>
      </c>
      <c r="AI28" s="98">
        <f t="shared" ref="AI28" si="65">AVERAGE(AH28:AH30)</f>
        <v>0.30597823247714412</v>
      </c>
      <c r="AJ28" s="98">
        <f t="shared" ref="AJ28" si="66">STDEV(AH28:AH30)</f>
        <v>3.2374616409775868E-2</v>
      </c>
      <c r="AK28" s="111">
        <f>AJ28/AI28</f>
        <v>0.10580692668127684</v>
      </c>
      <c r="AM28" s="41">
        <f>AVERAGE(0.0212,0.0196,0.0188)</f>
        <v>1.9866666666666668E-2</v>
      </c>
      <c r="AN28" s="34">
        <f t="shared" si="10"/>
        <v>1.8031030846737084</v>
      </c>
      <c r="AO28" s="35">
        <f t="shared" si="11"/>
        <v>3.6062061693474166E-2</v>
      </c>
      <c r="AP28" s="104" t="s">
        <v>31</v>
      </c>
      <c r="AQ28" s="104"/>
      <c r="AR28" s="111"/>
      <c r="AT28" s="41">
        <f>AVERAGE(0.1304,0.1967,0.2041)</f>
        <v>0.17706666666666668</v>
      </c>
      <c r="AU28" s="34">
        <f t="shared" si="18"/>
        <v>7.8017526777020496</v>
      </c>
      <c r="AV28" s="35">
        <f t="shared" si="12"/>
        <v>0.15603505355404099</v>
      </c>
      <c r="AW28" s="98">
        <f t="shared" ref="AW28" si="67">AVERAGE(AV28:AV30)</f>
        <v>0.1405238558909446</v>
      </c>
      <c r="AX28" s="98">
        <f t="shared" ref="AX28" si="68">STDEV(AV28:AV30)</f>
        <v>1.3457946137225204E-2</v>
      </c>
      <c r="AY28" s="111">
        <f t="shared" ref="AY28" si="69">AX28/AW28</f>
        <v>9.5769832473636518E-2</v>
      </c>
      <c r="BA28" s="41">
        <f>AVERAGE(0.0909,0.1155,0.1405)</f>
        <v>0.11563333333333332</v>
      </c>
      <c r="BB28" s="34">
        <f t="shared" si="13"/>
        <v>1.5834679978858301</v>
      </c>
      <c r="BC28" s="35">
        <f t="shared" si="14"/>
        <v>3.1669359957716602E-2</v>
      </c>
      <c r="BD28" s="115">
        <f t="shared" ref="BD28" si="70">AVERAGE(BC28:BC30)</f>
        <v>3.0219450534907003E-2</v>
      </c>
      <c r="BE28" s="115">
        <f t="shared" ref="BE28" si="71">STDEV(BC28:BC30)</f>
        <v>4.3914531890536417E-3</v>
      </c>
      <c r="BF28" s="111">
        <f t="shared" ref="BF28" si="72">BE28/BD28</f>
        <v>0.14531876362149601</v>
      </c>
    </row>
    <row r="29" spans="1:58" ht="14.4" customHeight="1" x14ac:dyDescent="0.3">
      <c r="A29" s="114"/>
      <c r="B29" s="5">
        <v>0.5</v>
      </c>
      <c r="C29" s="4">
        <v>0.01</v>
      </c>
      <c r="D29" s="3">
        <v>1.6E-2</v>
      </c>
      <c r="E29" s="25">
        <f t="shared" si="4"/>
        <v>9.2222222222222247E-2</v>
      </c>
      <c r="F29" s="25">
        <f t="shared" si="5"/>
        <v>1.844444444444445</v>
      </c>
      <c r="G29" s="105"/>
      <c r="H29" s="105"/>
      <c r="I29" s="112"/>
      <c r="K29" s="6">
        <v>0.17399999999999999</v>
      </c>
      <c r="L29" s="36">
        <f t="shared" si="15"/>
        <v>0.3721953946429421</v>
      </c>
      <c r="M29" s="37">
        <f t="shared" si="6"/>
        <v>7.4439078928588422</v>
      </c>
      <c r="N29" s="105"/>
      <c r="O29" s="105"/>
      <c r="P29" s="112"/>
      <c r="R29" s="6">
        <v>0.80206757799999995</v>
      </c>
      <c r="S29" s="34">
        <f t="shared" si="7"/>
        <v>1.6718390334007809</v>
      </c>
      <c r="T29" s="35">
        <f t="shared" si="8"/>
        <v>33.436780668015622</v>
      </c>
      <c r="U29" s="96"/>
      <c r="V29" s="96"/>
      <c r="W29" s="112"/>
      <c r="Y29" s="6">
        <v>0.34719550599999999</v>
      </c>
      <c r="Z29" s="34">
        <f t="shared" si="16"/>
        <v>6.7318109490961104</v>
      </c>
      <c r="AA29" s="35">
        <f t="shared" si="9"/>
        <v>0.13463621898192221</v>
      </c>
      <c r="AB29" s="99"/>
      <c r="AC29" s="99"/>
      <c r="AD29" s="112"/>
      <c r="AF29" s="41">
        <f>AVERAGE(0.0401,0.0398,0.0415)</f>
        <v>4.0466666666666672E-2</v>
      </c>
      <c r="AG29" s="34">
        <f t="shared" si="0"/>
        <v>15.104222899434046</v>
      </c>
      <c r="AH29" s="35">
        <f t="shared" si="17"/>
        <v>0.30208445798868094</v>
      </c>
      <c r="AI29" s="99"/>
      <c r="AJ29" s="99"/>
      <c r="AK29" s="112"/>
      <c r="AM29" s="41">
        <f>AVERAGE(0.0146,0.0164,0.0221)</f>
        <v>1.77E-2</v>
      </c>
      <c r="AN29" s="34">
        <f t="shared" si="10"/>
        <v>1.234664501983364</v>
      </c>
      <c r="AO29" s="35">
        <f t="shared" si="11"/>
        <v>2.469329003966728E-2</v>
      </c>
      <c r="AP29" s="105"/>
      <c r="AQ29" s="105"/>
      <c r="AR29" s="112"/>
      <c r="AT29" s="41">
        <f>AVERAGE(0.1386,0.201,0.1371)</f>
        <v>0.15890000000000001</v>
      </c>
      <c r="AU29" s="34">
        <f t="shared" si="18"/>
        <v>6.5975357651112327</v>
      </c>
      <c r="AV29" s="35">
        <f t="shared" si="12"/>
        <v>0.13195071530222466</v>
      </c>
      <c r="AW29" s="99"/>
      <c r="AX29" s="99"/>
      <c r="AY29" s="112"/>
      <c r="BA29" s="41">
        <f>AVERAGE(0.093,0.0938,0.097)</f>
        <v>9.4600000000000004E-2</v>
      </c>
      <c r="BB29" s="34">
        <f t="shared" si="13"/>
        <v>1.2643193307487861</v>
      </c>
      <c r="BC29" s="35">
        <f t="shared" si="14"/>
        <v>2.5286386614975724E-2</v>
      </c>
      <c r="BD29" s="116"/>
      <c r="BE29" s="116"/>
      <c r="BF29" s="112"/>
    </row>
    <row r="30" spans="1:58" x14ac:dyDescent="0.3">
      <c r="A30" s="94"/>
      <c r="B30" s="5">
        <v>0.5</v>
      </c>
      <c r="C30" s="4">
        <v>0.01</v>
      </c>
      <c r="D30" s="3">
        <v>1.7999999999999999E-2</v>
      </c>
      <c r="E30" s="25">
        <f t="shared" si="4"/>
        <v>0.10555555555555557</v>
      </c>
      <c r="F30" s="25">
        <f t="shared" si="5"/>
        <v>2.1111111111111112</v>
      </c>
      <c r="G30" s="106"/>
      <c r="H30" s="106"/>
      <c r="I30" s="113"/>
      <c r="K30" s="6">
        <v>0.17799999999999999</v>
      </c>
      <c r="L30" s="38">
        <f t="shared" si="15"/>
        <v>0.38128716875208146</v>
      </c>
      <c r="M30" s="39">
        <f t="shared" si="6"/>
        <v>7.6257433750416297</v>
      </c>
      <c r="N30" s="106"/>
      <c r="O30" s="106"/>
      <c r="P30" s="113"/>
      <c r="R30" s="6">
        <v>0.72715121500000002</v>
      </c>
      <c r="S30" s="34">
        <f>(R30-$S$11)/$S$10</f>
        <v>1.5174601069505058</v>
      </c>
      <c r="T30" s="35">
        <f t="shared" si="8"/>
        <v>30.349202139010117</v>
      </c>
      <c r="U30" s="97"/>
      <c r="V30" s="97"/>
      <c r="W30" s="113"/>
      <c r="Y30" s="6">
        <v>0.36150765400000001</v>
      </c>
      <c r="Z30" s="34">
        <f t="shared" si="16"/>
        <v>7.0074165161490871</v>
      </c>
      <c r="AA30" s="35">
        <f t="shared" si="9"/>
        <v>0.14014833032298174</v>
      </c>
      <c r="AB30" s="100"/>
      <c r="AC30" s="100"/>
      <c r="AD30" s="113"/>
      <c r="AF30" s="41">
        <f>AVERAGE(0.0455,0.0435,0.0451)</f>
        <v>4.4699999999999997E-2</v>
      </c>
      <c r="AG30" s="34">
        <f t="shared" si="0"/>
        <v>17.006181976491071</v>
      </c>
      <c r="AH30" s="35">
        <f t="shared" si="17"/>
        <v>0.34012363952982144</v>
      </c>
      <c r="AI30" s="100"/>
      <c r="AJ30" s="100"/>
      <c r="AK30" s="113"/>
      <c r="AM30" s="41">
        <f>AVERAGE(0.0285,0.0276,0.0278)</f>
        <v>2.7966666666666667E-2</v>
      </c>
      <c r="AN30" s="34">
        <f t="shared" si="10"/>
        <v>3.928188863039149</v>
      </c>
      <c r="AO30" s="35">
        <f t="shared" si="11"/>
        <v>7.856377726078298E-2</v>
      </c>
      <c r="AP30" s="106"/>
      <c r="AQ30" s="106"/>
      <c r="AR30" s="113"/>
      <c r="AT30" s="41">
        <f>AVERAGE(0.1599,0.1607,0.1598)</f>
        <v>0.16013333333333332</v>
      </c>
      <c r="AU30" s="34">
        <f t="shared" si="18"/>
        <v>6.6792899408284061</v>
      </c>
      <c r="AV30" s="35">
        <f t="shared" si="12"/>
        <v>0.13358579881656812</v>
      </c>
      <c r="AW30" s="100"/>
      <c r="AX30" s="100"/>
      <c r="AY30" s="113"/>
      <c r="BA30" s="41">
        <f>AVERAGE(0.1303,0.1069,0.1298)</f>
        <v>0.12233333333333334</v>
      </c>
      <c r="BB30" s="34">
        <f t="shared" si="13"/>
        <v>1.6851302516014339</v>
      </c>
      <c r="BC30" s="35">
        <f t="shared" si="14"/>
        <v>3.3702605032028682E-2</v>
      </c>
      <c r="BD30" s="117"/>
      <c r="BE30" s="117"/>
      <c r="BF30" s="113"/>
    </row>
    <row r="31" spans="1:58" ht="14.4" customHeight="1" x14ac:dyDescent="0.3">
      <c r="A31" s="93" t="s">
        <v>36</v>
      </c>
      <c r="B31" s="5">
        <v>0.48</v>
      </c>
      <c r="C31" s="4">
        <v>0.01</v>
      </c>
      <c r="D31" s="3">
        <v>1.0999999999999999E-2</v>
      </c>
      <c r="E31" s="25">
        <f t="shared" si="4"/>
        <v>5.8888888888888907E-2</v>
      </c>
      <c r="F31" s="25">
        <f t="shared" si="5"/>
        <v>1.2268518518518525</v>
      </c>
      <c r="G31" s="98">
        <f>AVERAGE(F31:F33)</f>
        <v>1.2021478961955159</v>
      </c>
      <c r="H31" s="98">
        <f>STDEV(F31:F33)</f>
        <v>2.4538740229142545E-2</v>
      </c>
      <c r="I31" s="111">
        <f>H31/G31</f>
        <v>2.0412413736114542E-2</v>
      </c>
      <c r="K31" s="6">
        <v>0.44900000000000001</v>
      </c>
      <c r="L31" s="38">
        <f t="shared" si="15"/>
        <v>0.99725486464627244</v>
      </c>
      <c r="M31" s="39">
        <f t="shared" si="6"/>
        <v>20.776143013464011</v>
      </c>
      <c r="N31" s="95">
        <f>AVERAGE(M31:M33)</f>
        <v>20.503756643244387</v>
      </c>
      <c r="O31" s="95">
        <f t="shared" ref="O31" si="73">STDEV(M31:M33)</f>
        <v>1.441986980609046</v>
      </c>
      <c r="P31" s="111">
        <f>O31/N31</f>
        <v>7.0327940664675917E-2</v>
      </c>
      <c r="R31" s="6">
        <v>0.14118154299999999</v>
      </c>
      <c r="S31" s="34">
        <f t="shared" si="7"/>
        <v>0.30996196804886228</v>
      </c>
      <c r="T31" s="35">
        <f t="shared" si="8"/>
        <v>6.4575410010179652</v>
      </c>
      <c r="U31" s="95">
        <f t="shared" ref="U31" si="74">AVERAGE(T31:T33)</f>
        <v>8.5896098587018077</v>
      </c>
      <c r="V31" s="95">
        <f t="shared" ref="V31" si="75">STDEV(T31:T33)</f>
        <v>2.3034860169775389</v>
      </c>
      <c r="W31" s="111">
        <f>V31/U31</f>
        <v>0.26817120391608529</v>
      </c>
      <c r="Y31" s="6">
        <v>0.70430612599999998</v>
      </c>
      <c r="Z31" s="34">
        <f t="shared" si="16"/>
        <v>13.608603651752617</v>
      </c>
      <c r="AA31" s="35">
        <f t="shared" si="9"/>
        <v>0.28351257607817953</v>
      </c>
      <c r="AB31" s="98">
        <f t="shared" ref="AB31" si="76">AVERAGE(AA31:AA33)</f>
        <v>0.28127535424587052</v>
      </c>
      <c r="AC31" s="98">
        <f t="shared" ref="AC31" si="77">STDEV(AA31:AA33)</f>
        <v>3.6074896992354569E-2</v>
      </c>
      <c r="AD31" s="111">
        <f>AC31/AB31</f>
        <v>0.12825473845397956</v>
      </c>
      <c r="AF31" s="41">
        <f>AVERAGE(0.0636,0.0633,0.0639)</f>
        <v>6.3600000000000004E-2</v>
      </c>
      <c r="AG31" s="34">
        <f t="shared" si="0"/>
        <v>25.497605572485853</v>
      </c>
      <c r="AH31" s="35">
        <f t="shared" si="17"/>
        <v>0.5312001160934553</v>
      </c>
      <c r="AI31" s="104">
        <f t="shared" ref="AI31" si="78">AVERAGE(AH31:AH33)</f>
        <v>0.48990582412038969</v>
      </c>
      <c r="AJ31" s="104">
        <f t="shared" ref="AJ31" si="79">STDEV(AH31:AH33)</f>
        <v>0.1694113337331429</v>
      </c>
      <c r="AK31" s="111">
        <f>AJ31/AI31</f>
        <v>0.34580387779082961</v>
      </c>
      <c r="AM31" s="41">
        <f>AVERAGE(0.0631,0.062,0.063)</f>
        <v>6.2699999999999992E-2</v>
      </c>
      <c r="AN31" s="34">
        <f t="shared" si="10"/>
        <v>13.040696604013588</v>
      </c>
      <c r="AO31" s="35">
        <f t="shared" si="11"/>
        <v>0.27168117925028307</v>
      </c>
      <c r="AP31" s="98">
        <f t="shared" ref="AP31" si="80">AVERAGE(AO31:AO33)</f>
        <v>0.25910615105220508</v>
      </c>
      <c r="AQ31" s="98">
        <f t="shared" ref="AQ31" si="81">STDEV(AO31:AO33)</f>
        <v>5.6454672468982163E-2</v>
      </c>
      <c r="AR31" s="111">
        <f>AQ31/AP31</f>
        <v>0.21788240935124537</v>
      </c>
      <c r="AT31" s="41">
        <f>AVERAGE(0.4238,0.4972,0.4491)</f>
        <v>0.45670000000000005</v>
      </c>
      <c r="AU31" s="34">
        <f t="shared" si="18"/>
        <v>26.337854842333918</v>
      </c>
      <c r="AV31" s="35">
        <f t="shared" si="12"/>
        <v>0.54870530921529004</v>
      </c>
      <c r="AW31" s="104">
        <f t="shared" ref="AW31" si="82">AVERAGE(AV31:AV33)</f>
        <v>0.53221438766253781</v>
      </c>
      <c r="AX31" s="104">
        <f t="shared" ref="AX31" si="83">STDEV(AV31:AV33)</f>
        <v>0.15383601938157218</v>
      </c>
      <c r="AY31" s="111">
        <f t="shared" ref="AY31" si="84">AX31/AW31</f>
        <v>0.28904896776130612</v>
      </c>
      <c r="BA31" s="41">
        <f>AVERAGE(0.1061,0.0785,0.13)</f>
        <v>0.10486666666666666</v>
      </c>
      <c r="BB31" s="34">
        <f t="shared" si="13"/>
        <v>1.4201002966413527</v>
      </c>
      <c r="BC31" s="35">
        <f t="shared" si="14"/>
        <v>2.958542284669485E-2</v>
      </c>
      <c r="BD31" s="115">
        <f t="shared" ref="BD31" si="85">AVERAGE(BC31:BC33)</f>
        <v>2.0984358697819634E-2</v>
      </c>
      <c r="BE31" s="115">
        <f t="shared" ref="BE31" si="86">STDEV(BC31:BC33)</f>
        <v>8.4357094577531717E-3</v>
      </c>
      <c r="BF31" s="111">
        <f t="shared" ref="BF31" si="87">BE31/BD31</f>
        <v>0.40199986948515509</v>
      </c>
    </row>
    <row r="32" spans="1:58" ht="14.4" customHeight="1" x14ac:dyDescent="0.3">
      <c r="A32" s="114"/>
      <c r="B32" s="5">
        <v>0.5</v>
      </c>
      <c r="C32" s="4">
        <v>0.01</v>
      </c>
      <c r="D32" s="3">
        <v>1.0999999999999999E-2</v>
      </c>
      <c r="E32" s="25">
        <f t="shared" si="4"/>
        <v>5.8888888888888907E-2</v>
      </c>
      <c r="F32" s="25">
        <f t="shared" si="5"/>
        <v>1.1777777777777783</v>
      </c>
      <c r="G32" s="99"/>
      <c r="H32" s="99"/>
      <c r="I32" s="112"/>
      <c r="K32" s="6">
        <v>0.42699999999999999</v>
      </c>
      <c r="L32" s="36">
        <f>(K32-$L$11)/$L$10*$M$12</f>
        <v>0.94725010704600598</v>
      </c>
      <c r="M32" s="37">
        <f t="shared" si="6"/>
        <v>18.945002140920121</v>
      </c>
      <c r="N32" s="96"/>
      <c r="O32" s="96"/>
      <c r="P32" s="112"/>
      <c r="R32" s="6">
        <v>0.25846383000000001</v>
      </c>
      <c r="S32" s="34">
        <f t="shared" si="7"/>
        <v>0.55164366258992115</v>
      </c>
      <c r="T32" s="35">
        <f t="shared" si="8"/>
        <v>11.032873251798422</v>
      </c>
      <c r="U32" s="96"/>
      <c r="V32" s="96"/>
      <c r="W32" s="112"/>
      <c r="Y32" s="6">
        <v>0.81857120999999999</v>
      </c>
      <c r="Z32" s="34">
        <f t="shared" si="16"/>
        <v>15.808978694700464</v>
      </c>
      <c r="AA32" s="35">
        <f t="shared" si="9"/>
        <v>0.3161795738940093</v>
      </c>
      <c r="AB32" s="99"/>
      <c r="AC32" s="99"/>
      <c r="AD32" s="112"/>
      <c r="AF32" s="41">
        <f>AVERAGE(0.0747,0.0779,0.0799)</f>
        <v>7.7499999999999999E-2</v>
      </c>
      <c r="AG32" s="34">
        <f t="shared" si="0"/>
        <v>31.742620809751848</v>
      </c>
      <c r="AH32" s="35">
        <f t="shared" si="17"/>
        <v>0.63485241619503696</v>
      </c>
      <c r="AI32" s="105"/>
      <c r="AJ32" s="105"/>
      <c r="AK32" s="112"/>
      <c r="AM32" s="41">
        <f>AVERAGE(0.072,0.0714,0.0718)</f>
        <v>7.173333333333333E-2</v>
      </c>
      <c r="AN32" s="34">
        <f t="shared" si="10"/>
        <v>15.410648233384102</v>
      </c>
      <c r="AO32" s="35">
        <f t="shared" si="11"/>
        <v>0.30821296466768205</v>
      </c>
      <c r="AP32" s="99"/>
      <c r="AQ32" s="99"/>
      <c r="AR32" s="112"/>
      <c r="AT32" s="41">
        <f>AVERAGE(0.5671,0.5746,0.5687)</f>
        <v>0.57013333333333338</v>
      </c>
      <c r="AU32" s="34">
        <f t="shared" si="18"/>
        <v>33.857029435997312</v>
      </c>
      <c r="AV32" s="35">
        <f t="shared" si="12"/>
        <v>0.6771405887199462</v>
      </c>
      <c r="AW32" s="105"/>
      <c r="AX32" s="105"/>
      <c r="AY32" s="112"/>
      <c r="BA32" s="41">
        <f>AVERAGE(0.0794,0.0797,0.0788)</f>
        <v>7.9299999999999995E-2</v>
      </c>
      <c r="BB32" s="34">
        <f t="shared" si="13"/>
        <v>1.0321652289803178</v>
      </c>
      <c r="BC32" s="35">
        <f t="shared" si="14"/>
        <v>2.0643304579606357E-2</v>
      </c>
      <c r="BD32" s="116"/>
      <c r="BE32" s="116"/>
      <c r="BF32" s="112"/>
    </row>
    <row r="33" spans="1:58" ht="14.4" customHeight="1" x14ac:dyDescent="0.3">
      <c r="A33" s="94"/>
      <c r="B33" s="5">
        <v>0.49</v>
      </c>
      <c r="C33" s="4">
        <v>0.01</v>
      </c>
      <c r="D33" s="3">
        <v>1.0999999999999999E-2</v>
      </c>
      <c r="E33" s="25">
        <f t="shared" si="4"/>
        <v>5.8888888888888907E-2</v>
      </c>
      <c r="F33" s="25">
        <f t="shared" si="5"/>
        <v>1.2018140589569166</v>
      </c>
      <c r="G33" s="100"/>
      <c r="H33" s="100"/>
      <c r="I33" s="113"/>
      <c r="K33" s="6">
        <v>0.48</v>
      </c>
      <c r="L33" s="38">
        <f>(K33-$L$11)/$L$10*$M$12</f>
        <v>1.0677161139921025</v>
      </c>
      <c r="M33" s="39">
        <f t="shared" si="6"/>
        <v>21.790124775349032</v>
      </c>
      <c r="N33" s="97"/>
      <c r="O33" s="97"/>
      <c r="P33" s="113"/>
      <c r="R33" s="6">
        <v>0.18761292099999999</v>
      </c>
      <c r="S33" s="34">
        <f t="shared" si="7"/>
        <v>0.40564235084116268</v>
      </c>
      <c r="T33" s="35">
        <f t="shared" si="8"/>
        <v>8.2784153232890354</v>
      </c>
      <c r="U33" s="97"/>
      <c r="V33" s="97"/>
      <c r="W33" s="113"/>
      <c r="Y33" s="6">
        <v>0.61882746200000005</v>
      </c>
      <c r="Z33" s="34">
        <f t="shared" si="16"/>
        <v>11.96256172550571</v>
      </c>
      <c r="AA33" s="35">
        <f t="shared" si="9"/>
        <v>0.24413391276542268</v>
      </c>
      <c r="AB33" s="100"/>
      <c r="AC33" s="100"/>
      <c r="AD33" s="113"/>
      <c r="AF33" s="41">
        <f>AVERAGE(0.0406,0.039,0.0403)</f>
        <v>3.9966666666666671E-2</v>
      </c>
      <c r="AG33" s="34">
        <f t="shared" si="0"/>
        <v>14.879582063561168</v>
      </c>
      <c r="AH33" s="35">
        <f t="shared" si="17"/>
        <v>0.30366494007267686</v>
      </c>
      <c r="AI33" s="106"/>
      <c r="AJ33" s="106"/>
      <c r="AK33" s="113"/>
      <c r="AM33" s="41">
        <f>AVERAGE(0.0494,0.0499,0.0503)</f>
        <v>4.986666666666667E-2</v>
      </c>
      <c r="AN33" s="34">
        <f t="shared" si="10"/>
        <v>9.6737911526938607</v>
      </c>
      <c r="AO33" s="35">
        <f t="shared" si="11"/>
        <v>0.19742430923865023</v>
      </c>
      <c r="AP33" s="100"/>
      <c r="AQ33" s="100"/>
      <c r="AR33" s="113"/>
      <c r="AT33" s="41">
        <f>AVERAGE(0.3428,0.3326,0.325)</f>
        <v>0.33346666666666663</v>
      </c>
      <c r="AU33" s="34">
        <f t="shared" si="18"/>
        <v>18.169065987566476</v>
      </c>
      <c r="AV33" s="35">
        <f t="shared" si="12"/>
        <v>0.37079726505237709</v>
      </c>
      <c r="AW33" s="106"/>
      <c r="AX33" s="106"/>
      <c r="AY33" s="113"/>
      <c r="BA33" s="41">
        <f>AVERAGE(0.0518,0.05,0.0553)</f>
        <v>5.2366666666666672E-2</v>
      </c>
      <c r="BB33" s="34">
        <f t="shared" si="13"/>
        <v>0.62349308469072739</v>
      </c>
      <c r="BC33" s="35">
        <f t="shared" si="14"/>
        <v>1.2724348667157702E-2</v>
      </c>
      <c r="BD33" s="117"/>
      <c r="BE33" s="117"/>
      <c r="BF33" s="113"/>
    </row>
  </sheetData>
  <mergeCells count="209">
    <mergeCell ref="BD28:BD30"/>
    <mergeCell ref="BE28:BE30"/>
    <mergeCell ref="BF28:BF30"/>
    <mergeCell ref="BD31:BD33"/>
    <mergeCell ref="BE31:BE33"/>
    <mergeCell ref="BF31:BF33"/>
    <mergeCell ref="AW28:AW30"/>
    <mergeCell ref="AX28:AX30"/>
    <mergeCell ref="AY28:AY30"/>
    <mergeCell ref="AW31:AW33"/>
    <mergeCell ref="AX31:AX33"/>
    <mergeCell ref="AY31:AY33"/>
    <mergeCell ref="BA1:BF1"/>
    <mergeCell ref="BA14:BA15"/>
    <mergeCell ref="BB14:BB15"/>
    <mergeCell ref="BC14:BC15"/>
    <mergeCell ref="BD14:BD15"/>
    <mergeCell ref="BE14:BE15"/>
    <mergeCell ref="BF14:BF15"/>
    <mergeCell ref="BD16:BD18"/>
    <mergeCell ref="BE16:BE18"/>
    <mergeCell ref="BF16:BF18"/>
    <mergeCell ref="BD19:BD21"/>
    <mergeCell ref="BE19:BE21"/>
    <mergeCell ref="BF19:BF21"/>
    <mergeCell ref="BD22:BD24"/>
    <mergeCell ref="BE22:BE24"/>
    <mergeCell ref="BF22:BF24"/>
    <mergeCell ref="BD25:BD27"/>
    <mergeCell ref="BE25:BE27"/>
    <mergeCell ref="AW19:AW21"/>
    <mergeCell ref="AX19:AX21"/>
    <mergeCell ref="AY19:AY21"/>
    <mergeCell ref="AW22:AW24"/>
    <mergeCell ref="AX22:AX24"/>
    <mergeCell ref="AY22:AY24"/>
    <mergeCell ref="AW25:AW27"/>
    <mergeCell ref="AX25:AX27"/>
    <mergeCell ref="AY25:AY27"/>
    <mergeCell ref="BF25:BF27"/>
    <mergeCell ref="AT1:AY1"/>
    <mergeCell ref="AT14:AT15"/>
    <mergeCell ref="AU14:AU15"/>
    <mergeCell ref="AV14:AV15"/>
    <mergeCell ref="AW14:AW15"/>
    <mergeCell ref="AX14:AX15"/>
    <mergeCell ref="AY14:AY15"/>
    <mergeCell ref="AW16:AW18"/>
    <mergeCell ref="AX16:AX18"/>
    <mergeCell ref="AY16:AY18"/>
    <mergeCell ref="AI28:AI30"/>
    <mergeCell ref="AJ28:AJ30"/>
    <mergeCell ref="AK28:AK30"/>
    <mergeCell ref="AI31:AI33"/>
    <mergeCell ref="AJ31:AJ33"/>
    <mergeCell ref="AK31:AK33"/>
    <mergeCell ref="AI19:AI21"/>
    <mergeCell ref="AJ19:AJ21"/>
    <mergeCell ref="AK19:AK21"/>
    <mergeCell ref="AI22:AI24"/>
    <mergeCell ref="AJ22:AJ24"/>
    <mergeCell ref="AK22:AK24"/>
    <mergeCell ref="AI25:AI27"/>
    <mergeCell ref="AJ25:AJ27"/>
    <mergeCell ref="AK25:AK27"/>
    <mergeCell ref="AF1:AK1"/>
    <mergeCell ref="AF14:AF15"/>
    <mergeCell ref="AG14:AG15"/>
    <mergeCell ref="AH14:AH15"/>
    <mergeCell ref="AI14:AI15"/>
    <mergeCell ref="AJ14:AJ15"/>
    <mergeCell ref="AK14:AK15"/>
    <mergeCell ref="AI16:AI18"/>
    <mergeCell ref="AJ16:AJ18"/>
    <mergeCell ref="AK16:AK18"/>
    <mergeCell ref="AB28:AB30"/>
    <mergeCell ref="AC28:AC30"/>
    <mergeCell ref="AD28:AD30"/>
    <mergeCell ref="AB31:AB33"/>
    <mergeCell ref="AC31:AC33"/>
    <mergeCell ref="AD31:AD33"/>
    <mergeCell ref="AB22:AB24"/>
    <mergeCell ref="AC22:AC24"/>
    <mergeCell ref="AD22:AD24"/>
    <mergeCell ref="AB25:AB27"/>
    <mergeCell ref="AC25:AC27"/>
    <mergeCell ref="AD25:AD27"/>
    <mergeCell ref="AB16:AB18"/>
    <mergeCell ref="AC16:AC18"/>
    <mergeCell ref="AD16:AD18"/>
    <mergeCell ref="AB19:AB21"/>
    <mergeCell ref="AC19:AC21"/>
    <mergeCell ref="AD19:AD21"/>
    <mergeCell ref="Y1:AD1"/>
    <mergeCell ref="Y14:Y15"/>
    <mergeCell ref="Z14:Z15"/>
    <mergeCell ref="AA14:AA15"/>
    <mergeCell ref="AB14:AB15"/>
    <mergeCell ref="AC14:AC15"/>
    <mergeCell ref="AD14:AD15"/>
    <mergeCell ref="G28:G30"/>
    <mergeCell ref="H28:H30"/>
    <mergeCell ref="I28:I30"/>
    <mergeCell ref="G31:G33"/>
    <mergeCell ref="H31:H33"/>
    <mergeCell ref="I31:I33"/>
    <mergeCell ref="G22:G24"/>
    <mergeCell ref="H22:H24"/>
    <mergeCell ref="I22:I24"/>
    <mergeCell ref="G25:G27"/>
    <mergeCell ref="H25:H27"/>
    <mergeCell ref="I25:I27"/>
    <mergeCell ref="G16:G18"/>
    <mergeCell ref="H16:H18"/>
    <mergeCell ref="I16:I18"/>
    <mergeCell ref="G19:G21"/>
    <mergeCell ref="H19:H21"/>
    <mergeCell ref="I19:I21"/>
    <mergeCell ref="D1:I1"/>
    <mergeCell ref="D14:D15"/>
    <mergeCell ref="E14:E15"/>
    <mergeCell ref="F14:F15"/>
    <mergeCell ref="G14:G15"/>
    <mergeCell ref="H14:H15"/>
    <mergeCell ref="I14:I15"/>
    <mergeCell ref="A25:A27"/>
    <mergeCell ref="A28:A30"/>
    <mergeCell ref="A31:A33"/>
    <mergeCell ref="A13:C13"/>
    <mergeCell ref="B14:B15"/>
    <mergeCell ref="C14:C15"/>
    <mergeCell ref="A16:A18"/>
    <mergeCell ref="A19:A21"/>
    <mergeCell ref="A22:A24"/>
    <mergeCell ref="K1:P1"/>
    <mergeCell ref="K14:K15"/>
    <mergeCell ref="L14:L15"/>
    <mergeCell ref="M14:M15"/>
    <mergeCell ref="N14:N15"/>
    <mergeCell ref="O14:O15"/>
    <mergeCell ref="P14:P15"/>
    <mergeCell ref="N16:N18"/>
    <mergeCell ref="O16:O18"/>
    <mergeCell ref="P16:P18"/>
    <mergeCell ref="U19:U21"/>
    <mergeCell ref="V19:V21"/>
    <mergeCell ref="W19:W21"/>
    <mergeCell ref="U22:U24"/>
    <mergeCell ref="V22:V24"/>
    <mergeCell ref="W22:W24"/>
    <mergeCell ref="U25:U27"/>
    <mergeCell ref="V25:V27"/>
    <mergeCell ref="N19:N21"/>
    <mergeCell ref="O19:O21"/>
    <mergeCell ref="P19:P21"/>
    <mergeCell ref="N22:N24"/>
    <mergeCell ref="O22:O24"/>
    <mergeCell ref="P22:P24"/>
    <mergeCell ref="N25:N27"/>
    <mergeCell ref="O25:O27"/>
    <mergeCell ref="P25:P27"/>
    <mergeCell ref="W25:W27"/>
    <mergeCell ref="R1:W1"/>
    <mergeCell ref="R14:R15"/>
    <mergeCell ref="S14:S15"/>
    <mergeCell ref="T14:T15"/>
    <mergeCell ref="U14:U15"/>
    <mergeCell ref="V14:V15"/>
    <mergeCell ref="W14:W15"/>
    <mergeCell ref="U16:U18"/>
    <mergeCell ref="V16:V18"/>
    <mergeCell ref="W16:W18"/>
    <mergeCell ref="U28:U30"/>
    <mergeCell ref="V28:V30"/>
    <mergeCell ref="W28:W30"/>
    <mergeCell ref="U31:U33"/>
    <mergeCell ref="V31:V33"/>
    <mergeCell ref="W31:W33"/>
    <mergeCell ref="N28:N30"/>
    <mergeCell ref="O28:O30"/>
    <mergeCell ref="P28:P30"/>
    <mergeCell ref="N31:N33"/>
    <mergeCell ref="O31:O33"/>
    <mergeCell ref="P31:P33"/>
    <mergeCell ref="AM1:AR1"/>
    <mergeCell ref="AM14:AM15"/>
    <mergeCell ref="AN14:AN15"/>
    <mergeCell ref="AO14:AO15"/>
    <mergeCell ref="AP14:AP15"/>
    <mergeCell ref="AQ14:AQ15"/>
    <mergeCell ref="AR14:AR15"/>
    <mergeCell ref="AP16:AP18"/>
    <mergeCell ref="AQ16:AQ18"/>
    <mergeCell ref="AR16:AR18"/>
    <mergeCell ref="AP28:AP30"/>
    <mergeCell ref="AQ28:AQ30"/>
    <mergeCell ref="AR28:AR30"/>
    <mergeCell ref="AP31:AP33"/>
    <mergeCell ref="AQ31:AQ33"/>
    <mergeCell ref="AR31:AR33"/>
    <mergeCell ref="AP19:AP21"/>
    <mergeCell ref="AQ19:AQ21"/>
    <mergeCell ref="AR19:AR21"/>
    <mergeCell ref="AP22:AP24"/>
    <mergeCell ref="AQ22:AQ24"/>
    <mergeCell ref="AR22:AR24"/>
    <mergeCell ref="AP25:AP27"/>
    <mergeCell ref="AQ25:AQ27"/>
    <mergeCell ref="AR25:AR2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665E1-F396-4470-9D95-427514AC2C49}">
  <dimension ref="A1:BF33"/>
  <sheetViews>
    <sheetView zoomScale="80" zoomScaleNormal="80" workbookViewId="0">
      <pane xSplit="1" topLeftCell="B1" activePane="topRight" state="frozen"/>
      <selection pane="topRight" activeCell="G12" sqref="G12"/>
    </sheetView>
  </sheetViews>
  <sheetFormatPr defaultRowHeight="14.4" x14ac:dyDescent="0.3"/>
  <cols>
    <col min="2" max="2" width="12.5546875" bestFit="1" customWidth="1"/>
  </cols>
  <sheetData>
    <row r="1" spans="1:58" x14ac:dyDescent="0.3">
      <c r="D1" s="65" t="s">
        <v>0</v>
      </c>
      <c r="E1" s="66"/>
      <c r="F1" s="66"/>
      <c r="G1" s="66"/>
      <c r="H1" s="66"/>
      <c r="I1" s="67"/>
      <c r="K1" s="65" t="s">
        <v>1</v>
      </c>
      <c r="L1" s="66"/>
      <c r="M1" s="66"/>
      <c r="N1" s="66"/>
      <c r="O1" s="66"/>
      <c r="P1" s="67"/>
      <c r="R1" s="65" t="s">
        <v>2</v>
      </c>
      <c r="S1" s="66"/>
      <c r="T1" s="66"/>
      <c r="U1" s="66"/>
      <c r="V1" s="66"/>
      <c r="W1" s="67"/>
      <c r="Y1" s="65" t="s">
        <v>3</v>
      </c>
      <c r="Z1" s="66"/>
      <c r="AA1" s="66"/>
      <c r="AB1" s="66"/>
      <c r="AC1" s="66"/>
      <c r="AD1" s="67"/>
      <c r="AF1" s="65" t="s">
        <v>4</v>
      </c>
      <c r="AG1" s="66"/>
      <c r="AH1" s="66"/>
      <c r="AI1" s="66"/>
      <c r="AJ1" s="66"/>
      <c r="AK1" s="67"/>
      <c r="AM1" s="65" t="s">
        <v>5</v>
      </c>
      <c r="AN1" s="66"/>
      <c r="AO1" s="66"/>
      <c r="AP1" s="66"/>
      <c r="AQ1" s="66"/>
      <c r="AR1" s="67"/>
      <c r="AT1" s="65" t="s">
        <v>6</v>
      </c>
      <c r="AU1" s="66"/>
      <c r="AV1" s="66"/>
      <c r="AW1" s="66"/>
      <c r="AX1" s="66"/>
      <c r="AY1" s="67"/>
      <c r="BA1" s="65" t="s">
        <v>7</v>
      </c>
      <c r="BB1" s="66"/>
      <c r="BC1" s="66"/>
      <c r="BD1" s="66"/>
      <c r="BE1" s="66"/>
      <c r="BF1" s="67"/>
    </row>
    <row r="2" spans="1:58" x14ac:dyDescent="0.3">
      <c r="D2" s="11" t="s">
        <v>8</v>
      </c>
      <c r="E2" s="12">
        <v>44650</v>
      </c>
      <c r="F2" s="13"/>
      <c r="G2" s="13"/>
      <c r="H2" s="13"/>
      <c r="I2" s="14"/>
      <c r="K2" s="29" t="s">
        <v>8</v>
      </c>
      <c r="L2" s="13">
        <v>44650</v>
      </c>
      <c r="M2" s="13"/>
      <c r="N2" s="13"/>
      <c r="O2" s="13"/>
      <c r="P2" s="14"/>
      <c r="R2" s="29" t="s">
        <v>8</v>
      </c>
      <c r="S2" s="13">
        <v>44650</v>
      </c>
      <c r="T2" s="13"/>
      <c r="U2" s="13"/>
      <c r="V2" s="13"/>
      <c r="W2" s="14"/>
      <c r="Y2" s="29" t="s">
        <v>8</v>
      </c>
      <c r="Z2" s="13">
        <v>44650</v>
      </c>
      <c r="AA2" s="13"/>
      <c r="AB2" s="13"/>
      <c r="AC2" s="13"/>
      <c r="AD2" s="14"/>
      <c r="AF2" s="29" t="s">
        <v>9</v>
      </c>
      <c r="AG2" s="13">
        <v>44630</v>
      </c>
      <c r="AH2" s="13"/>
      <c r="AI2" s="13"/>
      <c r="AJ2" s="13"/>
      <c r="AK2" s="14"/>
      <c r="AM2" s="29" t="s">
        <v>9</v>
      </c>
      <c r="AN2" s="13">
        <v>44630</v>
      </c>
      <c r="AO2" s="13"/>
      <c r="AP2" s="13"/>
      <c r="AQ2" s="13"/>
      <c r="AR2" s="14"/>
      <c r="AT2" s="29" t="s">
        <v>9</v>
      </c>
      <c r="AU2" s="13">
        <v>44630</v>
      </c>
      <c r="AV2" s="13"/>
      <c r="AW2" s="13"/>
      <c r="AX2" s="13"/>
      <c r="AY2" s="14"/>
      <c r="BA2" s="29" t="s">
        <v>9</v>
      </c>
      <c r="BB2" s="13">
        <v>44644</v>
      </c>
      <c r="BC2" s="13"/>
      <c r="BD2" s="13"/>
      <c r="BE2" s="13"/>
      <c r="BF2" s="14"/>
    </row>
    <row r="3" spans="1:58" x14ac:dyDescent="0.3">
      <c r="D3" s="11">
        <v>0</v>
      </c>
      <c r="E3" s="6">
        <v>0</v>
      </c>
      <c r="F3" s="15"/>
      <c r="G3" s="16"/>
      <c r="H3" s="16"/>
      <c r="I3" s="17"/>
      <c r="K3" s="3">
        <v>0</v>
      </c>
      <c r="L3" s="6">
        <f>AVERAGE(-0.001,-0.001,-0.002)</f>
        <v>-1.3333333333333333E-3</v>
      </c>
      <c r="M3" s="15"/>
      <c r="N3" s="16"/>
      <c r="O3" s="16"/>
      <c r="P3" s="17"/>
      <c r="R3" s="3">
        <v>0</v>
      </c>
      <c r="S3" s="6">
        <v>-7.4821157600000001E-4</v>
      </c>
      <c r="T3" s="15"/>
      <c r="U3" s="16"/>
      <c r="V3" s="16"/>
      <c r="W3" s="17"/>
      <c r="Y3" s="3">
        <v>0</v>
      </c>
      <c r="Z3" s="6">
        <v>2.8186006200000001E-4</v>
      </c>
      <c r="AA3" s="15"/>
      <c r="AB3" s="16"/>
      <c r="AC3" s="16"/>
      <c r="AD3" s="17"/>
      <c r="AF3" s="3">
        <v>0</v>
      </c>
      <c r="AG3" s="41">
        <f>AVERAGE(-0.0001,0.0003,-0.0001)</f>
        <v>3.3333333333333328E-5</v>
      </c>
      <c r="AH3" s="15"/>
      <c r="AI3" s="16"/>
      <c r="AJ3" s="16"/>
      <c r="AK3" s="17"/>
      <c r="AM3" s="3">
        <v>0</v>
      </c>
      <c r="AN3" s="46">
        <f>AVERAGE(0.0161,0.0149,0.0117)</f>
        <v>1.4233333333333334E-2</v>
      </c>
      <c r="AO3" s="15"/>
      <c r="AP3" s="16"/>
      <c r="AQ3" s="16"/>
      <c r="AR3" s="17"/>
      <c r="AT3" s="3">
        <v>0</v>
      </c>
      <c r="AU3" s="41">
        <f>AVERAGE(0.1973,0.0411,0.0416)</f>
        <v>9.3333333333333338E-2</v>
      </c>
      <c r="AV3" s="41"/>
      <c r="AW3" s="16"/>
      <c r="AX3" s="16"/>
      <c r="AY3" s="17"/>
      <c r="BA3" s="3">
        <v>0</v>
      </c>
      <c r="BB3" s="46">
        <f>AVERAGE(0,-0.0003,0.0006)</f>
        <v>9.9999999999999991E-5</v>
      </c>
      <c r="BC3" s="21"/>
      <c r="BD3" s="16"/>
      <c r="BE3" s="16"/>
      <c r="BF3" s="17"/>
    </row>
    <row r="4" spans="1:58" x14ac:dyDescent="0.3">
      <c r="D4" s="11">
        <v>0.1</v>
      </c>
      <c r="E4" s="3"/>
      <c r="F4" s="3">
        <v>3.6999999999999998E-2</v>
      </c>
      <c r="G4" s="16"/>
      <c r="H4" s="16"/>
      <c r="I4" s="17"/>
      <c r="K4" s="3">
        <v>2.5000000000000001E-2</v>
      </c>
      <c r="L4" s="6">
        <v>1.7999999999999999E-2</v>
      </c>
      <c r="N4" s="16"/>
      <c r="O4" s="16"/>
      <c r="P4" s="17"/>
      <c r="R4" s="3">
        <v>0.1</v>
      </c>
      <c r="S4" s="6">
        <v>1.1932020099999999E-2</v>
      </c>
      <c r="T4" s="15"/>
      <c r="U4" s="16"/>
      <c r="V4" s="16"/>
      <c r="W4" s="17"/>
      <c r="Y4" s="3">
        <v>0.1</v>
      </c>
      <c r="Z4" s="6"/>
      <c r="AA4" s="6">
        <v>4.1943683799999999E-4</v>
      </c>
      <c r="AB4" s="16"/>
      <c r="AC4" s="16"/>
      <c r="AD4" s="17"/>
      <c r="AF4" s="3">
        <v>10</v>
      </c>
      <c r="AG4" s="42">
        <f>AVERAGE(0.0373,0.0348,0.0377)</f>
        <v>3.6600000000000001E-2</v>
      </c>
      <c r="AH4" s="15"/>
      <c r="AI4" s="16"/>
      <c r="AJ4" s="16"/>
      <c r="AK4" s="17"/>
      <c r="AM4">
        <v>5</v>
      </c>
      <c r="AN4" s="46">
        <f>AVERAGE(0.0296,0.0287,0.0293)</f>
        <v>2.9200000000000004E-2</v>
      </c>
      <c r="AO4" s="15"/>
      <c r="AP4" s="16"/>
      <c r="AQ4" s="16"/>
      <c r="AR4" s="17"/>
      <c r="AT4" s="3">
        <v>10</v>
      </c>
      <c r="AU4" s="41">
        <f>AVERAGE(0.267,0.2512,0.2704)</f>
        <v>0.26286666666666664</v>
      </c>
      <c r="AV4" s="41"/>
      <c r="AW4" s="16"/>
      <c r="AX4" s="16"/>
      <c r="AY4" s="17"/>
      <c r="BA4" s="3">
        <v>2</v>
      </c>
      <c r="BB4" s="46">
        <f>AVERAGE(0.1713,0.1716,0.1737)</f>
        <v>0.17219999999999999</v>
      </c>
      <c r="BC4" s="15"/>
      <c r="BD4" s="16"/>
      <c r="BE4" s="16"/>
      <c r="BF4" s="17"/>
    </row>
    <row r="5" spans="1:58" x14ac:dyDescent="0.3">
      <c r="D5" s="11">
        <v>0.25</v>
      </c>
      <c r="E5" s="3">
        <v>4.3999999999999997E-2</v>
      </c>
      <c r="F5" s="15"/>
      <c r="G5" s="16"/>
      <c r="H5" s="16"/>
      <c r="I5" s="17"/>
      <c r="K5" s="3">
        <v>0.05</v>
      </c>
      <c r="L5" s="6">
        <v>0.03</v>
      </c>
      <c r="M5" s="15"/>
      <c r="N5" s="16"/>
      <c r="O5" s="16"/>
      <c r="P5" s="17"/>
      <c r="R5" s="3">
        <v>0.25</v>
      </c>
      <c r="S5" s="6">
        <v>0.12606529899999999</v>
      </c>
      <c r="T5" s="15"/>
      <c r="U5" s="16"/>
      <c r="V5" s="16"/>
      <c r="W5" s="17"/>
      <c r="Y5" s="3">
        <v>0.25</v>
      </c>
      <c r="Z5" s="6">
        <v>5.0334036399999997E-3</v>
      </c>
      <c r="AA5" s="15"/>
      <c r="AB5" s="16"/>
      <c r="AC5" s="16"/>
      <c r="AD5" s="17"/>
      <c r="AF5" s="3">
        <v>20</v>
      </c>
      <c r="AG5" s="41">
        <f>AVERAGE(0.0488,0.0554,0.0545)</f>
        <v>5.2900000000000003E-2</v>
      </c>
      <c r="AH5" s="15"/>
      <c r="AI5" s="16"/>
      <c r="AJ5" s="16"/>
      <c r="AK5" s="17"/>
      <c r="AM5" s="3">
        <v>10</v>
      </c>
      <c r="AN5" s="46">
        <f>AVERAGE(0.0565,0.0575,0.0528)</f>
        <v>5.5600000000000004E-2</v>
      </c>
      <c r="AO5" s="15"/>
      <c r="AP5" s="16"/>
      <c r="AQ5" s="16"/>
      <c r="AR5" s="17"/>
      <c r="AT5" s="3">
        <v>25</v>
      </c>
      <c r="AU5" s="41">
        <f>AVERAGE(0.5285,0.6519,0.5615)</f>
        <v>0.58063333333333345</v>
      </c>
      <c r="AV5" s="41"/>
      <c r="AW5" s="16"/>
      <c r="AX5" s="16"/>
      <c r="AY5" s="17"/>
      <c r="BA5" s="3">
        <v>4</v>
      </c>
      <c r="BB5" s="46">
        <f>AVERAGE(0.3088,0.13107,0.3107)</f>
        <v>0.25018999999999997</v>
      </c>
      <c r="BC5" s="15"/>
      <c r="BD5" s="16"/>
      <c r="BE5" s="16"/>
      <c r="BF5" s="17"/>
    </row>
    <row r="6" spans="1:58" x14ac:dyDescent="0.3">
      <c r="D6" s="11">
        <v>0.5</v>
      </c>
      <c r="E6" s="3">
        <v>7.4999999999999997E-2</v>
      </c>
      <c r="F6" s="3"/>
      <c r="G6" s="16"/>
      <c r="H6" s="16"/>
      <c r="I6" s="17"/>
      <c r="K6" s="3">
        <v>0.1</v>
      </c>
      <c r="L6" s="6">
        <v>0.06</v>
      </c>
      <c r="M6" s="15"/>
      <c r="N6" s="16"/>
      <c r="O6" s="16"/>
      <c r="P6" s="17"/>
      <c r="R6" s="3">
        <v>0.5</v>
      </c>
      <c r="S6" s="6">
        <v>0.24470312899999999</v>
      </c>
      <c r="T6" s="15"/>
      <c r="U6" s="16"/>
      <c r="V6" s="16"/>
      <c r="W6" s="17"/>
      <c r="Y6" s="3">
        <v>0.5</v>
      </c>
      <c r="Z6" s="6">
        <v>2.0539153399999999E-2</v>
      </c>
      <c r="AA6" s="15"/>
      <c r="AB6" s="16"/>
      <c r="AC6" s="16"/>
      <c r="AD6" s="17"/>
      <c r="AF6" s="3">
        <v>40</v>
      </c>
      <c r="AG6" s="41">
        <f>AVERAGE(0.0979,0.0884,0.0998)</f>
        <v>9.5366666666666669E-2</v>
      </c>
      <c r="AH6" s="15"/>
      <c r="AI6" s="16"/>
      <c r="AJ6" s="16"/>
      <c r="AK6" s="17"/>
      <c r="AM6" s="3">
        <v>20</v>
      </c>
      <c r="AN6" s="46">
        <f>AVERAGE(0.0855,0.0877,0.0881)</f>
        <v>8.7100000000000011E-2</v>
      </c>
      <c r="AO6" s="15"/>
      <c r="AP6" s="16"/>
      <c r="AQ6" s="16"/>
      <c r="AR6" s="17"/>
      <c r="AT6" s="3">
        <v>50</v>
      </c>
      <c r="AU6" s="41">
        <f>AVERAGE(1.0496,1.0527,1.1113)</f>
        <v>1.0711999999999999</v>
      </c>
      <c r="AV6" s="41"/>
      <c r="AW6" s="16"/>
      <c r="AX6" s="16"/>
      <c r="AY6" s="17"/>
      <c r="BA6" s="3">
        <v>6</v>
      </c>
      <c r="BB6" s="46">
        <f>AVERAGE(0.4147,0.4117,0.414)</f>
        <v>0.41346666666666665</v>
      </c>
      <c r="BC6" s="15"/>
      <c r="BD6" s="16"/>
      <c r="BE6" s="16"/>
      <c r="BF6" s="17"/>
    </row>
    <row r="7" spans="1:58" x14ac:dyDescent="0.3">
      <c r="D7" s="11">
        <v>1</v>
      </c>
      <c r="E7" s="3">
        <v>0.14199999999999999</v>
      </c>
      <c r="F7" s="15"/>
      <c r="G7" s="16"/>
      <c r="H7" s="16"/>
      <c r="I7" s="17"/>
      <c r="K7" s="3">
        <v>0.25</v>
      </c>
      <c r="L7" s="6">
        <v>0.13200000000000001</v>
      </c>
      <c r="M7" s="15"/>
      <c r="N7" s="16"/>
      <c r="O7" s="16"/>
      <c r="P7" s="17"/>
      <c r="R7" s="3">
        <v>1</v>
      </c>
      <c r="S7" s="6">
        <v>0.46963051</v>
      </c>
      <c r="T7" s="15"/>
      <c r="U7" s="16"/>
      <c r="V7" s="16"/>
      <c r="W7" s="17"/>
      <c r="Y7" s="3">
        <v>1</v>
      </c>
      <c r="Z7" s="6">
        <v>4.31949981E-2</v>
      </c>
      <c r="AA7" s="15"/>
      <c r="AB7" s="16"/>
      <c r="AC7" s="16"/>
      <c r="AD7" s="17"/>
      <c r="AF7" s="3">
        <v>50</v>
      </c>
      <c r="AG7" s="41">
        <f>AVERAGE(0.1154,0.1145,0.1194)</f>
        <v>0.11643333333333333</v>
      </c>
      <c r="AH7" s="15"/>
      <c r="AI7" s="16"/>
      <c r="AJ7" s="16"/>
      <c r="AK7" s="17"/>
      <c r="AM7" s="3">
        <v>25</v>
      </c>
      <c r="AN7" s="46">
        <f>AVERAGE(0.1056,0.1043,0.1035)</f>
        <v>0.10446666666666667</v>
      </c>
      <c r="AO7" s="15"/>
      <c r="AP7" s="16"/>
      <c r="AQ7" s="16"/>
      <c r="AR7" s="17"/>
      <c r="AT7" s="3">
        <v>65</v>
      </c>
      <c r="AU7" s="41">
        <f>AVERAGE(1.4002,1.396,1.387)</f>
        <v>1.3943999999999999</v>
      </c>
      <c r="AV7" s="41"/>
      <c r="AW7" s="16"/>
      <c r="AX7" s="16"/>
      <c r="AY7" s="17"/>
      <c r="BA7" s="3">
        <v>8</v>
      </c>
      <c r="BB7" s="46">
        <f>AVERAGE(0.4373,0.4856,0.4937)</f>
        <v>0.47220000000000001</v>
      </c>
      <c r="BC7" s="15"/>
      <c r="BD7" s="16"/>
      <c r="BE7" s="16"/>
      <c r="BF7" s="17"/>
    </row>
    <row r="8" spans="1:58" x14ac:dyDescent="0.3">
      <c r="D8" s="11">
        <v>3</v>
      </c>
      <c r="E8" s="3">
        <v>0.376</v>
      </c>
      <c r="F8" s="26" t="s">
        <v>11</v>
      </c>
      <c r="G8" s="18">
        <v>0.05</v>
      </c>
      <c r="H8" s="19" t="s">
        <v>10</v>
      </c>
      <c r="I8" s="17"/>
      <c r="K8" s="3">
        <v>0.5</v>
      </c>
      <c r="L8" s="6">
        <v>0.23599999999999999</v>
      </c>
      <c r="M8" s="15"/>
      <c r="N8" s="16"/>
      <c r="O8" s="16"/>
      <c r="P8" s="17"/>
      <c r="R8" s="3"/>
      <c r="S8" s="3"/>
      <c r="T8" s="15"/>
      <c r="U8" s="16"/>
      <c r="V8" s="16"/>
      <c r="W8" s="17"/>
      <c r="Y8" s="3">
        <v>2.5</v>
      </c>
      <c r="Z8" s="6">
        <v>0.13868945799999999</v>
      </c>
      <c r="AA8" s="15"/>
      <c r="AB8" s="16"/>
      <c r="AC8" s="16"/>
      <c r="AD8" s="17"/>
      <c r="AF8" s="3">
        <v>75</v>
      </c>
      <c r="AG8" s="41">
        <f>AVERAGE(0.1687,0.1588,0.149)</f>
        <v>0.15883333333333335</v>
      </c>
      <c r="AH8" s="15"/>
      <c r="AI8" s="16"/>
      <c r="AJ8" s="16"/>
      <c r="AK8" s="17"/>
      <c r="AM8" s="3">
        <v>35</v>
      </c>
      <c r="AN8" s="46">
        <f>AVERAGE(0.1476,0.1509,0.1499)</f>
        <v>0.14946666666666666</v>
      </c>
      <c r="AO8" s="15"/>
      <c r="AP8" s="16"/>
      <c r="AQ8" s="16"/>
      <c r="AR8" s="17"/>
      <c r="AT8" s="3">
        <v>75</v>
      </c>
      <c r="AU8" s="41">
        <f>AVERAGE(1.6978,1.6574,1.6688)</f>
        <v>1.6746666666666667</v>
      </c>
      <c r="AV8" s="41"/>
      <c r="AW8" s="16"/>
      <c r="AX8" s="16"/>
      <c r="AY8" s="17"/>
      <c r="BA8" s="3">
        <v>10</v>
      </c>
      <c r="BB8" s="46">
        <f>AVERAGE(0.544,0.545,0.5447)</f>
        <v>0.54456666666666664</v>
      </c>
      <c r="BC8" s="15"/>
      <c r="BD8" s="16"/>
      <c r="BE8" s="16"/>
      <c r="BF8" s="17"/>
    </row>
    <row r="9" spans="1:58" x14ac:dyDescent="0.3">
      <c r="D9" s="11">
        <v>5</v>
      </c>
      <c r="E9" s="3">
        <v>0.57599999999999996</v>
      </c>
      <c r="F9" s="15"/>
      <c r="G9" s="16">
        <f>G8*1000*0.01/0.3</f>
        <v>1.6666666666666667</v>
      </c>
      <c r="H9" s="16" t="s">
        <v>13</v>
      </c>
      <c r="I9" s="17"/>
      <c r="K9" s="3">
        <v>1</v>
      </c>
      <c r="L9" s="6">
        <v>0.44400000000000001</v>
      </c>
      <c r="N9" s="26" t="s">
        <v>11</v>
      </c>
      <c r="O9" s="18"/>
      <c r="P9" s="19" t="s">
        <v>10</v>
      </c>
      <c r="R9" s="3"/>
      <c r="S9" s="3"/>
      <c r="U9" s="26" t="s">
        <v>11</v>
      </c>
      <c r="V9" s="18"/>
      <c r="W9" s="19" t="s">
        <v>10</v>
      </c>
      <c r="Y9" s="3">
        <v>5</v>
      </c>
      <c r="Z9" s="6">
        <v>0.263099998</v>
      </c>
      <c r="AB9" s="26" t="s">
        <v>11</v>
      </c>
      <c r="AC9" s="18"/>
      <c r="AD9" s="19" t="s">
        <v>10</v>
      </c>
      <c r="AF9" s="3">
        <v>100</v>
      </c>
      <c r="AG9" s="41">
        <f>AVERAGE(0.1922,0.194,0.218)</f>
        <v>0.2014</v>
      </c>
      <c r="AI9" s="26" t="s">
        <v>11</v>
      </c>
      <c r="AJ9" s="18">
        <v>2.5</v>
      </c>
      <c r="AK9" s="19" t="s">
        <v>12</v>
      </c>
      <c r="AM9" s="3">
        <v>50</v>
      </c>
      <c r="AN9" s="41">
        <f>AVERAGE(0.1914,0.1934,0.1937)</f>
        <v>0.19283333333333333</v>
      </c>
      <c r="AP9" s="26" t="s">
        <v>11</v>
      </c>
      <c r="AQ9" s="18">
        <v>5</v>
      </c>
      <c r="AR9" s="19" t="s">
        <v>12</v>
      </c>
      <c r="AT9" s="3">
        <v>85</v>
      </c>
      <c r="AU9" s="41">
        <f>AVERAGE(1.8277,1.7886,1.8613)</f>
        <v>1.8258666666666665</v>
      </c>
      <c r="AV9" s="41"/>
      <c r="AW9" s="26" t="s">
        <v>11</v>
      </c>
      <c r="AX9" s="18">
        <v>5</v>
      </c>
      <c r="AY9" s="19" t="s">
        <v>12</v>
      </c>
      <c r="BA9" s="40">
        <v>16</v>
      </c>
      <c r="BB9" s="47">
        <f>AVERAGE(0.6613,0.6556,0.6718)</f>
        <v>0.66289999999999993</v>
      </c>
      <c r="BD9" s="26" t="s">
        <v>11</v>
      </c>
      <c r="BE9" s="18">
        <v>0.5</v>
      </c>
      <c r="BF9" s="19" t="s">
        <v>12</v>
      </c>
    </row>
    <row r="10" spans="1:58" x14ac:dyDescent="0.3">
      <c r="D10" s="11" t="s">
        <v>14</v>
      </c>
      <c r="E10" s="25">
        <f>SLOPE(E3:E7,D3:D7)</f>
        <v>0.13954285714285714</v>
      </c>
      <c r="F10" s="21"/>
      <c r="G10" s="16"/>
      <c r="H10" s="16"/>
      <c r="I10" s="17"/>
      <c r="K10" s="11">
        <v>3</v>
      </c>
      <c r="L10" s="6">
        <v>0.877</v>
      </c>
      <c r="M10" s="15"/>
      <c r="N10" s="16"/>
      <c r="O10" s="16"/>
      <c r="P10" s="17"/>
      <c r="R10" s="29" t="s">
        <v>14</v>
      </c>
      <c r="S10" s="15">
        <f>SLOPE(S3:S7,R3:R7)</f>
        <v>0.48527583863028217</v>
      </c>
      <c r="T10" s="15"/>
      <c r="U10" s="16"/>
      <c r="V10" s="16"/>
      <c r="W10" s="17"/>
      <c r="Y10" s="40">
        <v>10</v>
      </c>
      <c r="Z10" s="6">
        <v>0.51210653799999994</v>
      </c>
      <c r="AA10" s="15"/>
      <c r="AB10" s="16"/>
      <c r="AC10" s="16"/>
      <c r="AD10" s="17"/>
      <c r="AF10" s="29" t="s">
        <v>14</v>
      </c>
      <c r="AG10" s="15">
        <f>SLOPE(AG3:AG9,AF3:AF9)</f>
        <v>1.9546776657500763E-3</v>
      </c>
      <c r="AH10" s="15"/>
      <c r="AI10" s="16"/>
      <c r="AJ10" s="16">
        <f>AJ9*0.01/0.3</f>
        <v>8.3333333333333343E-2</v>
      </c>
      <c r="AK10" s="17" t="s">
        <v>13</v>
      </c>
      <c r="AM10" s="29" t="s">
        <v>14</v>
      </c>
      <c r="AN10" s="42">
        <f>SLOPE(AN3:AN9,AM3:AM9)</f>
        <v>3.6435241730279895E-3</v>
      </c>
      <c r="AO10" s="15"/>
      <c r="AP10" s="16"/>
      <c r="AQ10" s="16">
        <f>AQ9*0.01/0.3</f>
        <v>0.16666666666666669</v>
      </c>
      <c r="AR10" s="17" t="s">
        <v>13</v>
      </c>
      <c r="AT10" s="30"/>
      <c r="AU10" s="20"/>
      <c r="AW10" s="26"/>
      <c r="AX10" s="18">
        <f>AX9*0.01/0.3</f>
        <v>0.16666666666666669</v>
      </c>
      <c r="AY10" s="19" t="s">
        <v>13</v>
      </c>
      <c r="BA10" s="30">
        <v>20</v>
      </c>
      <c r="BB10" s="47">
        <f>AVERAGE(0.708,0.7008,0.7043)</f>
        <v>0.70436666666666659</v>
      </c>
      <c r="BD10" s="26"/>
      <c r="BE10" s="27">
        <f>(BE9*0.01)/0.3</f>
        <v>1.6666666666666666E-2</v>
      </c>
      <c r="BF10" s="19" t="s">
        <v>13</v>
      </c>
    </row>
    <row r="11" spans="1:58" x14ac:dyDescent="0.3">
      <c r="D11" s="11" t="s">
        <v>15</v>
      </c>
      <c r="E11" s="25">
        <f>INTERCEPT(E3:E7,D3:D7)</f>
        <v>4.2000000000000093E-3</v>
      </c>
      <c r="F11" s="15"/>
      <c r="G11" s="16"/>
      <c r="H11" s="16"/>
      <c r="I11" s="17"/>
      <c r="K11" s="3" t="s">
        <v>14</v>
      </c>
      <c r="L11" s="6">
        <f>SLOPE(L3:L7,K3:K7)</f>
        <v>0.52312236286919833</v>
      </c>
      <c r="M11" s="15" t="s">
        <v>16</v>
      </c>
      <c r="N11" s="16"/>
      <c r="O11" s="16"/>
      <c r="P11" s="17"/>
      <c r="R11" s="29" t="s">
        <v>15</v>
      </c>
      <c r="S11" s="15">
        <f>INTERCEPT(S3:S7,R3:R7)</f>
        <v>-9.2355109884043884E-3</v>
      </c>
      <c r="T11" s="15" t="s">
        <v>16</v>
      </c>
      <c r="U11" s="16"/>
      <c r="V11" s="16"/>
      <c r="W11" s="17"/>
      <c r="Y11" s="29" t="s">
        <v>14</v>
      </c>
      <c r="Z11" s="15">
        <f>SLOPE(Z3:Z10,Y3:Y10)</f>
        <v>5.1929821857513339E-2</v>
      </c>
      <c r="AA11" s="15" t="s">
        <v>16</v>
      </c>
      <c r="AB11" s="16"/>
      <c r="AC11" s="16"/>
      <c r="AD11" s="17"/>
      <c r="AF11" s="29" t="s">
        <v>15</v>
      </c>
      <c r="AG11" s="15">
        <f>INTERCEPT(AG3:AG9,AF3:AF9)</f>
        <v>1.2133822181484885E-2</v>
      </c>
      <c r="AH11" s="15" t="s">
        <v>16</v>
      </c>
      <c r="AI11" s="16"/>
      <c r="AJ11" s="16"/>
      <c r="AK11" s="17"/>
      <c r="AM11" s="29" t="s">
        <v>15</v>
      </c>
      <c r="AN11" s="42">
        <f>INTERCEPT(AN3:AN9,AM3:AM9)</f>
        <v>1.4941284987277356E-2</v>
      </c>
      <c r="AO11" s="15" t="s">
        <v>16</v>
      </c>
      <c r="AP11" s="16"/>
      <c r="AQ11" s="16"/>
      <c r="AR11" s="17"/>
      <c r="AT11" s="29" t="s">
        <v>14</v>
      </c>
      <c r="AU11" s="42">
        <f>SLOPE(AU3:AU7,AT3:AT7)</f>
        <v>2.0090677966101693E-2</v>
      </c>
      <c r="AV11" s="15"/>
      <c r="AW11" s="16"/>
      <c r="AX11" s="16"/>
      <c r="AY11" s="17"/>
      <c r="BA11" s="29" t="s">
        <v>14</v>
      </c>
      <c r="BB11" s="15">
        <f>SLOPE(BB3:BB8,BA3:BA8)</f>
        <v>5.4080142857142861E-2</v>
      </c>
      <c r="BC11" s="21"/>
      <c r="BD11" s="16"/>
      <c r="BE11" s="16"/>
      <c r="BF11" s="17"/>
    </row>
    <row r="12" spans="1:58" x14ac:dyDescent="0.3">
      <c r="D12" s="11" t="s">
        <v>18</v>
      </c>
      <c r="E12" s="25">
        <f>CORREL(E3:E7,D3:D7)</f>
        <v>0.99785244918300464</v>
      </c>
      <c r="K12" s="11" t="s">
        <v>15</v>
      </c>
      <c r="L12" s="25">
        <f>INTERCEPT(L3:L7,K3:K7)</f>
        <v>3.2679324894514736E-3</v>
      </c>
      <c r="M12" s="32">
        <v>25</v>
      </c>
      <c r="R12" s="31" t="s">
        <v>18</v>
      </c>
      <c r="S12" s="22">
        <f>CORREL(S3:S7,R3:R7)</f>
        <v>0.99607995703664676</v>
      </c>
      <c r="T12" s="32">
        <v>1</v>
      </c>
      <c r="Y12" s="29" t="s">
        <v>15</v>
      </c>
      <c r="Z12" s="15">
        <f>INTERCEPT(Z3:Z10,Y3:Y10)</f>
        <v>-2.386237365018834E-3</v>
      </c>
      <c r="AA12" s="32">
        <v>25</v>
      </c>
      <c r="AF12" s="31" t="s">
        <v>18</v>
      </c>
      <c r="AG12" s="22">
        <f>CORREL(AG3:AG9,AF3:AF9)</f>
        <v>0.99532336540648014</v>
      </c>
      <c r="AH12" s="32">
        <v>4</v>
      </c>
      <c r="AM12" s="31" t="s">
        <v>18</v>
      </c>
      <c r="AN12" s="22">
        <f>CORREL(AN3:AN9,AM3:AM9)</f>
        <v>0.99790660199557479</v>
      </c>
      <c r="AO12" s="32"/>
      <c r="AT12" s="29" t="s">
        <v>15</v>
      </c>
      <c r="AU12" s="42">
        <f>INTERCEPT(AU3:AU7,AT3:AT7)</f>
        <v>7.776632768361591E-2</v>
      </c>
      <c r="AW12" s="15" t="s">
        <v>16</v>
      </c>
      <c r="BA12" s="29" t="s">
        <v>15</v>
      </c>
      <c r="BB12" s="15">
        <f>INTERCEPT(BB3:BB8,BA3:BA8)</f>
        <v>3.8386507936507885E-2</v>
      </c>
      <c r="BC12" s="15" t="s">
        <v>16</v>
      </c>
      <c r="BD12" s="16"/>
      <c r="BE12" s="16"/>
      <c r="BF12" s="17"/>
    </row>
    <row r="13" spans="1:58" x14ac:dyDescent="0.3">
      <c r="A13" s="89"/>
      <c r="B13" s="90"/>
      <c r="C13" s="90"/>
      <c r="F13" s="22"/>
      <c r="G13" s="23"/>
      <c r="H13" s="23"/>
      <c r="I13" s="24"/>
      <c r="K13" s="11" t="s">
        <v>18</v>
      </c>
      <c r="L13" s="25">
        <f>CORREL(L3:L7,K3:K7)</f>
        <v>0.99778844524387666</v>
      </c>
      <c r="N13" s="16"/>
      <c r="O13" s="16"/>
      <c r="P13" s="17"/>
      <c r="U13" s="16"/>
      <c r="V13" s="16"/>
      <c r="W13" s="17"/>
      <c r="Y13" s="31" t="s">
        <v>18</v>
      </c>
      <c r="Z13" s="22">
        <f>CORREL(Z3:Z10,Y3:Y10)</f>
        <v>0.99936872247279707</v>
      </c>
      <c r="AB13" s="16"/>
      <c r="AC13" s="16"/>
      <c r="AD13" s="17"/>
      <c r="AI13" s="16"/>
      <c r="AJ13" s="16"/>
      <c r="AK13" s="17"/>
      <c r="AP13" s="16"/>
      <c r="AQ13" s="16"/>
      <c r="AR13" s="17"/>
      <c r="AT13" s="29" t="s">
        <v>18</v>
      </c>
      <c r="AU13" s="15">
        <f>CORREL(AU3:AU7,AT3:AT7)</f>
        <v>0.99969314770801898</v>
      </c>
      <c r="AW13" s="32">
        <v>5</v>
      </c>
      <c r="AX13" s="16"/>
      <c r="AY13" s="17"/>
      <c r="BA13" s="31" t="s">
        <v>18</v>
      </c>
      <c r="BB13" s="22">
        <f>CORREL(BB3:BB8,BA3:BA8)</f>
        <v>0.98588380560270994</v>
      </c>
      <c r="BC13" s="32">
        <v>1</v>
      </c>
      <c r="BD13" s="16"/>
      <c r="BE13" s="16"/>
      <c r="BF13" s="17"/>
    </row>
    <row r="14" spans="1:58" ht="14.4" customHeight="1" x14ac:dyDescent="0.3">
      <c r="A14" s="1"/>
      <c r="B14" s="7" t="s">
        <v>19</v>
      </c>
      <c r="C14" s="9" t="s">
        <v>20</v>
      </c>
      <c r="D14" s="93" t="s">
        <v>21</v>
      </c>
      <c r="E14" s="93" t="s">
        <v>22</v>
      </c>
      <c r="F14" s="93" t="s">
        <v>23</v>
      </c>
      <c r="G14" s="93" t="s">
        <v>24</v>
      </c>
      <c r="H14" s="93" t="s">
        <v>25</v>
      </c>
      <c r="I14" s="93" t="s">
        <v>26</v>
      </c>
      <c r="K14" s="93" t="s">
        <v>21</v>
      </c>
      <c r="L14" s="93" t="s">
        <v>22</v>
      </c>
      <c r="M14" s="93" t="s">
        <v>23</v>
      </c>
      <c r="N14" s="93" t="s">
        <v>24</v>
      </c>
      <c r="O14" s="93" t="s">
        <v>25</v>
      </c>
      <c r="P14" s="93" t="s">
        <v>26</v>
      </c>
      <c r="R14" s="93" t="s">
        <v>21</v>
      </c>
      <c r="S14" s="93" t="s">
        <v>22</v>
      </c>
      <c r="T14" s="93" t="s">
        <v>23</v>
      </c>
      <c r="U14" s="93" t="s">
        <v>24</v>
      </c>
      <c r="V14" s="93" t="s">
        <v>25</v>
      </c>
      <c r="W14" s="93" t="s">
        <v>26</v>
      </c>
      <c r="Y14" s="93" t="s">
        <v>21</v>
      </c>
      <c r="Z14" s="93" t="s">
        <v>22</v>
      </c>
      <c r="AA14" s="93" t="s">
        <v>27</v>
      </c>
      <c r="AB14" s="93" t="s">
        <v>24</v>
      </c>
      <c r="AC14" s="93" t="s">
        <v>25</v>
      </c>
      <c r="AD14" s="93" t="s">
        <v>26</v>
      </c>
      <c r="AF14" s="93" t="s">
        <v>21</v>
      </c>
      <c r="AG14" s="93" t="s">
        <v>28</v>
      </c>
      <c r="AH14" s="93" t="s">
        <v>29</v>
      </c>
      <c r="AI14" s="93" t="s">
        <v>24</v>
      </c>
      <c r="AJ14" s="93" t="s">
        <v>25</v>
      </c>
      <c r="AK14" s="93" t="s">
        <v>26</v>
      </c>
      <c r="AM14" s="88" t="s">
        <v>21</v>
      </c>
      <c r="AN14" s="88" t="s">
        <v>28</v>
      </c>
      <c r="AO14" s="88" t="s">
        <v>29</v>
      </c>
      <c r="AP14" s="88" t="s">
        <v>24</v>
      </c>
      <c r="AQ14" s="88" t="s">
        <v>25</v>
      </c>
      <c r="AR14" s="88" t="s">
        <v>26</v>
      </c>
      <c r="AT14" s="88" t="s">
        <v>21</v>
      </c>
      <c r="AU14" s="88" t="s">
        <v>28</v>
      </c>
      <c r="AV14" s="88" t="s">
        <v>29</v>
      </c>
      <c r="AW14" s="88" t="s">
        <v>24</v>
      </c>
      <c r="AX14" s="88" t="s">
        <v>25</v>
      </c>
      <c r="AY14" s="88" t="s">
        <v>26</v>
      </c>
      <c r="BA14" s="68" t="s">
        <v>21</v>
      </c>
      <c r="BB14" s="70" t="s">
        <v>28</v>
      </c>
      <c r="BC14" s="72" t="s">
        <v>29</v>
      </c>
      <c r="BD14" s="73" t="s">
        <v>24</v>
      </c>
      <c r="BE14" s="74" t="s">
        <v>25</v>
      </c>
      <c r="BF14" s="72" t="s">
        <v>26</v>
      </c>
    </row>
    <row r="15" spans="1:58" x14ac:dyDescent="0.3">
      <c r="A15" s="2"/>
      <c r="B15" s="8"/>
      <c r="C15" s="10"/>
      <c r="D15" s="94"/>
      <c r="E15" s="94"/>
      <c r="F15" s="94"/>
      <c r="G15" s="94"/>
      <c r="H15" s="94"/>
      <c r="I15" s="94"/>
      <c r="K15" s="94"/>
      <c r="L15" s="94"/>
      <c r="M15" s="94"/>
      <c r="N15" s="94"/>
      <c r="O15" s="94"/>
      <c r="P15" s="94"/>
      <c r="R15" s="94"/>
      <c r="S15" s="94"/>
      <c r="T15" s="94"/>
      <c r="U15" s="94"/>
      <c r="V15" s="94"/>
      <c r="W15" s="94"/>
      <c r="Y15" s="94"/>
      <c r="Z15" s="94"/>
      <c r="AA15" s="94"/>
      <c r="AB15" s="94"/>
      <c r="AC15" s="94"/>
      <c r="AD15" s="94"/>
      <c r="AF15" s="94"/>
      <c r="AG15" s="94"/>
      <c r="AH15" s="94"/>
      <c r="AI15" s="94"/>
      <c r="AJ15" s="94"/>
      <c r="AK15" s="94"/>
      <c r="AM15" s="88"/>
      <c r="AN15" s="88"/>
      <c r="AO15" s="88"/>
      <c r="AP15" s="88"/>
      <c r="AQ15" s="88"/>
      <c r="AR15" s="88"/>
      <c r="AT15" s="88" t="s">
        <v>21</v>
      </c>
      <c r="AU15" s="88"/>
      <c r="AV15" s="88"/>
      <c r="AW15" s="88"/>
      <c r="AX15" s="88"/>
      <c r="AY15" s="88"/>
      <c r="BA15" s="69"/>
      <c r="BB15" s="71"/>
      <c r="BC15" s="70"/>
      <c r="BD15" s="69"/>
      <c r="BE15" s="75"/>
      <c r="BF15" s="71"/>
    </row>
    <row r="16" spans="1:58" x14ac:dyDescent="0.3">
      <c r="A16" s="93" t="s">
        <v>30</v>
      </c>
      <c r="B16" s="5">
        <v>0.5</v>
      </c>
      <c r="C16" s="4">
        <v>0.01</v>
      </c>
      <c r="D16" s="3">
        <v>7.1999999999999995E-2</v>
      </c>
      <c r="E16" s="25">
        <f>(D16-$E$11)/$E$10</f>
        <v>0.48587223587223577</v>
      </c>
      <c r="F16" s="25">
        <f>(E16*C16)/B16*1000</f>
        <v>9.7174447174447156</v>
      </c>
      <c r="G16" s="104">
        <f>AVERAGE(F16:F18)</f>
        <v>10.085312585312584</v>
      </c>
      <c r="H16" s="104">
        <f>STDEV(F16:F18)</f>
        <v>0.67474538659480177</v>
      </c>
      <c r="I16" s="111">
        <f>H16/G16</f>
        <v>6.6903765340644489E-2</v>
      </c>
      <c r="K16" s="6">
        <v>4.5999999999999999E-2</v>
      </c>
      <c r="L16" s="34">
        <f>(K16-$L$12)/$L$11*M12</f>
        <v>2.0421640587191483</v>
      </c>
      <c r="M16" s="35">
        <f>(L16*C16)/B16*1000</f>
        <v>40.843281174382966</v>
      </c>
      <c r="N16" s="104">
        <f>AVERAGE(M16:M18)</f>
        <v>40.09632490007349</v>
      </c>
      <c r="O16" s="104">
        <f>STDEV(M16:M18)</f>
        <v>0.66750465865445663</v>
      </c>
      <c r="P16" s="111">
        <f>O16/N16</f>
        <v>1.6647527181555564E-2</v>
      </c>
      <c r="R16" s="6">
        <v>0.32834950099999999</v>
      </c>
      <c r="S16" s="34">
        <f>(R16-$S$11)/$S$10</f>
        <v>0.69565592414668065</v>
      </c>
      <c r="T16" s="35">
        <f>(S16*C16)/B16*1000</f>
        <v>13.913118482933614</v>
      </c>
      <c r="U16" s="104">
        <f>AVERAGE(T16:T18)</f>
        <v>14.20399094060331</v>
      </c>
      <c r="V16" s="104">
        <f>STDEV(T16:T18)</f>
        <v>0.81089485064056044</v>
      </c>
      <c r="W16" s="111">
        <f>V16/U16</f>
        <v>5.7089226121832343E-2</v>
      </c>
      <c r="Y16" s="6">
        <v>0.40887013100000003</v>
      </c>
      <c r="Z16" s="34">
        <f>(Y16-$Z$12)/$Z$11*$AA$12</f>
        <v>197.98660656560546</v>
      </c>
      <c r="AA16" s="35">
        <f>(Z16*C16)/B16</f>
        <v>3.959732131312109</v>
      </c>
      <c r="AB16" s="104">
        <f>AVERAGE(AA16:AA18)</f>
        <v>3.7178413813787294</v>
      </c>
      <c r="AC16" s="104">
        <f>STDEV(AA16:AA18)</f>
        <v>0.28034271437511199</v>
      </c>
      <c r="AD16" s="111">
        <f>AC16/AB16</f>
        <v>7.5404700098084684E-2</v>
      </c>
      <c r="AF16" s="41">
        <f>AVERAGE(0.1281,0.1326,0.135)</f>
        <v>0.13189999999999999</v>
      </c>
      <c r="AG16" s="34">
        <f>(AF16-$AG$11)/$AG$10*$AH$12</f>
        <v>245.08629717740547</v>
      </c>
      <c r="AH16" s="35">
        <f>(AG16*C16)/B16</f>
        <v>4.9017259435481098</v>
      </c>
      <c r="AI16" s="104">
        <f>AVERAGE(AH16:AH18)</f>
        <v>4.4705283042723609</v>
      </c>
      <c r="AJ16" s="104">
        <f>STDEV(AH16:AH18)</f>
        <v>0.48261992253836378</v>
      </c>
      <c r="AK16" s="111">
        <f>AJ16/AI16</f>
        <v>0.10795590357344056</v>
      </c>
      <c r="AM16" s="41">
        <f>AVERAGE(0.0353,0.0383,0.0424)</f>
        <v>3.8666666666666662E-2</v>
      </c>
      <c r="AN16" s="25">
        <f>(AM16-$AN$11)/$AN$10</f>
        <v>6.5116575471138081</v>
      </c>
      <c r="AO16" s="25">
        <f>(AN16*C16)/B16</f>
        <v>0.13023315094227617</v>
      </c>
      <c r="AP16" s="98">
        <f>AVERAGE(AO16:AO18)</f>
        <v>0.16882460680779177</v>
      </c>
      <c r="AQ16" s="98">
        <f>STDEV(AO16:AO18)</f>
        <v>5.4406271920727396E-2</v>
      </c>
      <c r="AR16" s="62">
        <f>AQ16/AP16</f>
        <v>0.32226505927935845</v>
      </c>
      <c r="AT16" s="41">
        <f>AVERAGE(1.0094,0.9039,0.8991)</f>
        <v>0.93746666666666678</v>
      </c>
      <c r="AU16" s="34">
        <f>(AT16-$AU$12)/$AU$11*$AW$13</f>
        <v>213.95503437803183</v>
      </c>
      <c r="AV16" s="35">
        <f>(AU16*C16)/B16</f>
        <v>4.2791006875606366</v>
      </c>
      <c r="AW16" s="104">
        <f>AVERAGE(AV16:AV18)</f>
        <v>3.7335325946860518</v>
      </c>
      <c r="AX16" s="104">
        <f>STDEV(AV16:AV18)</f>
        <v>0.49296158012459723</v>
      </c>
      <c r="AY16" s="111">
        <f>AX16/AW16</f>
        <v>0.13203623314451063</v>
      </c>
      <c r="BA16" s="41">
        <f>AVERAGE(0.7281,0.7649,0.7323)</f>
        <v>0.74176666666666657</v>
      </c>
      <c r="BB16" s="34">
        <f>(BA16-$BB$12)/$BB$11*$BC$13</f>
        <v>13.006255560163646</v>
      </c>
      <c r="BC16" s="35">
        <f>(BB16*C16)/B16</f>
        <v>0.26012511120327292</v>
      </c>
      <c r="BD16" s="118">
        <f>AVERAGE(BC16:BC18)</f>
        <v>0.2580144584882042</v>
      </c>
      <c r="BE16" s="121">
        <f>STDEV(BC16:BC18)</f>
        <v>1.8327433312213901E-3</v>
      </c>
      <c r="BF16" s="62">
        <f>BE16/BD16</f>
        <v>7.1032582513401226E-3</v>
      </c>
    </row>
    <row r="17" spans="1:58" x14ac:dyDescent="0.3">
      <c r="A17" s="114"/>
      <c r="B17" s="5">
        <v>0.48</v>
      </c>
      <c r="C17" s="4">
        <v>0.01</v>
      </c>
      <c r="D17" s="3">
        <v>6.9000000000000006E-2</v>
      </c>
      <c r="E17" s="25">
        <f t="shared" ref="E17:E18" si="0">(D17-$E$11)/$E$10</f>
        <v>0.46437346437346438</v>
      </c>
      <c r="F17" s="25">
        <f t="shared" ref="F17:F33" si="1">(E17*C17)/B17*1000</f>
        <v>9.6744471744471738</v>
      </c>
      <c r="G17" s="105"/>
      <c r="H17" s="105"/>
      <c r="I17" s="112"/>
      <c r="K17" s="3">
        <v>4.2999999999999997E-2</v>
      </c>
      <c r="L17" s="36">
        <f>(K17-$L$12)/$L$11*$M$12</f>
        <v>1.8987941603484433</v>
      </c>
      <c r="M17" s="37">
        <f>(L17*C17)/B17*1000</f>
        <v>39.558211673925904</v>
      </c>
      <c r="N17" s="105"/>
      <c r="O17" s="105"/>
      <c r="P17" s="112"/>
      <c r="R17" s="6">
        <v>0.34296301000000001</v>
      </c>
      <c r="S17" s="34">
        <f t="shared" ref="S17:S33" si="2">(R17-$S$11)/$S$10</f>
        <v>0.72576974362149205</v>
      </c>
      <c r="T17" s="35">
        <f t="shared" ref="T17:T33" si="3">(S17*C17)/B17*1000</f>
        <v>15.120202992114418</v>
      </c>
      <c r="U17" s="105"/>
      <c r="V17" s="105"/>
      <c r="W17" s="112"/>
      <c r="Y17" s="6">
        <v>0.37481856299999999</v>
      </c>
      <c r="Z17" s="34">
        <f t="shared" ref="Z17:Z33" si="4">(Y17-$Z$12)/$Z$11*$AA$12</f>
        <v>181.59353665799443</v>
      </c>
      <c r="AA17" s="35">
        <f t="shared" ref="AA17:AA33" si="5">(Z17*C17)/B17</f>
        <v>3.7831986803748845</v>
      </c>
      <c r="AB17" s="105"/>
      <c r="AC17" s="105"/>
      <c r="AD17" s="112"/>
      <c r="AF17" s="41">
        <f>AVERAGE(0.102,0.107,0.1053)</f>
        <v>0.10476666666666667</v>
      </c>
      <c r="AG17" s="34">
        <f t="shared" ref="AG17:AG18" si="6">(AF17-$AG$11)/$AG$10*$AH$12</f>
        <v>189.56137087622662</v>
      </c>
      <c r="AH17" s="35">
        <f t="shared" ref="AH17:AH33" si="7">(AG17*C17)/B17</f>
        <v>3.9491952265880546</v>
      </c>
      <c r="AI17" s="105"/>
      <c r="AJ17" s="105"/>
      <c r="AK17" s="112"/>
      <c r="AM17" s="41">
        <f>AVERAGE(0.039,0.0412,0.0408)</f>
        <v>4.0333333333333332E-2</v>
      </c>
      <c r="AN17" s="25">
        <f t="shared" ref="AN17:AN30" si="8">(AM17-$AN$11)/$AN$10</f>
        <v>6.9690901281858775</v>
      </c>
      <c r="AO17" s="25">
        <f t="shared" ref="AO17:AO33" si="9">(AN17*C17)/B17</f>
        <v>0.1451893776705391</v>
      </c>
      <c r="AP17" s="99"/>
      <c r="AQ17" s="99"/>
      <c r="AR17" s="63"/>
      <c r="AT17" s="41">
        <f>AVERAGE(0.7915,0.8022,0.7234)</f>
        <v>0.77236666666666665</v>
      </c>
      <c r="AU17" s="34">
        <f t="shared" ref="AU17:AU33" si="10">(AT17-$AU$12)/$AU$11*$AW$13</f>
        <v>172.8663264014848</v>
      </c>
      <c r="AV17" s="35">
        <f t="shared" ref="AV17:AV33" si="11">(AU17*C17)/B17</f>
        <v>3.6013818000309334</v>
      </c>
      <c r="AW17" s="105"/>
      <c r="AX17" s="105"/>
      <c r="AY17" s="112"/>
      <c r="BA17" s="41">
        <f>AVERAGE(0.6947,0.7303,0.6902)</f>
        <v>0.70506666666666662</v>
      </c>
      <c r="BB17" s="34">
        <f t="shared" ref="BB17:BB33" si="12">(BA17-$BB$12)/$BB$11*$BC$13</f>
        <v>12.327633092450387</v>
      </c>
      <c r="BC17" s="35">
        <f t="shared" ref="BC17:BC33" si="13">(BB17*C17)/B17</f>
        <v>0.25682568942604977</v>
      </c>
      <c r="BD17" s="119"/>
      <c r="BE17" s="122"/>
      <c r="BF17" s="63"/>
    </row>
    <row r="18" spans="1:58" x14ac:dyDescent="0.3">
      <c r="A18" s="94"/>
      <c r="B18" s="5">
        <v>0.5</v>
      </c>
      <c r="C18" s="4">
        <v>0.01</v>
      </c>
      <c r="D18" s="3">
        <v>0.08</v>
      </c>
      <c r="E18" s="25">
        <f t="shared" si="0"/>
        <v>0.54320229320229318</v>
      </c>
      <c r="F18" s="25">
        <f t="shared" si="1"/>
        <v>10.864045864045863</v>
      </c>
      <c r="G18" s="106"/>
      <c r="H18" s="106"/>
      <c r="I18" s="113"/>
      <c r="K18" s="3">
        <v>4.4999999999999998E-2</v>
      </c>
      <c r="L18" s="36">
        <f t="shared" ref="L18:L33" si="14">(K18-$L$12)/$L$11*$M$12</f>
        <v>1.99437409259558</v>
      </c>
      <c r="M18" s="39">
        <f t="shared" ref="M18:M33" si="15">(L18*C18)/B18*1000</f>
        <v>39.887481851911602</v>
      </c>
      <c r="N18" s="106"/>
      <c r="O18" s="106"/>
      <c r="P18" s="113"/>
      <c r="R18" s="6">
        <v>0.32023405999999999</v>
      </c>
      <c r="S18" s="34">
        <f t="shared" si="2"/>
        <v>0.67893256733809448</v>
      </c>
      <c r="T18" s="35">
        <f t="shared" si="3"/>
        <v>13.578651346761891</v>
      </c>
      <c r="U18" s="106"/>
      <c r="V18" s="106"/>
      <c r="W18" s="113"/>
      <c r="Y18" s="6">
        <v>0.35183677099999999</v>
      </c>
      <c r="Z18" s="34">
        <f t="shared" si="4"/>
        <v>170.52966662245973</v>
      </c>
      <c r="AA18" s="35">
        <f t="shared" si="5"/>
        <v>3.4105933324491948</v>
      </c>
      <c r="AB18" s="106"/>
      <c r="AC18" s="106"/>
      <c r="AD18" s="113"/>
      <c r="AF18" s="41">
        <f>AVERAGE(0.1224,0.1255,0.1228)</f>
        <v>0.12356666666666667</v>
      </c>
      <c r="AG18" s="34">
        <f t="shared" si="6"/>
        <v>228.03318713404587</v>
      </c>
      <c r="AH18" s="35">
        <f t="shared" si="7"/>
        <v>4.5606637426809176</v>
      </c>
      <c r="AI18" s="106"/>
      <c r="AJ18" s="106"/>
      <c r="AK18" s="113"/>
      <c r="AM18" s="41">
        <f>AVERAGE(0.0529,0.058,0.0602)</f>
        <v>5.7033333333333332E-2</v>
      </c>
      <c r="AN18" s="25">
        <f t="shared" si="8"/>
        <v>11.552564590528004</v>
      </c>
      <c r="AO18" s="25">
        <f t="shared" si="9"/>
        <v>0.23105129181056008</v>
      </c>
      <c r="AP18" s="100"/>
      <c r="AQ18" s="100"/>
      <c r="AR18" s="64"/>
      <c r="AT18" s="41">
        <f>AVERAGE(0.7482,0.7737,0.7125)</f>
        <v>0.74480000000000002</v>
      </c>
      <c r="AU18" s="34">
        <f t="shared" si="10"/>
        <v>166.00576482332926</v>
      </c>
      <c r="AV18" s="35">
        <f t="shared" si="11"/>
        <v>3.3201152964665854</v>
      </c>
      <c r="AW18" s="106"/>
      <c r="AX18" s="106"/>
      <c r="AY18" s="113"/>
      <c r="BA18" s="41">
        <f>AVERAGE(0.73,0.7335,0.7372)</f>
        <v>0.73356666666666659</v>
      </c>
      <c r="BB18" s="34">
        <f t="shared" si="12"/>
        <v>12.854628741764499</v>
      </c>
      <c r="BC18" s="35">
        <f t="shared" si="13"/>
        <v>0.25709257483528997</v>
      </c>
      <c r="BD18" s="120"/>
      <c r="BE18" s="123"/>
      <c r="BF18" s="64"/>
    </row>
    <row r="19" spans="1:58" x14ac:dyDescent="0.3">
      <c r="A19" s="93" t="s">
        <v>32</v>
      </c>
      <c r="B19" s="5">
        <v>0.47</v>
      </c>
      <c r="C19" s="4">
        <v>0.01</v>
      </c>
      <c r="D19" s="3">
        <v>9.9000000000000005E-2</v>
      </c>
      <c r="E19" s="25">
        <f>(D19-$E$11)/$E$10</f>
        <v>0.67936117936117935</v>
      </c>
      <c r="F19" s="25">
        <f t="shared" si="1"/>
        <v>14.454493177897433</v>
      </c>
      <c r="G19" s="95">
        <f>AVERAGE(F19:F21)</f>
        <v>12.83200711235755</v>
      </c>
      <c r="H19" s="95">
        <f>STDEV(F19:F21)</f>
        <v>1.9142775424653717</v>
      </c>
      <c r="I19" s="111">
        <f>H19/G19</f>
        <v>0.14917990036195303</v>
      </c>
      <c r="K19" s="6">
        <v>5.0999999999999997E-2</v>
      </c>
      <c r="L19" s="36">
        <f t="shared" si="14"/>
        <v>2.2811138893369898</v>
      </c>
      <c r="M19" s="37">
        <f t="shared" si="15"/>
        <v>48.534338070999787</v>
      </c>
      <c r="N19" s="95">
        <f>AVERAGE(M19:M21)</f>
        <v>45.338980403552874</v>
      </c>
      <c r="O19" s="95">
        <f>STDEV(M19:M21)</f>
        <v>2.9378156574316656</v>
      </c>
      <c r="P19" s="111">
        <f>O19/N19</f>
        <v>6.4796685573490553E-2</v>
      </c>
      <c r="R19" s="6">
        <v>0.233161747</v>
      </c>
      <c r="S19" s="34">
        <f t="shared" si="2"/>
        <v>0.49950407313206446</v>
      </c>
      <c r="T19" s="35">
        <f t="shared" si="3"/>
        <v>10.627746236852436</v>
      </c>
      <c r="U19" s="95">
        <f>AVERAGE(T19:T21)</f>
        <v>11.786187632920141</v>
      </c>
      <c r="V19" s="95">
        <f>STDEV(T19:T21)</f>
        <v>1.2156090778089261</v>
      </c>
      <c r="W19" s="111">
        <f>V19/U19</f>
        <v>0.10313844609206746</v>
      </c>
      <c r="Y19" s="6">
        <v>0.40582838700000001</v>
      </c>
      <c r="Z19" s="34">
        <f t="shared" si="4"/>
        <v>196.52225338125118</v>
      </c>
      <c r="AA19" s="35">
        <f t="shared" si="5"/>
        <v>4.1813245400266208</v>
      </c>
      <c r="AB19" s="104">
        <f>AVERAGE(AA19:AA21)</f>
        <v>3.6996081719243938</v>
      </c>
      <c r="AC19" s="104">
        <f>STDEV(AA19:AA21)</f>
        <v>0.41718292867846468</v>
      </c>
      <c r="AD19" s="111">
        <f>AC19/AB19</f>
        <v>0.11276408454397542</v>
      </c>
      <c r="AF19" s="41">
        <f>AVERAGE(0.0537,0.0539,0.052)</f>
        <v>5.3199999999999997E-2</v>
      </c>
      <c r="AG19" s="34">
        <f>(AF19-$AG$11)/$AG$10*25</f>
        <v>525.22953704948361</v>
      </c>
      <c r="AH19" s="35">
        <f t="shared" si="7"/>
        <v>11.175096532967736</v>
      </c>
      <c r="AI19" s="104">
        <f>AVERAGE(AH19:AH20)</f>
        <v>10.643732871480069</v>
      </c>
      <c r="AJ19" s="104">
        <f>STDEV(AH19:AH20)</f>
        <v>0.75146169662808504</v>
      </c>
      <c r="AK19" s="111">
        <f>AJ19/AI19</f>
        <v>7.0601329975278709E-2</v>
      </c>
      <c r="AM19" s="41">
        <f>AVERAGE(0.0753,0.0785,0.0802)</f>
        <v>7.8E-2</v>
      </c>
      <c r="AN19" s="25">
        <f>(AM19-$AN$11)/$AN$10*5</f>
        <v>86.53533230207313</v>
      </c>
      <c r="AO19" s="25">
        <f t="shared" si="9"/>
        <v>1.8411772830228328</v>
      </c>
      <c r="AP19" s="104">
        <f t="shared" ref="AP19" si="16">AVERAGE(AO19:AO21)</f>
        <v>2.2419818871020758</v>
      </c>
      <c r="AQ19" s="104">
        <f t="shared" ref="AQ19" si="17">STDEV(AO19:AO21)</f>
        <v>0.47855335150178219</v>
      </c>
      <c r="AR19" s="62">
        <f t="shared" ref="AR19" si="18">AQ19/AP19</f>
        <v>0.21345103377277821</v>
      </c>
      <c r="AT19" s="41">
        <f>AVERAGE(0.8559,0.8792,0.9029)</f>
        <v>0.8793333333333333</v>
      </c>
      <c r="AU19" s="34">
        <f t="shared" si="10"/>
        <v>199.48729629785856</v>
      </c>
      <c r="AV19" s="35">
        <f t="shared" si="11"/>
        <v>4.2444105595289061</v>
      </c>
      <c r="AW19" s="104">
        <f>AVERAGE(AV19:AV21)</f>
        <v>4.4989022586856278</v>
      </c>
      <c r="AX19" s="104">
        <f>STDEV(AV19:AV21)</f>
        <v>0.22275167681507413</v>
      </c>
      <c r="AY19" s="111">
        <f>AX19/AW19</f>
        <v>4.9512450817313806E-2</v>
      </c>
      <c r="BA19" s="41">
        <f>AVERAGE(0.2608,0.2576,0.2749)</f>
        <v>0.2644333333333333</v>
      </c>
      <c r="BB19" s="34">
        <f t="shared" si="12"/>
        <v>4.1798488956278588</v>
      </c>
      <c r="BC19" s="35">
        <f t="shared" si="13"/>
        <v>8.8932955226124655E-2</v>
      </c>
      <c r="BD19" s="108">
        <f t="shared" ref="BD19" si="19">AVERAGE(BC19:BC21)</f>
        <v>9.1242955576356435E-2</v>
      </c>
      <c r="BE19" s="101">
        <f t="shared" ref="BE19" si="20">STDEV(BC19:BC21)</f>
        <v>1.506113973443314E-2</v>
      </c>
      <c r="BF19" s="62">
        <f t="shared" ref="BF19" si="21">BE19/BD19</f>
        <v>0.165066329113257</v>
      </c>
    </row>
    <row r="20" spans="1:58" x14ac:dyDescent="0.3">
      <c r="A20" s="114"/>
      <c r="B20" s="5">
        <v>0.5</v>
      </c>
      <c r="C20" s="4">
        <v>0.01</v>
      </c>
      <c r="D20" s="3">
        <v>7.9000000000000001E-2</v>
      </c>
      <c r="E20" s="25">
        <f t="shared" ref="E20:E33" si="22">(D20-$E$11)/$E$10</f>
        <v>0.536036036036036</v>
      </c>
      <c r="F20" s="25">
        <f t="shared" si="1"/>
        <v>10.72072072072072</v>
      </c>
      <c r="G20" s="96"/>
      <c r="H20" s="96"/>
      <c r="I20" s="112"/>
      <c r="K20" s="6">
        <v>4.8000000000000001E-2</v>
      </c>
      <c r="L20" s="36">
        <f t="shared" si="14"/>
        <v>2.137743990966285</v>
      </c>
      <c r="M20" s="37">
        <f t="shared" si="15"/>
        <v>42.754879819325701</v>
      </c>
      <c r="N20" s="96"/>
      <c r="O20" s="96"/>
      <c r="P20" s="112"/>
      <c r="R20" s="6">
        <v>0.27414026899999999</v>
      </c>
      <c r="S20" s="34">
        <f t="shared" si="2"/>
        <v>0.58394784456660387</v>
      </c>
      <c r="T20" s="35">
        <f t="shared" si="3"/>
        <v>11.678956891332078</v>
      </c>
      <c r="U20" s="96"/>
      <c r="V20" s="96"/>
      <c r="W20" s="112"/>
      <c r="Y20" s="6">
        <v>0.35664120300000002</v>
      </c>
      <c r="Z20" s="34">
        <f t="shared" si="4"/>
        <v>172.84261120234993</v>
      </c>
      <c r="AA20" s="35">
        <f t="shared" si="5"/>
        <v>3.4568522240469988</v>
      </c>
      <c r="AB20" s="105"/>
      <c r="AC20" s="105"/>
      <c r="AD20" s="112"/>
      <c r="AF20" s="41">
        <f>AVERAGE(0.052,0.0518,0.0512)</f>
        <v>5.1666666666666666E-2</v>
      </c>
      <c r="AG20" s="34">
        <f t="shared" ref="AG20:AG21" si="23">(AF20-$AG$11)/$AG$10*25</f>
        <v>505.61846049962008</v>
      </c>
      <c r="AH20" s="35">
        <f t="shared" si="7"/>
        <v>10.112369209992401</v>
      </c>
      <c r="AI20" s="105"/>
      <c r="AJ20" s="105"/>
      <c r="AK20" s="112"/>
      <c r="AM20" s="41">
        <f>AVERAGE(0.1152,0.1157,0.1169)</f>
        <v>0.11593333333333333</v>
      </c>
      <c r="AN20" s="25">
        <f t="shared" ref="AN20:AN24" si="24">(AM20-$AN$11)/$AN$10*5</f>
        <v>138.59116002807451</v>
      </c>
      <c r="AO20" s="25">
        <f t="shared" si="9"/>
        <v>2.7718232005614905</v>
      </c>
      <c r="AP20" s="105"/>
      <c r="AQ20" s="105"/>
      <c r="AR20" s="63"/>
      <c r="AT20" s="41">
        <f>AVERAGE(1.0197,0.9641,1.0183)</f>
        <v>1.0006999999999999</v>
      </c>
      <c r="AU20" s="34">
        <f t="shared" si="10"/>
        <v>229.69201782877067</v>
      </c>
      <c r="AV20" s="35">
        <f t="shared" si="11"/>
        <v>4.5938403565754138</v>
      </c>
      <c r="AW20" s="105"/>
      <c r="AX20" s="105"/>
      <c r="AY20" s="112"/>
      <c r="BA20" s="41">
        <f>AVERAGE(0.2501,0.2421,0.2514)</f>
        <v>0.24786666666666668</v>
      </c>
      <c r="BB20" s="34">
        <f t="shared" si="12"/>
        <v>3.8735134129271409</v>
      </c>
      <c r="BC20" s="35">
        <f t="shared" si="13"/>
        <v>7.7470268258542821E-2</v>
      </c>
      <c r="BD20" s="109"/>
      <c r="BE20" s="102"/>
      <c r="BF20" s="63"/>
    </row>
    <row r="21" spans="1:58" x14ac:dyDescent="0.3">
      <c r="A21" s="94"/>
      <c r="B21" s="5">
        <v>0.51</v>
      </c>
      <c r="C21" s="4">
        <v>0.01</v>
      </c>
      <c r="D21" s="3">
        <v>9.9000000000000005E-2</v>
      </c>
      <c r="E21" s="25">
        <f t="shared" si="22"/>
        <v>0.67936117936117935</v>
      </c>
      <c r="F21" s="25">
        <f t="shared" si="1"/>
        <v>13.320807438454496</v>
      </c>
      <c r="G21" s="97"/>
      <c r="H21" s="97"/>
      <c r="I21" s="113"/>
      <c r="K21" s="6">
        <v>5.0999999999999997E-2</v>
      </c>
      <c r="L21" s="36">
        <f t="shared" si="14"/>
        <v>2.2811138893369898</v>
      </c>
      <c r="M21" s="39">
        <f t="shared" si="15"/>
        <v>44.727723320333133</v>
      </c>
      <c r="N21" s="97"/>
      <c r="O21" s="97"/>
      <c r="P21" s="113"/>
      <c r="R21" s="6">
        <v>0.313785851</v>
      </c>
      <c r="S21" s="34">
        <f t="shared" si="2"/>
        <v>0.66564484829937132</v>
      </c>
      <c r="T21" s="35">
        <f t="shared" si="3"/>
        <v>13.051859770575907</v>
      </c>
      <c r="U21" s="97"/>
      <c r="V21" s="97"/>
      <c r="W21" s="113"/>
      <c r="Y21" s="6">
        <v>0.36422383800000002</v>
      </c>
      <c r="Z21" s="34">
        <f t="shared" si="4"/>
        <v>176.49303533667756</v>
      </c>
      <c r="AA21" s="35">
        <f t="shared" si="5"/>
        <v>3.4606477516995602</v>
      </c>
      <c r="AB21" s="106"/>
      <c r="AC21" s="106"/>
      <c r="AD21" s="113"/>
      <c r="AF21" s="41">
        <f>AVERAGE(0.065,0.0673,0.0637)</f>
        <v>6.533333333333334E-2</v>
      </c>
      <c r="AG21" s="34">
        <f t="shared" si="23"/>
        <v>680.41283844405609</v>
      </c>
      <c r="AH21" s="35">
        <f t="shared" si="7"/>
        <v>13.341428204785412</v>
      </c>
      <c r="AI21" s="106"/>
      <c r="AJ21" s="106"/>
      <c r="AK21" s="113"/>
      <c r="AM21" s="41">
        <f>AVERAGE(0.0873,0.0946,0.0985)</f>
        <v>9.3466666666666656E-2</v>
      </c>
      <c r="AN21" s="25">
        <f t="shared" si="24"/>
        <v>107.76020406381707</v>
      </c>
      <c r="AO21" s="25">
        <f t="shared" si="9"/>
        <v>2.1129451777219033</v>
      </c>
      <c r="AP21" s="106"/>
      <c r="AQ21" s="106"/>
      <c r="AR21" s="64"/>
      <c r="AT21" s="41">
        <f>AVERAGE(1.0481,1.0448,1.0043)</f>
        <v>1.0324</v>
      </c>
      <c r="AU21" s="34">
        <f t="shared" si="10"/>
        <v>237.58124885758076</v>
      </c>
      <c r="AV21" s="35">
        <f t="shared" si="11"/>
        <v>4.6584558599525643</v>
      </c>
      <c r="AW21" s="106"/>
      <c r="AX21" s="106"/>
      <c r="AY21" s="113"/>
      <c r="BA21" s="41">
        <f>AVERAGE(0.3271,0.3434,0.3327)</f>
        <v>0.33440000000000003</v>
      </c>
      <c r="BB21" s="34">
        <f t="shared" si="12"/>
        <v>5.4736078054644954</v>
      </c>
      <c r="BC21" s="35">
        <f t="shared" si="13"/>
        <v>0.10732564324440187</v>
      </c>
      <c r="BD21" s="110"/>
      <c r="BE21" s="103"/>
      <c r="BF21" s="64"/>
    </row>
    <row r="22" spans="1:58" x14ac:dyDescent="0.3">
      <c r="A22" s="93" t="s">
        <v>33</v>
      </c>
      <c r="B22" s="5">
        <v>0.49</v>
      </c>
      <c r="C22" s="4">
        <v>0.01</v>
      </c>
      <c r="D22" s="3">
        <v>0.13200000000000001</v>
      </c>
      <c r="E22" s="25">
        <f t="shared" si="22"/>
        <v>0.91584766584766586</v>
      </c>
      <c r="F22" s="25">
        <f t="shared" si="1"/>
        <v>18.690768690768692</v>
      </c>
      <c r="G22" s="95">
        <f t="shared" ref="G22" si="25">AVERAGE(F22:F24)</f>
        <v>17.169149669149672</v>
      </c>
      <c r="H22" s="95">
        <f t="shared" ref="H22" si="26">STDEV(F22:F24)</f>
        <v>1.5222206284455684</v>
      </c>
      <c r="I22" s="111">
        <f t="shared" ref="I22" si="27">H22/G22</f>
        <v>8.8660222420960388E-2</v>
      </c>
      <c r="K22" s="6">
        <v>0.09</v>
      </c>
      <c r="L22" s="36">
        <f t="shared" si="14"/>
        <v>4.1449225681561535</v>
      </c>
      <c r="M22" s="37">
        <f t="shared" si="15"/>
        <v>84.590256492982732</v>
      </c>
      <c r="N22" s="95">
        <f t="shared" ref="N22" si="28">AVERAGE(M22:M24)</f>
        <v>81.706530847269264</v>
      </c>
      <c r="O22" s="95">
        <f t="shared" ref="O22" si="29">STDEV(M22:M24)</f>
        <v>3.9816057465662524</v>
      </c>
      <c r="P22" s="111">
        <f t="shared" ref="P22" si="30">O22/N22</f>
        <v>4.873056909011237E-2</v>
      </c>
      <c r="R22" s="6">
        <v>0.32383772700000002</v>
      </c>
      <c r="S22" s="34">
        <f t="shared" si="2"/>
        <v>0.68635858510599246</v>
      </c>
      <c r="T22" s="35">
        <f t="shared" si="3"/>
        <v>14.007318063387602</v>
      </c>
      <c r="U22" s="95">
        <f t="shared" ref="U22" si="31">AVERAGE(T22:T24)</f>
        <v>13.152593951338453</v>
      </c>
      <c r="V22" s="95">
        <f t="shared" ref="V22" si="32">STDEV(T22:T24)</f>
        <v>1.9240600381560791</v>
      </c>
      <c r="W22" s="111">
        <f t="shared" ref="W22" si="33">V22/U22</f>
        <v>0.14628749623645762</v>
      </c>
      <c r="Y22" s="6">
        <v>0.85392069800000003</v>
      </c>
      <c r="Z22" s="34">
        <f>(Y22-$Z$12)/$Z$11*$AA$12</f>
        <v>412.24238055090029</v>
      </c>
      <c r="AA22" s="35">
        <f t="shared" si="5"/>
        <v>8.4131098071612307</v>
      </c>
      <c r="AB22" s="104">
        <f t="shared" ref="AB22" si="34">AVERAGE(AA22:AA24)</f>
        <v>8.1778749361510261</v>
      </c>
      <c r="AC22" s="104">
        <f t="shared" ref="AC22" si="35">STDEV(AA22:AA24)</f>
        <v>0.23160732090826849</v>
      </c>
      <c r="AD22" s="111">
        <f t="shared" ref="AD22" si="36">AC22/AB22</f>
        <v>2.8321210915616679E-2</v>
      </c>
      <c r="AF22" s="41"/>
      <c r="AG22" s="34"/>
      <c r="AH22" s="35"/>
      <c r="AI22" s="95">
        <f>AVERAGE(AH23:AH24)</f>
        <v>37.517602627366884</v>
      </c>
      <c r="AJ22" s="95">
        <f>STDEV(AH23:AH24)</f>
        <v>3.5559666808464558</v>
      </c>
      <c r="AK22" s="111">
        <f t="shared" ref="AK22" si="37">AJ22/AI22</f>
        <v>9.4781287497634176E-2</v>
      </c>
      <c r="AM22" s="41">
        <f>AVERAGE(0.0612,0.0629,0.0577)</f>
        <v>6.0599999999999994E-2</v>
      </c>
      <c r="AN22" s="25">
        <f t="shared" si="24"/>
        <v>62.657351570111139</v>
      </c>
      <c r="AO22" s="25">
        <f t="shared" si="9"/>
        <v>1.2787214606145132</v>
      </c>
      <c r="AP22" s="104">
        <f t="shared" ref="AP22" si="38">AVERAGE(AO22:AO24)</f>
        <v>1.3954678399819105</v>
      </c>
      <c r="AQ22" s="104">
        <f t="shared" ref="AQ22" si="39">STDEV(AO22:AO24)</f>
        <v>0.25372864135406609</v>
      </c>
      <c r="AR22" s="62">
        <f t="shared" ref="AR22" si="40">AQ22/AP22</f>
        <v>0.18182335277418876</v>
      </c>
      <c r="AT22" s="41">
        <f>AVERAGE(1.2844,1.2692,1.3422)</f>
        <v>1.2986000000000002</v>
      </c>
      <c r="AU22" s="34">
        <f t="shared" si="10"/>
        <v>303.83087976828227</v>
      </c>
      <c r="AV22" s="35">
        <f t="shared" si="11"/>
        <v>6.2006301993526991</v>
      </c>
      <c r="AW22" s="104">
        <f t="shared" ref="AW22" si="41">AVERAGE(AV22:AV24)</f>
        <v>6.4722054998984362</v>
      </c>
      <c r="AX22" s="104">
        <f t="shared" ref="AX22" si="42">STDEV(AV22:AV24)</f>
        <v>0.3877045613009284</v>
      </c>
      <c r="AY22" s="111">
        <f>AX22/AW22</f>
        <v>5.9903005444900098E-2</v>
      </c>
      <c r="BA22" s="41">
        <f>AVERAGE(0.7054,0.7483,0.7575)</f>
        <v>0.73706666666666665</v>
      </c>
      <c r="BB22" s="34">
        <f t="shared" si="12"/>
        <v>12.919347505715356</v>
      </c>
      <c r="BC22" s="35">
        <f t="shared" si="13"/>
        <v>0.2636601531778644</v>
      </c>
      <c r="BD22" s="118">
        <f t="shared" ref="BD22" si="43">AVERAGE(BC22:BC24)</f>
        <v>0.25410296609155736</v>
      </c>
      <c r="BE22" s="121">
        <f t="shared" ref="BE22" si="44">STDEV(BC22:BC24)</f>
        <v>8.9064819754564178E-3</v>
      </c>
      <c r="BF22" s="62">
        <f>BE22/BD22</f>
        <v>3.505068088125847E-2</v>
      </c>
    </row>
    <row r="23" spans="1:58" x14ac:dyDescent="0.3">
      <c r="A23" s="114"/>
      <c r="B23" s="5">
        <v>0.48</v>
      </c>
      <c r="C23" s="4">
        <v>0.01</v>
      </c>
      <c r="D23" s="3">
        <v>0.109</v>
      </c>
      <c r="E23" s="25">
        <f t="shared" si="22"/>
        <v>0.75102375102375096</v>
      </c>
      <c r="F23" s="25">
        <f t="shared" si="1"/>
        <v>15.646328146328145</v>
      </c>
      <c r="G23" s="96"/>
      <c r="H23" s="96"/>
      <c r="I23" s="112"/>
      <c r="K23" s="6">
        <v>8.6999999999999994E-2</v>
      </c>
      <c r="L23" s="36">
        <f t="shared" si="14"/>
        <v>4.0015526697854487</v>
      </c>
      <c r="M23" s="37">
        <f t="shared" si="15"/>
        <v>83.365680620530185</v>
      </c>
      <c r="N23" s="96"/>
      <c r="O23" s="96"/>
      <c r="P23" s="112"/>
      <c r="R23" s="6">
        <v>0.32854461699999998</v>
      </c>
      <c r="S23" s="34">
        <f t="shared" si="2"/>
        <v>0.69605799650319999</v>
      </c>
      <c r="T23" s="35">
        <f t="shared" si="3"/>
        <v>14.501208260483335</v>
      </c>
      <c r="U23" s="96"/>
      <c r="V23" s="96"/>
      <c r="W23" s="112"/>
      <c r="Y23" s="6">
        <v>0.790277958</v>
      </c>
      <c r="Z23" s="34">
        <f>(Y23-$Z$12)/$Z$11*$AA$12</f>
        <v>381.60355986775556</v>
      </c>
      <c r="AA23" s="35">
        <f t="shared" si="5"/>
        <v>7.9500741639115748</v>
      </c>
      <c r="AB23" s="105"/>
      <c r="AC23" s="105"/>
      <c r="AD23" s="112"/>
      <c r="AF23" s="41">
        <f>AVERAGE(0.1452,0.1424,0.1429)</f>
        <v>0.14349999999999999</v>
      </c>
      <c r="AG23" s="34">
        <f>(AF23-$AG$11)/$AG$10*25</f>
        <v>1680.1514147360126</v>
      </c>
      <c r="AH23" s="35">
        <f t="shared" si="7"/>
        <v>35.003154473666932</v>
      </c>
      <c r="AI23" s="96"/>
      <c r="AJ23" s="96"/>
      <c r="AK23" s="112"/>
      <c r="AM23" s="41">
        <f>AVERAGE(0.076,0.077,0.0688)</f>
        <v>7.3933333333333337E-2</v>
      </c>
      <c r="AN23" s="25">
        <f t="shared" si="24"/>
        <v>80.95465481299388</v>
      </c>
      <c r="AO23" s="25">
        <f t="shared" si="9"/>
        <v>1.6865553086040395</v>
      </c>
      <c r="AP23" s="105"/>
      <c r="AQ23" s="105"/>
      <c r="AR23" s="63"/>
      <c r="AT23" s="41">
        <f>AVERAGE(1.4004,1.4071,1.4276)</f>
        <v>1.4117</v>
      </c>
      <c r="AU23" s="34">
        <f t="shared" si="10"/>
        <v>331.97826239788526</v>
      </c>
      <c r="AV23" s="35">
        <f t="shared" si="11"/>
        <v>6.9162137999559432</v>
      </c>
      <c r="AW23" s="105"/>
      <c r="AX23" s="105"/>
      <c r="AY23" s="112"/>
      <c r="BA23" s="41">
        <f>AVERAGE(0.7186,0.669,0.6948)</f>
        <v>0.69413333333333327</v>
      </c>
      <c r="BB23" s="34">
        <f t="shared" si="12"/>
        <v>12.125464001251522</v>
      </c>
      <c r="BC23" s="35">
        <f t="shared" si="13"/>
        <v>0.25261383335940674</v>
      </c>
      <c r="BD23" s="119"/>
      <c r="BE23" s="122"/>
      <c r="BF23" s="63"/>
    </row>
    <row r="24" spans="1:58" x14ac:dyDescent="0.3">
      <c r="A24" s="94"/>
      <c r="B24" s="5">
        <v>0.5</v>
      </c>
      <c r="C24" s="4">
        <v>0.01</v>
      </c>
      <c r="D24" s="3">
        <v>0.124</v>
      </c>
      <c r="E24" s="25">
        <f t="shared" si="22"/>
        <v>0.8585176085176085</v>
      </c>
      <c r="F24" s="25">
        <f t="shared" si="1"/>
        <v>17.170352170352171</v>
      </c>
      <c r="G24" s="97"/>
      <c r="H24" s="97"/>
      <c r="I24" s="113"/>
      <c r="K24" s="6">
        <v>8.4000000000000005E-2</v>
      </c>
      <c r="L24" s="36">
        <f t="shared" si="14"/>
        <v>3.8581827714147447</v>
      </c>
      <c r="M24" s="39">
        <f t="shared" si="15"/>
        <v>77.163655428294902</v>
      </c>
      <c r="N24" s="97"/>
      <c r="O24" s="97"/>
      <c r="P24" s="113"/>
      <c r="R24" s="6">
        <v>0.25643494700000002</v>
      </c>
      <c r="S24" s="34">
        <f t="shared" si="2"/>
        <v>0.54746277650722097</v>
      </c>
      <c r="T24" s="35">
        <f t="shared" si="3"/>
        <v>10.94925553014442</v>
      </c>
      <c r="U24" s="97"/>
      <c r="V24" s="97"/>
      <c r="W24" s="113"/>
      <c r="Y24" s="6">
        <v>0.84619283700000003</v>
      </c>
      <c r="Z24" s="34">
        <f>(Y24-$Z$12)/$Z$11*$AA$12</f>
        <v>408.52204186901338</v>
      </c>
      <c r="AA24" s="35">
        <f t="shared" si="5"/>
        <v>8.1704408373802675</v>
      </c>
      <c r="AB24" s="106"/>
      <c r="AC24" s="106"/>
      <c r="AD24" s="113"/>
      <c r="AF24" s="41">
        <f>AVERAGE(0.1667,0.1679,0.1713)</f>
        <v>0.16863333333333333</v>
      </c>
      <c r="AG24" s="34">
        <f>(AF24-$AG$11)/$AG$10*25</f>
        <v>2001.6025390533414</v>
      </c>
      <c r="AH24" s="35">
        <f t="shared" si="7"/>
        <v>40.032050781066829</v>
      </c>
      <c r="AI24" s="97"/>
      <c r="AJ24" s="97"/>
      <c r="AK24" s="113"/>
      <c r="AM24" s="41">
        <f>AVERAGE(0.0596,0.0573,0.0614)</f>
        <v>5.9433333333333338E-2</v>
      </c>
      <c r="AN24" s="25">
        <f t="shared" si="24"/>
        <v>61.056337536358917</v>
      </c>
      <c r="AO24" s="25">
        <f t="shared" si="9"/>
        <v>1.2211267507271784</v>
      </c>
      <c r="AP24" s="106"/>
      <c r="AQ24" s="106"/>
      <c r="AR24" s="64"/>
      <c r="AT24" s="41">
        <f>AVERAGE(1.3543,1.3372,1.3388)</f>
        <v>1.3434333333333335</v>
      </c>
      <c r="AU24" s="34">
        <f t="shared" si="10"/>
        <v>314.98862501933331</v>
      </c>
      <c r="AV24" s="35">
        <f t="shared" si="11"/>
        <v>6.2997725003866663</v>
      </c>
      <c r="AW24" s="106"/>
      <c r="AX24" s="106"/>
      <c r="AY24" s="113"/>
      <c r="BA24" s="41">
        <f>AVERAGE(0.6856,0.7234,0.702)</f>
        <v>0.70366666666666655</v>
      </c>
      <c r="BB24" s="34">
        <f t="shared" si="12"/>
        <v>12.301745586870043</v>
      </c>
      <c r="BC24" s="35">
        <f t="shared" si="13"/>
        <v>0.24603491173740086</v>
      </c>
      <c r="BD24" s="120"/>
      <c r="BE24" s="123"/>
      <c r="BF24" s="64"/>
    </row>
    <row r="25" spans="1:58" x14ac:dyDescent="0.3">
      <c r="A25" s="93" t="s">
        <v>34</v>
      </c>
      <c r="B25" s="5">
        <v>0.28000000000000003</v>
      </c>
      <c r="C25" s="4">
        <v>0.01</v>
      </c>
      <c r="D25" s="3">
        <v>6.0999999999999999E-2</v>
      </c>
      <c r="E25" s="25">
        <f t="shared" si="22"/>
        <v>0.40704340704340697</v>
      </c>
      <c r="F25" s="25">
        <f t="shared" si="1"/>
        <v>14.537264537264532</v>
      </c>
      <c r="G25" s="104">
        <f t="shared" ref="G25" si="45">AVERAGE(F25:F27)</f>
        <v>13.82232672555253</v>
      </c>
      <c r="H25" s="104">
        <f t="shared" ref="H25" si="46">STDEV(F25:F27)</f>
        <v>0.62770518999194325</v>
      </c>
      <c r="I25" s="111">
        <f t="shared" ref="I25:I31" si="47">H25/G25</f>
        <v>4.5412411561039229E-2</v>
      </c>
      <c r="K25" s="3">
        <v>7.8E-2</v>
      </c>
      <c r="L25" s="36">
        <f t="shared" si="14"/>
        <v>3.5714429746733347</v>
      </c>
      <c r="M25" s="37">
        <f t="shared" si="15"/>
        <v>127.55153480976195</v>
      </c>
      <c r="N25" s="95">
        <f t="shared" ref="N25" si="48">AVERAGE(M25:M27)</f>
        <v>114.89852692078989</v>
      </c>
      <c r="O25" s="95">
        <f t="shared" ref="O25" si="49">STDEV(M25:M27)</f>
        <v>12.350330848720432</v>
      </c>
      <c r="P25" s="111">
        <f t="shared" ref="P25" si="50">O25/N25</f>
        <v>0.10748902688051562</v>
      </c>
      <c r="R25" s="6">
        <v>0.195006654</v>
      </c>
      <c r="S25" s="34">
        <f t="shared" si="2"/>
        <v>0.42087849575385655</v>
      </c>
      <c r="T25" s="35">
        <f t="shared" si="3"/>
        <v>15.031374848352019</v>
      </c>
      <c r="U25" s="104">
        <f t="shared" ref="U25" si="51">AVERAGE(T25:T27)</f>
        <v>15.189287172871495</v>
      </c>
      <c r="V25" s="104">
        <f t="shared" ref="V25" si="52">STDEV(T25:T27)</f>
        <v>0.29817547857753018</v>
      </c>
      <c r="W25" s="111">
        <f t="shared" ref="W25" si="53">V25/U25</f>
        <v>1.9630643306953875E-2</v>
      </c>
      <c r="Y25" s="6">
        <v>0.41067779100000001</v>
      </c>
      <c r="Z25" s="34">
        <f t="shared" si="4"/>
        <v>198.8568483338903</v>
      </c>
      <c r="AA25" s="35">
        <f t="shared" si="5"/>
        <v>7.1020302976389384</v>
      </c>
      <c r="AB25" s="104">
        <f>AVERAGE(AA25:AA27)</f>
        <v>7.2637812848325725</v>
      </c>
      <c r="AC25" s="104">
        <f>STDEV(AA25:AA27)</f>
        <v>0.46703763449980795</v>
      </c>
      <c r="AD25" s="111">
        <f>AC25/AB25</f>
        <v>6.4296764479269838E-2</v>
      </c>
      <c r="AF25" s="41">
        <f>AVERAGE(0.1726,0.173,0.1707)</f>
        <v>0.1721</v>
      </c>
      <c r="AG25" s="34">
        <f t="shared" ref="AG25:AG33" si="54">(AF25-$AG$11)/$AG$10*$AH$12</f>
        <v>327.35050002657226</v>
      </c>
      <c r="AH25" s="35">
        <f t="shared" si="7"/>
        <v>11.691089286663294</v>
      </c>
      <c r="AI25" s="95">
        <f t="shared" ref="AI25" si="55">AVERAGE(AH25:AH27)</f>
        <v>11.3807927379695</v>
      </c>
      <c r="AJ25" s="95">
        <f t="shared" ref="AJ25" si="56">STDEV(AH25:AH27)</f>
        <v>1.5736267514975084</v>
      </c>
      <c r="AK25" s="111">
        <f t="shared" ref="AK25" si="57">AJ25/AI25</f>
        <v>0.13827039888420517</v>
      </c>
      <c r="AM25" s="41">
        <f>AVERAGE(0.0864,0.0863,0.0893)</f>
        <v>8.7333333333333332E-2</v>
      </c>
      <c r="AN25" s="25">
        <f>(AM25-$AN$11)/$AN$10*5</f>
        <v>99.343444572091045</v>
      </c>
      <c r="AO25" s="25">
        <f t="shared" si="9"/>
        <v>3.5479801632889654</v>
      </c>
      <c r="AP25" s="104">
        <f t="shared" ref="AP25" si="58">AVERAGE(AO25:AO27)</f>
        <v>3.440630046506906</v>
      </c>
      <c r="AQ25" s="104">
        <f t="shared" ref="AQ25" si="59">STDEV(AO25:AO27)</f>
        <v>0.84600675316869378</v>
      </c>
      <c r="AR25" s="62">
        <f t="shared" ref="AR25" si="60">AQ25/AP25</f>
        <v>0.24588716070406952</v>
      </c>
      <c r="AT25" s="41">
        <f>AVERAGE(0.9396,0.8196,0.7815)</f>
        <v>0.84689999999999988</v>
      </c>
      <c r="AU25" s="34">
        <f t="shared" si="10"/>
        <v>191.41555939877108</v>
      </c>
      <c r="AV25" s="35">
        <f t="shared" si="11"/>
        <v>6.8362699785275378</v>
      </c>
      <c r="AW25" s="104">
        <f t="shared" ref="AW25" si="61">AVERAGE(AV25:AV27)</f>
        <v>6.9224446466484686</v>
      </c>
      <c r="AX25" s="104">
        <f t="shared" ref="AX25" si="62">STDEV(AV25:AV27)</f>
        <v>0.17554349051996859</v>
      </c>
      <c r="AY25" s="111">
        <f t="shared" ref="AY25" si="63">AX25/AW25</f>
        <v>2.5358597934756869E-2</v>
      </c>
      <c r="BA25" s="41">
        <f>AVERAGE(0.4607,0.4786,0.4907)</f>
        <v>0.47666666666666674</v>
      </c>
      <c r="BB25" s="34">
        <f t="shared" si="12"/>
        <v>8.104271467771671</v>
      </c>
      <c r="BC25" s="35">
        <f t="shared" si="13"/>
        <v>0.2894382667061311</v>
      </c>
      <c r="BD25" s="108">
        <f t="shared" ref="BD25" si="64">AVERAGE(BC25:BC27)</f>
        <v>0.28714907280215984</v>
      </c>
      <c r="BE25" s="101">
        <f t="shared" ref="BE25:BE31" si="65">STDEV(BC25:BC27)</f>
        <v>1.1937561633644537E-2</v>
      </c>
      <c r="BF25" s="62">
        <f t="shared" ref="BF25" si="66">BE25/BD25</f>
        <v>4.1572697822602013E-2</v>
      </c>
    </row>
    <row r="26" spans="1:58" x14ac:dyDescent="0.3">
      <c r="A26" s="114"/>
      <c r="B26" s="5">
        <v>0.3</v>
      </c>
      <c r="C26" s="4">
        <v>0.01</v>
      </c>
      <c r="D26" s="6">
        <v>6.0999999999999999E-2</v>
      </c>
      <c r="E26" s="25">
        <f t="shared" si="22"/>
        <v>0.40704340704340697</v>
      </c>
      <c r="F26" s="25">
        <f t="shared" si="1"/>
        <v>13.568113568113567</v>
      </c>
      <c r="G26" s="105"/>
      <c r="H26" s="105"/>
      <c r="I26" s="112"/>
      <c r="K26" s="6">
        <v>7.4999999999999997E-2</v>
      </c>
      <c r="L26" s="36">
        <f t="shared" si="14"/>
        <v>3.4280730763026299</v>
      </c>
      <c r="M26" s="37">
        <f t="shared" si="15"/>
        <v>114.269102543421</v>
      </c>
      <c r="N26" s="96"/>
      <c r="O26" s="96"/>
      <c r="P26" s="112"/>
      <c r="R26" s="6">
        <v>0.209186345</v>
      </c>
      <c r="S26" s="34">
        <f t="shared" si="2"/>
        <v>0.45009835355683919</v>
      </c>
      <c r="T26" s="35">
        <f t="shared" si="3"/>
        <v>15.003278451894641</v>
      </c>
      <c r="U26" s="105"/>
      <c r="V26" s="105"/>
      <c r="W26" s="112"/>
      <c r="Y26" s="6">
        <v>0.427537948</v>
      </c>
      <c r="Z26" s="34">
        <f t="shared" si="4"/>
        <v>206.97364731226031</v>
      </c>
      <c r="AA26" s="35">
        <f t="shared" si="5"/>
        <v>6.899121577075344</v>
      </c>
      <c r="AB26" s="105"/>
      <c r="AC26" s="105"/>
      <c r="AD26" s="112"/>
      <c r="AF26" s="41">
        <f>AVERAGE(0.2009,0.2006,0.1968)</f>
        <v>0.19943333333333332</v>
      </c>
      <c r="AG26" s="34">
        <f t="shared" si="54"/>
        <v>383.2847009687917</v>
      </c>
      <c r="AH26" s="35">
        <f t="shared" si="7"/>
        <v>12.776156698959724</v>
      </c>
      <c r="AI26" s="96"/>
      <c r="AJ26" s="96"/>
      <c r="AK26" s="112"/>
      <c r="AM26" s="41">
        <f>AVERAGE(0.1034,0.1083,0.1104)</f>
        <v>0.10736666666666667</v>
      </c>
      <c r="AN26" s="25">
        <f t="shared" ref="AN26:AN27" si="67">(AM26-$AN$11)/$AN$10*5</f>
        <v>126.83514269452233</v>
      </c>
      <c r="AO26" s="25">
        <f t="shared" si="9"/>
        <v>4.2278380898174115</v>
      </c>
      <c r="AP26" s="105"/>
      <c r="AQ26" s="105"/>
      <c r="AR26" s="63"/>
      <c r="AT26" s="41">
        <f>AVERAGE(0.8938,0.8908,0.9102)</f>
        <v>0.89826666666666677</v>
      </c>
      <c r="AU26" s="34">
        <f t="shared" si="10"/>
        <v>204.1992660395664</v>
      </c>
      <c r="AV26" s="35">
        <f t="shared" si="11"/>
        <v>6.8066422013188799</v>
      </c>
      <c r="AW26" s="105"/>
      <c r="AX26" s="105"/>
      <c r="AY26" s="112"/>
      <c r="BA26" s="41">
        <f>AVERAGE(0.5168,0.5296,0.5181)</f>
        <v>0.52149999999999996</v>
      </c>
      <c r="BB26" s="34">
        <f t="shared" si="12"/>
        <v>8.9332880155231109</v>
      </c>
      <c r="BC26" s="35">
        <f t="shared" si="13"/>
        <v>0.29777626718410372</v>
      </c>
      <c r="BD26" s="109"/>
      <c r="BE26" s="102"/>
      <c r="BF26" s="63"/>
    </row>
    <row r="27" spans="1:58" x14ac:dyDescent="0.3">
      <c r="A27" s="94"/>
      <c r="B27" s="5">
        <v>0.31</v>
      </c>
      <c r="C27" s="4">
        <v>0.01</v>
      </c>
      <c r="D27" s="3">
        <v>6.2E-2</v>
      </c>
      <c r="E27" s="25">
        <f t="shared" si="22"/>
        <v>0.41420966420966415</v>
      </c>
      <c r="F27" s="25">
        <f t="shared" si="1"/>
        <v>13.361602071279492</v>
      </c>
      <c r="G27" s="106"/>
      <c r="H27" s="106"/>
      <c r="I27" s="113"/>
      <c r="K27" s="6">
        <v>7.0000000000000007E-2</v>
      </c>
      <c r="L27" s="36">
        <f t="shared" si="14"/>
        <v>3.1891232456847876</v>
      </c>
      <c r="M27" s="39">
        <f t="shared" si="15"/>
        <v>102.87494340918671</v>
      </c>
      <c r="N27" s="97"/>
      <c r="O27" s="97"/>
      <c r="P27" s="113"/>
      <c r="R27" s="6">
        <v>0.224439099</v>
      </c>
      <c r="S27" s="34">
        <f t="shared" si="2"/>
        <v>0.48152945476940262</v>
      </c>
      <c r="T27" s="35">
        <f t="shared" si="3"/>
        <v>15.533208218367825</v>
      </c>
      <c r="U27" s="106"/>
      <c r="V27" s="106"/>
      <c r="W27" s="113"/>
      <c r="Y27" s="6">
        <v>0.49924743199999999</v>
      </c>
      <c r="Z27" s="34">
        <f t="shared" si="4"/>
        <v>241.49595137328649</v>
      </c>
      <c r="AA27" s="35">
        <f t="shared" si="5"/>
        <v>7.7901919797834349</v>
      </c>
      <c r="AB27" s="106"/>
      <c r="AC27" s="106"/>
      <c r="AD27" s="113"/>
      <c r="AF27" s="41">
        <f>AVERAGE(0.1564,0.1606,0.1591)</f>
        <v>0.15869999999999998</v>
      </c>
      <c r="AG27" s="34">
        <f t="shared" si="54"/>
        <v>299.92909907684998</v>
      </c>
      <c r="AH27" s="35">
        <f t="shared" si="7"/>
        <v>9.6751322282854844</v>
      </c>
      <c r="AI27" s="97"/>
      <c r="AJ27" s="97"/>
      <c r="AK27" s="113"/>
      <c r="AM27" s="41">
        <f>AVERAGE(0.0986,0.1088,0.00997)</f>
        <v>7.2456666666666655E-2</v>
      </c>
      <c r="AN27" s="25">
        <f t="shared" si="67"/>
        <v>78.928228478844602</v>
      </c>
      <c r="AO27" s="25">
        <f t="shared" si="9"/>
        <v>2.5460718864143423</v>
      </c>
      <c r="AP27" s="106"/>
      <c r="AQ27" s="106"/>
      <c r="AR27" s="64"/>
      <c r="AT27" s="41">
        <f>AVERAGE(0.9473,0.9667,0.9816)</f>
        <v>0.96519999999999995</v>
      </c>
      <c r="AU27" s="34">
        <f t="shared" si="10"/>
        <v>220.85707456306858</v>
      </c>
      <c r="AV27" s="35">
        <f t="shared" si="11"/>
        <v>7.1244217600989872</v>
      </c>
      <c r="AW27" s="106"/>
      <c r="AX27" s="106"/>
      <c r="AY27" s="113"/>
      <c r="BA27" s="41">
        <f>AVERAGE(0.5118,0.4721,0.5105)</f>
        <v>0.49813333333333332</v>
      </c>
      <c r="BB27" s="34">
        <f t="shared" si="12"/>
        <v>8.5012132200035868</v>
      </c>
      <c r="BC27" s="35">
        <f t="shared" si="13"/>
        <v>0.27423268451624472</v>
      </c>
      <c r="BD27" s="110"/>
      <c r="BE27" s="103"/>
      <c r="BF27" s="64"/>
    </row>
    <row r="28" spans="1:58" x14ac:dyDescent="0.3">
      <c r="A28" s="93" t="s">
        <v>35</v>
      </c>
      <c r="B28" s="5">
        <v>0.5</v>
      </c>
      <c r="C28" s="4">
        <v>0.01</v>
      </c>
      <c r="D28" s="3">
        <v>3.7999999999999999E-2</v>
      </c>
      <c r="E28" s="25">
        <f t="shared" si="22"/>
        <v>0.24221949221949216</v>
      </c>
      <c r="F28" s="25">
        <f t="shared" si="1"/>
        <v>4.844389844389843</v>
      </c>
      <c r="G28" s="104">
        <f t="shared" ref="G28" si="68">AVERAGE(F28:F30)</f>
        <v>4.4824244824244808</v>
      </c>
      <c r="H28" s="104">
        <f t="shared" ref="H28" si="69">STDEV(F28:F30)</f>
        <v>0.31857786969376334</v>
      </c>
      <c r="I28" s="111">
        <f t="shared" si="47"/>
        <v>7.1072668584357054E-2</v>
      </c>
      <c r="K28" s="6">
        <v>5.3999999999999999E-2</v>
      </c>
      <c r="L28" s="36">
        <f t="shared" si="14"/>
        <v>2.4244837877076946</v>
      </c>
      <c r="M28" s="37">
        <f t="shared" si="15"/>
        <v>48.489675754153893</v>
      </c>
      <c r="N28" s="95">
        <f t="shared" ref="N28" si="70">AVERAGE(M28:M30)</f>
        <v>54.51235245484893</v>
      </c>
      <c r="O28" s="95">
        <f t="shared" ref="O28" si="71">STDEV(M28:M30)</f>
        <v>5.4885219861359058</v>
      </c>
      <c r="P28" s="111">
        <f t="shared" ref="P28" si="72">O28/N28</f>
        <v>0.10068400534873076</v>
      </c>
      <c r="R28" s="6">
        <v>0.31749856500000001</v>
      </c>
      <c r="S28" s="34">
        <f t="shared" si="2"/>
        <v>0.67329557744030566</v>
      </c>
      <c r="T28" s="35">
        <f t="shared" si="3"/>
        <v>13.465911548806114</v>
      </c>
      <c r="U28" s="95">
        <f t="shared" ref="U28" si="73">AVERAGE(T28:T30)</f>
        <v>11.320810620350713</v>
      </c>
      <c r="V28" s="95">
        <f t="shared" ref="V28" si="74">STDEV(T28:T30)</f>
        <v>1.8838444866160988</v>
      </c>
      <c r="W28" s="111">
        <f t="shared" ref="W28" si="75">V28/U28</f>
        <v>0.16640544125255743</v>
      </c>
      <c r="Y28" s="6">
        <v>0.72855400999999997</v>
      </c>
      <c r="Z28" s="34">
        <f t="shared" si="4"/>
        <v>351.88848200297866</v>
      </c>
      <c r="AA28" s="35">
        <f t="shared" si="5"/>
        <v>7.0377696400595733</v>
      </c>
      <c r="AB28" s="104">
        <f>AVERAGE(AA28:AA30)</f>
        <v>6.539038530027419</v>
      </c>
      <c r="AC28" s="104">
        <f t="shared" ref="AC28" si="76">STDEV(AA28:AA30)</f>
        <v>0.50878697863871747</v>
      </c>
      <c r="AD28" s="111">
        <f t="shared" ref="AD28" si="77">AC28/AB28</f>
        <v>7.7807612893295505E-2</v>
      </c>
      <c r="AF28" s="41">
        <f>AVERAGE(0.1896,0.1889,0.1905)</f>
        <v>0.18966666666666665</v>
      </c>
      <c r="AG28" s="34">
        <f t="shared" si="54"/>
        <v>363.2984559979742</v>
      </c>
      <c r="AH28" s="35">
        <f t="shared" si="7"/>
        <v>7.2659691199594842</v>
      </c>
      <c r="AI28" s="104">
        <f t="shared" ref="AI28" si="78">AVERAGE(AH28:AH30)</f>
        <v>7.313889996603006</v>
      </c>
      <c r="AJ28" s="104">
        <f t="shared" ref="AJ28" si="79">STDEV(AH28:AH30)</f>
        <v>0.23220280299347482</v>
      </c>
      <c r="AK28" s="111">
        <f t="shared" ref="AK28" si="80">AJ28/AI28</f>
        <v>3.1748194613444178E-2</v>
      </c>
      <c r="AM28" s="41">
        <f>AVERAGE(0.0767,0.0736,0.0775)</f>
        <v>7.5933333333333339E-2</v>
      </c>
      <c r="AN28" s="25">
        <f t="shared" si="8"/>
        <v>16.73985005988526</v>
      </c>
      <c r="AO28" s="25">
        <f t="shared" si="9"/>
        <v>0.33479700119770522</v>
      </c>
      <c r="AP28" s="98">
        <f>AVERAGE(AO28,AO30)</f>
        <v>0.31552837525063837</v>
      </c>
      <c r="AQ28" s="98">
        <f>STDEV(AO28,AO30)</f>
        <v>2.7249952142636029E-2</v>
      </c>
      <c r="AR28" s="62">
        <f t="shared" ref="AR28" si="81">AQ28/AP28</f>
        <v>8.6362920992415243E-2</v>
      </c>
      <c r="AT28" s="41">
        <f>AVERAGE(0.6552,0.6737,0.6344)</f>
        <v>0.65443333333333331</v>
      </c>
      <c r="AU28" s="34">
        <f t="shared" si="10"/>
        <v>143.51606417232603</v>
      </c>
      <c r="AV28" s="35">
        <f t="shared" si="11"/>
        <v>2.8703212834465206</v>
      </c>
      <c r="AW28" s="104">
        <f t="shared" ref="AW28" si="82">AVERAGE(AV28:AV30)</f>
        <v>2.7218588990714156</v>
      </c>
      <c r="AX28" s="104">
        <f>STDEV(AV28:AV30)</f>
        <v>0.14433265099812165</v>
      </c>
      <c r="AY28" s="111">
        <f t="shared" ref="AY28" si="83">AX28/AW28</f>
        <v>5.3027234823730909E-2</v>
      </c>
      <c r="BA28" s="41">
        <f>AVERAGE(0.2658,0.2657,0.2732)</f>
        <v>0.26823333333333332</v>
      </c>
      <c r="BB28" s="34">
        <f t="shared" si="12"/>
        <v>4.2501149822030744</v>
      </c>
      <c r="BC28" s="35">
        <f t="shared" si="13"/>
        <v>8.5002299644061488E-2</v>
      </c>
      <c r="BD28" s="118">
        <f t="shared" ref="BD28" si="84">AVERAGE(BC28:BC30)</f>
        <v>7.1388493532009198E-2</v>
      </c>
      <c r="BE28" s="107">
        <f t="shared" si="65"/>
        <v>1.2574975680236945E-2</v>
      </c>
      <c r="BF28" s="56">
        <f t="shared" ref="BF28" si="85">BE28/BD28</f>
        <v>0.17614849477946434</v>
      </c>
    </row>
    <row r="29" spans="1:58" x14ac:dyDescent="0.3">
      <c r="A29" s="114"/>
      <c r="B29" s="5">
        <v>0.52</v>
      </c>
      <c r="C29" s="4">
        <v>0.01</v>
      </c>
      <c r="D29" s="3">
        <v>3.5000000000000003E-2</v>
      </c>
      <c r="E29" s="25">
        <f t="shared" si="22"/>
        <v>0.22072072072072069</v>
      </c>
      <c r="F29" s="25">
        <f t="shared" si="1"/>
        <v>4.2446292446292437</v>
      </c>
      <c r="G29" s="105"/>
      <c r="H29" s="105"/>
      <c r="I29" s="112"/>
      <c r="K29" s="6">
        <v>6.4000000000000001E-2</v>
      </c>
      <c r="L29" s="36">
        <f t="shared" si="14"/>
        <v>2.902383448943378</v>
      </c>
      <c r="M29" s="37">
        <f t="shared" si="15"/>
        <v>55.815066325834188</v>
      </c>
      <c r="N29" s="96"/>
      <c r="O29" s="96"/>
      <c r="P29" s="112"/>
      <c r="R29" s="6">
        <v>0.24148201899999999</v>
      </c>
      <c r="S29" s="34">
        <f t="shared" si="2"/>
        <v>0.51664952183910173</v>
      </c>
      <c r="T29" s="35">
        <f t="shared" si="3"/>
        <v>9.935567727675032</v>
      </c>
      <c r="U29" s="96"/>
      <c r="V29" s="96"/>
      <c r="W29" s="112"/>
      <c r="Y29" s="6">
        <v>0.64794021800000001</v>
      </c>
      <c r="Z29" s="34">
        <f t="shared" si="4"/>
        <v>313.0794753876707</v>
      </c>
      <c r="AA29" s="35">
        <f t="shared" si="5"/>
        <v>6.0207591420705908</v>
      </c>
      <c r="AB29" s="105"/>
      <c r="AC29" s="105"/>
      <c r="AD29" s="112"/>
      <c r="AF29" s="41">
        <f>AVERAGE(0.2054,0.205,0.2028)</f>
        <v>0.2044</v>
      </c>
      <c r="AG29" s="34">
        <f t="shared" si="54"/>
        <v>393.44835455463408</v>
      </c>
      <c r="AH29" s="35">
        <f t="shared" si="7"/>
        <v>7.5663145106660394</v>
      </c>
      <c r="AI29" s="105"/>
      <c r="AJ29" s="105"/>
      <c r="AK29" s="112"/>
      <c r="AM29" s="41" t="s">
        <v>44</v>
      </c>
      <c r="AN29" s="25" t="e">
        <f t="shared" si="8"/>
        <v>#VALUE!</v>
      </c>
      <c r="AO29" s="25"/>
      <c r="AP29" s="99"/>
      <c r="AQ29" s="99"/>
      <c r="AR29" s="63"/>
      <c r="AT29" s="41">
        <f>AVERAGE(0.619,0.6069,0.6259)</f>
        <v>0.61726666666666663</v>
      </c>
      <c r="AU29" s="34">
        <f t="shared" si="10"/>
        <v>134.2663348378116</v>
      </c>
      <c r="AV29" s="35">
        <f t="shared" si="11"/>
        <v>2.582044900727146</v>
      </c>
      <c r="AW29" s="105"/>
      <c r="AX29" s="105"/>
      <c r="AY29" s="112"/>
      <c r="BA29" s="41">
        <f>AVERAGE(0.2259,0.239,0.232)</f>
        <v>0.23229999999999998</v>
      </c>
      <c r="BB29" s="34">
        <f t="shared" si="12"/>
        <v>3.5856690056409524</v>
      </c>
      <c r="BC29" s="35">
        <f t="shared" si="13"/>
        <v>6.8955173185402938E-2</v>
      </c>
      <c r="BD29" s="119"/>
      <c r="BE29" s="107"/>
      <c r="BF29" s="57"/>
    </row>
    <row r="30" spans="1:58" x14ac:dyDescent="0.3">
      <c r="A30" s="94"/>
      <c r="B30" s="5">
        <v>0.49</v>
      </c>
      <c r="C30" s="4">
        <v>0.01</v>
      </c>
      <c r="D30" s="3">
        <v>3.4000000000000002E-2</v>
      </c>
      <c r="E30" s="25">
        <f t="shared" si="22"/>
        <v>0.21355446355446353</v>
      </c>
      <c r="F30" s="25">
        <f t="shared" si="1"/>
        <v>4.3582543582543574</v>
      </c>
      <c r="G30" s="106"/>
      <c r="H30" s="106"/>
      <c r="I30" s="113"/>
      <c r="K30" s="6">
        <v>6.4000000000000001E-2</v>
      </c>
      <c r="L30" s="36">
        <f t="shared" si="14"/>
        <v>2.902383448943378</v>
      </c>
      <c r="M30" s="39">
        <f t="shared" si="15"/>
        <v>59.232315284558737</v>
      </c>
      <c r="N30" s="97"/>
      <c r="O30" s="97"/>
      <c r="P30" s="113"/>
      <c r="R30" s="6">
        <v>0.24188826999999999</v>
      </c>
      <c r="S30" s="34">
        <f t="shared" si="2"/>
        <v>0.51748667664397863</v>
      </c>
      <c r="T30" s="35">
        <f t="shared" si="3"/>
        <v>10.560952584570993</v>
      </c>
      <c r="U30" s="97"/>
      <c r="V30" s="97"/>
      <c r="W30" s="113"/>
      <c r="Y30" s="6">
        <v>0.665162802</v>
      </c>
      <c r="Z30" s="34">
        <f t="shared" si="4"/>
        <v>321.37075358965251</v>
      </c>
      <c r="AA30" s="35">
        <f t="shared" si="5"/>
        <v>6.5585868079520928</v>
      </c>
      <c r="AB30" s="106"/>
      <c r="AC30" s="106"/>
      <c r="AD30" s="113"/>
      <c r="AF30" s="41">
        <f>AVERAGE(0.1811,0.1824,0.1836)</f>
        <v>0.18236666666666668</v>
      </c>
      <c r="AG30" s="34">
        <f t="shared" si="54"/>
        <v>348.35993159999123</v>
      </c>
      <c r="AH30" s="35">
        <f t="shared" si="7"/>
        <v>7.1093863591834952</v>
      </c>
      <c r="AI30" s="106"/>
      <c r="AJ30" s="106"/>
      <c r="AK30" s="113"/>
      <c r="AM30" s="41">
        <f>AVERAGE(0.0734,0.062,0.0681)</f>
        <v>6.7833333333333343E-2</v>
      </c>
      <c r="AN30" s="25">
        <f t="shared" si="8"/>
        <v>14.516727715875009</v>
      </c>
      <c r="AO30" s="25">
        <f t="shared" si="9"/>
        <v>0.29625974930357157</v>
      </c>
      <c r="AP30" s="100"/>
      <c r="AQ30" s="100"/>
      <c r="AR30" s="64"/>
      <c r="AT30" s="41">
        <f>AVERAGE(0.5912,0.6142,0.6305)</f>
        <v>0.61196666666666666</v>
      </c>
      <c r="AU30" s="34">
        <f t="shared" si="10"/>
        <v>132.94731513898847</v>
      </c>
      <c r="AV30" s="35">
        <f t="shared" si="11"/>
        <v>2.7132105130405813</v>
      </c>
      <c r="AW30" s="106"/>
      <c r="AX30" s="106"/>
      <c r="AY30" s="113"/>
      <c r="BA30" s="41">
        <f>AVERAGE(0.1969,0.1968,0.2001)</f>
        <v>0.19793333333333332</v>
      </c>
      <c r="BB30" s="34">
        <f t="shared" si="12"/>
        <v>2.9501923805615951</v>
      </c>
      <c r="BC30" s="35">
        <f t="shared" si="13"/>
        <v>6.0208007766563168E-2</v>
      </c>
      <c r="BD30" s="120"/>
      <c r="BE30" s="107"/>
      <c r="BF30" s="58"/>
    </row>
    <row r="31" spans="1:58" x14ac:dyDescent="0.3">
      <c r="A31" s="93" t="s">
        <v>36</v>
      </c>
      <c r="B31" s="5">
        <v>0.49</v>
      </c>
      <c r="C31" s="4">
        <v>0.01</v>
      </c>
      <c r="D31" s="3">
        <v>2.1000000000000001E-2</v>
      </c>
      <c r="E31" s="25">
        <f t="shared" si="22"/>
        <v>0.12039312039312035</v>
      </c>
      <c r="F31" s="25">
        <f t="shared" si="1"/>
        <v>2.457002457002456</v>
      </c>
      <c r="G31" s="104">
        <f t="shared" ref="G31" si="86">AVERAGE(F31:F33)</f>
        <v>2.2456222456222448</v>
      </c>
      <c r="H31" s="104">
        <f t="shared" ref="H31" si="87">STDEV(F31:F33)</f>
        <v>0.32449626160487921</v>
      </c>
      <c r="I31" s="111">
        <f t="shared" si="47"/>
        <v>0.14450171316100574</v>
      </c>
      <c r="K31" s="6">
        <v>7.5999999999999998E-2</v>
      </c>
      <c r="L31" s="36">
        <f t="shared" si="14"/>
        <v>3.475863042426198</v>
      </c>
      <c r="M31" s="37">
        <f t="shared" si="15"/>
        <v>70.935980457677502</v>
      </c>
      <c r="N31" s="95">
        <f t="shared" ref="N31" si="88">AVERAGE(M31:M33)</f>
        <v>67.498145410769567</v>
      </c>
      <c r="O31" s="95">
        <f t="shared" ref="O31" si="89">STDEV(M31:M33)</f>
        <v>9.9296787284834327</v>
      </c>
      <c r="P31" s="111">
        <f t="shared" ref="P31" si="90">O31/N31</f>
        <v>0.14711039344940458</v>
      </c>
      <c r="R31" s="6">
        <v>0.42572760599999998</v>
      </c>
      <c r="S31" s="34">
        <f t="shared" si="2"/>
        <v>0.89632139571611846</v>
      </c>
      <c r="T31" s="35">
        <f t="shared" si="3"/>
        <v>18.292273381961603</v>
      </c>
      <c r="U31" s="95">
        <f t="shared" ref="U31" si="91">AVERAGE(T31:T33)</f>
        <v>16.315901108364585</v>
      </c>
      <c r="V31" s="95">
        <f t="shared" ref="V31" si="92">STDEV(T31:T33)</f>
        <v>2.5533832850781364</v>
      </c>
      <c r="W31" s="111">
        <f t="shared" ref="W31" si="93">V31/U31</f>
        <v>0.15649661444497889</v>
      </c>
      <c r="Y31" s="6">
        <v>0.46730706100000002</v>
      </c>
      <c r="Z31" s="34">
        <f t="shared" si="4"/>
        <v>226.11925169596091</v>
      </c>
      <c r="AA31" s="35">
        <f t="shared" si="5"/>
        <v>4.6146786060400187</v>
      </c>
      <c r="AB31" s="95">
        <f t="shared" ref="AB31" si="94">AVERAGE(AA31:AA33)</f>
        <v>3.8470915895772624</v>
      </c>
      <c r="AC31" s="95">
        <f t="shared" ref="AC31" si="95">STDEV(AA31:AA33)</f>
        <v>0.8682584264615828</v>
      </c>
      <c r="AD31" s="111">
        <f t="shared" ref="AD31" si="96">AC31/AB31</f>
        <v>0.22569216413092763</v>
      </c>
      <c r="AF31" s="41">
        <f>AVERAGE(0.0968,0.0981,0.1004)</f>
        <v>9.8433333333333331E-2</v>
      </c>
      <c r="AG31" s="34">
        <f t="shared" si="54"/>
        <v>176.6010072432733</v>
      </c>
      <c r="AH31" s="35">
        <f t="shared" si="7"/>
        <v>3.6041021886382305</v>
      </c>
      <c r="AI31" s="104">
        <f t="shared" ref="AI31" si="97">AVERAGE(AH31:AH33)</f>
        <v>3.159208725145914</v>
      </c>
      <c r="AJ31" s="104">
        <f t="shared" ref="AJ31" si="98">STDEV(AH31:AH33)</f>
        <v>0.54769364806838394</v>
      </c>
      <c r="AK31" s="111">
        <f t="shared" ref="AK31" si="99">AJ31/AI31</f>
        <v>0.17336418569276005</v>
      </c>
      <c r="AM31" s="41">
        <f>AVERAGE(0.0708,0.0679,0.0712)</f>
        <v>6.9966666666666663E-2</v>
      </c>
      <c r="AN31" s="25">
        <f>(AM31-$AN$11)/$AN$10*4</f>
        <v>60.408965678589013</v>
      </c>
      <c r="AO31" s="25">
        <f t="shared" si="9"/>
        <v>1.2328360342569187</v>
      </c>
      <c r="AP31" s="104">
        <f t="shared" ref="AP31" si="100">AVERAGE(AO31:AO33)</f>
        <v>1.0179596673068156</v>
      </c>
      <c r="AQ31" s="104">
        <f t="shared" ref="AQ31" si="101">STDEV(AO31:AO33)</f>
        <v>0.22132071025020092</v>
      </c>
      <c r="AR31" s="62">
        <f t="shared" ref="AR31" si="102">AQ31/AP31</f>
        <v>0.21741599137787282</v>
      </c>
      <c r="AT31" s="41">
        <f>AVERAGE(0.4091,0.3748,0.3186)</f>
        <v>0.36749999999999999</v>
      </c>
      <c r="AU31" s="34">
        <f t="shared" si="10"/>
        <v>72.106494565599462</v>
      </c>
      <c r="AV31" s="35">
        <f t="shared" si="11"/>
        <v>1.4715611135836626</v>
      </c>
      <c r="AW31" s="104">
        <f t="shared" ref="AW31" si="103">AVERAGE(AV31:AV33)</f>
        <v>1.1686149014800586</v>
      </c>
      <c r="AX31" s="104">
        <f t="shared" ref="AX31" si="104">STDEV(AV31:AV33)</f>
        <v>0.4203520866453363</v>
      </c>
      <c r="AY31" s="111">
        <f t="shared" ref="AY31" si="105">AX31/AW31</f>
        <v>0.35970111806118299</v>
      </c>
      <c r="BA31" s="41">
        <f>AVERAGE(0.3207,0.3222,0.321)</f>
        <v>0.32129999999999997</v>
      </c>
      <c r="BB31" s="34">
        <f t="shared" si="12"/>
        <v>5.2313747175341474</v>
      </c>
      <c r="BC31" s="35">
        <f t="shared" si="13"/>
        <v>0.10676274933743159</v>
      </c>
      <c r="BD31" s="118">
        <f t="shared" ref="BD31" si="106">AVERAGE(BC31:BC33)</f>
        <v>9.4026767070590545E-2</v>
      </c>
      <c r="BE31" s="101">
        <f t="shared" si="65"/>
        <v>1.4092001988856439E-2</v>
      </c>
      <c r="BF31" s="62">
        <f t="shared" ref="BF31" si="107">BE31/BD31</f>
        <v>0.14987223774562913</v>
      </c>
    </row>
    <row r="32" spans="1:58" ht="14.4" customHeight="1" x14ac:dyDescent="0.3">
      <c r="A32" s="114"/>
      <c r="B32" s="5">
        <v>0.5</v>
      </c>
      <c r="C32" s="4">
        <v>0.01</v>
      </c>
      <c r="D32" s="3">
        <v>2.1000000000000001E-2</v>
      </c>
      <c r="E32" s="25">
        <f t="shared" si="22"/>
        <v>0.12039312039312035</v>
      </c>
      <c r="F32" s="25">
        <f t="shared" si="1"/>
        <v>2.4078624078624067</v>
      </c>
      <c r="G32" s="105"/>
      <c r="H32" s="105"/>
      <c r="I32" s="112"/>
      <c r="K32" s="6">
        <v>8.2000000000000003E-2</v>
      </c>
      <c r="L32" s="36">
        <f t="shared" si="14"/>
        <v>3.7626028391676081</v>
      </c>
      <c r="M32" s="37">
        <f t="shared" si="15"/>
        <v>75.25205678335216</v>
      </c>
      <c r="N32" s="96"/>
      <c r="O32" s="96"/>
      <c r="P32" s="112"/>
      <c r="R32" s="6">
        <v>0.40864777600000002</v>
      </c>
      <c r="S32" s="34">
        <f t="shared" si="2"/>
        <v>0.8611252688118638</v>
      </c>
      <c r="T32" s="35">
        <f t="shared" si="3"/>
        <v>17.222505376237276</v>
      </c>
      <c r="U32" s="96"/>
      <c r="V32" s="96"/>
      <c r="W32" s="112"/>
      <c r="Y32" s="6">
        <v>0.41532167800000003</v>
      </c>
      <c r="Z32" s="34">
        <f t="shared" si="4"/>
        <v>201.09250350941835</v>
      </c>
      <c r="AA32" s="35">
        <f t="shared" si="5"/>
        <v>4.0218500701883668</v>
      </c>
      <c r="AB32" s="96"/>
      <c r="AC32" s="96"/>
      <c r="AD32" s="112"/>
      <c r="AF32" s="41">
        <f>AVERAGE(0.0923,0.0939,0.094)</f>
        <v>9.3399999999999997E-2</v>
      </c>
      <c r="AG32" s="34">
        <f t="shared" si="54"/>
        <v>166.3009287770841</v>
      </c>
      <c r="AH32" s="35">
        <f t="shared" si="7"/>
        <v>3.3260185755416818</v>
      </c>
      <c r="AI32" s="105"/>
      <c r="AJ32" s="105"/>
      <c r="AK32" s="112"/>
      <c r="AM32" s="41">
        <f>AVERAGE(0.061,0.0646,0.06)</f>
        <v>6.186666666666666E-2</v>
      </c>
      <c r="AN32" s="25">
        <f t="shared" ref="AN32:AN33" si="108">(AM32-$AN$11)/$AN$10*4</f>
        <v>51.516476302548</v>
      </c>
      <c r="AO32" s="25">
        <f t="shared" si="9"/>
        <v>1.03032952605096</v>
      </c>
      <c r="AP32" s="105"/>
      <c r="AQ32" s="105"/>
      <c r="AR32" s="63"/>
      <c r="AT32" s="41">
        <f>AVERAGE(0.2935,0.2751,0.4757)</f>
        <v>0.34810000000000002</v>
      </c>
      <c r="AU32" s="34">
        <f t="shared" si="10"/>
        <v>67.278384724624217</v>
      </c>
      <c r="AV32" s="35">
        <f t="shared" si="11"/>
        <v>1.3455676944924844</v>
      </c>
      <c r="AW32" s="105"/>
      <c r="AX32" s="105"/>
      <c r="AY32" s="112"/>
      <c r="BA32" s="41">
        <f>AVERAGE(0.2974,0.3008,0.2992)</f>
        <v>0.29913333333333336</v>
      </c>
      <c r="BB32" s="34">
        <f t="shared" si="12"/>
        <v>4.821489212512061</v>
      </c>
      <c r="BC32" s="35">
        <f t="shared" si="13"/>
        <v>9.6429784250241221E-2</v>
      </c>
      <c r="BD32" s="119"/>
      <c r="BE32" s="102"/>
      <c r="BF32" s="63"/>
    </row>
    <row r="33" spans="1:58" x14ac:dyDescent="0.3">
      <c r="A33" s="94"/>
      <c r="B33" s="5">
        <v>0.49</v>
      </c>
      <c r="C33" s="4">
        <v>0.01</v>
      </c>
      <c r="D33" s="3">
        <v>1.7000000000000001E-2</v>
      </c>
      <c r="E33" s="25">
        <f t="shared" si="22"/>
        <v>9.1728091728091682E-2</v>
      </c>
      <c r="F33" s="25">
        <f t="shared" si="1"/>
        <v>1.8720018720018712</v>
      </c>
      <c r="G33" s="106"/>
      <c r="H33" s="106"/>
      <c r="I33" s="113"/>
      <c r="K33" s="6">
        <v>6.0999999999999999E-2</v>
      </c>
      <c r="L33" s="36">
        <f t="shared" si="14"/>
        <v>2.7590135505726732</v>
      </c>
      <c r="M33" s="39">
        <f t="shared" si="15"/>
        <v>56.306398991279046</v>
      </c>
      <c r="N33" s="97"/>
      <c r="O33" s="97"/>
      <c r="P33" s="113"/>
      <c r="R33" s="6">
        <v>0.310179502</v>
      </c>
      <c r="S33" s="34">
        <f t="shared" si="2"/>
        <v>0.65821330377784903</v>
      </c>
      <c r="T33" s="35">
        <f t="shared" si="3"/>
        <v>13.432924566894879</v>
      </c>
      <c r="U33" s="97"/>
      <c r="V33" s="97"/>
      <c r="W33" s="113"/>
      <c r="Y33" s="6">
        <v>0.29326593899999998</v>
      </c>
      <c r="Z33" s="34">
        <f t="shared" si="4"/>
        <v>142.3325585326667</v>
      </c>
      <c r="AA33" s="35">
        <f t="shared" si="5"/>
        <v>2.9047460925034021</v>
      </c>
      <c r="AB33" s="97"/>
      <c r="AC33" s="97"/>
      <c r="AD33" s="113"/>
      <c r="AF33" s="41">
        <f>AVERAGE(0.0729,0.0731,0.0734)</f>
        <v>7.3133333333333342E-2</v>
      </c>
      <c r="AG33" s="34">
        <f t="shared" si="54"/>
        <v>124.82776515163357</v>
      </c>
      <c r="AH33" s="35">
        <f t="shared" si="7"/>
        <v>2.5475054112578279</v>
      </c>
      <c r="AI33" s="106"/>
      <c r="AJ33" s="106"/>
      <c r="AK33" s="113"/>
      <c r="AM33" s="41">
        <f>AVERAGE(0.0518,0.0493,0.0496)</f>
        <v>5.0233333333333331E-2</v>
      </c>
      <c r="AN33" s="25">
        <f t="shared" si="108"/>
        <v>38.744958639015856</v>
      </c>
      <c r="AO33" s="25">
        <f t="shared" si="9"/>
        <v>0.79071344161256851</v>
      </c>
      <c r="AP33" s="106"/>
      <c r="AQ33" s="106"/>
      <c r="AR33" s="64"/>
      <c r="AT33" s="41">
        <f>AVERAGE(0.2214,0.2199,0.1988)</f>
        <v>0.21336666666666668</v>
      </c>
      <c r="AU33" s="34">
        <f t="shared" si="10"/>
        <v>33.747078921837414</v>
      </c>
      <c r="AV33" s="35">
        <f t="shared" si="11"/>
        <v>0.68871589636402886</v>
      </c>
      <c r="AW33" s="106"/>
      <c r="AX33" s="106"/>
      <c r="AY33" s="113"/>
      <c r="BA33" s="41">
        <f>AVERAGE(0.2601,0.2584,0.2238)</f>
        <v>0.24743333333333331</v>
      </c>
      <c r="BB33" s="34">
        <f t="shared" si="12"/>
        <v>3.8655006135808438</v>
      </c>
      <c r="BC33" s="35">
        <f t="shared" si="13"/>
        <v>7.8887767624098853E-2</v>
      </c>
      <c r="BD33" s="120"/>
      <c r="BE33" s="103"/>
      <c r="BF33" s="64"/>
    </row>
  </sheetData>
  <mergeCells count="207">
    <mergeCell ref="BD28:BD30"/>
    <mergeCell ref="BE28:BE30"/>
    <mergeCell ref="BF28:BF30"/>
    <mergeCell ref="BD31:BD33"/>
    <mergeCell ref="BE31:BE33"/>
    <mergeCell ref="BF31:BF33"/>
    <mergeCell ref="AW28:AW30"/>
    <mergeCell ref="AX28:AX30"/>
    <mergeCell ref="AY28:AY30"/>
    <mergeCell ref="AW31:AW33"/>
    <mergeCell ref="AX31:AX33"/>
    <mergeCell ref="AY31:AY33"/>
    <mergeCell ref="BA1:BF1"/>
    <mergeCell ref="BA14:BA15"/>
    <mergeCell ref="BB14:BB15"/>
    <mergeCell ref="BC14:BC15"/>
    <mergeCell ref="BD14:BD15"/>
    <mergeCell ref="BE14:BE15"/>
    <mergeCell ref="BF14:BF15"/>
    <mergeCell ref="BD16:BD18"/>
    <mergeCell ref="BE16:BE18"/>
    <mergeCell ref="BF16:BF18"/>
    <mergeCell ref="BD19:BD21"/>
    <mergeCell ref="BE19:BE21"/>
    <mergeCell ref="BF19:BF21"/>
    <mergeCell ref="BD22:BD24"/>
    <mergeCell ref="BE22:BE24"/>
    <mergeCell ref="BF22:BF24"/>
    <mergeCell ref="BD25:BD27"/>
    <mergeCell ref="BE25:BE27"/>
    <mergeCell ref="AW19:AW21"/>
    <mergeCell ref="AX19:AX21"/>
    <mergeCell ref="AY19:AY21"/>
    <mergeCell ref="AW22:AW24"/>
    <mergeCell ref="AX22:AX24"/>
    <mergeCell ref="AY22:AY24"/>
    <mergeCell ref="AW25:AW27"/>
    <mergeCell ref="AX25:AX27"/>
    <mergeCell ref="AY25:AY27"/>
    <mergeCell ref="BF25:BF27"/>
    <mergeCell ref="AT1:AY1"/>
    <mergeCell ref="AT14:AT15"/>
    <mergeCell ref="AU14:AU15"/>
    <mergeCell ref="AV14:AV15"/>
    <mergeCell ref="AW14:AW15"/>
    <mergeCell ref="AX14:AX15"/>
    <mergeCell ref="AY14:AY15"/>
    <mergeCell ref="AW16:AW18"/>
    <mergeCell ref="AX16:AX18"/>
    <mergeCell ref="AY16:AY18"/>
    <mergeCell ref="A31:A33"/>
    <mergeCell ref="AB16:AB18"/>
    <mergeCell ref="AC16:AC18"/>
    <mergeCell ref="AD16:AD18"/>
    <mergeCell ref="AB19:AB21"/>
    <mergeCell ref="AC19:AC21"/>
    <mergeCell ref="AD19:AD21"/>
    <mergeCell ref="AB31:AB33"/>
    <mergeCell ref="AC31:AC33"/>
    <mergeCell ref="AD31:AD33"/>
    <mergeCell ref="G31:G33"/>
    <mergeCell ref="H31:H33"/>
    <mergeCell ref="I31:I33"/>
    <mergeCell ref="G22:G24"/>
    <mergeCell ref="H22:H24"/>
    <mergeCell ref="I22:I24"/>
    <mergeCell ref="G25:G27"/>
    <mergeCell ref="H25:H27"/>
    <mergeCell ref="I25:I27"/>
    <mergeCell ref="U19:U21"/>
    <mergeCell ref="V19:V21"/>
    <mergeCell ref="W19:W21"/>
    <mergeCell ref="U22:U24"/>
    <mergeCell ref="V22:V24"/>
    <mergeCell ref="Y1:AD1"/>
    <mergeCell ref="Y14:Y15"/>
    <mergeCell ref="Z14:Z15"/>
    <mergeCell ref="AA14:AA15"/>
    <mergeCell ref="AB14:AB15"/>
    <mergeCell ref="AC14:AC15"/>
    <mergeCell ref="AD14:AD15"/>
    <mergeCell ref="AB28:AB30"/>
    <mergeCell ref="AC28:AC30"/>
    <mergeCell ref="AD28:AD30"/>
    <mergeCell ref="AB22:AB24"/>
    <mergeCell ref="AC22:AC24"/>
    <mergeCell ref="AD22:AD24"/>
    <mergeCell ref="AB25:AB27"/>
    <mergeCell ref="AC25:AC27"/>
    <mergeCell ref="AD25:AD27"/>
    <mergeCell ref="D1:I1"/>
    <mergeCell ref="D14:D15"/>
    <mergeCell ref="E14:E15"/>
    <mergeCell ref="F14:F15"/>
    <mergeCell ref="G14:G15"/>
    <mergeCell ref="H14:H15"/>
    <mergeCell ref="I14:I15"/>
    <mergeCell ref="A25:A27"/>
    <mergeCell ref="A28:A30"/>
    <mergeCell ref="A16:A18"/>
    <mergeCell ref="A19:A21"/>
    <mergeCell ref="A22:A24"/>
    <mergeCell ref="A13:C13"/>
    <mergeCell ref="G28:G30"/>
    <mergeCell ref="H28:H30"/>
    <mergeCell ref="I28:I30"/>
    <mergeCell ref="G16:G18"/>
    <mergeCell ref="H16:H18"/>
    <mergeCell ref="I16:I18"/>
    <mergeCell ref="G19:G21"/>
    <mergeCell ref="H19:H21"/>
    <mergeCell ref="I19:I21"/>
    <mergeCell ref="K1:P1"/>
    <mergeCell ref="K14:K15"/>
    <mergeCell ref="L14:L15"/>
    <mergeCell ref="M14:M15"/>
    <mergeCell ref="N14:N15"/>
    <mergeCell ref="O14:O15"/>
    <mergeCell ref="P14:P15"/>
    <mergeCell ref="N16:N18"/>
    <mergeCell ref="O16:O18"/>
    <mergeCell ref="P16:P18"/>
    <mergeCell ref="W22:W24"/>
    <mergeCell ref="U25:U27"/>
    <mergeCell ref="V25:V27"/>
    <mergeCell ref="N19:N21"/>
    <mergeCell ref="O19:O21"/>
    <mergeCell ref="P19:P21"/>
    <mergeCell ref="N22:N24"/>
    <mergeCell ref="O22:O24"/>
    <mergeCell ref="P22:P24"/>
    <mergeCell ref="N25:N27"/>
    <mergeCell ref="O25:O27"/>
    <mergeCell ref="P25:P27"/>
    <mergeCell ref="W25:W27"/>
    <mergeCell ref="R1:W1"/>
    <mergeCell ref="R14:R15"/>
    <mergeCell ref="S14:S15"/>
    <mergeCell ref="T14:T15"/>
    <mergeCell ref="U14:U15"/>
    <mergeCell ref="V14:V15"/>
    <mergeCell ref="W14:W15"/>
    <mergeCell ref="U16:U18"/>
    <mergeCell ref="V16:V18"/>
    <mergeCell ref="W16:W18"/>
    <mergeCell ref="U28:U30"/>
    <mergeCell ref="V28:V30"/>
    <mergeCell ref="W28:W30"/>
    <mergeCell ref="U31:U33"/>
    <mergeCell ref="V31:V33"/>
    <mergeCell ref="W31:W33"/>
    <mergeCell ref="N28:N30"/>
    <mergeCell ref="O28:O30"/>
    <mergeCell ref="P28:P30"/>
    <mergeCell ref="N31:N33"/>
    <mergeCell ref="O31:O33"/>
    <mergeCell ref="P31:P33"/>
    <mergeCell ref="AF1:AK1"/>
    <mergeCell ref="AF14:AF15"/>
    <mergeCell ref="AG14:AG15"/>
    <mergeCell ref="AH14:AH15"/>
    <mergeCell ref="AI14:AI15"/>
    <mergeCell ref="AJ14:AJ15"/>
    <mergeCell ref="AK14:AK15"/>
    <mergeCell ref="AI16:AI18"/>
    <mergeCell ref="AJ16:AJ18"/>
    <mergeCell ref="AK16:AK18"/>
    <mergeCell ref="AP19:AP21"/>
    <mergeCell ref="AQ19:AQ21"/>
    <mergeCell ref="AR19:AR21"/>
    <mergeCell ref="AP22:AP24"/>
    <mergeCell ref="AQ22:AQ24"/>
    <mergeCell ref="AR22:AR24"/>
    <mergeCell ref="AP25:AP27"/>
    <mergeCell ref="AQ25:AQ27"/>
    <mergeCell ref="AI19:AI21"/>
    <mergeCell ref="AJ19:AJ21"/>
    <mergeCell ref="AK19:AK21"/>
    <mergeCell ref="AI22:AI24"/>
    <mergeCell ref="AJ22:AJ24"/>
    <mergeCell ref="AK22:AK24"/>
    <mergeCell ref="AI25:AI27"/>
    <mergeCell ref="AJ25:AJ27"/>
    <mergeCell ref="AK25:AK27"/>
    <mergeCell ref="AR25:AR27"/>
    <mergeCell ref="AM1:AR1"/>
    <mergeCell ref="AM14:AM15"/>
    <mergeCell ref="AN14:AN15"/>
    <mergeCell ref="AO14:AO15"/>
    <mergeCell ref="AP14:AP15"/>
    <mergeCell ref="AQ14:AQ15"/>
    <mergeCell ref="AR14:AR15"/>
    <mergeCell ref="AP16:AP18"/>
    <mergeCell ref="AQ16:AQ18"/>
    <mergeCell ref="AR16:AR18"/>
    <mergeCell ref="AP28:AP30"/>
    <mergeCell ref="AQ28:AQ30"/>
    <mergeCell ref="AR28:AR30"/>
    <mergeCell ref="AP31:AP33"/>
    <mergeCell ref="AQ31:AQ33"/>
    <mergeCell ref="AR31:AR33"/>
    <mergeCell ref="AI28:AI30"/>
    <mergeCell ref="AJ28:AJ30"/>
    <mergeCell ref="AK28:AK30"/>
    <mergeCell ref="AI31:AI33"/>
    <mergeCell ref="AJ31:AJ33"/>
    <mergeCell ref="AK31:AK3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A7443-0884-4ACB-96C9-37DC2045B937}">
  <dimension ref="A1:BF24"/>
  <sheetViews>
    <sheetView zoomScale="80" zoomScaleNormal="80" workbookViewId="0">
      <pane xSplit="1" topLeftCell="B1" activePane="topRight" state="frozen"/>
      <selection pane="topRight"/>
    </sheetView>
  </sheetViews>
  <sheetFormatPr defaultRowHeight="14.4" x14ac:dyDescent="0.3"/>
  <cols>
    <col min="2" max="2" width="12.5546875" bestFit="1" customWidth="1"/>
  </cols>
  <sheetData>
    <row r="1" spans="1:58" x14ac:dyDescent="0.3">
      <c r="D1" s="65" t="s">
        <v>0</v>
      </c>
      <c r="E1" s="66"/>
      <c r="F1" s="66"/>
      <c r="G1" s="66"/>
      <c r="H1" s="66"/>
      <c r="I1" s="67"/>
      <c r="K1" s="65" t="s">
        <v>1</v>
      </c>
      <c r="L1" s="66"/>
      <c r="M1" s="66"/>
      <c r="N1" s="66"/>
      <c r="O1" s="66"/>
      <c r="P1" s="67"/>
      <c r="R1" s="65" t="s">
        <v>2</v>
      </c>
      <c r="S1" s="66"/>
      <c r="T1" s="66"/>
      <c r="U1" s="66"/>
      <c r="V1" s="66"/>
      <c r="W1" s="67"/>
      <c r="Y1" s="65" t="s">
        <v>3</v>
      </c>
      <c r="Z1" s="66"/>
      <c r="AA1" s="66"/>
      <c r="AB1" s="66"/>
      <c r="AC1" s="66"/>
      <c r="AD1" s="67"/>
      <c r="AF1" s="65" t="s">
        <v>4</v>
      </c>
      <c r="AG1" s="66"/>
      <c r="AH1" s="66"/>
      <c r="AI1" s="66"/>
      <c r="AJ1" s="66"/>
      <c r="AK1" s="67"/>
      <c r="AM1" s="65" t="s">
        <v>5</v>
      </c>
      <c r="AN1" s="66"/>
      <c r="AO1" s="66"/>
      <c r="AP1" s="66"/>
      <c r="AQ1" s="66"/>
      <c r="AR1" s="67"/>
      <c r="AT1" s="65" t="s">
        <v>6</v>
      </c>
      <c r="AU1" s="66"/>
      <c r="AV1" s="66"/>
      <c r="AW1" s="66"/>
      <c r="AX1" s="66"/>
      <c r="AY1" s="67"/>
      <c r="BA1" s="65" t="s">
        <v>7</v>
      </c>
      <c r="BB1" s="66"/>
      <c r="BC1" s="66"/>
      <c r="BD1" s="66"/>
      <c r="BE1" s="66"/>
      <c r="BF1" s="67"/>
    </row>
    <row r="2" spans="1:58" x14ac:dyDescent="0.3">
      <c r="D2" s="11" t="s">
        <v>8</v>
      </c>
      <c r="E2" s="12">
        <v>44650</v>
      </c>
      <c r="F2" s="13"/>
      <c r="G2" s="13"/>
      <c r="H2" s="13"/>
      <c r="I2" s="14"/>
      <c r="K2" s="29" t="s">
        <v>8</v>
      </c>
      <c r="L2" s="13">
        <v>44650</v>
      </c>
      <c r="M2" s="13"/>
      <c r="N2" s="13"/>
      <c r="O2" s="13"/>
      <c r="P2" s="14"/>
      <c r="R2" s="29" t="s">
        <v>8</v>
      </c>
      <c r="S2" s="13">
        <v>44650</v>
      </c>
      <c r="T2" s="13"/>
      <c r="U2" s="13"/>
      <c r="V2" s="13"/>
      <c r="W2" s="14"/>
      <c r="Y2" s="29" t="s">
        <v>8</v>
      </c>
      <c r="Z2" s="13">
        <v>44650</v>
      </c>
      <c r="AA2" s="13"/>
      <c r="AB2" s="13"/>
      <c r="AC2" s="13"/>
      <c r="AD2" s="14"/>
      <c r="AF2" s="29" t="s">
        <v>9</v>
      </c>
      <c r="AG2" s="13">
        <v>44630</v>
      </c>
      <c r="AH2" s="13"/>
      <c r="AI2" s="13"/>
      <c r="AJ2" s="13"/>
      <c r="AK2" s="14"/>
      <c r="AM2" s="29" t="s">
        <v>9</v>
      </c>
      <c r="AN2" s="13">
        <v>44630</v>
      </c>
      <c r="AO2" s="13"/>
      <c r="AP2" s="13"/>
      <c r="AQ2" s="13"/>
      <c r="AR2" s="14"/>
      <c r="AT2" s="29" t="s">
        <v>9</v>
      </c>
      <c r="AU2" s="13">
        <v>44630</v>
      </c>
      <c r="AV2" s="13"/>
      <c r="AW2" s="13"/>
      <c r="AX2" s="13"/>
      <c r="AY2" s="14"/>
      <c r="BA2" s="29" t="s">
        <v>9</v>
      </c>
      <c r="BB2" s="13">
        <v>44602</v>
      </c>
      <c r="BC2" s="13"/>
      <c r="BD2" s="13"/>
      <c r="BE2" s="13"/>
      <c r="BF2" s="14"/>
    </row>
    <row r="3" spans="1:58" x14ac:dyDescent="0.3">
      <c r="D3" s="11">
        <v>0</v>
      </c>
      <c r="E3" s="6">
        <v>0</v>
      </c>
      <c r="F3" s="15"/>
      <c r="G3" s="16"/>
      <c r="H3" s="16"/>
      <c r="I3" s="17"/>
      <c r="K3" s="3">
        <v>0</v>
      </c>
      <c r="L3" s="6">
        <f>AVERAGE(-0.001,-0.001,-0.002)</f>
        <v>-1.3333333333333333E-3</v>
      </c>
      <c r="M3" s="15"/>
      <c r="N3" s="16"/>
      <c r="O3" s="16"/>
      <c r="P3" s="17"/>
      <c r="R3" s="3">
        <v>0</v>
      </c>
      <c r="S3" s="6">
        <v>-7.4821157600000001E-4</v>
      </c>
      <c r="T3" s="15"/>
      <c r="U3" s="16"/>
      <c r="V3" s="16"/>
      <c r="W3" s="17"/>
      <c r="Y3" s="3">
        <v>0</v>
      </c>
      <c r="Z3" s="6">
        <v>2.8186006200000001E-4</v>
      </c>
      <c r="AA3" s="15"/>
      <c r="AB3" s="16"/>
      <c r="AC3" s="16"/>
      <c r="AD3" s="17"/>
      <c r="AF3" s="3">
        <v>0</v>
      </c>
      <c r="AG3" s="41">
        <f>AVERAGE(-0.0001,0.0003,-0.0001)</f>
        <v>3.3333333333333328E-5</v>
      </c>
      <c r="AH3" s="15"/>
      <c r="AI3" s="16"/>
      <c r="AJ3" s="16"/>
      <c r="AK3" s="17"/>
      <c r="AM3" s="3">
        <v>0</v>
      </c>
      <c r="AN3" s="46">
        <f>AVERAGE(0.0161,0.0149,0.0117)</f>
        <v>1.4233333333333334E-2</v>
      </c>
      <c r="AO3" s="15"/>
      <c r="AP3" s="16"/>
      <c r="AQ3" s="16"/>
      <c r="AR3" s="17"/>
      <c r="AT3" s="3">
        <v>0</v>
      </c>
      <c r="AU3" s="41">
        <f>AVERAGE(0.0829,0.051,0.0407)</f>
        <v>5.8199999999999995E-2</v>
      </c>
      <c r="AV3" s="15"/>
      <c r="AW3" s="16"/>
      <c r="AX3" s="16"/>
      <c r="AY3" s="17"/>
      <c r="BA3" s="3">
        <v>0</v>
      </c>
      <c r="BB3" s="46">
        <f>AVERAGE(0,-0.0003,0.0006)</f>
        <v>9.9999999999999991E-5</v>
      </c>
      <c r="BC3" s="21"/>
      <c r="BD3" s="16"/>
      <c r="BE3" s="16"/>
      <c r="BF3" s="17"/>
    </row>
    <row r="4" spans="1:58" x14ac:dyDescent="0.3">
      <c r="D4" s="11">
        <v>0.1</v>
      </c>
      <c r="E4" s="3"/>
      <c r="F4" s="3">
        <v>3.6999999999999998E-2</v>
      </c>
      <c r="G4" s="16"/>
      <c r="H4" s="16"/>
      <c r="I4" s="17"/>
      <c r="K4" s="3">
        <v>2.5000000000000001E-2</v>
      </c>
      <c r="L4" s="6">
        <v>1.7999999999999999E-2</v>
      </c>
      <c r="M4" s="3"/>
      <c r="N4" s="16"/>
      <c r="O4" s="16"/>
      <c r="P4" s="17"/>
      <c r="R4" s="3">
        <v>0.1</v>
      </c>
      <c r="S4" s="6">
        <v>1.1932020099999999E-2</v>
      </c>
      <c r="T4" s="15"/>
      <c r="U4" s="16"/>
      <c r="V4" s="16"/>
      <c r="W4" s="17"/>
      <c r="Y4" s="3">
        <v>0.1</v>
      </c>
      <c r="Z4" s="6"/>
      <c r="AA4" s="6">
        <v>4.1943683799999999E-4</v>
      </c>
      <c r="AB4" s="16"/>
      <c r="AC4" s="16"/>
      <c r="AD4" s="17"/>
      <c r="AF4" s="3">
        <v>10</v>
      </c>
      <c r="AG4" s="42">
        <f>AVERAGE(0.0373,0.0348,0.0377)</f>
        <v>3.6600000000000001E-2</v>
      </c>
      <c r="AH4" s="15"/>
      <c r="AI4" s="16"/>
      <c r="AJ4" s="16"/>
      <c r="AK4" s="17"/>
      <c r="AM4" s="3">
        <v>5</v>
      </c>
      <c r="AN4" s="46">
        <f>AVERAGE(0.0296,0.0287,0.0293)</f>
        <v>2.9200000000000004E-2</v>
      </c>
      <c r="AO4" s="15"/>
      <c r="AP4" s="16"/>
      <c r="AQ4" s="16"/>
      <c r="AR4" s="17"/>
      <c r="AT4" s="3">
        <v>10</v>
      </c>
      <c r="AU4" s="41">
        <f>AVERAGE(0.2535,0.1968,0.2008)</f>
        <v>0.21703333333333333</v>
      </c>
      <c r="AV4" s="15"/>
      <c r="AW4" s="16"/>
      <c r="AX4" s="16"/>
      <c r="AY4" s="17"/>
      <c r="BA4" s="3">
        <v>2</v>
      </c>
      <c r="BB4" s="46">
        <f>AVERAGE(0.1713,0.1716,0.1737)</f>
        <v>0.17219999999999999</v>
      </c>
      <c r="BC4" s="15"/>
      <c r="BD4" s="16"/>
      <c r="BE4" s="16"/>
      <c r="BF4" s="17"/>
    </row>
    <row r="5" spans="1:58" x14ac:dyDescent="0.3">
      <c r="D5" s="11">
        <v>0.25</v>
      </c>
      <c r="E5" s="3">
        <v>4.3999999999999997E-2</v>
      </c>
      <c r="F5" s="15"/>
      <c r="G5" s="16"/>
      <c r="H5" s="16"/>
      <c r="I5" s="17"/>
      <c r="K5" s="3">
        <v>0.05</v>
      </c>
      <c r="L5" s="6">
        <v>0.03</v>
      </c>
      <c r="M5" s="15"/>
      <c r="N5" s="16"/>
      <c r="O5" s="16"/>
      <c r="P5" s="17"/>
      <c r="R5" s="3">
        <v>0.25</v>
      </c>
      <c r="S5" s="6">
        <v>0.12606529899999999</v>
      </c>
      <c r="T5" s="15"/>
      <c r="U5" s="16"/>
      <c r="V5" s="16"/>
      <c r="W5" s="17"/>
      <c r="Y5" s="3">
        <v>0.25</v>
      </c>
      <c r="Z5" s="6">
        <v>5.0334036399999997E-3</v>
      </c>
      <c r="AA5" s="15"/>
      <c r="AB5" s="16"/>
      <c r="AC5" s="16"/>
      <c r="AD5" s="17"/>
      <c r="AF5" s="3">
        <v>20</v>
      </c>
      <c r="AG5" s="41">
        <f>AVERAGE(0.0488,0.0554,0.0545)</f>
        <v>5.2900000000000003E-2</v>
      </c>
      <c r="AH5" s="15"/>
      <c r="AI5" s="16"/>
      <c r="AJ5" s="16"/>
      <c r="AK5" s="17"/>
      <c r="AM5" s="3">
        <v>10</v>
      </c>
      <c r="AN5" s="46">
        <f>AVERAGE(0.0565,0.0575,0.0528)</f>
        <v>5.5600000000000004E-2</v>
      </c>
      <c r="AO5" s="15"/>
      <c r="AP5" s="16"/>
      <c r="AQ5" s="16"/>
      <c r="AR5" s="17"/>
      <c r="AT5" s="3">
        <v>25</v>
      </c>
      <c r="AU5" s="41">
        <f>AVERAGE(0.4002,0.4332,0.4407)</f>
        <v>0.42469999999999991</v>
      </c>
      <c r="AV5" s="15"/>
      <c r="AW5" s="16"/>
      <c r="AX5" s="16"/>
      <c r="AY5" s="17"/>
      <c r="BA5" s="3">
        <v>4</v>
      </c>
      <c r="BB5" s="46">
        <f>AVERAGE(0.3088,0.13107,0.3107)</f>
        <v>0.25018999999999997</v>
      </c>
      <c r="BC5" s="15"/>
      <c r="BD5" s="16"/>
      <c r="BE5" s="16"/>
      <c r="BF5" s="17"/>
    </row>
    <row r="6" spans="1:58" x14ac:dyDescent="0.3">
      <c r="D6" s="11">
        <v>0.5</v>
      </c>
      <c r="E6" s="3">
        <v>7.4999999999999997E-2</v>
      </c>
      <c r="F6" s="3"/>
      <c r="G6" s="16"/>
      <c r="H6" s="16"/>
      <c r="I6" s="17"/>
      <c r="K6" s="3">
        <v>0.1</v>
      </c>
      <c r="L6" s="6">
        <v>0.06</v>
      </c>
      <c r="M6" s="15"/>
      <c r="N6" s="16"/>
      <c r="O6" s="16"/>
      <c r="P6" s="17"/>
      <c r="R6" s="3">
        <v>0.5</v>
      </c>
      <c r="S6" s="6">
        <v>0.24470312899999999</v>
      </c>
      <c r="T6" s="15"/>
      <c r="U6" s="16"/>
      <c r="V6" s="16"/>
      <c r="W6" s="17"/>
      <c r="Y6" s="3">
        <v>0.5</v>
      </c>
      <c r="Z6" s="6">
        <v>2.0539153399999999E-2</v>
      </c>
      <c r="AA6" s="15"/>
      <c r="AB6" s="16"/>
      <c r="AC6" s="16"/>
      <c r="AD6" s="17"/>
      <c r="AF6" s="3">
        <v>40</v>
      </c>
      <c r="AG6" s="41">
        <f>AVERAGE(0.0979,0.0884,0.0998)</f>
        <v>9.5366666666666669E-2</v>
      </c>
      <c r="AH6" s="15"/>
      <c r="AI6" s="16"/>
      <c r="AJ6" s="16"/>
      <c r="AK6" s="17"/>
      <c r="AM6" s="3">
        <v>20</v>
      </c>
      <c r="AN6" s="46">
        <f>AVERAGE(0.0855,0.0877,0.0881)</f>
        <v>8.7100000000000011E-2</v>
      </c>
      <c r="AO6" s="15"/>
      <c r="AP6" s="16"/>
      <c r="AQ6" s="16"/>
      <c r="AR6" s="17"/>
      <c r="AT6" s="3">
        <v>50</v>
      </c>
      <c r="AU6" s="41">
        <f>AVERAGE(0.8798,0.7863,0.8098)</f>
        <v>0.82530000000000003</v>
      </c>
      <c r="AV6" s="15"/>
      <c r="AW6" s="16"/>
      <c r="AX6" s="16"/>
      <c r="AY6" s="17"/>
      <c r="BA6" s="3">
        <v>6</v>
      </c>
      <c r="BB6" s="46">
        <f>AVERAGE(0.4147,0.4117,0.414)</f>
        <v>0.41346666666666665</v>
      </c>
      <c r="BC6" s="15"/>
      <c r="BD6" s="16"/>
      <c r="BE6" s="16"/>
      <c r="BF6" s="17"/>
    </row>
    <row r="7" spans="1:58" x14ac:dyDescent="0.3">
      <c r="D7" s="11">
        <v>1</v>
      </c>
      <c r="E7" s="3">
        <v>0.14199999999999999</v>
      </c>
      <c r="F7" s="15"/>
      <c r="G7" s="16"/>
      <c r="H7" s="16"/>
      <c r="I7" s="17"/>
      <c r="K7" s="3">
        <v>0.25</v>
      </c>
      <c r="L7" s="6">
        <v>0.13200000000000001</v>
      </c>
      <c r="M7" s="15"/>
      <c r="N7" s="16"/>
      <c r="O7" s="16"/>
      <c r="P7" s="17"/>
      <c r="R7" s="3">
        <v>1</v>
      </c>
      <c r="S7" s="6">
        <v>0.46963051</v>
      </c>
      <c r="T7" s="15"/>
      <c r="U7" s="16"/>
      <c r="V7" s="16"/>
      <c r="W7" s="17"/>
      <c r="Y7" s="3">
        <v>1</v>
      </c>
      <c r="Z7" s="6">
        <v>4.31949981E-2</v>
      </c>
      <c r="AA7" s="15"/>
      <c r="AB7" s="16"/>
      <c r="AC7" s="16"/>
      <c r="AD7" s="17"/>
      <c r="AF7" s="3">
        <v>50</v>
      </c>
      <c r="AG7" s="41">
        <f>AVERAGE(0.1154,0.1145,0.1194)</f>
        <v>0.11643333333333333</v>
      </c>
      <c r="AH7" s="15"/>
      <c r="AI7" s="16"/>
      <c r="AJ7" s="16"/>
      <c r="AK7" s="17"/>
      <c r="AM7" s="3">
        <v>25</v>
      </c>
      <c r="AN7" s="46">
        <f>AVERAGE(0.1056,0.1043,0.1035)</f>
        <v>0.10446666666666667</v>
      </c>
      <c r="AO7" s="15"/>
      <c r="AP7" s="16"/>
      <c r="AQ7" s="16"/>
      <c r="AR7" s="17"/>
      <c r="AT7" s="3">
        <v>65</v>
      </c>
      <c r="AU7" s="41">
        <f>AVERAGE(1.013,1.0391,1.0514)</f>
        <v>1.0344999999999998</v>
      </c>
      <c r="AV7" s="15"/>
      <c r="AW7" s="16"/>
      <c r="AX7" s="16"/>
      <c r="AY7" s="17"/>
      <c r="BA7" s="3">
        <v>8</v>
      </c>
      <c r="BB7" s="46">
        <f>AVERAGE(0.4373,0.4856,0.4937)</f>
        <v>0.47220000000000001</v>
      </c>
      <c r="BC7" s="15"/>
      <c r="BD7" s="16"/>
      <c r="BE7" s="16"/>
      <c r="BF7" s="17"/>
    </row>
    <row r="8" spans="1:58" x14ac:dyDescent="0.3">
      <c r="D8" s="11">
        <v>3</v>
      </c>
      <c r="E8" s="3">
        <v>0.376</v>
      </c>
      <c r="F8" s="26" t="s">
        <v>11</v>
      </c>
      <c r="G8" s="18"/>
      <c r="H8" s="19" t="s">
        <v>10</v>
      </c>
      <c r="I8" s="17"/>
      <c r="K8" s="3">
        <v>0.5</v>
      </c>
      <c r="L8" s="6">
        <v>0.23599999999999999</v>
      </c>
      <c r="M8" s="15"/>
      <c r="N8" s="16"/>
      <c r="O8" s="16"/>
      <c r="P8" s="17"/>
      <c r="R8" s="3"/>
      <c r="S8" s="3"/>
      <c r="T8" s="15"/>
      <c r="U8" s="16"/>
      <c r="V8" s="16"/>
      <c r="W8" s="17"/>
      <c r="Y8" s="3">
        <v>2.5</v>
      </c>
      <c r="Z8" s="6">
        <v>0.13868945799999999</v>
      </c>
      <c r="AA8" s="15"/>
      <c r="AB8" s="16"/>
      <c r="AC8" s="16"/>
      <c r="AD8" s="17"/>
      <c r="AF8" s="3">
        <v>75</v>
      </c>
      <c r="AG8" s="41">
        <f>AVERAGE(0.1687,0.1588,0.149)</f>
        <v>0.15883333333333335</v>
      </c>
      <c r="AH8" s="15"/>
      <c r="AI8" s="16"/>
      <c r="AJ8" s="16"/>
      <c r="AK8" s="17"/>
      <c r="AM8" s="3">
        <v>35</v>
      </c>
      <c r="AN8" s="46">
        <f>AVERAGE(0.1476,0.1509,0.1499)</f>
        <v>0.14946666666666666</v>
      </c>
      <c r="AO8" s="15"/>
      <c r="AP8" s="16"/>
      <c r="AQ8" s="16"/>
      <c r="AR8" s="17"/>
      <c r="AT8" s="3">
        <v>75</v>
      </c>
      <c r="AU8" s="41">
        <f>AVERAGE(1.2053,1.1818,1.2065)</f>
        <v>1.1978666666666669</v>
      </c>
      <c r="AV8" s="15"/>
      <c r="AW8" s="16"/>
      <c r="AX8" s="16"/>
      <c r="AY8" s="17"/>
      <c r="BA8" s="3">
        <v>10</v>
      </c>
      <c r="BB8" s="46">
        <f>AVERAGE(0.544,0.545,0.5447)</f>
        <v>0.54456666666666664</v>
      </c>
      <c r="BC8" s="15"/>
      <c r="BD8" s="16"/>
      <c r="BE8" s="16"/>
      <c r="BF8" s="17"/>
    </row>
    <row r="9" spans="1:58" x14ac:dyDescent="0.3">
      <c r="D9" s="11">
        <v>5</v>
      </c>
      <c r="E9" s="3">
        <v>0.57599999999999996</v>
      </c>
      <c r="F9" s="15"/>
      <c r="G9" s="16"/>
      <c r="H9" s="16"/>
      <c r="I9" s="17"/>
      <c r="K9" s="3">
        <v>1</v>
      </c>
      <c r="L9" s="6">
        <v>0.44400000000000001</v>
      </c>
      <c r="N9" s="26" t="s">
        <v>11</v>
      </c>
      <c r="O9" s="18"/>
      <c r="P9" s="19" t="s">
        <v>10</v>
      </c>
      <c r="R9" s="3"/>
      <c r="S9" s="3"/>
      <c r="U9" s="26" t="s">
        <v>11</v>
      </c>
      <c r="V9" s="18"/>
      <c r="W9" s="19" t="s">
        <v>10</v>
      </c>
      <c r="Y9" s="3">
        <v>5</v>
      </c>
      <c r="Z9" s="6">
        <v>0.263099998</v>
      </c>
      <c r="AB9" s="26" t="s">
        <v>11</v>
      </c>
      <c r="AC9" s="18"/>
      <c r="AD9" s="19" t="s">
        <v>10</v>
      </c>
      <c r="AF9" s="3">
        <v>100</v>
      </c>
      <c r="AG9" s="41">
        <f>AVERAGE(0.1922,0.194,0.218)</f>
        <v>0.2014</v>
      </c>
      <c r="AI9" s="26" t="s">
        <v>11</v>
      </c>
      <c r="AJ9" s="18">
        <v>2.5</v>
      </c>
      <c r="AK9" s="19" t="s">
        <v>12</v>
      </c>
      <c r="AM9" s="3">
        <v>50</v>
      </c>
      <c r="AN9" s="41">
        <f>AVERAGE(0.1914,0.1934,0.1937)</f>
        <v>0.19283333333333333</v>
      </c>
      <c r="AP9" s="26" t="s">
        <v>11</v>
      </c>
      <c r="AQ9" s="18">
        <v>5</v>
      </c>
      <c r="AR9" s="19" t="s">
        <v>12</v>
      </c>
      <c r="AT9" s="3">
        <v>85</v>
      </c>
      <c r="AU9" s="41">
        <f>AVERAGE(1.4139,1.3164,1.3526)</f>
        <v>1.3609666666666664</v>
      </c>
      <c r="AW9" s="26" t="s">
        <v>11</v>
      </c>
      <c r="AX9" s="18">
        <v>5</v>
      </c>
      <c r="AY9" s="19" t="s">
        <v>12</v>
      </c>
      <c r="BA9" s="40">
        <v>16</v>
      </c>
      <c r="BB9" s="47">
        <f>AVERAGE(0.6613,0.6556,0.6718)</f>
        <v>0.66289999999999993</v>
      </c>
      <c r="BD9" s="26" t="s">
        <v>11</v>
      </c>
      <c r="BE9" s="18">
        <v>0.5</v>
      </c>
      <c r="BF9" s="19" t="s">
        <v>12</v>
      </c>
    </row>
    <row r="10" spans="1:58" x14ac:dyDescent="0.3">
      <c r="D10" s="11" t="s">
        <v>14</v>
      </c>
      <c r="E10" s="25">
        <f>SLOPE(E3:E7,D3:D7)</f>
        <v>0.13954285714285714</v>
      </c>
      <c r="F10" s="21"/>
      <c r="G10" s="16"/>
      <c r="H10" s="16"/>
      <c r="I10" s="17"/>
      <c r="K10" s="3">
        <v>3</v>
      </c>
      <c r="L10" s="6">
        <v>0.877</v>
      </c>
      <c r="M10" s="15"/>
      <c r="N10" s="16"/>
      <c r="O10" s="16"/>
      <c r="P10" s="17"/>
      <c r="R10" s="29" t="s">
        <v>14</v>
      </c>
      <c r="S10" s="15">
        <f>SLOPE(S3:S7,R3:R7)</f>
        <v>0.48527583863028217</v>
      </c>
      <c r="T10" s="15"/>
      <c r="U10" s="16"/>
      <c r="V10" s="16"/>
      <c r="W10" s="17"/>
      <c r="Y10" s="3">
        <v>10</v>
      </c>
      <c r="Z10" s="6">
        <v>0.51210653799999994</v>
      </c>
      <c r="AA10" s="15"/>
      <c r="AB10" s="16"/>
      <c r="AC10" s="16"/>
      <c r="AD10" s="17"/>
      <c r="AF10" s="29" t="s">
        <v>14</v>
      </c>
      <c r="AG10" s="15">
        <f>SLOPE(AG3:AG7,AF3:AF7)</f>
        <v>2.2257751937984497E-3</v>
      </c>
      <c r="AH10" s="15"/>
      <c r="AI10" s="16"/>
      <c r="AJ10" s="16">
        <f>AJ9*0.01*0.5</f>
        <v>1.2500000000000001E-2</v>
      </c>
      <c r="AK10" s="17" t="s">
        <v>13</v>
      </c>
      <c r="AM10" s="29" t="s">
        <v>14</v>
      </c>
      <c r="AN10" s="42">
        <f>SLOPE(AN3:AN8,AM3:AM8)</f>
        <v>3.8116108452950562E-3</v>
      </c>
      <c r="AO10" s="15"/>
      <c r="AP10" s="16"/>
      <c r="AQ10" s="16">
        <f>AQ9*0.01/0.5</f>
        <v>0.1</v>
      </c>
      <c r="AR10" s="17" t="s">
        <v>13</v>
      </c>
      <c r="AT10" s="30"/>
      <c r="AU10" s="20"/>
      <c r="AW10" s="26"/>
      <c r="AX10" s="18">
        <f>AX9*0.01/0.5</f>
        <v>0.1</v>
      </c>
      <c r="AY10" s="19" t="s">
        <v>13</v>
      </c>
      <c r="BA10" s="30">
        <v>20</v>
      </c>
      <c r="BB10" s="47">
        <f>AVERAGE(0.708,0.7008,0.7043)</f>
        <v>0.70436666666666659</v>
      </c>
      <c r="BD10" s="26"/>
      <c r="BE10" s="27">
        <f>(BE9*0.01)/0.5</f>
        <v>0.01</v>
      </c>
      <c r="BF10" s="19" t="s">
        <v>13</v>
      </c>
    </row>
    <row r="11" spans="1:58" x14ac:dyDescent="0.3">
      <c r="D11" s="11" t="s">
        <v>15</v>
      </c>
      <c r="E11" s="25">
        <f>INTERCEPT(E3:E7,D3:D7)</f>
        <v>4.2000000000000093E-3</v>
      </c>
      <c r="F11" s="15"/>
      <c r="G11" s="16"/>
      <c r="H11" s="16"/>
      <c r="I11" s="17"/>
      <c r="K11" s="29" t="s">
        <v>14</v>
      </c>
      <c r="L11" s="15">
        <f>SLOPE(L3:L8,K3:K8)</f>
        <v>0.46864731549990507</v>
      </c>
      <c r="M11" s="15" t="s">
        <v>16</v>
      </c>
      <c r="N11" s="16"/>
      <c r="O11" s="16"/>
      <c r="P11" s="17"/>
      <c r="R11" s="29" t="s">
        <v>15</v>
      </c>
      <c r="S11" s="15">
        <f>INTERCEPT(S3:S7,R3:R7)</f>
        <v>-9.2355109884043884E-3</v>
      </c>
      <c r="T11" s="15" t="s">
        <v>16</v>
      </c>
      <c r="U11" s="16"/>
      <c r="V11" s="16"/>
      <c r="W11" s="17"/>
      <c r="Y11" s="29" t="s">
        <v>14</v>
      </c>
      <c r="Z11" s="15">
        <f>SLOPE(Z3:Z10,Y3:Y10)</f>
        <v>5.1929821857513339E-2</v>
      </c>
      <c r="AA11" s="15" t="s">
        <v>16</v>
      </c>
      <c r="AB11" s="16"/>
      <c r="AC11" s="16"/>
      <c r="AD11" s="17"/>
      <c r="AF11" s="29" t="s">
        <v>15</v>
      </c>
      <c r="AG11" s="15">
        <f>INTERCEPT(AG3:AG7,AF3:AF7)</f>
        <v>6.8480620155038779E-3</v>
      </c>
      <c r="AH11" s="15" t="s">
        <v>16</v>
      </c>
      <c r="AI11" s="16"/>
      <c r="AJ11" s="16"/>
      <c r="AK11" s="17"/>
      <c r="AM11" s="29" t="s">
        <v>15</v>
      </c>
      <c r="AN11" s="42">
        <f>INTERCEPT(AN3:AN8,AM3:AM8)</f>
        <v>1.2993939393939391E-2</v>
      </c>
      <c r="AO11" s="15" t="s">
        <v>16</v>
      </c>
      <c r="AP11" s="16"/>
      <c r="AQ11" s="16"/>
      <c r="AR11" s="17"/>
      <c r="AT11" s="29" t="s">
        <v>14</v>
      </c>
      <c r="AU11" s="42">
        <f>SLOPE(AU3:AU7,AT3:AT7)</f>
        <v>1.5085875706214688E-2</v>
      </c>
      <c r="AV11" s="15"/>
      <c r="AW11" s="16"/>
      <c r="AX11" s="16"/>
      <c r="AY11" s="17"/>
      <c r="BA11" s="29" t="s">
        <v>14</v>
      </c>
      <c r="BB11" s="15">
        <f>SLOPE(BB3:BB7,BA3:BA7)</f>
        <v>5.9273333333333331E-2</v>
      </c>
      <c r="BC11" s="21"/>
      <c r="BD11" s="16"/>
      <c r="BE11" s="16"/>
      <c r="BF11" s="17"/>
    </row>
    <row r="12" spans="1:58" x14ac:dyDescent="0.3">
      <c r="D12" s="11" t="s">
        <v>18</v>
      </c>
      <c r="E12" s="25">
        <f>CORREL(E3:E7,D3:D7)</f>
        <v>0.99785244918300464</v>
      </c>
      <c r="K12" s="29" t="s">
        <v>15</v>
      </c>
      <c r="L12" s="15">
        <f>INTERCEPT(L3:L8,K3:K8)</f>
        <v>6.861316638209089E-3</v>
      </c>
      <c r="M12" s="32">
        <v>10</v>
      </c>
      <c r="R12" s="31" t="s">
        <v>18</v>
      </c>
      <c r="S12" s="22">
        <f>CORREL(S3:S7,R3:R7)</f>
        <v>0.99607995703664676</v>
      </c>
      <c r="T12" s="32">
        <v>1</v>
      </c>
      <c r="Y12" s="29" t="s">
        <v>15</v>
      </c>
      <c r="Z12" s="15">
        <f>INTERCEPT(Z3:Z10,Y3:Y10)</f>
        <v>-2.386237365018834E-3</v>
      </c>
      <c r="AA12" s="32">
        <v>10</v>
      </c>
      <c r="AF12" s="31" t="s">
        <v>18</v>
      </c>
      <c r="AG12" s="22">
        <f>CORREL(AG3:AG9,AF3:AF9)</f>
        <v>0.99532336540648014</v>
      </c>
      <c r="AM12" s="31" t="s">
        <v>18</v>
      </c>
      <c r="AN12" s="22">
        <f>CORREL(AN3:AN8,AM3:AM8)</f>
        <v>0.99770287901796917</v>
      </c>
      <c r="AO12" s="32">
        <v>1</v>
      </c>
      <c r="AT12" s="29" t="s">
        <v>15</v>
      </c>
      <c r="AU12" s="42">
        <f>INTERCEPT(AU3:AU7,AT3:AT7)</f>
        <v>5.9370395480225935E-2</v>
      </c>
      <c r="AV12" s="15" t="s">
        <v>16</v>
      </c>
      <c r="BA12" s="29" t="s">
        <v>15</v>
      </c>
      <c r="BB12" s="15">
        <f>INTERCEPT(BB3:BB7,BA3:BA7)</f>
        <v>2.4538000000000004E-2</v>
      </c>
      <c r="BC12" s="15" t="s">
        <v>16</v>
      </c>
      <c r="BD12" s="16"/>
      <c r="BE12" s="16"/>
      <c r="BF12" s="17"/>
    </row>
    <row r="13" spans="1:58" x14ac:dyDescent="0.3">
      <c r="A13" s="89" t="s">
        <v>17</v>
      </c>
      <c r="B13" s="90"/>
      <c r="C13" s="90"/>
      <c r="F13" s="22"/>
      <c r="G13" s="23"/>
      <c r="H13" s="23"/>
      <c r="I13" s="24"/>
      <c r="K13" s="31" t="s">
        <v>18</v>
      </c>
      <c r="L13" s="22">
        <f>CORREL(L3:L8,K3:K8)</f>
        <v>0.99755299371336537</v>
      </c>
      <c r="N13" s="16"/>
      <c r="O13" s="16"/>
      <c r="P13" s="17"/>
      <c r="U13" s="16"/>
      <c r="V13" s="16"/>
      <c r="W13" s="17"/>
      <c r="Y13" s="31" t="s">
        <v>18</v>
      </c>
      <c r="Z13" s="22">
        <f>CORREL(Z3:Z10,Y3:Y10)</f>
        <v>0.99936872247279707</v>
      </c>
      <c r="AB13" s="16"/>
      <c r="AC13" s="16"/>
      <c r="AD13" s="17"/>
      <c r="AH13" s="32"/>
      <c r="AI13" s="16"/>
      <c r="AJ13" s="16"/>
      <c r="AK13" s="17"/>
      <c r="AP13" s="16"/>
      <c r="AQ13" s="16"/>
      <c r="AR13" s="17"/>
      <c r="AT13" s="31" t="s">
        <v>18</v>
      </c>
      <c r="AU13" s="22">
        <f>CORREL(AU3:AU7,AT3:AT7)</f>
        <v>0.99973762945506639</v>
      </c>
      <c r="AV13" s="32"/>
      <c r="AW13" s="16"/>
      <c r="AX13" s="16"/>
      <c r="AY13" s="17"/>
      <c r="BA13" s="31" t="s">
        <v>18</v>
      </c>
      <c r="BB13" s="22">
        <f>CORREL(BB3:BB7,BA3:BA7)</f>
        <v>0.98816122784623373</v>
      </c>
      <c r="BC13" s="32">
        <v>1</v>
      </c>
      <c r="BD13" s="16"/>
      <c r="BE13" s="16"/>
      <c r="BF13" s="17"/>
    </row>
    <row r="14" spans="1:58" x14ac:dyDescent="0.3">
      <c r="A14" s="1"/>
      <c r="B14" s="91" t="s">
        <v>19</v>
      </c>
      <c r="C14" s="93" t="s">
        <v>20</v>
      </c>
      <c r="D14" s="91" t="s">
        <v>21</v>
      </c>
      <c r="E14" s="93" t="s">
        <v>22</v>
      </c>
      <c r="F14" s="93" t="s">
        <v>23</v>
      </c>
      <c r="G14" s="91" t="s">
        <v>24</v>
      </c>
      <c r="H14" s="91" t="s">
        <v>25</v>
      </c>
      <c r="I14" s="91" t="s">
        <v>26</v>
      </c>
      <c r="K14" s="91" t="s">
        <v>21</v>
      </c>
      <c r="L14" s="93" t="s">
        <v>22</v>
      </c>
      <c r="M14" s="93" t="s">
        <v>23</v>
      </c>
      <c r="N14" s="91" t="s">
        <v>24</v>
      </c>
      <c r="O14" s="91" t="s">
        <v>25</v>
      </c>
      <c r="P14" s="91" t="s">
        <v>26</v>
      </c>
      <c r="R14" s="91" t="s">
        <v>21</v>
      </c>
      <c r="S14" s="93" t="s">
        <v>22</v>
      </c>
      <c r="T14" s="93" t="s">
        <v>23</v>
      </c>
      <c r="U14" s="91" t="s">
        <v>24</v>
      </c>
      <c r="V14" s="91" t="s">
        <v>25</v>
      </c>
      <c r="W14" s="91" t="s">
        <v>26</v>
      </c>
      <c r="Y14" s="91" t="s">
        <v>21</v>
      </c>
      <c r="Z14" s="93" t="s">
        <v>22</v>
      </c>
      <c r="AA14" s="93" t="s">
        <v>27</v>
      </c>
      <c r="AB14" s="91" t="s">
        <v>24</v>
      </c>
      <c r="AC14" s="91" t="s">
        <v>25</v>
      </c>
      <c r="AD14" s="91" t="s">
        <v>26</v>
      </c>
      <c r="AF14" s="91" t="s">
        <v>21</v>
      </c>
      <c r="AG14" s="93" t="s">
        <v>28</v>
      </c>
      <c r="AH14" s="93" t="s">
        <v>29</v>
      </c>
      <c r="AI14" s="91" t="s">
        <v>24</v>
      </c>
      <c r="AJ14" s="91" t="s">
        <v>25</v>
      </c>
      <c r="AK14" s="91" t="s">
        <v>26</v>
      </c>
      <c r="AM14" s="91" t="s">
        <v>21</v>
      </c>
      <c r="AN14" s="93" t="s">
        <v>28</v>
      </c>
      <c r="AO14" s="93" t="s">
        <v>29</v>
      </c>
      <c r="AP14" s="91" t="s">
        <v>24</v>
      </c>
      <c r="AQ14" s="91" t="s">
        <v>25</v>
      </c>
      <c r="AR14" s="91" t="s">
        <v>26</v>
      </c>
      <c r="AT14" s="91" t="s">
        <v>21</v>
      </c>
      <c r="AU14" s="93" t="s">
        <v>28</v>
      </c>
      <c r="AV14" s="93" t="s">
        <v>29</v>
      </c>
      <c r="AW14" s="91" t="s">
        <v>24</v>
      </c>
      <c r="AX14" s="91" t="s">
        <v>25</v>
      </c>
      <c r="AY14" s="91" t="s">
        <v>26</v>
      </c>
      <c r="BA14" s="68" t="s">
        <v>21</v>
      </c>
      <c r="BB14" s="70" t="s">
        <v>28</v>
      </c>
      <c r="BC14" s="72" t="s">
        <v>29</v>
      </c>
      <c r="BD14" s="73" t="s">
        <v>24</v>
      </c>
      <c r="BE14" s="74" t="s">
        <v>25</v>
      </c>
      <c r="BF14" s="72" t="s">
        <v>26</v>
      </c>
    </row>
    <row r="15" spans="1:58" x14ac:dyDescent="0.3">
      <c r="A15" s="2"/>
      <c r="B15" s="92"/>
      <c r="C15" s="94"/>
      <c r="D15" s="92"/>
      <c r="E15" s="94"/>
      <c r="F15" s="94"/>
      <c r="G15" s="92"/>
      <c r="H15" s="92"/>
      <c r="I15" s="92"/>
      <c r="K15" s="92"/>
      <c r="L15" s="94"/>
      <c r="M15" s="94"/>
      <c r="N15" s="92"/>
      <c r="O15" s="92"/>
      <c r="P15" s="92"/>
      <c r="R15" s="92"/>
      <c r="S15" s="94"/>
      <c r="T15" s="94"/>
      <c r="U15" s="92"/>
      <c r="V15" s="92"/>
      <c r="W15" s="92"/>
      <c r="Y15" s="92"/>
      <c r="Z15" s="94"/>
      <c r="AA15" s="94"/>
      <c r="AB15" s="92"/>
      <c r="AC15" s="92"/>
      <c r="AD15" s="92"/>
      <c r="AF15" s="92"/>
      <c r="AG15" s="94"/>
      <c r="AH15" s="94"/>
      <c r="AI15" s="92"/>
      <c r="AJ15" s="92"/>
      <c r="AK15" s="92"/>
      <c r="AM15" s="92"/>
      <c r="AN15" s="94"/>
      <c r="AO15" s="94"/>
      <c r="AP15" s="92"/>
      <c r="AQ15" s="92"/>
      <c r="AR15" s="92"/>
      <c r="AT15" s="92"/>
      <c r="AU15" s="94"/>
      <c r="AV15" s="94"/>
      <c r="AW15" s="92"/>
      <c r="AX15" s="92"/>
      <c r="AY15" s="92"/>
      <c r="BA15" s="69"/>
      <c r="BB15" s="71"/>
      <c r="BC15" s="70"/>
      <c r="BD15" s="69"/>
      <c r="BE15" s="75"/>
      <c r="BF15" s="71"/>
    </row>
    <row r="16" spans="1:58" x14ac:dyDescent="0.3">
      <c r="A16" s="93" t="s">
        <v>30</v>
      </c>
      <c r="B16" s="3">
        <v>0.49</v>
      </c>
      <c r="C16" s="4">
        <v>0.01</v>
      </c>
      <c r="D16" s="6">
        <v>8.4000000000000005E-2</v>
      </c>
      <c r="E16" s="25">
        <f>(D16-$E$11)/$E$10</f>
        <v>0.57186732186732192</v>
      </c>
      <c r="F16" s="25">
        <f t="shared" ref="F16:F24" si="0">(E16*C16)/B16*1000</f>
        <v>11.670761670761673</v>
      </c>
      <c r="G16" s="95">
        <f>AVERAGE(F16:F18)</f>
        <v>9.2872417872417881</v>
      </c>
      <c r="H16" s="95">
        <f>STDEV(F16:F18)</f>
        <v>2.099710474992917</v>
      </c>
      <c r="I16" s="111">
        <f>H16/G16</f>
        <v>0.22608547543979779</v>
      </c>
      <c r="K16" s="6">
        <v>0.17799999999999999</v>
      </c>
      <c r="L16" s="36">
        <f>(K16-$L$12)/$L$11*$M$12</f>
        <v>3.6517585335837808</v>
      </c>
      <c r="M16" s="35">
        <f t="shared" ref="M16:M24" si="1">(L16*C16)/B16*1000</f>
        <v>74.525684358852658</v>
      </c>
      <c r="N16" s="95">
        <f>AVERAGE(M16:M18)</f>
        <v>79.454127695727124</v>
      </c>
      <c r="O16" s="95">
        <f>STDEV(M16:M18)</f>
        <v>11.961927072664039</v>
      </c>
      <c r="P16" s="111">
        <f>O16/N16</f>
        <v>0.15055136113850165</v>
      </c>
      <c r="R16" s="6">
        <v>7.71071911E-2</v>
      </c>
      <c r="S16" s="25">
        <f>(R16-$S$11)/$S$10</f>
        <v>0.1779249969092041</v>
      </c>
      <c r="T16" s="25">
        <f>(S16*C16)/B16*1000</f>
        <v>3.6311223859021244</v>
      </c>
      <c r="U16" s="104">
        <f>AVERAGE(T16:T18)</f>
        <v>3.4080983421960749</v>
      </c>
      <c r="V16" s="104">
        <f>STDEV(T16:T18)</f>
        <v>0.19638254105179823</v>
      </c>
      <c r="W16" s="111">
        <f>V16/U16</f>
        <v>5.762232228464842E-2</v>
      </c>
      <c r="Y16" s="6">
        <v>3.7923269000000003E-2</v>
      </c>
      <c r="Z16" s="25">
        <f>(Y16-$Z$12)/$Z$11*$AA$12</f>
        <v>7.7623039947299102</v>
      </c>
      <c r="AA16" s="25">
        <f t="shared" ref="AA16:AA24" si="2">(Z16*C16)/B16</f>
        <v>0.15841436723938593</v>
      </c>
      <c r="AB16" s="104">
        <f>AVERAGE(AA16:AA18)</f>
        <v>0.21643889388182594</v>
      </c>
      <c r="AC16" s="104">
        <f>STDEV(AA16:AA18)</f>
        <v>6.2835831047229396E-2</v>
      </c>
      <c r="AD16" s="62">
        <f>AC16/AB16</f>
        <v>0.29031672598334984</v>
      </c>
      <c r="AF16" s="41">
        <f>AVERAGE(0.0965,0.03,0.0314)</f>
        <v>5.2633333333333331E-2</v>
      </c>
      <c r="AG16" s="34">
        <f t="shared" ref="AG16:AG24" si="3">(AF16-$AG$11)/$AG$10</f>
        <v>20.570483239007398</v>
      </c>
      <c r="AH16" s="35">
        <f t="shared" ref="AH16:AH24" si="4">(AG16*C16)/B16</f>
        <v>0.41980578038790606</v>
      </c>
      <c r="AI16" s="98">
        <f>AVERAGE(AH16:AH18)</f>
        <v>0.30568836804784311</v>
      </c>
      <c r="AJ16" s="98">
        <f>STDEV(AH16:AH18)</f>
        <v>0.1190373667228557</v>
      </c>
      <c r="AK16" s="62">
        <f>AJ16/AI16</f>
        <v>0.38940757701393869</v>
      </c>
      <c r="AM16" s="41">
        <f>AVERAGE(0.0664,0.0654,0.0662)</f>
        <v>6.6000000000000003E-2</v>
      </c>
      <c r="AN16" s="34">
        <f>(AM16-$AN$11)/$AN$10</f>
        <v>13.906472291495808</v>
      </c>
      <c r="AO16" s="35">
        <f>(AN16*C16)/B16</f>
        <v>0.28380555696930221</v>
      </c>
      <c r="AP16" s="104">
        <f t="shared" ref="AP16:AP19" si="5">AVERAGE(AO16:AO18)</f>
        <v>0.3548617003303462</v>
      </c>
      <c r="AQ16" s="104">
        <f t="shared" ref="AQ16:AQ19" si="6">STDEV(AO16:AO18)</f>
        <v>0.11107646487119739</v>
      </c>
      <c r="AR16" s="62">
        <f t="shared" ref="AR16:AR19" si="7">AQ16/AP16</f>
        <v>0.31301339301422104</v>
      </c>
      <c r="AT16" s="41">
        <f>AVERAGE(0.354,0.3042,0.2756)</f>
        <v>0.31126666666666664</v>
      </c>
      <c r="AU16" s="25">
        <f>(AT16-$AU$12)/$AU$11</f>
        <v>16.697490824657333</v>
      </c>
      <c r="AV16" s="25">
        <f>(AU16*C16)/B16</f>
        <v>0.34076511887055783</v>
      </c>
      <c r="AW16" s="104">
        <f>AVERAGE(AV16:AV18)</f>
        <v>0.29699117258068447</v>
      </c>
      <c r="AX16" s="104">
        <f>STDEV(AV16:AV18)</f>
        <v>7.9038370561755833E-2</v>
      </c>
      <c r="AY16" s="111">
        <f>AX16/AW16</f>
        <v>0.26613036971758225</v>
      </c>
      <c r="BA16" s="41">
        <f>AVERAGE(0.5425,0.5348,0.5234)</f>
        <v>0.53356666666666674</v>
      </c>
      <c r="BB16" s="34">
        <f>(BA16-$BB$12)/$BB$11*$BC$13</f>
        <v>8.5878191429535509</v>
      </c>
      <c r="BC16" s="35">
        <f>(BB16*C16)/B16</f>
        <v>0.17526161516231736</v>
      </c>
      <c r="BD16" s="118">
        <f>AVERAGE(BC16:BC18)</f>
        <v>0.17431975294898075</v>
      </c>
      <c r="BE16" s="121">
        <f>STDEV(BC16:BC18)</f>
        <v>3.2527483610793545E-3</v>
      </c>
      <c r="BF16" s="62">
        <f>BE16/BD16</f>
        <v>1.8659665964713457E-2</v>
      </c>
    </row>
    <row r="17" spans="1:58" x14ac:dyDescent="0.3">
      <c r="A17" s="114"/>
      <c r="B17" s="3">
        <v>0.5</v>
      </c>
      <c r="C17" s="4">
        <v>0.01</v>
      </c>
      <c r="D17" s="6">
        <v>5.8000000000000003E-2</v>
      </c>
      <c r="E17" s="25">
        <f t="shared" ref="E17:E24" si="8">(D17-$E$11)/$E$10</f>
        <v>0.38554463554463553</v>
      </c>
      <c r="F17" s="25">
        <f t="shared" si="0"/>
        <v>7.7108927108927103</v>
      </c>
      <c r="G17" s="96"/>
      <c r="H17" s="96"/>
      <c r="I17" s="112"/>
      <c r="K17" s="6">
        <v>0.22500000000000001</v>
      </c>
      <c r="L17" s="36">
        <f>(K17-$L$12)/$L$11*$M$12</f>
        <v>4.6546448928039386</v>
      </c>
      <c r="M17" s="37">
        <f t="shared" si="1"/>
        <v>93.092897856078764</v>
      </c>
      <c r="N17" s="96"/>
      <c r="O17" s="96"/>
      <c r="P17" s="112"/>
      <c r="R17" s="6">
        <v>6.9890446999999994E-2</v>
      </c>
      <c r="S17" s="6">
        <f>(R17-$S$11)/$S$10</f>
        <v>0.16305357013392993</v>
      </c>
      <c r="T17" s="25">
        <f>(S17*C17)/B17*1000</f>
        <v>3.2610714026785987</v>
      </c>
      <c r="U17" s="105"/>
      <c r="V17" s="105"/>
      <c r="W17" s="112"/>
      <c r="Y17" s="6">
        <v>5.1549564999999999E-2</v>
      </c>
      <c r="Z17" s="5">
        <f t="shared" ref="Z17:Z24" si="9">(Y17-$Z$12)/$Z$11*$AA$12</f>
        <v>10.386286807031528</v>
      </c>
      <c r="AA17" s="25">
        <f t="shared" si="2"/>
        <v>0.20772573614063056</v>
      </c>
      <c r="AB17" s="105"/>
      <c r="AC17" s="105"/>
      <c r="AD17" s="63"/>
      <c r="AF17" s="41">
        <f>AVERAGE(0.027,0.027,0.0274)</f>
        <v>2.7133333333333332E-2</v>
      </c>
      <c r="AG17" s="34">
        <f t="shared" si="3"/>
        <v>9.1138006094906387</v>
      </c>
      <c r="AH17" s="35">
        <f t="shared" si="4"/>
        <v>0.18227601218981279</v>
      </c>
      <c r="AI17" s="99"/>
      <c r="AJ17" s="99"/>
      <c r="AK17" s="63"/>
      <c r="AM17" s="41">
        <f>AVERAGE(0.0385,0.0363,0.0332)</f>
        <v>3.6000000000000004E-2</v>
      </c>
      <c r="AN17" s="34">
        <f>(AM17-$AN$11)/$AN$10*4</f>
        <v>24.143136893902629</v>
      </c>
      <c r="AO17" s="35">
        <f t="shared" ref="AO17:AO24" si="10">(AN17*C17)/B17</f>
        <v>0.48286273787805256</v>
      </c>
      <c r="AP17" s="105"/>
      <c r="AQ17" s="105"/>
      <c r="AR17" s="63"/>
      <c r="AT17" s="41">
        <f>AVERAGE(0.2337,0.1904,0.2196)</f>
        <v>0.21456666666666668</v>
      </c>
      <c r="AU17" s="25">
        <f t="shared" ref="AU17:AU24" si="11">(AT17-$AU$12)/$AU$11</f>
        <v>10.287521533967499</v>
      </c>
      <c r="AV17" s="25">
        <f t="shared" ref="AV17:AV24" si="12">(AU17*C17)/B17</f>
        <v>0.20575043067935</v>
      </c>
      <c r="AW17" s="105"/>
      <c r="AX17" s="105"/>
      <c r="AY17" s="112"/>
      <c r="BA17" s="41">
        <f>AVERAGE(0.5469,0.5541,0.5463)</f>
        <v>0.54910000000000003</v>
      </c>
      <c r="BB17" s="34">
        <f>(BA17-$BB$12)/$BB$11*$BC$13</f>
        <v>8.8498819030480256</v>
      </c>
      <c r="BC17" s="35">
        <f>(BB17*C17)/B17</f>
        <v>0.17699763806096053</v>
      </c>
      <c r="BD17" s="119"/>
      <c r="BE17" s="122"/>
      <c r="BF17" s="63"/>
    </row>
    <row r="18" spans="1:58" x14ac:dyDescent="0.3">
      <c r="A18" s="94"/>
      <c r="B18" s="3">
        <v>0.48</v>
      </c>
      <c r="C18" s="4">
        <v>0.01</v>
      </c>
      <c r="D18" s="6">
        <v>6.0999999999999999E-2</v>
      </c>
      <c r="E18" s="25">
        <f t="shared" si="8"/>
        <v>0.40704340704340697</v>
      </c>
      <c r="F18" s="25">
        <f t="shared" si="0"/>
        <v>8.4800709800709786</v>
      </c>
      <c r="G18" s="97"/>
      <c r="H18" s="97"/>
      <c r="I18" s="113"/>
      <c r="K18" s="3">
        <v>0.16600000000000001</v>
      </c>
      <c r="L18" s="38">
        <f t="shared" ref="L18:L24" si="13">(K18-$L$12)/$L$11*$M$12</f>
        <v>3.3957024418679973</v>
      </c>
      <c r="M18" s="39">
        <f t="shared" si="1"/>
        <v>70.743800872249949</v>
      </c>
      <c r="N18" s="97"/>
      <c r="O18" s="97"/>
      <c r="P18" s="113"/>
      <c r="R18" s="6">
        <v>6.8379923699999998E-2</v>
      </c>
      <c r="S18" s="6">
        <f t="shared" ref="S18:S24" si="14">(R18-$S$11)/$S$10</f>
        <v>0.15994085942436004</v>
      </c>
      <c r="T18" s="3">
        <f t="shared" ref="T18:T24" si="15">(S18*C18)/B18*1000</f>
        <v>3.332101238007501</v>
      </c>
      <c r="U18" s="106"/>
      <c r="V18" s="106"/>
      <c r="W18" s="113"/>
      <c r="Y18" s="6">
        <v>6.8199247099999999E-2</v>
      </c>
      <c r="Z18" s="5">
        <f t="shared" si="9"/>
        <v>13.592475756742143</v>
      </c>
      <c r="AA18" s="5">
        <f t="shared" si="2"/>
        <v>0.28317657826546133</v>
      </c>
      <c r="AB18" s="106"/>
      <c r="AC18" s="106"/>
      <c r="AD18" s="64"/>
      <c r="AF18" s="41">
        <f>AVERAGE(0.0367,0.0422,0.0426)</f>
        <v>4.0500000000000001E-2</v>
      </c>
      <c r="AG18" s="34">
        <f t="shared" si="3"/>
        <v>15.119198955158902</v>
      </c>
      <c r="AH18" s="35">
        <f t="shared" si="4"/>
        <v>0.3149833115658105</v>
      </c>
      <c r="AI18" s="100"/>
      <c r="AJ18" s="100"/>
      <c r="AK18" s="64"/>
      <c r="AM18" s="41">
        <f>AVERAGE(0.0679,0.0672,0.0674)</f>
        <v>6.7500000000000004E-2</v>
      </c>
      <c r="AN18" s="34">
        <f t="shared" ref="AN18:AN24" si="16">(AM18-$AN$11)/$AN$10</f>
        <v>14.300006694896815</v>
      </c>
      <c r="AO18" s="35">
        <f t="shared" si="10"/>
        <v>0.29791680614368371</v>
      </c>
      <c r="AP18" s="106"/>
      <c r="AQ18" s="106"/>
      <c r="AR18" s="64"/>
      <c r="AT18" s="41">
        <f>AVERAGE(0.316,0.3393,0.2711)</f>
        <v>0.30880000000000002</v>
      </c>
      <c r="AU18" s="25">
        <f t="shared" si="11"/>
        <v>16.533982473222984</v>
      </c>
      <c r="AV18" s="25">
        <f t="shared" si="12"/>
        <v>0.34445796819214552</v>
      </c>
      <c r="AW18" s="106"/>
      <c r="AX18" s="106"/>
      <c r="AY18" s="113"/>
      <c r="BA18" s="41">
        <f>AVERAGE(0.544,0.5112,0.4754)</f>
        <v>0.5102000000000001</v>
      </c>
      <c r="BB18" s="34">
        <f t="shared" ref="BB18:BB24" si="17">(BA18-$BB$12)/$BB$11*$BC$13</f>
        <v>8.1936002699358923</v>
      </c>
      <c r="BC18" s="35">
        <f t="shared" ref="BC18:BC24" si="18">(BB18*C18)/B18</f>
        <v>0.17070000562366444</v>
      </c>
      <c r="BD18" s="120"/>
      <c r="BE18" s="123"/>
      <c r="BF18" s="64"/>
    </row>
    <row r="19" spans="1:58" x14ac:dyDescent="0.3">
      <c r="A19" s="93" t="s">
        <v>33</v>
      </c>
      <c r="B19" s="3">
        <v>0.51</v>
      </c>
      <c r="C19" s="4">
        <v>0.01</v>
      </c>
      <c r="D19" s="6">
        <v>9.1999999999999998E-2</v>
      </c>
      <c r="E19" s="25">
        <f t="shared" si="8"/>
        <v>0.62919737919737917</v>
      </c>
      <c r="F19" s="25">
        <f t="shared" si="0"/>
        <v>12.337203513674101</v>
      </c>
      <c r="G19" s="95">
        <f>AVERAGE(F19:F21)</f>
        <v>13.945286004109533</v>
      </c>
      <c r="H19" s="95">
        <f>STDEV(F19:F21)</f>
        <v>1.4245471866404966</v>
      </c>
      <c r="I19" s="111">
        <f>H19/G19</f>
        <v>0.10215259738815662</v>
      </c>
      <c r="K19" s="6">
        <v>8.8999999999999996E-2</v>
      </c>
      <c r="L19" s="34">
        <f t="shared" si="13"/>
        <v>1.7526758533583777</v>
      </c>
      <c r="M19" s="37">
        <f t="shared" si="1"/>
        <v>34.366193203105446</v>
      </c>
      <c r="N19" s="95">
        <f>AVERAGE(M19:M21)</f>
        <v>40.660441766738437</v>
      </c>
      <c r="O19" s="95">
        <f>STDEV(M19:M21)</f>
        <v>6.1501757929772696</v>
      </c>
      <c r="P19" s="111">
        <f>O19/N19</f>
        <v>0.1512569840795068</v>
      </c>
      <c r="R19" s="6">
        <v>7.2441935499999999E-2</v>
      </c>
      <c r="S19" s="6">
        <f t="shared" si="14"/>
        <v>0.1683113808405205</v>
      </c>
      <c r="T19" s="3">
        <f t="shared" si="15"/>
        <v>3.3002231537356956</v>
      </c>
      <c r="U19" s="95">
        <f>AVERAGE(T19:T21)</f>
        <v>3.6884450485680524</v>
      </c>
      <c r="V19" s="95">
        <f>STDEV(T19:T21)</f>
        <v>0.85759405793273724</v>
      </c>
      <c r="W19" s="111">
        <f>V19/U19</f>
        <v>0.23250829187916922</v>
      </c>
      <c r="Y19" s="6">
        <v>0.401520669</v>
      </c>
      <c r="Z19" s="5">
        <f t="shared" si="9"/>
        <v>77.779374532281494</v>
      </c>
      <c r="AA19" s="5">
        <f t="shared" si="2"/>
        <v>1.5250857751427744</v>
      </c>
      <c r="AB19" s="104">
        <f>AVERAGE(AA19:AA21)</f>
        <v>1.3456233838692715</v>
      </c>
      <c r="AC19" s="104">
        <f>STDEV(AA19:AA21)</f>
        <v>0.17808227727244105</v>
      </c>
      <c r="AD19" s="62">
        <f>AC19/AB19</f>
        <v>0.13234184200959301</v>
      </c>
      <c r="AF19" s="41">
        <f>AVERAGE(0.0954,0.0888,0.0896)</f>
        <v>9.1266666666666663E-2</v>
      </c>
      <c r="AG19" s="25">
        <f t="shared" si="3"/>
        <v>37.92773182411841</v>
      </c>
      <c r="AH19" s="25">
        <f t="shared" si="4"/>
        <v>0.74368101615918447</v>
      </c>
      <c r="AI19" s="98">
        <f>AVERAGE(AH19:AH21)</f>
        <v>1.0176772406829515</v>
      </c>
      <c r="AJ19" s="98">
        <f>STDEV(AH19:AH21)</f>
        <v>0.23732402983568088</v>
      </c>
      <c r="AK19" s="62">
        <f>AJ19/AI19</f>
        <v>0.23320166782585749</v>
      </c>
      <c r="AM19" s="41">
        <f>AVERAGE(0.0332,0.0329,0.032)</f>
        <v>3.27E-2</v>
      </c>
      <c r="AN19" s="34">
        <f t="shared" si="16"/>
        <v>5.1700085359934391</v>
      </c>
      <c r="AO19" s="35">
        <f t="shared" si="10"/>
        <v>0.10137271639202822</v>
      </c>
      <c r="AP19" s="98">
        <f t="shared" si="5"/>
        <v>0.13698292903338605</v>
      </c>
      <c r="AQ19" s="98">
        <f t="shared" si="6"/>
        <v>3.1132794126466919E-2</v>
      </c>
      <c r="AR19" s="62">
        <f t="shared" si="7"/>
        <v>0.22727499219175773</v>
      </c>
      <c r="AT19" s="41">
        <f>AVERAGE(0.2921,0.3226,0.3453)</f>
        <v>0.32</v>
      </c>
      <c r="AU19" s="25">
        <f t="shared" si="11"/>
        <v>17.276398771627598</v>
      </c>
      <c r="AV19" s="25">
        <f t="shared" si="12"/>
        <v>0.33875291709073724</v>
      </c>
      <c r="AW19" s="104">
        <f>AVERAGE(AV19:AV21)</f>
        <v>0.44895586945486521</v>
      </c>
      <c r="AX19" s="104">
        <f>STDEV(AV19:AV21)</f>
        <v>0.13828522565697327</v>
      </c>
      <c r="AY19" s="111">
        <f>AX19/AW19</f>
        <v>0.30801518604686706</v>
      </c>
      <c r="BA19" s="41">
        <f>AVERAGE(0.4013,0.4035,0.4022)</f>
        <v>0.40233333333333327</v>
      </c>
      <c r="BB19" s="34">
        <f t="shared" si="17"/>
        <v>6.3737824766617921</v>
      </c>
      <c r="BC19" s="35">
        <f t="shared" si="18"/>
        <v>0.12497612699336846</v>
      </c>
      <c r="BD19" s="108">
        <f t="shared" ref="BD19" si="19">AVERAGE(BC19:BC21)</f>
        <v>0.11320648202669513</v>
      </c>
      <c r="BE19" s="101">
        <f t="shared" ref="BE19" si="20">STDEV(BC19:BC21)</f>
        <v>1.2011686151775615E-2</v>
      </c>
      <c r="BF19" s="62">
        <f t="shared" ref="BF19" si="21">BE19/BD19</f>
        <v>0.10610422598366009</v>
      </c>
    </row>
    <row r="20" spans="1:58" x14ac:dyDescent="0.3">
      <c r="A20" s="114"/>
      <c r="B20" s="3">
        <v>0.49</v>
      </c>
      <c r="C20" s="4">
        <v>0.01</v>
      </c>
      <c r="D20" s="6">
        <v>0.10299999999999999</v>
      </c>
      <c r="E20" s="25">
        <f t="shared" si="8"/>
        <v>0.70802620802620797</v>
      </c>
      <c r="F20" s="25">
        <f t="shared" si="0"/>
        <v>14.449514449514448</v>
      </c>
      <c r="G20" s="96"/>
      <c r="H20" s="96"/>
      <c r="I20" s="112"/>
      <c r="K20" s="6">
        <v>0.114</v>
      </c>
      <c r="L20" s="36">
        <f t="shared" si="13"/>
        <v>2.2861260444329297</v>
      </c>
      <c r="M20" s="37">
        <f t="shared" si="1"/>
        <v>46.655633559855708</v>
      </c>
      <c r="N20" s="96"/>
      <c r="O20" s="96"/>
      <c r="P20" s="112"/>
      <c r="R20" s="6">
        <v>6.4326025499999995E-2</v>
      </c>
      <c r="S20" s="25">
        <f t="shared" si="14"/>
        <v>0.15158705757128951</v>
      </c>
      <c r="T20" s="25">
        <f t="shared" si="15"/>
        <v>3.0936134198222356</v>
      </c>
      <c r="U20" s="96"/>
      <c r="V20" s="96"/>
      <c r="W20" s="112"/>
      <c r="Y20" s="6">
        <v>0.29506128999999998</v>
      </c>
      <c r="Z20" s="5">
        <f t="shared" si="9"/>
        <v>57.278749806067999</v>
      </c>
      <c r="AA20" s="5">
        <f t="shared" si="2"/>
        <v>1.168954077674857</v>
      </c>
      <c r="AB20" s="105"/>
      <c r="AC20" s="105"/>
      <c r="AD20" s="63"/>
      <c r="AF20" s="41">
        <f>AVERAGE(0.12,0.14,0.1397)</f>
        <v>0.13323333333333334</v>
      </c>
      <c r="AG20" s="25">
        <f t="shared" si="3"/>
        <v>56.782585981715279</v>
      </c>
      <c r="AH20" s="25">
        <f t="shared" si="4"/>
        <v>1.1588282853411283</v>
      </c>
      <c r="AI20" s="99"/>
      <c r="AJ20" s="99"/>
      <c r="AK20" s="63"/>
      <c r="AM20" s="41">
        <f>AVERAGE(0.0429,0.0425,0.0427)</f>
        <v>4.2699999999999995E-2</v>
      </c>
      <c r="AN20" s="34">
        <f t="shared" si="16"/>
        <v>7.7935712253334879</v>
      </c>
      <c r="AO20" s="35">
        <f t="shared" si="10"/>
        <v>0.15905247398639774</v>
      </c>
      <c r="AP20" s="99"/>
      <c r="AQ20" s="99"/>
      <c r="AR20" s="63"/>
      <c r="AT20" s="41">
        <f>AVERAGE(0.4239,0.3034,0.3467)</f>
        <v>0.35800000000000004</v>
      </c>
      <c r="AU20" s="25">
        <f t="shared" si="11"/>
        <v>19.795311212643256</v>
      </c>
      <c r="AV20" s="25">
        <f t="shared" si="12"/>
        <v>0.4039859431151685</v>
      </c>
      <c r="AW20" s="105"/>
      <c r="AX20" s="105"/>
      <c r="AY20" s="112"/>
      <c r="BA20" s="41">
        <f>AVERAGE(0.2434,0.4545,0.3662)</f>
        <v>0.35470000000000002</v>
      </c>
      <c r="BB20" s="34">
        <f t="shared" si="17"/>
        <v>5.5701608368012598</v>
      </c>
      <c r="BC20" s="35">
        <f t="shared" si="18"/>
        <v>0.11367675177145428</v>
      </c>
      <c r="BD20" s="109"/>
      <c r="BE20" s="102"/>
      <c r="BF20" s="63"/>
    </row>
    <row r="21" spans="1:58" x14ac:dyDescent="0.3">
      <c r="A21" s="94"/>
      <c r="B21" s="3">
        <v>0.48</v>
      </c>
      <c r="C21" s="4">
        <v>0.01</v>
      </c>
      <c r="D21" s="6">
        <v>0.105</v>
      </c>
      <c r="E21" s="25">
        <f t="shared" si="8"/>
        <v>0.72235872235872234</v>
      </c>
      <c r="F21" s="25">
        <f t="shared" si="0"/>
        <v>15.049140049140048</v>
      </c>
      <c r="G21" s="97"/>
      <c r="H21" s="97"/>
      <c r="I21" s="113"/>
      <c r="K21" s="6">
        <v>9.9000000000000005E-2</v>
      </c>
      <c r="L21" s="38">
        <f t="shared" si="13"/>
        <v>1.9660559297881985</v>
      </c>
      <c r="M21" s="39">
        <f t="shared" si="1"/>
        <v>40.959498537254142</v>
      </c>
      <c r="N21" s="97"/>
      <c r="O21" s="97"/>
      <c r="P21" s="113"/>
      <c r="R21" s="6">
        <v>9.9578827600000003E-2</v>
      </c>
      <c r="S21" s="25">
        <f t="shared" si="14"/>
        <v>0.22423193146301879</v>
      </c>
      <c r="T21" s="25">
        <f t="shared" si="15"/>
        <v>4.6714985721462252</v>
      </c>
      <c r="U21" s="97"/>
      <c r="V21" s="97"/>
      <c r="W21" s="113"/>
      <c r="Y21" s="6">
        <v>0.33233186599999998</v>
      </c>
      <c r="Z21" s="25">
        <f t="shared" si="9"/>
        <v>64.45585434192877</v>
      </c>
      <c r="AA21" s="25">
        <f t="shared" si="2"/>
        <v>1.3428302987901828</v>
      </c>
      <c r="AB21" s="106"/>
      <c r="AC21" s="106"/>
      <c r="AD21" s="64"/>
      <c r="AF21" s="41">
        <f>AVERAGE(0.1319,0.1321,0.1253)</f>
        <v>0.12976666666666667</v>
      </c>
      <c r="AG21" s="25">
        <f t="shared" si="3"/>
        <v>55.225076186329993</v>
      </c>
      <c r="AH21" s="25">
        <f t="shared" si="4"/>
        <v>1.1505224205485416</v>
      </c>
      <c r="AI21" s="100"/>
      <c r="AJ21" s="100"/>
      <c r="AK21" s="64"/>
      <c r="AM21" s="41">
        <f>AVERAGE(0.0397,0.0409,0.041)</f>
        <v>4.0533333333333338E-2</v>
      </c>
      <c r="AN21" s="34">
        <f t="shared" si="16"/>
        <v>7.2251326426431461</v>
      </c>
      <c r="AO21" s="35">
        <f t="shared" si="10"/>
        <v>0.15052359672173221</v>
      </c>
      <c r="AP21" s="100"/>
      <c r="AQ21" s="100"/>
      <c r="AR21" s="64"/>
      <c r="AT21" s="41">
        <f>AVERAGE(0.4964,0.4974,0.4967)</f>
        <v>0.49683333333333329</v>
      </c>
      <c r="AU21" s="25">
        <f t="shared" si="11"/>
        <v>28.998179911617111</v>
      </c>
      <c r="AV21" s="25">
        <f t="shared" si="12"/>
        <v>0.60412874815868989</v>
      </c>
      <c r="AW21" s="106"/>
      <c r="AX21" s="106"/>
      <c r="AY21" s="113"/>
      <c r="BA21" s="41">
        <f>AVERAGE(0.2865,0.3218,0.3271)</f>
        <v>0.31180000000000002</v>
      </c>
      <c r="BB21" s="34">
        <f t="shared" si="17"/>
        <v>4.8463952311326066</v>
      </c>
      <c r="BC21" s="35">
        <f t="shared" si="18"/>
        <v>0.10096656731526264</v>
      </c>
      <c r="BD21" s="110"/>
      <c r="BE21" s="103"/>
      <c r="BF21" s="64"/>
    </row>
    <row r="22" spans="1:58" x14ac:dyDescent="0.3">
      <c r="A22" s="93" t="s">
        <v>35</v>
      </c>
      <c r="B22" s="3">
        <v>0.5</v>
      </c>
      <c r="C22" s="4">
        <v>0.01</v>
      </c>
      <c r="D22" s="6">
        <v>2.5999999999999999E-2</v>
      </c>
      <c r="E22" s="25">
        <f t="shared" si="8"/>
        <v>0.15622440622440617</v>
      </c>
      <c r="F22" s="25">
        <f t="shared" si="0"/>
        <v>3.1244881244881233</v>
      </c>
      <c r="G22" s="104">
        <f t="shared" ref="G22" si="22">AVERAGE(F22:F24)</f>
        <v>3.5318435318435308</v>
      </c>
      <c r="H22" s="104">
        <f t="shared" ref="H22" si="23">STDEV(F22:F24)</f>
        <v>0.35479228476674185</v>
      </c>
      <c r="I22" s="111">
        <f t="shared" ref="I22" si="24">H22/G22</f>
        <v>0.10045526693577772</v>
      </c>
      <c r="K22" s="6">
        <v>0.04</v>
      </c>
      <c r="L22" s="34">
        <f t="shared" si="13"/>
        <v>0.70711347885225695</v>
      </c>
      <c r="M22" s="37">
        <f t="shared" si="1"/>
        <v>14.142269577045139</v>
      </c>
      <c r="N22" s="95">
        <f t="shared" ref="N22" si="25">AVERAGE(M22:M24)</f>
        <v>15.385211957702305</v>
      </c>
      <c r="O22" s="95">
        <f t="shared" ref="O22" si="26">STDEV(M22:M24)</f>
        <v>1.1096165018356736</v>
      </c>
      <c r="P22" s="111">
        <f t="shared" ref="P22" si="27">O22/N22</f>
        <v>7.2122275915748171E-2</v>
      </c>
      <c r="R22" s="6">
        <v>0.134558603</v>
      </c>
      <c r="S22" s="25">
        <f t="shared" si="14"/>
        <v>0.29631418369039597</v>
      </c>
      <c r="T22" s="25">
        <f t="shared" si="15"/>
        <v>5.9262836738079194</v>
      </c>
      <c r="U22" s="95">
        <f t="shared" ref="U22" si="28">AVERAGE(T22:T24)</f>
        <v>7.9404041815599653</v>
      </c>
      <c r="V22" s="95">
        <f t="shared" ref="V22" si="29">STDEV(T22:T24)</f>
        <v>1.9253214186451644</v>
      </c>
      <c r="W22" s="111">
        <f t="shared" ref="W22" si="30">V22/U22</f>
        <v>0.2424714629913105</v>
      </c>
      <c r="Y22" s="6">
        <v>0.52591013900000005</v>
      </c>
      <c r="Z22" s="25">
        <f t="shared" si="9"/>
        <v>101.73275344840869</v>
      </c>
      <c r="AA22" s="25">
        <f t="shared" si="2"/>
        <v>2.0346550689681737</v>
      </c>
      <c r="AB22" s="104">
        <f t="shared" ref="AB22" si="31">AVERAGE(AA22:AA24)</f>
        <v>1.7994599933669742</v>
      </c>
      <c r="AC22" s="104">
        <f t="shared" ref="AC22" si="32">STDEV(AA22:AA24)</f>
        <v>0.4937817662863343</v>
      </c>
      <c r="AD22" s="62">
        <f t="shared" ref="AD22" si="33">AC22/AB22</f>
        <v>0.2744055261614447</v>
      </c>
      <c r="AF22" s="41">
        <f>AVERAGE(0.0485,0.0498,0.0486)</f>
        <v>4.8966666666666665E-2</v>
      </c>
      <c r="AG22" s="25">
        <f t="shared" si="3"/>
        <v>18.923117109272962</v>
      </c>
      <c r="AH22" s="25">
        <f t="shared" si="4"/>
        <v>0.37846234218545927</v>
      </c>
      <c r="AI22" s="98">
        <f>AVERAGE(AH22:AH24)</f>
        <v>0.59589543296639513</v>
      </c>
      <c r="AJ22" s="98">
        <f>STDEV(AH22:AH24)</f>
        <v>0.26281147197593291</v>
      </c>
      <c r="AK22" s="62">
        <f t="shared" ref="AK22" si="34">AJ22/AI22</f>
        <v>0.44103622453967334</v>
      </c>
      <c r="AM22" s="41">
        <f>AVERAGE(0.0322,0.0296,0.0276)</f>
        <v>2.9800000000000004E-2</v>
      </c>
      <c r="AN22" s="34">
        <f t="shared" si="16"/>
        <v>4.4091753560848259</v>
      </c>
      <c r="AO22" s="35">
        <f t="shared" si="10"/>
        <v>8.8183507121696522E-2</v>
      </c>
      <c r="AP22" s="98">
        <f t="shared" ref="AP22" si="35">AVERAGE(AO22:AO24)</f>
        <v>0.13459758147991149</v>
      </c>
      <c r="AQ22" s="98">
        <f t="shared" ref="AQ22" si="36">STDEV(AO22:AO24)</f>
        <v>6.5674821166169697E-2</v>
      </c>
      <c r="AR22" s="62">
        <f t="shared" ref="AR22" si="37">AQ22/AP22</f>
        <v>0.48793463035568418</v>
      </c>
      <c r="AT22" s="41">
        <f>AVERAGE(0.3399,0.2739,0.2694)</f>
        <v>0.29439999999999994</v>
      </c>
      <c r="AU22" s="25">
        <f t="shared" si="11"/>
        <v>15.579447232417049</v>
      </c>
      <c r="AV22" s="25">
        <f t="shared" si="12"/>
        <v>0.31158894464834097</v>
      </c>
      <c r="AW22" s="104">
        <f t="shared" ref="AW22" si="38">AVERAGE(AV22:AV24)</f>
        <v>0.67520424824862191</v>
      </c>
      <c r="AX22" s="104">
        <f t="shared" ref="AX22" si="39">STDEV(AV22:AV24)</f>
        <v>0.42521002651331624</v>
      </c>
      <c r="AY22" s="111">
        <f>AX22/AW22</f>
        <v>0.6297502239007633</v>
      </c>
      <c r="BA22" s="41">
        <f>AVERAGE(0.1188,0.107,0.1318)</f>
        <v>0.11920000000000001</v>
      </c>
      <c r="BB22" s="34">
        <f t="shared" si="17"/>
        <v>1.5970419525362729</v>
      </c>
      <c r="BC22" s="35">
        <f t="shared" si="18"/>
        <v>3.1940839050725457E-2</v>
      </c>
      <c r="BD22" s="118">
        <f t="shared" ref="BD22" si="40">AVERAGE(BC22:BC24)</f>
        <v>3.6413363050765243E-2</v>
      </c>
      <c r="BE22" s="121">
        <f t="shared" ref="BE22" si="41">STDEV(BC22:BC24)</f>
        <v>8.890346960837266E-3</v>
      </c>
      <c r="BF22" s="62">
        <f>BE22/BD22</f>
        <v>0.24415066931452878</v>
      </c>
    </row>
    <row r="23" spans="1:58" x14ac:dyDescent="0.3">
      <c r="A23" s="114"/>
      <c r="B23" s="3">
        <v>0.5</v>
      </c>
      <c r="C23" s="4">
        <v>0.01</v>
      </c>
      <c r="D23" s="6">
        <v>0.03</v>
      </c>
      <c r="E23" s="25">
        <f t="shared" si="8"/>
        <v>0.18488943488943482</v>
      </c>
      <c r="F23" s="25">
        <f t="shared" si="0"/>
        <v>3.6977886977886967</v>
      </c>
      <c r="G23" s="105"/>
      <c r="H23" s="105"/>
      <c r="I23" s="112"/>
      <c r="K23" s="6">
        <v>4.4999999999999998E-2</v>
      </c>
      <c r="L23" s="36">
        <f t="shared" si="13"/>
        <v>0.81380351706716714</v>
      </c>
      <c r="M23" s="37">
        <f t="shared" si="1"/>
        <v>16.276070341343342</v>
      </c>
      <c r="N23" s="96"/>
      <c r="O23" s="96"/>
      <c r="P23" s="112"/>
      <c r="R23" s="6">
        <v>0.18808703099999999</v>
      </c>
      <c r="S23" s="25">
        <f t="shared" si="14"/>
        <v>0.40661934157974594</v>
      </c>
      <c r="T23" s="25">
        <f t="shared" si="15"/>
        <v>8.1323868315949195</v>
      </c>
      <c r="U23" s="96"/>
      <c r="V23" s="96"/>
      <c r="W23" s="112"/>
      <c r="Y23" s="6">
        <v>0.317513973</v>
      </c>
      <c r="Z23" s="25">
        <f t="shared" si="9"/>
        <v>61.602408581868616</v>
      </c>
      <c r="AA23" s="25">
        <f t="shared" si="2"/>
        <v>1.2320481716373723</v>
      </c>
      <c r="AB23" s="105"/>
      <c r="AC23" s="105"/>
      <c r="AD23" s="63"/>
      <c r="AF23" s="41">
        <f>AVERAGE(0.1029,0.1094,0.1047)</f>
        <v>0.10566666666666667</v>
      </c>
      <c r="AG23" s="25">
        <f t="shared" si="3"/>
        <v>44.397387897257296</v>
      </c>
      <c r="AH23" s="25">
        <f t="shared" si="4"/>
        <v>0.88794775794514591</v>
      </c>
      <c r="AI23" s="99"/>
      <c r="AJ23" s="99"/>
      <c r="AK23" s="63"/>
      <c r="AM23" s="41">
        <f>AVERAGE(0.055,0.0512,0.0527)</f>
        <v>5.2966666666666662E-2</v>
      </c>
      <c r="AN23" s="34">
        <f t="shared" si="16"/>
        <v>10.487095586389273</v>
      </c>
      <c r="AO23" s="35">
        <f t="shared" si="10"/>
        <v>0.20974191172778547</v>
      </c>
      <c r="AP23" s="99"/>
      <c r="AQ23" s="99"/>
      <c r="AR23" s="63"/>
      <c r="AT23" s="41">
        <f>AVERAGE(0.8914,0.9313,0.9413)</f>
        <v>0.92133333333333345</v>
      </c>
      <c r="AU23" s="25">
        <f t="shared" si="11"/>
        <v>57.137083364542001</v>
      </c>
      <c r="AV23" s="25">
        <f t="shared" si="12"/>
        <v>1.1427416672908401</v>
      </c>
      <c r="AW23" s="105"/>
      <c r="AX23" s="105"/>
      <c r="AY23" s="112"/>
      <c r="BA23" s="41">
        <f>AVERAGE(0.0944,0.1362,0.1155)</f>
        <v>0.11536666666666666</v>
      </c>
      <c r="BB23" s="34">
        <f t="shared" si="17"/>
        <v>1.5323698121696097</v>
      </c>
      <c r="BC23" s="35">
        <f t="shared" si="18"/>
        <v>3.0647396243392192E-2</v>
      </c>
      <c r="BD23" s="119"/>
      <c r="BE23" s="122"/>
      <c r="BF23" s="63"/>
    </row>
    <row r="24" spans="1:58" x14ac:dyDescent="0.3">
      <c r="A24" s="94"/>
      <c r="B24" s="3">
        <v>0.49</v>
      </c>
      <c r="C24" s="4">
        <v>0.01</v>
      </c>
      <c r="D24" s="3">
        <v>0.03</v>
      </c>
      <c r="E24" s="25">
        <f t="shared" si="8"/>
        <v>0.18488943488943482</v>
      </c>
      <c r="F24" s="25">
        <f t="shared" si="0"/>
        <v>3.7732537732537721</v>
      </c>
      <c r="G24" s="106"/>
      <c r="H24" s="106"/>
      <c r="I24" s="113"/>
      <c r="K24" s="6">
        <v>4.2999999999999997E-2</v>
      </c>
      <c r="L24" s="38">
        <f t="shared" si="13"/>
        <v>0.77112750178120304</v>
      </c>
      <c r="M24" s="39">
        <f t="shared" si="1"/>
        <v>15.737295954718432</v>
      </c>
      <c r="N24" s="97"/>
      <c r="O24" s="97"/>
      <c r="P24" s="113"/>
      <c r="R24" s="6">
        <v>0.222903252</v>
      </c>
      <c r="S24" s="25">
        <f t="shared" si="14"/>
        <v>0.47836455992457577</v>
      </c>
      <c r="T24" s="25">
        <f t="shared" si="15"/>
        <v>9.7625420392770561</v>
      </c>
      <c r="U24" s="97"/>
      <c r="V24" s="97"/>
      <c r="W24" s="113"/>
      <c r="Y24" s="6">
        <v>0.54003197000000003</v>
      </c>
      <c r="Z24" s="25">
        <f t="shared" si="9"/>
        <v>104.45216023527345</v>
      </c>
      <c r="AA24" s="25">
        <f t="shared" si="2"/>
        <v>2.1316767394953766</v>
      </c>
      <c r="AB24" s="106"/>
      <c r="AC24" s="106"/>
      <c r="AD24" s="64"/>
      <c r="AF24" s="41">
        <f>AVERAGE(0.0594,0.068)</f>
        <v>6.3700000000000007E-2</v>
      </c>
      <c r="AG24" s="25">
        <f t="shared" si="3"/>
        <v>25.542533739660428</v>
      </c>
      <c r="AH24" s="25">
        <f t="shared" si="4"/>
        <v>0.52127619876858022</v>
      </c>
      <c r="AI24" s="100"/>
      <c r="AJ24" s="100"/>
      <c r="AK24" s="64"/>
      <c r="AM24" s="41">
        <f>AVERAGE(0.0345,0.0311,0.0327)</f>
        <v>3.2766666666666666E-2</v>
      </c>
      <c r="AN24" s="34">
        <f t="shared" si="16"/>
        <v>5.1874989539223728</v>
      </c>
      <c r="AO24" s="35">
        <f t="shared" si="10"/>
        <v>0.10586732559025251</v>
      </c>
      <c r="AP24" s="100"/>
      <c r="AQ24" s="100"/>
      <c r="AR24" s="64"/>
      <c r="AT24" s="41">
        <f>AVERAGE(0.5053,0.4796,0.4601)</f>
        <v>0.48166666666666669</v>
      </c>
      <c r="AU24" s="25">
        <f t="shared" si="11"/>
        <v>27.992824507527533</v>
      </c>
      <c r="AV24" s="25">
        <f t="shared" si="12"/>
        <v>0.57128213280668438</v>
      </c>
      <c r="AW24" s="106"/>
      <c r="AX24" s="106"/>
      <c r="AY24" s="113"/>
      <c r="BA24" s="41">
        <f>AVERAGE(0.1609,0.1591,0.1601)</f>
        <v>0.16003333333333333</v>
      </c>
      <c r="BB24" s="34">
        <f t="shared" si="17"/>
        <v>2.2859408390507254</v>
      </c>
      <c r="BC24" s="35">
        <f t="shared" si="18"/>
        <v>4.6651853858178077E-2</v>
      </c>
      <c r="BD24" s="120"/>
      <c r="BE24" s="123"/>
      <c r="BF24" s="64"/>
    </row>
  </sheetData>
  <mergeCells count="134">
    <mergeCell ref="AW22:AW24"/>
    <mergeCell ref="AX22:AX24"/>
    <mergeCell ref="AY22:AY24"/>
    <mergeCell ref="BA1:BF1"/>
    <mergeCell ref="BA14:BA15"/>
    <mergeCell ref="BB14:BB15"/>
    <mergeCell ref="BC14:BC15"/>
    <mergeCell ref="BD14:BD15"/>
    <mergeCell ref="BE14:BE15"/>
    <mergeCell ref="BF14:BF15"/>
    <mergeCell ref="BD16:BD18"/>
    <mergeCell ref="BE16:BE18"/>
    <mergeCell ref="BF16:BF18"/>
    <mergeCell ref="BD19:BD21"/>
    <mergeCell ref="BE19:BE21"/>
    <mergeCell ref="BF19:BF21"/>
    <mergeCell ref="BD22:BD24"/>
    <mergeCell ref="BE22:BE24"/>
    <mergeCell ref="BF22:BF24"/>
    <mergeCell ref="AT1:AY1"/>
    <mergeCell ref="AT14:AT15"/>
    <mergeCell ref="D1:I1"/>
    <mergeCell ref="D14:D15"/>
    <mergeCell ref="E14:E15"/>
    <mergeCell ref="F14:F15"/>
    <mergeCell ref="G14:G15"/>
    <mergeCell ref="H14:H15"/>
    <mergeCell ref="I14:I15"/>
    <mergeCell ref="L14:L15"/>
    <mergeCell ref="M14:M15"/>
    <mergeCell ref="K1:P1"/>
    <mergeCell ref="I19:I21"/>
    <mergeCell ref="AU14:AU15"/>
    <mergeCell ref="AV14:AV15"/>
    <mergeCell ref="AW14:AW15"/>
    <mergeCell ref="AX14:AX15"/>
    <mergeCell ref="AY14:AY15"/>
    <mergeCell ref="AW16:AW18"/>
    <mergeCell ref="AX16:AX18"/>
    <mergeCell ref="AY16:AY18"/>
    <mergeCell ref="N14:N15"/>
    <mergeCell ref="O14:O15"/>
    <mergeCell ref="P14:P15"/>
    <mergeCell ref="AW19:AW21"/>
    <mergeCell ref="AX19:AX21"/>
    <mergeCell ref="AY19:AY21"/>
    <mergeCell ref="AK19:AK21"/>
    <mergeCell ref="A22:A24"/>
    <mergeCell ref="A13:C13"/>
    <mergeCell ref="B14:B15"/>
    <mergeCell ref="C14:C15"/>
    <mergeCell ref="A16:A18"/>
    <mergeCell ref="A19:A21"/>
    <mergeCell ref="N22:N24"/>
    <mergeCell ref="O22:O24"/>
    <mergeCell ref="P22:P24"/>
    <mergeCell ref="K14:K15"/>
    <mergeCell ref="N16:N18"/>
    <mergeCell ref="O16:O18"/>
    <mergeCell ref="P16:P18"/>
    <mergeCell ref="N19:N21"/>
    <mergeCell ref="O19:O21"/>
    <mergeCell ref="P19:P21"/>
    <mergeCell ref="G22:G24"/>
    <mergeCell ref="H22:H24"/>
    <mergeCell ref="I22:I24"/>
    <mergeCell ref="G16:G18"/>
    <mergeCell ref="H16:H18"/>
    <mergeCell ref="I16:I18"/>
    <mergeCell ref="G19:G21"/>
    <mergeCell ref="H19:H21"/>
    <mergeCell ref="AF1:AK1"/>
    <mergeCell ref="AF14:AF15"/>
    <mergeCell ref="AG14:AG15"/>
    <mergeCell ref="AH14:AH15"/>
    <mergeCell ref="AI14:AI15"/>
    <mergeCell ref="AJ14:AJ15"/>
    <mergeCell ref="AK14:AK15"/>
    <mergeCell ref="U19:U21"/>
    <mergeCell ref="V19:V21"/>
    <mergeCell ref="W19:W21"/>
    <mergeCell ref="R1:W1"/>
    <mergeCell ref="R14:R15"/>
    <mergeCell ref="S14:S15"/>
    <mergeCell ref="T14:T15"/>
    <mergeCell ref="U14:U15"/>
    <mergeCell ref="U22:U24"/>
    <mergeCell ref="V22:V24"/>
    <mergeCell ref="W22:W24"/>
    <mergeCell ref="Y1:AD1"/>
    <mergeCell ref="Y14:Y15"/>
    <mergeCell ref="Z14:Z15"/>
    <mergeCell ref="AA14:AA15"/>
    <mergeCell ref="AB14:AB15"/>
    <mergeCell ref="AC14:AC15"/>
    <mergeCell ref="AD14:AD15"/>
    <mergeCell ref="AB22:AB24"/>
    <mergeCell ref="AC22:AC24"/>
    <mergeCell ref="AD22:AD24"/>
    <mergeCell ref="AB16:AB18"/>
    <mergeCell ref="AC16:AC18"/>
    <mergeCell ref="AD16:AD18"/>
    <mergeCell ref="V14:V15"/>
    <mergeCell ref="W14:W15"/>
    <mergeCell ref="U16:U18"/>
    <mergeCell ref="V16:V18"/>
    <mergeCell ref="W16:W18"/>
    <mergeCell ref="AB19:AB21"/>
    <mergeCell ref="AC19:AC21"/>
    <mergeCell ref="AD19:AD21"/>
    <mergeCell ref="AP22:AP24"/>
    <mergeCell ref="AQ22:AQ24"/>
    <mergeCell ref="AR22:AR24"/>
    <mergeCell ref="AI22:AI24"/>
    <mergeCell ref="AJ22:AJ24"/>
    <mergeCell ref="AK22:AK24"/>
    <mergeCell ref="AM1:AR1"/>
    <mergeCell ref="AM14:AM15"/>
    <mergeCell ref="AN14:AN15"/>
    <mergeCell ref="AO14:AO15"/>
    <mergeCell ref="AP14:AP15"/>
    <mergeCell ref="AQ14:AQ15"/>
    <mergeCell ref="AR14:AR15"/>
    <mergeCell ref="AP16:AP18"/>
    <mergeCell ref="AQ16:AQ18"/>
    <mergeCell ref="AR16:AR18"/>
    <mergeCell ref="AP19:AP21"/>
    <mergeCell ref="AQ19:AQ21"/>
    <mergeCell ref="AR19:AR21"/>
    <mergeCell ref="AI16:AI18"/>
    <mergeCell ref="AJ16:AJ18"/>
    <mergeCell ref="AK16:AK18"/>
    <mergeCell ref="AI19:AI21"/>
    <mergeCell ref="AJ19:AJ2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BD97409C84EB74B9E0A434FAC9CF606" ma:contentTypeVersion="13" ma:contentTypeDescription="Criar um novo documento." ma:contentTypeScope="" ma:versionID="635ae3fbb06b73df03a4614a609d2c77">
  <xsd:schema xmlns:xsd="http://www.w3.org/2001/XMLSchema" xmlns:xs="http://www.w3.org/2001/XMLSchema" xmlns:p="http://schemas.microsoft.com/office/2006/metadata/properties" xmlns:ns3="fc22f683-6241-4b99-8140-884ae5c93c6e" xmlns:ns4="cf93e9ce-fec8-407f-ad43-e34cd9cabd42" targetNamespace="http://schemas.microsoft.com/office/2006/metadata/properties" ma:root="true" ma:fieldsID="78aa32815ca335abc01bf7367c030261" ns3:_="" ns4:_="">
    <xsd:import namespace="fc22f683-6241-4b99-8140-884ae5c93c6e"/>
    <xsd:import namespace="cf93e9ce-fec8-407f-ad43-e34cd9cabd4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MediaServiceDateTaken" minOccurs="0"/>
                <xsd:element ref="ns4:MediaLengthInSecond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22f683-6241-4b99-8140-884ae5c93c6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Partilhado Com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Sugestão de Partilha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93e9ce-fec8-407f-ad43-e34cd9cabd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5CA16D-7175-479F-98F1-08B6499FFB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22f683-6241-4b99-8140-884ae5c93c6e"/>
    <ds:schemaRef ds:uri="cf93e9ce-fec8-407f-ad43-e34cd9cabd4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0B43E5B-744B-47FB-999A-6572DF29867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A22627A-EF93-42FD-9405-FB0F494E04D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6</vt:i4>
      </vt:variant>
    </vt:vector>
  </HeadingPairs>
  <TitlesOfParts>
    <vt:vector size="6" baseType="lpstr">
      <vt:lpstr>READ ME</vt:lpstr>
      <vt:lpstr>Rhizosediments</vt:lpstr>
      <vt:lpstr>Sediments non vegetated</vt:lpstr>
      <vt:lpstr>Plant shoots</vt:lpstr>
      <vt:lpstr>Plant roots</vt:lpstr>
      <vt:lpstr>Plant rhizomes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Patrícia Cunha</dc:creator>
  <cp:keywords/>
  <dc:description/>
  <cp:lastModifiedBy>Marisa Almeida</cp:lastModifiedBy>
  <cp:revision/>
  <dcterms:created xsi:type="dcterms:W3CDTF">2022-03-15T11:22:10Z</dcterms:created>
  <dcterms:modified xsi:type="dcterms:W3CDTF">2025-10-10T09:18:17Z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0x0101002BD97409C84EB74B9E0A434FAC9CF606</vt:lpwstr>
  </property>
</Properties>
</file>