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its\LoRAforAQ-Paper\MDPI Journal\Dataset\"/>
    </mc:Choice>
  </mc:AlternateContent>
  <bookViews>
    <workbookView xWindow="0" yWindow="0" windowWidth="28800" windowHeight="12450"/>
  </bookViews>
  <sheets>
    <sheet name="Air time" sheetId="1" r:id="rId1"/>
    <sheet name="Data Rates" sheetId="2" r:id="rId2"/>
  </sheets>
  <calcPr calcId="162913"/>
  <fileRecoveryPr repairLoad="1"/>
</workbook>
</file>

<file path=xl/calcChain.xml><?xml version="1.0" encoding="utf-8"?>
<calcChain xmlns="http://schemas.openxmlformats.org/spreadsheetml/2006/main">
  <c r="C12" i="2" l="1"/>
  <c r="G3" i="2" s="1"/>
  <c r="H3" i="2" s="1"/>
  <c r="E8" i="2"/>
  <c r="E7" i="2"/>
  <c r="E6" i="2"/>
  <c r="E5" i="2"/>
  <c r="E4" i="2"/>
  <c r="E3" i="2"/>
  <c r="G7" i="2" l="1"/>
  <c r="H7" i="2" s="1"/>
  <c r="G8" i="2"/>
  <c r="H8" i="2" s="1"/>
  <c r="G6" i="2"/>
  <c r="H6" i="2" s="1"/>
  <c r="G4" i="2"/>
  <c r="H4" i="2" s="1"/>
  <c r="G5" i="2"/>
  <c r="H5" i="2" s="1"/>
  <c r="I17" i="1" l="1"/>
  <c r="H17" i="1"/>
  <c r="G17" i="1"/>
  <c r="F17" i="1"/>
  <c r="E17" i="1"/>
  <c r="D17" i="1"/>
  <c r="C17" i="1"/>
  <c r="B9" i="1"/>
  <c r="C16" i="1"/>
  <c r="B11" i="1"/>
  <c r="F20" i="1" l="1"/>
  <c r="G20" i="1"/>
  <c r="I20" i="1"/>
  <c r="D20" i="1"/>
  <c r="E20" i="1"/>
  <c r="H20" i="1"/>
  <c r="H21" i="1" s="1"/>
  <c r="C20" i="1"/>
  <c r="I18" i="1"/>
  <c r="I19" i="1" s="1"/>
  <c r="H18" i="1"/>
  <c r="H19" i="1" s="1"/>
  <c r="E18" i="1"/>
  <c r="D18" i="1"/>
  <c r="F18" i="1"/>
  <c r="F19" i="1" s="1"/>
  <c r="G18" i="1"/>
  <c r="G19" i="1" s="1"/>
  <c r="C18" i="1"/>
  <c r="D19" i="1"/>
  <c r="D21" i="1" l="1"/>
  <c r="D22" i="1" s="1"/>
  <c r="E21" i="1"/>
  <c r="C21" i="1"/>
  <c r="I21" i="1"/>
  <c r="I22" i="1" s="1"/>
  <c r="I23" i="1" s="1"/>
  <c r="G21" i="1"/>
  <c r="G22" i="1" s="1"/>
  <c r="G23" i="1" s="1"/>
  <c r="F21" i="1"/>
  <c r="F22" i="1" s="1"/>
  <c r="F23" i="1" s="1"/>
  <c r="E19" i="1"/>
  <c r="C19" i="1"/>
  <c r="H22" i="1"/>
  <c r="H23" i="1" s="1"/>
  <c r="E22" i="1" l="1"/>
  <c r="E23" i="1" s="1"/>
  <c r="D29" i="1"/>
  <c r="D23" i="1"/>
  <c r="C22" i="1"/>
  <c r="C28" i="1" s="1"/>
  <c r="G29" i="1"/>
  <c r="G24" i="1"/>
  <c r="G28" i="1"/>
  <c r="G27" i="1"/>
  <c r="D27" i="1"/>
  <c r="D24" i="1"/>
  <c r="D28" i="1"/>
  <c r="H28" i="1"/>
  <c r="H29" i="1"/>
  <c r="H24" i="1"/>
  <c r="H27" i="1"/>
  <c r="F24" i="1"/>
  <c r="F27" i="1"/>
  <c r="F28" i="1"/>
  <c r="F29" i="1"/>
  <c r="I29" i="1"/>
  <c r="I24" i="1"/>
  <c r="I28" i="1"/>
  <c r="I27" i="1"/>
  <c r="E28" i="1" l="1"/>
  <c r="E29" i="1"/>
  <c r="E27" i="1"/>
  <c r="E24" i="1"/>
  <c r="C29" i="1"/>
  <c r="C27" i="1"/>
</calcChain>
</file>

<file path=xl/comments1.xml><?xml version="1.0" encoding="utf-8"?>
<comments xmlns="http://schemas.openxmlformats.org/spreadsheetml/2006/main">
  <authors>
    <author/>
  </authors>
  <commentList>
    <comment ref="C15" authorId="0" shapeId="0">
      <text>
        <r>
          <rPr>
            <sz val="10"/>
            <color rgb="FF000000"/>
            <rFont val="Arial"/>
          </rPr>
          <t>Part of LoRa, but not used in LoRaWAN</t>
        </r>
      </text>
    </comment>
    <comment ref="A23" authorId="0" shapeId="0">
      <text>
        <r>
          <rPr>
            <sz val="10"/>
            <color rgb="FF000000"/>
            <rFont val="Arial"/>
          </rPr>
          <t>https://forum.thethingsnetwork.org/t/limitations-data-rate-packet-size-30-seconds-day-fair-access-policy-nodes-per-gateway/1300</t>
        </r>
      </text>
    </comment>
  </commentList>
</comments>
</file>

<file path=xl/sharedStrings.xml><?xml version="1.0" encoding="utf-8"?>
<sst xmlns="http://schemas.openxmlformats.org/spreadsheetml/2006/main" count="82" uniqueCount="78">
  <si>
    <t>Formulas taken from AN1200.13 (LoRa Modem Designers Guide)</t>
  </si>
  <si>
    <t>http://www.semtech.com/images/datasheet/LoraDesignGuide_STD.pdf</t>
  </si>
  <si>
    <t>No warranty of correctness!</t>
  </si>
  <si>
    <t>Please do not request write access; instead, save a copy of this sheet to allow for changing the input values (menu File » Make a copy, or File » Download as).</t>
  </si>
  <si>
    <t>Input</t>
  </si>
  <si>
    <t>Application payload size</t>
  </si>
  <si>
    <t>For LoRaWAN: maximum around 51 for low data rates (SF12), up to about 222 bytes for best conditions (SF7).</t>
  </si>
  <si>
    <t>LoRaWAN header size</t>
  </si>
  <si>
    <t>For LoRaWAN: at least 13 bytes for header for regular uplinks, or a total of 23 bytes for a Join Request without any application payload</t>
  </si>
  <si>
    <t>Explicit header</t>
  </si>
  <si>
    <t>yes</t>
  </si>
  <si>
    <t>Low DR optimize</t>
  </si>
  <si>
    <t>See row 16</t>
  </si>
  <si>
    <t>auto</t>
  </si>
  <si>
    <t>Auto for LoRaWAN: correct for clock drift at low data rates; auto = enable for SF11..12 on 125kHz only, yes = enable for all.</t>
  </si>
  <si>
    <t>Coding rate</t>
  </si>
  <si>
    <t>4 / 5</t>
  </si>
  <si>
    <t>4/5 - 4/8. This is the error correction coding. Higher values mean more overhead.</t>
  </si>
  <si>
    <t>Preamble symbols</t>
  </si>
  <si>
    <t>8 for all regions defined in LoRaWAN 1.0, can be different using plain LoRa.</t>
  </si>
  <si>
    <t>Bandwidth</t>
  </si>
  <si>
    <t>Typically 125, sometimes 250 or 500</t>
  </si>
  <si>
    <t>Output</t>
  </si>
  <si>
    <t>SF6</t>
  </si>
  <si>
    <t>SF7</t>
  </si>
  <si>
    <t>SF8</t>
  </si>
  <si>
    <t>SF9</t>
  </si>
  <si>
    <t>SF10</t>
  </si>
  <si>
    <t>SF11</t>
  </si>
  <si>
    <t>SF12</t>
  </si>
  <si>
    <t>spreading factor; higher means more range and better reception, but also more airtime</t>
  </si>
  <si>
    <t>SF</t>
  </si>
  <si>
    <t>DE, see http://forum.thethingsnetwork.org/t/spreadsheet-for-lora-airtime-calculation/1190/15</t>
  </si>
  <si>
    <t>Tsym</t>
  </si>
  <si>
    <t>ms</t>
  </si>
  <si>
    <t>Tpreamble</t>
  </si>
  <si>
    <t>payloadSymbNb</t>
  </si>
  <si>
    <t>number of symbols</t>
  </si>
  <si>
    <t>Tpayload</t>
  </si>
  <si>
    <t>Tpacket</t>
  </si>
  <si>
    <t>ms total airtime to send the full packet</t>
  </si>
  <si>
    <t>TTN Fair Access Policy</t>
  </si>
  <si>
    <t>average messages/day for maximum of 30 seconds airtime on The Things Network</t>
  </si>
  <si>
    <t>average messages/hour when sending all day</t>
  </si>
  <si>
    <t>Duty cycle</t>
  </si>
  <si>
    <r>
      <t xml:space="preserve">Time between packet subsequent starts </t>
    </r>
    <r>
      <rPr>
        <i/>
        <sz val="10"/>
        <rFont val="Arial"/>
        <family val="2"/>
      </rPr>
      <t>in the same subband</t>
    </r>
  </si>
  <si>
    <t>s</t>
  </si>
  <si>
    <t>For discussion see:</t>
  </si>
  <si>
    <t>https://forum.thethingsnetwork.org/t/spreadsheet-for-lora-airtime-calculation/1190</t>
  </si>
  <si>
    <t>For duty cycle see:</t>
  </si>
  <si>
    <t>https://www.thethingsnetwork.org/forum/t/duty-cycle-time-on-air/122/27</t>
  </si>
  <si>
    <t>For fair access policy see:</t>
  </si>
  <si>
    <t>https://forum.thethingsnetwork.org/t/limitations-data-rate-packet-size-30-seconds-day-fair-access-policy-nodes-per-gateway/1300</t>
  </si>
  <si>
    <t>https://www.rs-online.com/designspark/rel-assets/ds-assets/uploads/knowledge-items/application-notes-for-the-internet-of-things/LoRaWAN%20Specification%201R0.pdf</t>
  </si>
  <si>
    <t>Data Rate</t>
  </si>
  <si>
    <t>Configuration</t>
  </si>
  <si>
    <t>bits/s </t>
  </si>
  <si>
    <t>Max MAC payload</t>
  </si>
  <si>
    <t>Max Application Payload</t>
  </si>
  <si>
    <t>Time per message (ms)</t>
  </si>
  <si>
    <t>Messages / hour</t>
  </si>
  <si>
    <t>Application bytes per hour</t>
  </si>
  <si>
    <t>DR0</t>
  </si>
  <si>
    <t>SF12/125kHz</t>
  </si>
  <si>
    <t>DR1</t>
  </si>
  <si>
    <t>SF11/125kHz</t>
  </si>
  <si>
    <t>DR2</t>
  </si>
  <si>
    <t>SF10/125kHz</t>
  </si>
  <si>
    <t>DR3</t>
  </si>
  <si>
    <t>SF9/125kHz</t>
  </si>
  <si>
    <t>DR4</t>
  </si>
  <si>
    <t>SF8/125kHz</t>
  </si>
  <si>
    <t>DR5</t>
  </si>
  <si>
    <t>SF7/125kHz</t>
  </si>
  <si>
    <t>Duty Cycle</t>
  </si>
  <si>
    <t>Seconds of transmit/ hour</t>
  </si>
  <si>
    <t>calcuated (air time sheet)</t>
  </si>
  <si>
    <t>Original https://docs.google.com/spreadsheets/d/1QvcKsGeTTPpr9icj4XkKXq4r2zTc2j0gsHLrnplzM3I/edit#gid=0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</si>
</sst>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&quot; bytes&quot;"/>
    <numFmt numFmtId="165" formatCode="0&quot;kHz&quot;"/>
    <numFmt numFmtId="166" formatCode="0.0"/>
    <numFmt numFmtId="167" formatCode="0.000"/>
  </numFmts>
  <fonts count="17">
    <font>
      <sz val="10"/>
      <color rgb="FF000000"/>
      <name val="Arial"/>
    </font>
    <font>
      <sz val="10"/>
      <name val="Arial"/>
      <family val="2"/>
    </font>
    <font>
      <u/>
      <sz val="10"/>
      <color rgb="FF0000FF"/>
      <name val="Arial"/>
      <family val="2"/>
    </font>
    <font>
      <b/>
      <sz val="12"/>
      <color rgb="FFFF000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0"/>
      <color rgb="FFB7B7B7"/>
      <name val="Arial"/>
      <family val="2"/>
    </font>
    <font>
      <sz val="10"/>
      <color rgb="FFB7B7B7"/>
      <name val="Arial"/>
      <family val="2"/>
    </font>
    <font>
      <u/>
      <sz val="10"/>
      <color rgb="FF0000FF"/>
      <name val="Arial"/>
      <family val="2"/>
    </font>
    <font>
      <i/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rgb="FF000000"/>
      <name val="Arial"/>
      <family val="2"/>
    </font>
    <font>
      <b/>
      <sz val="11"/>
      <color theme="1"/>
      <name val="&amp;quot"/>
    </font>
    <font>
      <sz val="11"/>
      <color theme="1"/>
      <name val="&amp;quot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9" fontId="12" fillId="0" borderId="0" applyFont="0" applyFill="0" applyBorder="0" applyAlignment="0" applyProtection="0"/>
    <xf numFmtId="0" fontId="13" fillId="2" borderId="0" applyNumberFormat="0" applyBorder="0" applyAlignment="0" applyProtection="0"/>
  </cellStyleXfs>
  <cellXfs count="3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right"/>
    </xf>
    <xf numFmtId="164" fontId="5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7" fillId="0" borderId="0" xfId="0" applyFont="1"/>
    <xf numFmtId="0" fontId="7" fillId="0" borderId="0" xfId="0" applyFont="1" applyAlignment="1"/>
    <xf numFmtId="0" fontId="5" fillId="0" borderId="0" xfId="0" applyFont="1"/>
    <xf numFmtId="0" fontId="4" fillId="0" borderId="0" xfId="0" applyFont="1" applyAlignment="1">
      <alignment horizontal="right"/>
    </xf>
    <xf numFmtId="166" fontId="7" fillId="0" borderId="0" xfId="0" applyNumberFormat="1" applyFont="1" applyAlignment="1"/>
    <xf numFmtId="166" fontId="5" fillId="0" borderId="0" xfId="0" applyNumberFormat="1" applyFont="1" applyAlignment="1"/>
    <xf numFmtId="10" fontId="1" fillId="0" borderId="0" xfId="0" applyNumberFormat="1" applyFont="1" applyAlignment="1"/>
    <xf numFmtId="167" fontId="7" fillId="0" borderId="0" xfId="0" applyNumberFormat="1" applyFont="1"/>
    <xf numFmtId="167" fontId="1" fillId="0" borderId="0" xfId="0" applyNumberFormat="1" applyFont="1"/>
    <xf numFmtId="9" fontId="1" fillId="0" borderId="0" xfId="0" applyNumberFormat="1" applyFont="1" applyAlignment="1"/>
    <xf numFmtId="0" fontId="8" fillId="0" borderId="0" xfId="0" applyFont="1" applyAlignment="1"/>
    <xf numFmtId="0" fontId="14" fillId="0" borderId="0" xfId="0" applyFont="1" applyAlignment="1"/>
    <xf numFmtId="0" fontId="0" fillId="0" borderId="0" xfId="0"/>
    <xf numFmtId="0" fontId="10" fillId="0" borderId="0" xfId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left" vertical="center" wrapText="1"/>
    </xf>
    <xf numFmtId="0" fontId="13" fillId="2" borderId="0" xfId="3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3" fillId="2" borderId="0" xfId="3"/>
    <xf numFmtId="3" fontId="0" fillId="0" borderId="0" xfId="0" applyNumberFormat="1" applyFont="1"/>
    <xf numFmtId="9" fontId="0" fillId="0" borderId="0" xfId="2" applyFont="1"/>
    <xf numFmtId="0" fontId="16" fillId="0" borderId="0" xfId="0" applyFont="1" applyAlignment="1">
      <alignment horizontal="center" vertical="center" wrapText="1"/>
    </xf>
    <xf numFmtId="0" fontId="0" fillId="0" borderId="0" xfId="0" applyAlignment="1"/>
    <xf numFmtId="0" fontId="11" fillId="0" borderId="0" xfId="0" applyFont="1" applyAlignment="1"/>
  </cellXfs>
  <cellStyles count="4">
    <cellStyle name="Good" xfId="3" builtinId="26"/>
    <cellStyle name="Hyperlink" xfId="1" builtinId="8"/>
    <cellStyle name="Normal" xfId="0" builtinId="0"/>
    <cellStyle name="Percent" xfId="2" builtinId="5"/>
  </cellStyles>
  <dxfs count="4">
    <dxf>
      <font>
        <b/>
        <color rgb="FFFF0000"/>
      </font>
      <fill>
        <patternFill patternType="none"/>
      </fill>
    </dxf>
    <dxf>
      <font>
        <b/>
        <color rgb="FFFF0000"/>
      </font>
      <fill>
        <patternFill patternType="none"/>
      </fill>
    </dxf>
    <dxf>
      <font>
        <b/>
        <color rgb="FFFF0000"/>
      </font>
      <fill>
        <patternFill patternType="none"/>
      </fill>
    </dxf>
    <dxf>
      <font>
        <b/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hethingsnetwork.org/forum/t/duty-cycle-time-on-air/122/27" TargetMode="External"/><Relationship Id="rId2" Type="http://schemas.openxmlformats.org/officeDocument/2006/relationships/hyperlink" Target="https://forum.thethingsnetwork.org/t/spreadsheet-for-lora-airtime-calculation/1190" TargetMode="External"/><Relationship Id="rId1" Type="http://schemas.openxmlformats.org/officeDocument/2006/relationships/hyperlink" Target="http://www.semtech.com/images/datasheet/LoraDesignGuide_STD.pdf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hyperlink" Target="https://forum.thethingsnetwork.org/t/limitations-data-rate-packet-size-30-seconds-day-fair-access-policy-nodes-per-gateway/130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s-online.com/designspark/rel-assets/ds-assets/uploads/knowledge-items/application-notes-for-the-internet-of-things/LoRaWAN%20Specification%201R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J33"/>
  <sheetViews>
    <sheetView tabSelected="1" workbookViewId="0">
      <selection activeCell="A6" sqref="A6"/>
    </sheetView>
  </sheetViews>
  <sheetFormatPr defaultColWidth="14.42578125" defaultRowHeight="15.75" customHeight="1"/>
  <cols>
    <col min="1" max="1" width="23.5703125" customWidth="1"/>
    <col min="2" max="2" width="30.7109375" hidden="1" customWidth="1"/>
    <col min="3" max="9" width="10" customWidth="1"/>
  </cols>
  <sheetData>
    <row r="1" spans="1:10" ht="12.75">
      <c r="A1" s="1" t="s">
        <v>0</v>
      </c>
      <c r="B1" s="1"/>
      <c r="C1" s="1"/>
    </row>
    <row r="2" spans="1:10" ht="12.75">
      <c r="A2" s="2" t="s">
        <v>1</v>
      </c>
      <c r="B2" s="1"/>
      <c r="C2" s="1"/>
    </row>
    <row r="3" spans="1:10" ht="12.75">
      <c r="A3" s="1" t="s">
        <v>2</v>
      </c>
      <c r="B3" s="1"/>
      <c r="C3" s="1"/>
    </row>
    <row r="4" spans="1:10">
      <c r="A4" s="3" t="s">
        <v>3</v>
      </c>
      <c r="B4" s="4"/>
      <c r="C4" s="1"/>
    </row>
    <row r="5" spans="1:10" ht="12.75">
      <c r="A5" s="4" t="s">
        <v>77</v>
      </c>
      <c r="B5" s="4"/>
      <c r="C5" s="1"/>
    </row>
    <row r="6" spans="1:10" ht="12.75">
      <c r="A6" s="5" t="s">
        <v>4</v>
      </c>
      <c r="B6" s="4"/>
      <c r="C6" s="1"/>
    </row>
    <row r="7" spans="1:10" ht="12.75">
      <c r="A7" s="6" t="s">
        <v>5</v>
      </c>
      <c r="B7" s="5"/>
      <c r="C7" s="7">
        <v>222</v>
      </c>
      <c r="D7" s="1" t="s">
        <v>6</v>
      </c>
    </row>
    <row r="8" spans="1:10" ht="12.75">
      <c r="A8" s="8" t="s">
        <v>7</v>
      </c>
      <c r="B8" s="1"/>
      <c r="C8" s="9">
        <v>13</v>
      </c>
      <c r="D8" s="1" t="s">
        <v>8</v>
      </c>
    </row>
    <row r="9" spans="1:10" ht="12.75">
      <c r="A9" s="8" t="s">
        <v>9</v>
      </c>
      <c r="B9" s="1">
        <f>IF(C9="yes",1,0)</f>
        <v>1</v>
      </c>
      <c r="C9" s="8" t="s">
        <v>10</v>
      </c>
      <c r="D9" s="1">
        <v>1</v>
      </c>
    </row>
    <row r="10" spans="1:10" ht="12.75">
      <c r="A10" s="8" t="s">
        <v>11</v>
      </c>
      <c r="B10" s="1" t="s">
        <v>12</v>
      </c>
      <c r="C10" s="8" t="s">
        <v>13</v>
      </c>
      <c r="D10" s="1" t="s">
        <v>14</v>
      </c>
    </row>
    <row r="11" spans="1:10" ht="12.75">
      <c r="A11" s="8" t="s">
        <v>15</v>
      </c>
      <c r="B11" s="1" t="str">
        <f ca="1">IFERROR(__xludf.DUMMYFUNCTION("regexreplace(C11,""^4 / "","""")"),"5")</f>
        <v>5</v>
      </c>
      <c r="C11" s="8" t="s">
        <v>16</v>
      </c>
      <c r="D11" s="1" t="s">
        <v>17</v>
      </c>
    </row>
    <row r="12" spans="1:10" ht="12.75">
      <c r="A12" s="8" t="s">
        <v>18</v>
      </c>
      <c r="B12" s="1"/>
      <c r="C12" s="8">
        <v>8</v>
      </c>
      <c r="D12" s="1" t="s">
        <v>19</v>
      </c>
    </row>
    <row r="13" spans="1:10" ht="12.75">
      <c r="A13" s="8" t="s">
        <v>20</v>
      </c>
      <c r="B13" s="1"/>
      <c r="C13" s="10">
        <v>125</v>
      </c>
      <c r="D13" s="1" t="s">
        <v>21</v>
      </c>
      <c r="E13" s="1"/>
    </row>
    <row r="15" spans="1:10" ht="12.75">
      <c r="A15" s="5" t="s">
        <v>22</v>
      </c>
      <c r="B15" s="4"/>
      <c r="C15" s="11" t="s">
        <v>23</v>
      </c>
      <c r="D15" s="6" t="s">
        <v>24</v>
      </c>
      <c r="E15" s="6" t="s">
        <v>25</v>
      </c>
      <c r="F15" s="6" t="s">
        <v>26</v>
      </c>
      <c r="G15" s="6" t="s">
        <v>27</v>
      </c>
      <c r="H15" s="6" t="s">
        <v>28</v>
      </c>
      <c r="I15" s="6" t="s">
        <v>29</v>
      </c>
      <c r="J15" s="5" t="s">
        <v>30</v>
      </c>
    </row>
    <row r="16" spans="1:10" ht="12.75">
      <c r="A16" s="1" t="s">
        <v>31</v>
      </c>
      <c r="C16" s="12" t="str">
        <f t="shared" ref="C16:I16" ca="1" si="0">IFERROR(__xludf.DUMMYFUNCTION("regexreplace(C15,""^SF"","""")"),"6")</f>
        <v>6</v>
      </c>
      <c r="D16">
        <v>7</v>
      </c>
      <c r="E16">
        <v>8</v>
      </c>
      <c r="F16">
        <v>9</v>
      </c>
      <c r="G16">
        <v>10</v>
      </c>
      <c r="H16">
        <v>11</v>
      </c>
      <c r="I16">
        <v>12</v>
      </c>
      <c r="J16" s="1"/>
    </row>
    <row r="17" spans="1:10" ht="12.75">
      <c r="A17" s="1" t="s">
        <v>32</v>
      </c>
      <c r="C17" s="12">
        <f t="shared" ref="C17:G17" si="1">IF(AND($C$10="auto", $C$13=125),0,IF($C$10="yes",1,0))</f>
        <v>0</v>
      </c>
      <c r="D17" s="12">
        <f t="shared" si="1"/>
        <v>0</v>
      </c>
      <c r="E17" s="12">
        <f t="shared" si="1"/>
        <v>0</v>
      </c>
      <c r="F17" s="12">
        <f t="shared" si="1"/>
        <v>0</v>
      </c>
      <c r="G17" s="12">
        <f t="shared" si="1"/>
        <v>0</v>
      </c>
      <c r="H17" s="12">
        <f t="shared" ref="H17:I17" si="2">IF(AND($C$10="auto", $C$13=125),1,IF($C$10="yes",1,0))</f>
        <v>1</v>
      </c>
      <c r="I17" s="12">
        <f t="shared" si="2"/>
        <v>1</v>
      </c>
      <c r="J17" s="1"/>
    </row>
    <row r="18" spans="1:10" ht="12.75">
      <c r="A18" s="8" t="s">
        <v>33</v>
      </c>
      <c r="B18" s="1"/>
      <c r="C18" s="12">
        <f ca="1">POWER(2, C16) / ($C$13 * 1000) * 1000</f>
        <v>0.51200000000000001</v>
      </c>
      <c r="D18" s="12">
        <f t="shared" ref="D18:I18" si="3">POWER(2, D16) / ($C$13 * 1000) * 1000</f>
        <v>1.024</v>
      </c>
      <c r="E18" s="12">
        <f t="shared" si="3"/>
        <v>2.048</v>
      </c>
      <c r="F18" s="12">
        <f t="shared" si="3"/>
        <v>4.0960000000000001</v>
      </c>
      <c r="G18" s="12">
        <f t="shared" si="3"/>
        <v>8.1920000000000002</v>
      </c>
      <c r="H18" s="12">
        <f t="shared" si="3"/>
        <v>16.384</v>
      </c>
      <c r="I18" s="12">
        <f t="shared" si="3"/>
        <v>32.768000000000001</v>
      </c>
      <c r="J18" s="13" t="s">
        <v>34</v>
      </c>
    </row>
    <row r="19" spans="1:10" ht="12.75">
      <c r="A19" s="8" t="s">
        <v>35</v>
      </c>
      <c r="B19" s="1"/>
      <c r="C19" s="12">
        <f t="shared" ref="C19:I19" ca="1" si="4">($C$12+4.25)*C18</f>
        <v>6.2720000000000002</v>
      </c>
      <c r="D19" s="12">
        <f t="shared" si="4"/>
        <v>12.544</v>
      </c>
      <c r="E19" s="12">
        <f t="shared" si="4"/>
        <v>25.088000000000001</v>
      </c>
      <c r="F19" s="12">
        <f t="shared" si="4"/>
        <v>50.176000000000002</v>
      </c>
      <c r="G19" s="12">
        <f t="shared" si="4"/>
        <v>100.352</v>
      </c>
      <c r="H19" s="12">
        <f t="shared" si="4"/>
        <v>200.70400000000001</v>
      </c>
      <c r="I19" s="12">
        <f t="shared" si="4"/>
        <v>401.40800000000002</v>
      </c>
      <c r="J19" s="13" t="s">
        <v>34</v>
      </c>
    </row>
    <row r="20" spans="1:10" ht="14.25">
      <c r="A20" s="8" t="s">
        <v>36</v>
      </c>
      <c r="B20" s="1"/>
      <c r="C20" s="23">
        <f ca="1">8+(MAX(CEILING((8*($C$7+$C$8)-4*C16+28+16-20*(1-$B$9))/(4*(C16-2*C17)),1)*($B$11),0))</f>
        <v>408</v>
      </c>
      <c r="D20" s="23">
        <f t="shared" ref="D20:I20" ca="1" si="5">8+(MAX(CEILING((8*($C$7+$C$8)-4*D16+28+16-20*(1-$B$9))/(4*(D16-2*D17)),1)*($B$11),0))</f>
        <v>348</v>
      </c>
      <c r="E20" s="23">
        <f t="shared" ca="1" si="5"/>
        <v>308</v>
      </c>
      <c r="F20" s="23">
        <f t="shared" ca="1" si="5"/>
        <v>273</v>
      </c>
      <c r="G20" s="23">
        <f t="shared" ca="1" si="5"/>
        <v>248</v>
      </c>
      <c r="H20" s="23">
        <f t="shared" ca="1" si="5"/>
        <v>273</v>
      </c>
      <c r="I20" s="23">
        <f t="shared" ca="1" si="5"/>
        <v>243</v>
      </c>
      <c r="J20" s="13" t="s">
        <v>37</v>
      </c>
    </row>
    <row r="21" spans="1:10" ht="12.75">
      <c r="A21" s="8" t="s">
        <v>38</v>
      </c>
      <c r="B21" s="1"/>
      <c r="C21" s="12">
        <f t="shared" ref="C21:I21" ca="1" si="6">C20*C18</f>
        <v>208.89600000000002</v>
      </c>
      <c r="D21" s="12">
        <f t="shared" ca="1" si="6"/>
        <v>356.35200000000003</v>
      </c>
      <c r="E21" s="12">
        <f t="shared" ca="1" si="6"/>
        <v>630.78399999999999</v>
      </c>
      <c r="F21" s="12">
        <f t="shared" ca="1" si="6"/>
        <v>1118.2080000000001</v>
      </c>
      <c r="G21" s="12">
        <f t="shared" ca="1" si="6"/>
        <v>2031.616</v>
      </c>
      <c r="H21" s="12">
        <f t="shared" ca="1" si="6"/>
        <v>4472.8320000000003</v>
      </c>
      <c r="I21" s="12">
        <f t="shared" ca="1" si="6"/>
        <v>7962.6239999999998</v>
      </c>
      <c r="J21" s="13" t="s">
        <v>34</v>
      </c>
    </row>
    <row r="22" spans="1:10" ht="12.75">
      <c r="A22" s="6" t="s">
        <v>39</v>
      </c>
      <c r="B22" s="1"/>
      <c r="C22" s="12">
        <f t="shared" ref="C22:I22" ca="1" si="7">C19+C21</f>
        <v>215.16800000000001</v>
      </c>
      <c r="D22" s="14">
        <f t="shared" ca="1" si="7"/>
        <v>368.89600000000002</v>
      </c>
      <c r="E22" s="14">
        <f t="shared" ca="1" si="7"/>
        <v>655.87199999999996</v>
      </c>
      <c r="F22" s="14">
        <f t="shared" ca="1" si="7"/>
        <v>1168.384</v>
      </c>
      <c r="G22" s="14">
        <f t="shared" ca="1" si="7"/>
        <v>2131.9679999999998</v>
      </c>
      <c r="H22" s="14">
        <f t="shared" ca="1" si="7"/>
        <v>4673.5360000000001</v>
      </c>
      <c r="I22" s="14">
        <f t="shared" ca="1" si="7"/>
        <v>8364.0319999999992</v>
      </c>
      <c r="J22" s="5" t="s">
        <v>40</v>
      </c>
    </row>
    <row r="23" spans="1:10" ht="12.75">
      <c r="A23" s="6" t="s">
        <v>41</v>
      </c>
      <c r="C23" s="13"/>
      <c r="D23" s="5">
        <f ca="1">FLOOR(30000/D22,1)</f>
        <v>81</v>
      </c>
      <c r="E23" s="5">
        <f t="shared" ref="E23:I23" ca="1" si="8">FLOOR(30000/E22,1)</f>
        <v>45</v>
      </c>
      <c r="F23" s="5">
        <f t="shared" ca="1" si="8"/>
        <v>25</v>
      </c>
      <c r="G23" s="5">
        <f t="shared" ca="1" si="8"/>
        <v>14</v>
      </c>
      <c r="H23" s="5">
        <f t="shared" ca="1" si="8"/>
        <v>6</v>
      </c>
      <c r="I23" s="5">
        <f t="shared" ca="1" si="8"/>
        <v>3</v>
      </c>
      <c r="J23" s="5" t="s">
        <v>42</v>
      </c>
    </row>
    <row r="24" spans="1:10" ht="12.75">
      <c r="A24" s="15"/>
      <c r="B24" s="4"/>
      <c r="C24" s="16"/>
      <c r="D24" s="17">
        <f t="shared" ref="D24:I24" ca="1" si="9">30000/24/D22</f>
        <v>3.3884888965995836</v>
      </c>
      <c r="E24" s="17">
        <f t="shared" ca="1" si="9"/>
        <v>1.9058596799375489</v>
      </c>
      <c r="F24" s="17">
        <f t="shared" ca="1" si="9"/>
        <v>1.0698537467134093</v>
      </c>
      <c r="G24" s="17">
        <f t="shared" ca="1" si="9"/>
        <v>0.58631274015369839</v>
      </c>
      <c r="H24" s="17">
        <f t="shared" ca="1" si="9"/>
        <v>0.26746343667835232</v>
      </c>
      <c r="I24" s="17">
        <f t="shared" ca="1" si="9"/>
        <v>0.14944945213026445</v>
      </c>
      <c r="J24" s="5" t="s">
        <v>43</v>
      </c>
    </row>
    <row r="25" spans="1:10" ht="12.75">
      <c r="A25" s="4"/>
      <c r="B25" s="4"/>
      <c r="C25" s="4"/>
      <c r="D25" s="4"/>
      <c r="E25" s="4"/>
      <c r="F25" s="4"/>
      <c r="G25" s="4"/>
      <c r="H25" s="4"/>
      <c r="I25" s="4"/>
    </row>
    <row r="26" spans="1:10" ht="12.75">
      <c r="A26" s="4" t="s">
        <v>44</v>
      </c>
      <c r="B26" s="4"/>
      <c r="C26" s="4" t="s">
        <v>45</v>
      </c>
      <c r="D26" s="4"/>
      <c r="E26" s="4"/>
      <c r="F26" s="4"/>
      <c r="G26" s="4"/>
      <c r="H26" s="4"/>
    </row>
    <row r="27" spans="1:10" ht="12.75">
      <c r="A27" s="18">
        <v>1E-3</v>
      </c>
      <c r="B27" s="18"/>
      <c r="C27" s="19">
        <f t="shared" ref="C27:I27" ca="1" si="10">C22/$A27/1000</f>
        <v>215.16800000000001</v>
      </c>
      <c r="D27" s="20">
        <f t="shared" ca="1" si="10"/>
        <v>368.89600000000002</v>
      </c>
      <c r="E27" s="20">
        <f t="shared" ca="1" si="10"/>
        <v>655.87199999999996</v>
      </c>
      <c r="F27" s="20">
        <f t="shared" ca="1" si="10"/>
        <v>1168.384</v>
      </c>
      <c r="G27" s="20">
        <f t="shared" ca="1" si="10"/>
        <v>2131.9679999999998</v>
      </c>
      <c r="H27" s="20">
        <f t="shared" ca="1" si="10"/>
        <v>4673.5360000000001</v>
      </c>
      <c r="I27" s="20">
        <f t="shared" ca="1" si="10"/>
        <v>8364.0319999999992</v>
      </c>
      <c r="J27" s="1" t="s">
        <v>46</v>
      </c>
    </row>
    <row r="28" spans="1:10" ht="12.75">
      <c r="A28" s="21">
        <v>0.01</v>
      </c>
      <c r="B28" s="21"/>
      <c r="C28" s="19">
        <f t="shared" ref="C28:I28" ca="1" si="11">C22/$A28/1000</f>
        <v>21.5168</v>
      </c>
      <c r="D28" s="20">
        <f t="shared" ca="1" si="11"/>
        <v>36.889600000000002</v>
      </c>
      <c r="E28" s="20">
        <f t="shared" ca="1" si="11"/>
        <v>65.587199999999996</v>
      </c>
      <c r="F28" s="20">
        <f t="shared" ca="1" si="11"/>
        <v>116.83839999999999</v>
      </c>
      <c r="G28" s="20">
        <f t="shared" ca="1" si="11"/>
        <v>213.1968</v>
      </c>
      <c r="H28" s="20">
        <f t="shared" ca="1" si="11"/>
        <v>467.35359999999997</v>
      </c>
      <c r="I28" s="20">
        <f t="shared" ca="1" si="11"/>
        <v>836.40319999999997</v>
      </c>
      <c r="J28" s="1" t="s">
        <v>46</v>
      </c>
    </row>
    <row r="29" spans="1:10" ht="12.75">
      <c r="A29" s="21">
        <v>0.1</v>
      </c>
      <c r="B29" s="21"/>
      <c r="C29" s="19">
        <f t="shared" ref="C29:I29" ca="1" si="12">C22/$A29/1000</f>
        <v>2.1516799999999998</v>
      </c>
      <c r="D29" s="20">
        <f t="shared" ca="1" si="12"/>
        <v>3.6889600000000002</v>
      </c>
      <c r="E29" s="20">
        <f t="shared" ca="1" si="12"/>
        <v>6.5587199999999992</v>
      </c>
      <c r="F29" s="20">
        <f t="shared" ca="1" si="12"/>
        <v>11.68384</v>
      </c>
      <c r="G29" s="20">
        <f t="shared" ca="1" si="12"/>
        <v>21.319679999999998</v>
      </c>
      <c r="H29" s="20">
        <f t="shared" ca="1" si="12"/>
        <v>46.73536</v>
      </c>
      <c r="I29" s="20">
        <f t="shared" ca="1" si="12"/>
        <v>83.640319999999988</v>
      </c>
      <c r="J29" s="1" t="s">
        <v>46</v>
      </c>
    </row>
    <row r="31" spans="1:10" ht="12.75">
      <c r="A31" s="1" t="s">
        <v>47</v>
      </c>
      <c r="B31" s="1"/>
      <c r="C31" s="2" t="s">
        <v>48</v>
      </c>
    </row>
    <row r="32" spans="1:10" ht="12.75">
      <c r="A32" s="1" t="s">
        <v>49</v>
      </c>
      <c r="C32" s="22" t="s">
        <v>50</v>
      </c>
    </row>
    <row r="33" spans="1:3" ht="12.75">
      <c r="A33" s="1" t="s">
        <v>51</v>
      </c>
      <c r="C33" s="2" t="s">
        <v>52</v>
      </c>
    </row>
  </sheetData>
  <conditionalFormatting sqref="C8">
    <cfRule type="cellIs" dxfId="3" priority="1" operator="notEqual">
      <formula>13</formula>
    </cfRule>
  </conditionalFormatting>
  <conditionalFormatting sqref="C9">
    <cfRule type="cellIs" dxfId="2" priority="2" operator="notEqual">
      <formula>"yes"</formula>
    </cfRule>
  </conditionalFormatting>
  <conditionalFormatting sqref="C10">
    <cfRule type="cellIs" dxfId="1" priority="3" operator="notEqual">
      <formula>"auto"</formula>
    </cfRule>
  </conditionalFormatting>
  <conditionalFormatting sqref="C12">
    <cfRule type="cellIs" dxfId="0" priority="4" operator="notEqual">
      <formula>8</formula>
    </cfRule>
  </conditionalFormatting>
  <dataValidations count="3">
    <dataValidation type="list" allowBlank="1" sqref="C9">
      <formula1>"yes,no"</formula1>
    </dataValidation>
    <dataValidation type="list" allowBlank="1" sqref="C11">
      <formula1>"4 / 5,4 / 6,4 / 7,4 / 8"</formula1>
    </dataValidation>
    <dataValidation type="list" allowBlank="1" sqref="C10">
      <formula1>"auto,yes,no"</formula1>
    </dataValidation>
  </dataValidations>
  <hyperlinks>
    <hyperlink ref="A2" r:id="rId1"/>
    <hyperlink ref="C31" r:id="rId2"/>
    <hyperlink ref="C32" r:id="rId3"/>
    <hyperlink ref="C33" r:id="rId4"/>
  </hyperlinks>
  <pageMargins left="0.7" right="0.7" top="0.75" bottom="0.75" header="0.3" footer="0.3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F1" sqref="F1"/>
    </sheetView>
  </sheetViews>
  <sheetFormatPr defaultRowHeight="12.75"/>
  <cols>
    <col min="1" max="1" width="12" style="24" customWidth="1"/>
    <col min="2" max="2" width="15" style="24" customWidth="1"/>
    <col min="3" max="3" width="9.140625" style="24"/>
    <col min="4" max="4" width="18.85546875" style="24" customWidth="1"/>
    <col min="5" max="5" width="24.28515625" style="24" customWidth="1"/>
    <col min="6" max="6" width="21.85546875" style="24" bestFit="1" customWidth="1"/>
    <col min="7" max="7" width="15.5703125" style="24" bestFit="1" customWidth="1"/>
    <col min="8" max="16384" width="9.140625" style="24"/>
  </cols>
  <sheetData>
    <row r="1" spans="1:8">
      <c r="C1" s="25" t="s">
        <v>53</v>
      </c>
      <c r="D1" s="26"/>
      <c r="E1" s="26"/>
      <c r="F1" s="35" t="s">
        <v>76</v>
      </c>
      <c r="G1" s="34"/>
    </row>
    <row r="2" spans="1:8" ht="15">
      <c r="A2" s="27" t="s">
        <v>54</v>
      </c>
      <c r="B2" s="27" t="s">
        <v>55</v>
      </c>
      <c r="C2" s="28" t="s">
        <v>56</v>
      </c>
      <c r="D2" s="28" t="s">
        <v>57</v>
      </c>
      <c r="E2" s="28" t="s">
        <v>58</v>
      </c>
      <c r="F2" s="24" t="s">
        <v>59</v>
      </c>
      <c r="G2" s="24" t="s">
        <v>60</v>
      </c>
      <c r="H2" s="24" t="s">
        <v>61</v>
      </c>
    </row>
    <row r="3" spans="1:8" ht="15">
      <c r="A3" s="29" t="s">
        <v>62</v>
      </c>
      <c r="B3" s="29" t="s">
        <v>63</v>
      </c>
      <c r="C3" s="28">
        <v>250</v>
      </c>
      <c r="D3" s="28">
        <v>59</v>
      </c>
      <c r="E3" s="30">
        <f>D3-8</f>
        <v>51</v>
      </c>
      <c r="F3" s="24">
        <v>2793.4720000000002</v>
      </c>
      <c r="G3" s="24">
        <f>FLOOR($C$12/(F3/1000),1)</f>
        <v>12</v>
      </c>
      <c r="H3" s="31">
        <f>G3*E3</f>
        <v>612</v>
      </c>
    </row>
    <row r="4" spans="1:8" ht="15">
      <c r="A4" s="29" t="s">
        <v>64</v>
      </c>
      <c r="B4" s="29" t="s">
        <v>65</v>
      </c>
      <c r="C4" s="28">
        <v>440</v>
      </c>
      <c r="D4" s="28">
        <v>59</v>
      </c>
      <c r="E4" s="30">
        <f t="shared" ref="E4:E8" si="0">D4-8</f>
        <v>51</v>
      </c>
      <c r="F4" s="24">
        <v>1560.576</v>
      </c>
      <c r="G4" s="24">
        <f t="shared" ref="G4:G8" si="1">FLOOR($C$12/(F4/1000),1)</f>
        <v>23</v>
      </c>
      <c r="H4" s="31">
        <f t="shared" ref="H4:H8" si="2">G4*E4</f>
        <v>1173</v>
      </c>
    </row>
    <row r="5" spans="1:8" ht="15">
      <c r="A5" s="29" t="s">
        <v>66</v>
      </c>
      <c r="B5" s="29" t="s">
        <v>67</v>
      </c>
      <c r="C5" s="28">
        <v>980</v>
      </c>
      <c r="D5" s="28">
        <v>59</v>
      </c>
      <c r="E5" s="30">
        <f t="shared" si="0"/>
        <v>51</v>
      </c>
      <c r="F5" s="24">
        <v>698.36800000000005</v>
      </c>
      <c r="G5" s="24">
        <f t="shared" si="1"/>
        <v>51</v>
      </c>
      <c r="H5" s="31">
        <f t="shared" si="2"/>
        <v>2601</v>
      </c>
    </row>
    <row r="6" spans="1:8" ht="15">
      <c r="A6" s="29" t="s">
        <v>68</v>
      </c>
      <c r="B6" s="29" t="s">
        <v>69</v>
      </c>
      <c r="C6" s="28">
        <v>1760</v>
      </c>
      <c r="D6" s="28">
        <v>123</v>
      </c>
      <c r="E6" s="30">
        <f t="shared" si="0"/>
        <v>115</v>
      </c>
      <c r="F6" s="24">
        <v>676.86400000000003</v>
      </c>
      <c r="G6" s="24">
        <f t="shared" si="1"/>
        <v>53</v>
      </c>
      <c r="H6" s="31">
        <f t="shared" si="2"/>
        <v>6095</v>
      </c>
    </row>
    <row r="7" spans="1:8" ht="15">
      <c r="A7" s="29" t="s">
        <v>70</v>
      </c>
      <c r="B7" s="29" t="s">
        <v>71</v>
      </c>
      <c r="C7" s="28">
        <v>3125</v>
      </c>
      <c r="D7" s="28">
        <v>230</v>
      </c>
      <c r="E7" s="30">
        <f t="shared" si="0"/>
        <v>222</v>
      </c>
      <c r="F7" s="24">
        <v>655.87199999999996</v>
      </c>
      <c r="G7" s="24">
        <f t="shared" si="1"/>
        <v>54</v>
      </c>
      <c r="H7" s="31">
        <f t="shared" si="2"/>
        <v>11988</v>
      </c>
    </row>
    <row r="8" spans="1:8" ht="15">
      <c r="A8" s="29" t="s">
        <v>72</v>
      </c>
      <c r="B8" s="29" t="s">
        <v>73</v>
      </c>
      <c r="C8" s="28">
        <v>5470</v>
      </c>
      <c r="D8" s="28">
        <v>230</v>
      </c>
      <c r="E8" s="30">
        <f t="shared" si="0"/>
        <v>222</v>
      </c>
      <c r="F8" s="24">
        <v>368.89600000000002</v>
      </c>
      <c r="G8" s="24">
        <f t="shared" si="1"/>
        <v>97</v>
      </c>
      <c r="H8" s="31">
        <f t="shared" si="2"/>
        <v>21534</v>
      </c>
    </row>
    <row r="11" spans="1:8" ht="14.25">
      <c r="B11" s="29" t="s">
        <v>74</v>
      </c>
      <c r="C11" s="32">
        <v>0.01</v>
      </c>
    </row>
    <row r="12" spans="1:8" ht="14.25">
      <c r="A12" s="33" t="s">
        <v>75</v>
      </c>
      <c r="B12" s="33"/>
      <c r="C12" s="24">
        <f>60*60*C11</f>
        <v>36</v>
      </c>
    </row>
  </sheetData>
  <mergeCells count="2">
    <mergeCell ref="C1:E1"/>
    <mergeCell ref="A12:B12"/>
  </mergeCells>
  <hyperlinks>
    <hyperlink ref="C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Air time</vt:lpstr>
      <vt:lpstr>Data Rates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Basford</dc:creator>
  <cp:lastModifiedBy>Philip Basford</cp:lastModifiedBy>
  <dcterms:created xsi:type="dcterms:W3CDTF">2018-11-22T17:26:16Z</dcterms:created>
  <dcterms:modified xsi:type="dcterms:W3CDTF">2018-11-22T17:26:16Z</dcterms:modified>
</cp:coreProperties>
</file>