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9"/>
  <workbookPr/>
  <mc:AlternateContent xmlns:mc="http://schemas.openxmlformats.org/markup-compatibility/2006">
    <mc:Choice Requires="x15">
      <x15ac:absPath xmlns:x15ac="http://schemas.microsoft.com/office/spreadsheetml/2010/11/ac" url="/Users/q/Documents/实验及文章/EPFL/Manuscript-nutrient availability/Re-submission/AEM submission/Revision/Final/"/>
    </mc:Choice>
  </mc:AlternateContent>
  <xr:revisionPtr revIDLastSave="0" documentId="13_ncr:1_{9846DC75-A1FD-DB4D-8ABE-D3A8B0D326B9}" xr6:coauthVersionLast="47" xr6:coauthVersionMax="47" xr10:uidLastSave="{00000000-0000-0000-0000-000000000000}"/>
  <bookViews>
    <workbookView xWindow="0" yWindow="760" windowWidth="30240" windowHeight="17280" activeTab="1" xr2:uid="{00000000-000D-0000-FFFF-FFFF00000000}"/>
  </bookViews>
  <sheets>
    <sheet name="Cover sheet" sheetId="30" r:id="rId1"/>
    <sheet name="Data Table 1" sheetId="2" r:id="rId2"/>
    <sheet name="Data Table 2" sheetId="11" r:id="rId3"/>
    <sheet name="Data Table 3" sheetId="12" r:id="rId4"/>
    <sheet name="Data Table 4" sheetId="24" r:id="rId5"/>
    <sheet name="Data Table 5" sheetId="25" r:id="rId6"/>
    <sheet name="Data Table S1" sheetId="18" r:id="rId7"/>
    <sheet name="Data Table S2" sheetId="19" r:id="rId8"/>
    <sheet name="Data Table S3" sheetId="17" r:id="rId9"/>
    <sheet name="Data Table S4" sheetId="20" r:id="rId10"/>
    <sheet name="Data Table S5" sheetId="21" r:id="rId11"/>
    <sheet name="Data Table S6" sheetId="22" r:id="rId12"/>
    <sheet name="Data Table S8" sheetId="4" r:id="rId13"/>
    <sheet name="Data Table S9" sheetId="7" r:id="rId14"/>
    <sheet name="Data Table S10" sheetId="14" r:id="rId15"/>
    <sheet name="Data Table S11" sheetId="15" r:id="rId16"/>
    <sheet name="Data Table S12" sheetId="16" r:id="rId17"/>
    <sheet name="Data Table S14" sheetId="9" r:id="rId18"/>
    <sheet name="Data Table S15" sheetId="23" r:id="rId19"/>
    <sheet name="Data Table S18" sheetId="29" r:id="rId20"/>
    <sheet name="Data Table S19" sheetId="32" r:id="rId21"/>
    <sheet name="Data Table S20" sheetId="31" r:id="rId22"/>
    <sheet name="Data Table S21" sheetId="6" r:id="rId23"/>
  </sheets>
  <definedNames>
    <definedName name="_Hlk118911472" localSheetId="14">'Data Table S10'!$B$2</definedName>
    <definedName name="_Hlk133659778" localSheetId="8">'Data Table S3'!$B$2</definedName>
    <definedName name="OLE_LINK12" localSheetId="4">'Data Table 4'!$B$4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0" i="4" l="1"/>
  <c r="D51" i="4"/>
  <c r="D52" i="4"/>
  <c r="D53" i="4"/>
  <c r="C53" i="4"/>
  <c r="C52" i="4"/>
  <c r="C51" i="4"/>
  <c r="C50" i="4"/>
  <c r="AB57" i="29"/>
  <c r="AA57" i="29"/>
  <c r="E57" i="29"/>
  <c r="AA55" i="29"/>
  <c r="Y53" i="29"/>
  <c r="W53" i="29"/>
  <c r="AB52" i="29"/>
  <c r="AA52" i="29"/>
  <c r="E52" i="29"/>
  <c r="AB37" i="29"/>
  <c r="AB59" i="29" s="1"/>
  <c r="AA37" i="29"/>
  <c r="AA59" i="29" s="1"/>
  <c r="Z37" i="29"/>
  <c r="Z59" i="29" s="1"/>
  <c r="Y37" i="29"/>
  <c r="Y59" i="29" s="1"/>
  <c r="X37" i="29"/>
  <c r="X59" i="29" s="1"/>
  <c r="W37" i="29"/>
  <c r="W59" i="29" s="1"/>
  <c r="V37" i="29"/>
  <c r="V59" i="29" s="1"/>
  <c r="U37" i="29"/>
  <c r="U59" i="29" s="1"/>
  <c r="T37" i="29"/>
  <c r="T59" i="29" s="1"/>
  <c r="S37" i="29"/>
  <c r="S59" i="29" s="1"/>
  <c r="R37" i="29"/>
  <c r="R59" i="29" s="1"/>
  <c r="Q37" i="29"/>
  <c r="Q59" i="29" s="1"/>
  <c r="N37" i="29"/>
  <c r="N59" i="29" s="1"/>
  <c r="M37" i="29"/>
  <c r="M59" i="29" s="1"/>
  <c r="L37" i="29"/>
  <c r="L59" i="29" s="1"/>
  <c r="K37" i="29"/>
  <c r="K59" i="29" s="1"/>
  <c r="J37" i="29"/>
  <c r="J59" i="29" s="1"/>
  <c r="I37" i="29"/>
  <c r="I59" i="29" s="1"/>
  <c r="H37" i="29"/>
  <c r="H59" i="29" s="1"/>
  <c r="G37" i="29"/>
  <c r="G59" i="29" s="1"/>
  <c r="F37" i="29"/>
  <c r="F59" i="29" s="1"/>
  <c r="E37" i="29"/>
  <c r="E59" i="29" s="1"/>
  <c r="D37" i="29"/>
  <c r="D59" i="29" s="1"/>
  <c r="C37" i="29"/>
  <c r="C59" i="29" s="1"/>
  <c r="AB36" i="29"/>
  <c r="AB58" i="29" s="1"/>
  <c r="AA36" i="29"/>
  <c r="AA58" i="29" s="1"/>
  <c r="Z36" i="29"/>
  <c r="Z58" i="29" s="1"/>
  <c r="Y36" i="29"/>
  <c r="Y58" i="29" s="1"/>
  <c r="X36" i="29"/>
  <c r="X58" i="29" s="1"/>
  <c r="W36" i="29"/>
  <c r="W58" i="29" s="1"/>
  <c r="V36" i="29"/>
  <c r="V58" i="29" s="1"/>
  <c r="U36" i="29"/>
  <c r="U58" i="29" s="1"/>
  <c r="T36" i="29"/>
  <c r="T58" i="29" s="1"/>
  <c r="S36" i="29"/>
  <c r="S58" i="29" s="1"/>
  <c r="R36" i="29"/>
  <c r="R58" i="29" s="1"/>
  <c r="Q36" i="29"/>
  <c r="Q58" i="29" s="1"/>
  <c r="N36" i="29"/>
  <c r="N58" i="29" s="1"/>
  <c r="M36" i="29"/>
  <c r="M58" i="29" s="1"/>
  <c r="L36" i="29"/>
  <c r="L58" i="29" s="1"/>
  <c r="K36" i="29"/>
  <c r="K58" i="29" s="1"/>
  <c r="J36" i="29"/>
  <c r="J58" i="29" s="1"/>
  <c r="I36" i="29"/>
  <c r="I58" i="29" s="1"/>
  <c r="H36" i="29"/>
  <c r="H58" i="29" s="1"/>
  <c r="G36" i="29"/>
  <c r="G58" i="29" s="1"/>
  <c r="F36" i="29"/>
  <c r="F58" i="29" s="1"/>
  <c r="E36" i="29"/>
  <c r="E58" i="29" s="1"/>
  <c r="D36" i="29"/>
  <c r="D58" i="29" s="1"/>
  <c r="C36" i="29"/>
  <c r="C58" i="29" s="1"/>
  <c r="AB35" i="29"/>
  <c r="AA35" i="29"/>
  <c r="Z35" i="29"/>
  <c r="Z57" i="29" s="1"/>
  <c r="Y35" i="29"/>
  <c r="Y57" i="29" s="1"/>
  <c r="X35" i="29"/>
  <c r="X57" i="29" s="1"/>
  <c r="W35" i="29"/>
  <c r="W57" i="29" s="1"/>
  <c r="V35" i="29"/>
  <c r="V57" i="29" s="1"/>
  <c r="U35" i="29"/>
  <c r="U57" i="29" s="1"/>
  <c r="T35" i="29"/>
  <c r="T57" i="29" s="1"/>
  <c r="S35" i="29"/>
  <c r="S57" i="29" s="1"/>
  <c r="R35" i="29"/>
  <c r="R57" i="29" s="1"/>
  <c r="Q35" i="29"/>
  <c r="Q57" i="29" s="1"/>
  <c r="N35" i="29"/>
  <c r="N57" i="29" s="1"/>
  <c r="M35" i="29"/>
  <c r="M57" i="29" s="1"/>
  <c r="L35" i="29"/>
  <c r="L57" i="29" s="1"/>
  <c r="K35" i="29"/>
  <c r="K57" i="29" s="1"/>
  <c r="J35" i="29"/>
  <c r="J57" i="29" s="1"/>
  <c r="I35" i="29"/>
  <c r="I57" i="29" s="1"/>
  <c r="H35" i="29"/>
  <c r="H57" i="29" s="1"/>
  <c r="G35" i="29"/>
  <c r="G57" i="29" s="1"/>
  <c r="F35" i="29"/>
  <c r="F57" i="29" s="1"/>
  <c r="E35" i="29"/>
  <c r="D35" i="29"/>
  <c r="D57" i="29" s="1"/>
  <c r="C35" i="29"/>
  <c r="C57" i="29" s="1"/>
  <c r="AB34" i="29"/>
  <c r="AB56" i="29" s="1"/>
  <c r="AA34" i="29"/>
  <c r="AA56" i="29" s="1"/>
  <c r="Z34" i="29"/>
  <c r="Z56" i="29" s="1"/>
  <c r="Y34" i="29"/>
  <c r="Y56" i="29" s="1"/>
  <c r="X34" i="29"/>
  <c r="X56" i="29" s="1"/>
  <c r="W34" i="29"/>
  <c r="W56" i="29" s="1"/>
  <c r="V34" i="29"/>
  <c r="V56" i="29" s="1"/>
  <c r="U34" i="29"/>
  <c r="U56" i="29" s="1"/>
  <c r="T34" i="29"/>
  <c r="T56" i="29" s="1"/>
  <c r="S34" i="29"/>
  <c r="S56" i="29" s="1"/>
  <c r="R34" i="29"/>
  <c r="R56" i="29" s="1"/>
  <c r="Q34" i="29"/>
  <c r="Q56" i="29" s="1"/>
  <c r="N34" i="29"/>
  <c r="N56" i="29" s="1"/>
  <c r="M34" i="29"/>
  <c r="M56" i="29" s="1"/>
  <c r="L34" i="29"/>
  <c r="L56" i="29" s="1"/>
  <c r="K34" i="29"/>
  <c r="K56" i="29" s="1"/>
  <c r="J34" i="29"/>
  <c r="J56" i="29" s="1"/>
  <c r="I34" i="29"/>
  <c r="I56" i="29" s="1"/>
  <c r="H34" i="29"/>
  <c r="H56" i="29" s="1"/>
  <c r="G34" i="29"/>
  <c r="G56" i="29" s="1"/>
  <c r="F34" i="29"/>
  <c r="F56" i="29" s="1"/>
  <c r="E34" i="29"/>
  <c r="E56" i="29" s="1"/>
  <c r="D34" i="29"/>
  <c r="D56" i="29" s="1"/>
  <c r="C34" i="29"/>
  <c r="C56" i="29" s="1"/>
  <c r="AB33" i="29"/>
  <c r="AB55" i="29" s="1"/>
  <c r="AA33" i="29"/>
  <c r="Z33" i="29"/>
  <c r="Z55" i="29" s="1"/>
  <c r="Y33" i="29"/>
  <c r="Y55" i="29" s="1"/>
  <c r="X33" i="29"/>
  <c r="X55" i="29" s="1"/>
  <c r="W33" i="29"/>
  <c r="W55" i="29" s="1"/>
  <c r="V33" i="29"/>
  <c r="V55" i="29" s="1"/>
  <c r="U33" i="29"/>
  <c r="U55" i="29" s="1"/>
  <c r="T33" i="29"/>
  <c r="T55" i="29" s="1"/>
  <c r="S33" i="29"/>
  <c r="S55" i="29" s="1"/>
  <c r="R33" i="29"/>
  <c r="R55" i="29" s="1"/>
  <c r="Q33" i="29"/>
  <c r="Q55" i="29" s="1"/>
  <c r="N33" i="29"/>
  <c r="N55" i="29" s="1"/>
  <c r="M33" i="29"/>
  <c r="M55" i="29" s="1"/>
  <c r="L33" i="29"/>
  <c r="L55" i="29" s="1"/>
  <c r="K33" i="29"/>
  <c r="K55" i="29" s="1"/>
  <c r="J33" i="29"/>
  <c r="J55" i="29" s="1"/>
  <c r="I33" i="29"/>
  <c r="I55" i="29" s="1"/>
  <c r="H33" i="29"/>
  <c r="H55" i="29" s="1"/>
  <c r="G33" i="29"/>
  <c r="G55" i="29" s="1"/>
  <c r="F33" i="29"/>
  <c r="F55" i="29" s="1"/>
  <c r="E33" i="29"/>
  <c r="E55" i="29" s="1"/>
  <c r="D33" i="29"/>
  <c r="D55" i="29" s="1"/>
  <c r="C33" i="29"/>
  <c r="C55" i="29" s="1"/>
  <c r="AB32" i="29"/>
  <c r="AB54" i="29" s="1"/>
  <c r="AA32" i="29"/>
  <c r="AA54" i="29" s="1"/>
  <c r="Z32" i="29"/>
  <c r="Z54" i="29" s="1"/>
  <c r="Y32" i="29"/>
  <c r="Y54" i="29" s="1"/>
  <c r="X32" i="29"/>
  <c r="X54" i="29" s="1"/>
  <c r="W32" i="29"/>
  <c r="W54" i="29" s="1"/>
  <c r="V32" i="29"/>
  <c r="V54" i="29" s="1"/>
  <c r="U32" i="29"/>
  <c r="U54" i="29" s="1"/>
  <c r="T32" i="29"/>
  <c r="T54" i="29" s="1"/>
  <c r="S32" i="29"/>
  <c r="S54" i="29" s="1"/>
  <c r="R32" i="29"/>
  <c r="R54" i="29" s="1"/>
  <c r="Q32" i="29"/>
  <c r="Q54" i="29" s="1"/>
  <c r="N32" i="29"/>
  <c r="N54" i="29" s="1"/>
  <c r="M32" i="29"/>
  <c r="M54" i="29" s="1"/>
  <c r="L32" i="29"/>
  <c r="L54" i="29" s="1"/>
  <c r="K32" i="29"/>
  <c r="K54" i="29" s="1"/>
  <c r="J32" i="29"/>
  <c r="J54" i="29" s="1"/>
  <c r="I32" i="29"/>
  <c r="I54" i="29" s="1"/>
  <c r="H32" i="29"/>
  <c r="H54" i="29" s="1"/>
  <c r="G32" i="29"/>
  <c r="G54" i="29" s="1"/>
  <c r="F32" i="29"/>
  <c r="F54" i="29" s="1"/>
  <c r="E32" i="29"/>
  <c r="E54" i="29" s="1"/>
  <c r="D32" i="29"/>
  <c r="D54" i="29" s="1"/>
  <c r="C32" i="29"/>
  <c r="C54" i="29" s="1"/>
  <c r="AB31" i="29"/>
  <c r="AB53" i="29" s="1"/>
  <c r="AA31" i="29"/>
  <c r="AA53" i="29" s="1"/>
  <c r="Z31" i="29"/>
  <c r="Z53" i="29" s="1"/>
  <c r="Y31" i="29"/>
  <c r="X31" i="29"/>
  <c r="X53" i="29" s="1"/>
  <c r="W31" i="29"/>
  <c r="V31" i="29"/>
  <c r="V53" i="29" s="1"/>
  <c r="U31" i="29"/>
  <c r="U53" i="29" s="1"/>
  <c r="T31" i="29"/>
  <c r="T53" i="29" s="1"/>
  <c r="S31" i="29"/>
  <c r="S53" i="29" s="1"/>
  <c r="R31" i="29"/>
  <c r="R53" i="29" s="1"/>
  <c r="Q31" i="29"/>
  <c r="Q53" i="29" s="1"/>
  <c r="N31" i="29"/>
  <c r="N53" i="29" s="1"/>
  <c r="M31" i="29"/>
  <c r="M53" i="29" s="1"/>
  <c r="L31" i="29"/>
  <c r="L53" i="29" s="1"/>
  <c r="K31" i="29"/>
  <c r="K53" i="29" s="1"/>
  <c r="J31" i="29"/>
  <c r="J53" i="29" s="1"/>
  <c r="I31" i="29"/>
  <c r="I53" i="29" s="1"/>
  <c r="H31" i="29"/>
  <c r="H53" i="29" s="1"/>
  <c r="G31" i="29"/>
  <c r="G53" i="29" s="1"/>
  <c r="F31" i="29"/>
  <c r="F53" i="29" s="1"/>
  <c r="E31" i="29"/>
  <c r="E53" i="29" s="1"/>
  <c r="D31" i="29"/>
  <c r="D53" i="29" s="1"/>
  <c r="C31" i="29"/>
  <c r="C53" i="29" s="1"/>
  <c r="AB30" i="29"/>
  <c r="AA30" i="29"/>
  <c r="Z30" i="29"/>
  <c r="Z52" i="29" s="1"/>
  <c r="Y30" i="29"/>
  <c r="Y52" i="29" s="1"/>
  <c r="X30" i="29"/>
  <c r="X52" i="29" s="1"/>
  <c r="W30" i="29"/>
  <c r="W52" i="29" s="1"/>
  <c r="V30" i="29"/>
  <c r="V52" i="29" s="1"/>
  <c r="U30" i="29"/>
  <c r="U52" i="29" s="1"/>
  <c r="T30" i="29"/>
  <c r="T52" i="29" s="1"/>
  <c r="S30" i="29"/>
  <c r="S52" i="29" s="1"/>
  <c r="R30" i="29"/>
  <c r="R52" i="29" s="1"/>
  <c r="Q30" i="29"/>
  <c r="Q52" i="29" s="1"/>
  <c r="N30" i="29"/>
  <c r="N52" i="29" s="1"/>
  <c r="M30" i="29"/>
  <c r="M52" i="29" s="1"/>
  <c r="L30" i="29"/>
  <c r="L52" i="29" s="1"/>
  <c r="K30" i="29"/>
  <c r="K52" i="29" s="1"/>
  <c r="J30" i="29"/>
  <c r="J52" i="29" s="1"/>
  <c r="I30" i="29"/>
  <c r="I52" i="29" s="1"/>
  <c r="H30" i="29"/>
  <c r="H52" i="29" s="1"/>
  <c r="G30" i="29"/>
  <c r="G52" i="29" s="1"/>
  <c r="F30" i="29"/>
  <c r="F52" i="29" s="1"/>
  <c r="E30" i="29"/>
  <c r="D30" i="29"/>
  <c r="D52" i="29" s="1"/>
  <c r="C30" i="29"/>
  <c r="C52" i="29" s="1"/>
  <c r="H17" i="14" l="1"/>
  <c r="G17" i="14"/>
  <c r="Z9" i="12" l="1"/>
  <c r="Y9" i="12"/>
  <c r="X9" i="12"/>
  <c r="W9" i="12"/>
  <c r="V9" i="12"/>
  <c r="U9" i="12"/>
  <c r="T9" i="12"/>
  <c r="S9" i="12"/>
  <c r="R9" i="12"/>
  <c r="Q9" i="12"/>
  <c r="P9" i="12"/>
  <c r="O9" i="12"/>
  <c r="N9" i="12"/>
  <c r="M9" i="12"/>
  <c r="L9" i="12"/>
  <c r="K9" i="12"/>
  <c r="J9" i="12"/>
  <c r="I9" i="12"/>
  <c r="H9" i="12"/>
  <c r="G9" i="12"/>
  <c r="F9" i="12"/>
  <c r="E9" i="12"/>
  <c r="D9" i="12"/>
  <c r="C9" i="12"/>
  <c r="Z8" i="12"/>
  <c r="Y8" i="12"/>
  <c r="X8" i="12"/>
  <c r="W8" i="12"/>
  <c r="V8" i="12"/>
  <c r="U8" i="12"/>
  <c r="T8" i="12"/>
  <c r="S8" i="12"/>
  <c r="R8" i="12"/>
  <c r="Q8" i="12"/>
  <c r="P8" i="12"/>
  <c r="O8" i="12"/>
  <c r="N8" i="12"/>
  <c r="M8" i="12"/>
  <c r="L8" i="12"/>
  <c r="K8" i="12"/>
  <c r="J8" i="12"/>
  <c r="I8" i="12"/>
  <c r="H8" i="12"/>
  <c r="G8" i="12"/>
  <c r="F8" i="12"/>
  <c r="E8" i="12"/>
  <c r="D8" i="12"/>
  <c r="C8" i="12"/>
  <c r="K18" i="9"/>
  <c r="H18" i="9"/>
  <c r="D18" i="9"/>
  <c r="M18" i="9"/>
  <c r="L18" i="9"/>
  <c r="J18" i="9"/>
  <c r="I18" i="9"/>
  <c r="G18" i="9"/>
  <c r="F18" i="9"/>
  <c r="E18" i="9"/>
  <c r="C18" i="9"/>
  <c r="B18" i="9"/>
  <c r="H32" i="9"/>
  <c r="H33" i="9"/>
  <c r="H31" i="9"/>
  <c r="H29" i="9"/>
  <c r="H30" i="9"/>
  <c r="H28" i="9"/>
  <c r="H26" i="9"/>
  <c r="H27" i="9"/>
  <c r="H25" i="9"/>
  <c r="H23" i="9"/>
  <c r="H24" i="9"/>
  <c r="H22" i="9"/>
  <c r="C11" i="9"/>
  <c r="D11" i="9"/>
  <c r="E11" i="9"/>
  <c r="F11" i="9"/>
  <c r="G11" i="9"/>
  <c r="H11" i="9"/>
  <c r="I11" i="9"/>
  <c r="J11" i="9"/>
  <c r="K11" i="9"/>
  <c r="L11" i="9"/>
  <c r="M11" i="9"/>
  <c r="B11" i="9"/>
  <c r="N47" i="6"/>
  <c r="M47" i="6"/>
  <c r="L47" i="6"/>
  <c r="N46" i="6"/>
  <c r="M46" i="6"/>
  <c r="L46" i="6"/>
  <c r="N45" i="6"/>
  <c r="M45" i="6"/>
  <c r="L45" i="6"/>
  <c r="N44" i="6"/>
  <c r="M44" i="6"/>
  <c r="L44" i="6"/>
  <c r="N43" i="6"/>
  <c r="M43" i="6"/>
  <c r="L43" i="6"/>
  <c r="N42" i="6"/>
  <c r="M42" i="6"/>
  <c r="L42" i="6"/>
  <c r="N41" i="6"/>
  <c r="M41" i="6"/>
  <c r="L41" i="6"/>
  <c r="N40" i="6"/>
  <c r="M40" i="6"/>
  <c r="L40" i="6"/>
  <c r="N36" i="6"/>
  <c r="M36" i="6"/>
  <c r="L36" i="6"/>
  <c r="N35" i="6"/>
  <c r="M35" i="6"/>
  <c r="L35" i="6"/>
  <c r="N34" i="6"/>
  <c r="M34" i="6"/>
  <c r="L34" i="6"/>
  <c r="N33" i="6"/>
  <c r="M33" i="6"/>
  <c r="L33" i="6"/>
  <c r="N32" i="6"/>
  <c r="M32" i="6"/>
  <c r="L32" i="6"/>
  <c r="N31" i="6"/>
  <c r="M31" i="6"/>
  <c r="L31" i="6"/>
  <c r="N30" i="6"/>
  <c r="M30" i="6"/>
  <c r="L30" i="6"/>
  <c r="N29" i="6"/>
  <c r="M29" i="6"/>
  <c r="L29" i="6"/>
  <c r="N25" i="6"/>
  <c r="M25" i="6"/>
  <c r="L25" i="6"/>
  <c r="N24" i="6"/>
  <c r="M24" i="6"/>
  <c r="L24" i="6"/>
  <c r="N23" i="6"/>
  <c r="M23" i="6"/>
  <c r="L23" i="6"/>
  <c r="N22" i="6"/>
  <c r="M22" i="6"/>
  <c r="L22" i="6"/>
  <c r="N21" i="6"/>
  <c r="M21" i="6"/>
  <c r="L21" i="6"/>
  <c r="N20" i="6"/>
  <c r="M20" i="6"/>
  <c r="L20" i="6"/>
  <c r="N19" i="6"/>
  <c r="M19" i="6"/>
  <c r="L19" i="6"/>
  <c r="N18" i="6"/>
  <c r="M18" i="6"/>
  <c r="L18" i="6"/>
  <c r="N14" i="6"/>
  <c r="M14" i="6"/>
  <c r="L14" i="6"/>
  <c r="N13" i="6"/>
  <c r="M13" i="6"/>
  <c r="L13" i="6"/>
  <c r="N12" i="6"/>
  <c r="M12" i="6"/>
  <c r="L12" i="6"/>
  <c r="N11" i="6"/>
  <c r="M11" i="6"/>
  <c r="L11" i="6"/>
  <c r="N10" i="6"/>
  <c r="M10" i="6"/>
  <c r="L10" i="6"/>
  <c r="N9" i="6"/>
  <c r="M9" i="6"/>
  <c r="L9" i="6"/>
  <c r="N8" i="6"/>
  <c r="M8" i="6"/>
  <c r="L8" i="6"/>
  <c r="N7" i="6"/>
  <c r="M7" i="6"/>
  <c r="L7" i="6"/>
  <c r="AE47" i="4"/>
  <c r="AD47" i="4"/>
  <c r="AC47" i="4"/>
  <c r="N47" i="4"/>
  <c r="M47" i="4"/>
  <c r="L47" i="4"/>
  <c r="AE46" i="4"/>
  <c r="AD46" i="4"/>
  <c r="AC46" i="4"/>
  <c r="N46" i="4"/>
  <c r="M46" i="4"/>
  <c r="L46" i="4"/>
  <c r="AE45" i="4"/>
  <c r="AD45" i="4"/>
  <c r="AC45" i="4"/>
  <c r="N45" i="4"/>
  <c r="M45" i="4"/>
  <c r="L45" i="4"/>
  <c r="AE44" i="4"/>
  <c r="AD44" i="4"/>
  <c r="AC44" i="4"/>
  <c r="N44" i="4"/>
  <c r="M44" i="4"/>
  <c r="L44" i="4"/>
  <c r="AE43" i="4"/>
  <c r="AD43" i="4"/>
  <c r="AC43" i="4"/>
  <c r="N43" i="4"/>
  <c r="M43" i="4"/>
  <c r="L43" i="4"/>
  <c r="AE42" i="4"/>
  <c r="AD42" i="4"/>
  <c r="AC42" i="4"/>
  <c r="N42" i="4"/>
  <c r="M42" i="4"/>
  <c r="L42" i="4"/>
  <c r="AE41" i="4"/>
  <c r="AD41" i="4"/>
  <c r="AC41" i="4"/>
  <c r="N41" i="4"/>
  <c r="M41" i="4"/>
  <c r="L41" i="4"/>
  <c r="AE40" i="4"/>
  <c r="AD40" i="4"/>
  <c r="AC40" i="4"/>
  <c r="N40" i="4"/>
  <c r="M40" i="4"/>
  <c r="L40" i="4"/>
  <c r="AE36" i="4"/>
  <c r="AD36" i="4"/>
  <c r="AC36" i="4"/>
  <c r="N36" i="4"/>
  <c r="M36" i="4"/>
  <c r="L36" i="4"/>
  <c r="AE35" i="4"/>
  <c r="AD35" i="4"/>
  <c r="AC35" i="4"/>
  <c r="N35" i="4"/>
  <c r="M35" i="4"/>
  <c r="L35" i="4"/>
  <c r="AE34" i="4"/>
  <c r="AD34" i="4"/>
  <c r="AC34" i="4"/>
  <c r="N34" i="4"/>
  <c r="M34" i="4"/>
  <c r="L34" i="4"/>
  <c r="AE33" i="4"/>
  <c r="AD33" i="4"/>
  <c r="AC33" i="4"/>
  <c r="N33" i="4"/>
  <c r="M33" i="4"/>
  <c r="L33" i="4"/>
  <c r="AE32" i="4"/>
  <c r="AD32" i="4"/>
  <c r="AC32" i="4"/>
  <c r="N32" i="4"/>
  <c r="M32" i="4"/>
  <c r="L32" i="4"/>
  <c r="AE31" i="4"/>
  <c r="AD31" i="4"/>
  <c r="AC31" i="4"/>
  <c r="N31" i="4"/>
  <c r="M31" i="4"/>
  <c r="L31" i="4"/>
  <c r="AE30" i="4"/>
  <c r="AD30" i="4"/>
  <c r="AC30" i="4"/>
  <c r="N30" i="4"/>
  <c r="M30" i="4"/>
  <c r="L30" i="4"/>
  <c r="AE29" i="4"/>
  <c r="AD29" i="4"/>
  <c r="AC29" i="4"/>
  <c r="N29" i="4"/>
  <c r="M29" i="4"/>
  <c r="L29" i="4"/>
  <c r="AE25" i="4"/>
  <c r="AD25" i="4"/>
  <c r="AC25" i="4"/>
  <c r="N25" i="4"/>
  <c r="M25" i="4"/>
  <c r="L25" i="4"/>
  <c r="AE24" i="4"/>
  <c r="AD24" i="4"/>
  <c r="AC24" i="4"/>
  <c r="N24" i="4"/>
  <c r="M24" i="4"/>
  <c r="L24" i="4"/>
  <c r="AE23" i="4"/>
  <c r="AD23" i="4"/>
  <c r="AC23" i="4"/>
  <c r="N23" i="4"/>
  <c r="M23" i="4"/>
  <c r="L23" i="4"/>
  <c r="AE22" i="4"/>
  <c r="AD22" i="4"/>
  <c r="AC22" i="4"/>
  <c r="N22" i="4"/>
  <c r="M22" i="4"/>
  <c r="L22" i="4"/>
  <c r="AE21" i="4"/>
  <c r="AD21" i="4"/>
  <c r="AC21" i="4"/>
  <c r="N21" i="4"/>
  <c r="M21" i="4"/>
  <c r="L21" i="4"/>
  <c r="AE20" i="4"/>
  <c r="AD20" i="4"/>
  <c r="AC20" i="4"/>
  <c r="N20" i="4"/>
  <c r="M20" i="4"/>
  <c r="L20" i="4"/>
  <c r="AE19" i="4"/>
  <c r="AD19" i="4"/>
  <c r="AC19" i="4"/>
  <c r="N19" i="4"/>
  <c r="M19" i="4"/>
  <c r="L19" i="4"/>
  <c r="AE18" i="4"/>
  <c r="AD18" i="4"/>
  <c r="AC18" i="4"/>
  <c r="N18" i="4"/>
  <c r="M18" i="4"/>
  <c r="L18" i="4"/>
  <c r="AE14" i="4"/>
  <c r="AD14" i="4"/>
  <c r="AC14" i="4"/>
  <c r="N14" i="4"/>
  <c r="M14" i="4"/>
  <c r="L14" i="4"/>
  <c r="AE13" i="4"/>
  <c r="AD13" i="4"/>
  <c r="AC13" i="4"/>
  <c r="N13" i="4"/>
  <c r="M13" i="4"/>
  <c r="L13" i="4"/>
  <c r="AE12" i="4"/>
  <c r="AD12" i="4"/>
  <c r="AC12" i="4"/>
  <c r="N12" i="4"/>
  <c r="M12" i="4"/>
  <c r="L12" i="4"/>
  <c r="AE11" i="4"/>
  <c r="AD11" i="4"/>
  <c r="AC11" i="4"/>
  <c r="N11" i="4"/>
  <c r="M11" i="4"/>
  <c r="L11" i="4"/>
  <c r="AE10" i="4"/>
  <c r="AD10" i="4"/>
  <c r="AC10" i="4"/>
  <c r="N10" i="4"/>
  <c r="M10" i="4"/>
  <c r="L10" i="4"/>
  <c r="AE9" i="4"/>
  <c r="AD9" i="4"/>
  <c r="AC9" i="4"/>
  <c r="N9" i="4"/>
  <c r="M9" i="4"/>
  <c r="L9" i="4"/>
  <c r="AE8" i="4"/>
  <c r="AD8" i="4"/>
  <c r="AC8" i="4"/>
  <c r="N8" i="4"/>
  <c r="M8" i="4"/>
  <c r="L8" i="4"/>
  <c r="AE7" i="4"/>
  <c r="AD7" i="4"/>
  <c r="AC7" i="4"/>
  <c r="N7" i="4"/>
  <c r="M7" i="4"/>
  <c r="L7" i="4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Z10" i="2"/>
  <c r="Y10" i="2"/>
  <c r="X10" i="2"/>
  <c r="W10" i="2"/>
  <c r="V10" i="2"/>
  <c r="U10" i="2"/>
  <c r="T10" i="2"/>
  <c r="S10" i="2"/>
  <c r="R10" i="2"/>
  <c r="Q10" i="2"/>
  <c r="N10" i="2"/>
  <c r="M10" i="2"/>
  <c r="L10" i="2"/>
  <c r="K10" i="2"/>
  <c r="J10" i="2"/>
  <c r="I10" i="2"/>
  <c r="H10" i="2"/>
  <c r="G10" i="2"/>
  <c r="F10" i="2"/>
  <c r="E10" i="2"/>
  <c r="D10" i="2"/>
  <c r="C10" i="2"/>
  <c r="Z9" i="2"/>
  <c r="Y9" i="2"/>
  <c r="X9" i="2"/>
  <c r="W9" i="2"/>
  <c r="V9" i="2"/>
  <c r="U9" i="2"/>
  <c r="T9" i="2"/>
  <c r="S9" i="2"/>
  <c r="R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</calcChain>
</file>

<file path=xl/sharedStrings.xml><?xml version="1.0" encoding="utf-8"?>
<sst xmlns="http://schemas.openxmlformats.org/spreadsheetml/2006/main" count="539" uniqueCount="253">
  <si>
    <t>Treatment</t>
    <phoneticPr fontId="2" type="noConversion"/>
  </si>
  <si>
    <t>As(III)</t>
  </si>
  <si>
    <t>As(III)</t>
    <phoneticPr fontId="2" type="noConversion"/>
  </si>
  <si>
    <t>Replicate</t>
    <phoneticPr fontId="2" type="noConversion"/>
  </si>
  <si>
    <t>100% RCB + strain EML</t>
    <phoneticPr fontId="4" type="noConversion"/>
  </si>
  <si>
    <t>75% RCB + strain EML</t>
    <phoneticPr fontId="4" type="noConversion"/>
  </si>
  <si>
    <t>50% RCB + strain EML</t>
    <phoneticPr fontId="4" type="noConversion"/>
  </si>
  <si>
    <t>25% RCB + strain EML</t>
    <phoneticPr fontId="4" type="noConversion"/>
  </si>
  <si>
    <t>Time/ h</t>
    <phoneticPr fontId="4" type="noConversion"/>
  </si>
  <si>
    <t>Time/h</t>
  </si>
  <si>
    <t>Time/ h</t>
    <phoneticPr fontId="2" type="noConversion"/>
  </si>
  <si>
    <t>Time/h</t>
    <phoneticPr fontId="2" type="noConversion"/>
  </si>
  <si>
    <t>MMAs(III)</t>
    <phoneticPr fontId="2" type="noConversion"/>
  </si>
  <si>
    <t>iAs</t>
    <phoneticPr fontId="2" type="noConversion"/>
  </si>
  <si>
    <t>DMAs(V)</t>
    <phoneticPr fontId="2" type="noConversion"/>
  </si>
  <si>
    <t>MMAs(V)</t>
    <phoneticPr fontId="2" type="noConversion"/>
  </si>
  <si>
    <t>MMAs(III)</t>
  </si>
  <si>
    <t>iAs</t>
  </si>
  <si>
    <t>DMAs(V)</t>
  </si>
  <si>
    <t>MMAs(V)</t>
  </si>
  <si>
    <t>100% RCB + strain EML + 25 μM As(III) [μM]</t>
    <phoneticPr fontId="2" type="noConversion"/>
  </si>
  <si>
    <t>75% RCB + strain EML + 25 μM As(III) [μM]</t>
    <phoneticPr fontId="2" type="noConversion"/>
  </si>
  <si>
    <t>50% RCB + strain EML + 25 μM As(III) [μM]</t>
    <phoneticPr fontId="2" type="noConversion"/>
  </si>
  <si>
    <t>25% RCB + strain EML + 25 μM As(III) [μM]</t>
    <phoneticPr fontId="2" type="noConversion"/>
  </si>
  <si>
    <t>100% RCB + strain EML + 25 μM As(III) [nmol/g protein]</t>
    <phoneticPr fontId="2" type="noConversion"/>
  </si>
  <si>
    <t>75% RCB + strain EML + 25 μM As(III) [nmol/g protein]</t>
    <phoneticPr fontId="2" type="noConversion"/>
  </si>
  <si>
    <t>50% RCB + strain EML + 25 μM As(III) [nmol/g protein]</t>
    <phoneticPr fontId="2" type="noConversion"/>
  </si>
  <si>
    <t>25% RCB + strain EML + 25 μM As(III) [nmol/g protein]</t>
    <phoneticPr fontId="2" type="noConversion"/>
  </si>
  <si>
    <t>8 h</t>
    <phoneticPr fontId="2" type="noConversion"/>
  </si>
  <si>
    <t>24 h</t>
    <phoneticPr fontId="2" type="noConversion"/>
  </si>
  <si>
    <t>Mean</t>
    <phoneticPr fontId="2" type="noConversion"/>
  </si>
  <si>
    <t>Copies/mg protein</t>
    <phoneticPr fontId="2" type="noConversion"/>
  </si>
  <si>
    <t>mL culture</t>
  </si>
  <si>
    <t>100% RCB + strain EML</t>
    <phoneticPr fontId="2" type="noConversion"/>
  </si>
  <si>
    <t>75% RCB + strain EML</t>
    <phoneticPr fontId="2" type="noConversion"/>
  </si>
  <si>
    <t>50% RCB + strain EML</t>
    <phoneticPr fontId="2" type="noConversion"/>
  </si>
  <si>
    <t>25% RCB + strain EML</t>
    <phoneticPr fontId="2" type="noConversion"/>
  </si>
  <si>
    <t>Cq</t>
  </si>
  <si>
    <t>copies in total RNA</t>
    <phoneticPr fontId="2" type="noConversion"/>
  </si>
  <si>
    <t>Treatments</t>
    <phoneticPr fontId="2" type="noConversion"/>
  </si>
  <si>
    <t>MMMTAs(V)</t>
    <phoneticPr fontId="2" type="noConversion"/>
  </si>
  <si>
    <t xml:space="preserve">RNA conc. </t>
    <phoneticPr fontId="2" type="noConversion"/>
  </si>
  <si>
    <t>ng/μL</t>
    <phoneticPr fontId="2" type="noConversion"/>
  </si>
  <si>
    <t>Culture used for RNA extraction (mL)</t>
    <phoneticPr fontId="2" type="noConversion"/>
  </si>
  <si>
    <t>Total RNA (ng)</t>
    <phoneticPr fontId="2" type="noConversion"/>
  </si>
  <si>
    <t>Total protein (mg)</t>
    <phoneticPr fontId="2" type="noConversion"/>
  </si>
  <si>
    <t>Culture used for RNA extraction  (mL)</t>
    <phoneticPr fontId="2" type="noConversion"/>
  </si>
  <si>
    <t>Copies in total RNA</t>
    <phoneticPr fontId="2" type="noConversion"/>
  </si>
  <si>
    <t>Protein conc. (mg/L)</t>
    <phoneticPr fontId="2" type="noConversion"/>
  </si>
  <si>
    <t>Final RNA volume (μL)</t>
    <phoneticPr fontId="2" type="noConversion"/>
  </si>
  <si>
    <t>copies/μL RNA</t>
    <phoneticPr fontId="2" type="noConversion"/>
  </si>
  <si>
    <t>RNA conc. (ng/μL)</t>
    <phoneticPr fontId="2" type="noConversion"/>
  </si>
  <si>
    <t>mL RCB</t>
    <phoneticPr fontId="2" type="noConversion"/>
  </si>
  <si>
    <t>Individual copy number for each biological replicate (8 h)</t>
    <phoneticPr fontId="2" type="noConversion"/>
  </si>
  <si>
    <t>Individual copy number for each biological replicate (24 h)</t>
    <phoneticPr fontId="2" type="noConversion"/>
  </si>
  <si>
    <t>Individual copy number (copies/ ng RNA) from technical replicates in the qPCR.</t>
  </si>
  <si>
    <t>RNA volume (μL)</t>
    <phoneticPr fontId="2" type="noConversion"/>
  </si>
  <si>
    <t>STDEV</t>
    <phoneticPr fontId="2" type="noConversion"/>
  </si>
  <si>
    <t>Ratios of co-culture members</t>
    <phoneticPr fontId="2" type="noConversion"/>
  </si>
  <si>
    <t>Strain EML</t>
    <phoneticPr fontId="2" type="noConversion"/>
  </si>
  <si>
    <t>10% strain EML</t>
    <phoneticPr fontId="2" type="noConversion"/>
  </si>
  <si>
    <t>MMAs(III) [μM]</t>
  </si>
  <si>
    <t>Individual copy number for each biological replicate.</t>
  </si>
  <si>
    <r>
      <t>Individual OD</t>
    </r>
    <r>
      <rPr>
        <vertAlign val="subscript"/>
        <sz val="11"/>
        <color theme="1"/>
        <rFont val="Arial"/>
        <family val="2"/>
      </rPr>
      <t xml:space="preserve">600 </t>
    </r>
    <r>
      <rPr>
        <sz val="11"/>
        <color theme="1"/>
        <rFont val="Arial"/>
        <family val="2"/>
      </rPr>
      <t>value for each biological replicate.</t>
    </r>
  </si>
  <si>
    <r>
      <t>WT</t>
    </r>
    <r>
      <rPr>
        <i/>
        <sz val="11"/>
        <rFont val="Arial"/>
        <family val="2"/>
      </rPr>
      <t xml:space="preserve"> E.coli</t>
    </r>
    <r>
      <rPr>
        <sz val="11"/>
        <rFont val="Arial"/>
        <family val="2"/>
      </rPr>
      <t xml:space="preserve"> + 3 μM MMAs(III)</t>
    </r>
    <phoneticPr fontId="2" type="noConversion"/>
  </si>
  <si>
    <r>
      <t xml:space="preserve">WT </t>
    </r>
    <r>
      <rPr>
        <i/>
        <sz val="11"/>
        <rFont val="Arial"/>
        <family val="2"/>
      </rPr>
      <t>E.coli</t>
    </r>
    <phoneticPr fontId="2" type="noConversion"/>
  </si>
  <si>
    <r>
      <t xml:space="preserve">ArsP </t>
    </r>
    <r>
      <rPr>
        <i/>
        <sz val="11"/>
        <rFont val="Arial"/>
        <family val="2"/>
      </rPr>
      <t>E.coli</t>
    </r>
    <phoneticPr fontId="2" type="noConversion"/>
  </si>
  <si>
    <r>
      <t xml:space="preserve">ArsP </t>
    </r>
    <r>
      <rPr>
        <i/>
        <sz val="11"/>
        <rFont val="Arial"/>
        <family val="2"/>
      </rPr>
      <t xml:space="preserve">E.coli </t>
    </r>
    <r>
      <rPr>
        <sz val="11"/>
        <rFont val="Arial"/>
        <family val="2"/>
      </rPr>
      <t>+ 3 μM MMAs(III)</t>
    </r>
    <phoneticPr fontId="2" type="noConversion"/>
  </si>
  <si>
    <r>
      <t xml:space="preserve">WT </t>
    </r>
    <r>
      <rPr>
        <i/>
        <sz val="11"/>
        <rFont val="Arial"/>
        <family val="2"/>
      </rPr>
      <t xml:space="preserve">E. coli </t>
    </r>
    <r>
      <rPr>
        <sz val="11"/>
        <rFont val="Arial"/>
        <family val="2"/>
      </rPr>
      <t>+ 1 μM MMAs(III)</t>
    </r>
    <phoneticPr fontId="2" type="noConversion"/>
  </si>
  <si>
    <r>
      <t xml:space="preserve">10% strain EML + WT </t>
    </r>
    <r>
      <rPr>
        <i/>
        <sz val="11"/>
        <rFont val="Arial"/>
        <family val="2"/>
      </rPr>
      <t>E. coli</t>
    </r>
    <phoneticPr fontId="2" type="noConversion"/>
  </si>
  <si>
    <r>
      <t xml:space="preserve">20% strain EML + WT </t>
    </r>
    <r>
      <rPr>
        <i/>
        <sz val="11"/>
        <rFont val="Arial"/>
        <family val="2"/>
      </rPr>
      <t>E. coli</t>
    </r>
    <phoneticPr fontId="2" type="noConversion"/>
  </si>
  <si>
    <r>
      <t xml:space="preserve">30% strain EML + WT </t>
    </r>
    <r>
      <rPr>
        <i/>
        <sz val="11"/>
        <rFont val="Arial"/>
        <family val="2"/>
      </rPr>
      <t>E. coli</t>
    </r>
    <phoneticPr fontId="2" type="noConversion"/>
  </si>
  <si>
    <r>
      <t xml:space="preserve">40% strain EML + WT </t>
    </r>
    <r>
      <rPr>
        <i/>
        <sz val="11"/>
        <rFont val="Arial"/>
        <family val="2"/>
      </rPr>
      <t>E. coli</t>
    </r>
    <phoneticPr fontId="2" type="noConversion"/>
  </si>
  <si>
    <r>
      <t xml:space="preserve">10% strain EML + ArsP </t>
    </r>
    <r>
      <rPr>
        <i/>
        <sz val="11"/>
        <rFont val="Arial"/>
        <family val="2"/>
      </rPr>
      <t>E. coli</t>
    </r>
    <phoneticPr fontId="2" type="noConversion"/>
  </si>
  <si>
    <r>
      <t xml:space="preserve">20% strain EML + ArsP </t>
    </r>
    <r>
      <rPr>
        <i/>
        <sz val="11"/>
        <rFont val="Arial"/>
        <family val="2"/>
      </rPr>
      <t>E. coli</t>
    </r>
    <phoneticPr fontId="2" type="noConversion"/>
  </si>
  <si>
    <r>
      <t xml:space="preserve">30% strain EML + ArsP </t>
    </r>
    <r>
      <rPr>
        <i/>
        <sz val="11"/>
        <rFont val="Arial"/>
        <family val="2"/>
      </rPr>
      <t>E. coli</t>
    </r>
    <phoneticPr fontId="2" type="noConversion"/>
  </si>
  <si>
    <r>
      <t xml:space="preserve">40% strain EML + ArsP </t>
    </r>
    <r>
      <rPr>
        <i/>
        <sz val="11"/>
        <rFont val="Arial"/>
        <family val="2"/>
      </rPr>
      <t>E. coli</t>
    </r>
    <phoneticPr fontId="2" type="noConversion"/>
  </si>
  <si>
    <r>
      <t xml:space="preserve">WT </t>
    </r>
    <r>
      <rPr>
        <i/>
        <sz val="11"/>
        <rFont val="Arial"/>
        <family val="2"/>
      </rPr>
      <t>E. coli</t>
    </r>
    <r>
      <rPr>
        <sz val="11"/>
        <rFont val="Arial"/>
        <family val="2"/>
      </rPr>
      <t>:strain EML = 1:2</t>
    </r>
    <phoneticPr fontId="2" type="noConversion"/>
  </si>
  <si>
    <r>
      <t xml:space="preserve">WT </t>
    </r>
    <r>
      <rPr>
        <i/>
        <sz val="11"/>
        <rFont val="Arial"/>
        <family val="2"/>
      </rPr>
      <t>E. coli</t>
    </r>
    <r>
      <rPr>
        <sz val="11"/>
        <rFont val="Arial"/>
        <family val="2"/>
      </rPr>
      <t>:strain EML = 1:4</t>
    </r>
    <phoneticPr fontId="2" type="noConversion"/>
  </si>
  <si>
    <r>
      <t xml:space="preserve">WT </t>
    </r>
    <r>
      <rPr>
        <i/>
        <sz val="11"/>
        <rFont val="Arial"/>
        <family val="2"/>
      </rPr>
      <t>E. coli</t>
    </r>
    <r>
      <rPr>
        <sz val="11"/>
        <rFont val="Arial"/>
        <family val="2"/>
      </rPr>
      <t>:strain EML = 1:8</t>
    </r>
    <phoneticPr fontId="2" type="noConversion"/>
  </si>
  <si>
    <r>
      <t xml:space="preserve">WT </t>
    </r>
    <r>
      <rPr>
        <i/>
        <sz val="11"/>
        <rFont val="Arial"/>
        <family val="2"/>
      </rPr>
      <t>E. coli</t>
    </r>
    <r>
      <rPr>
        <sz val="11"/>
        <rFont val="Arial"/>
        <family val="2"/>
      </rPr>
      <t>:strain EML = 1:16</t>
    </r>
    <phoneticPr fontId="2" type="noConversion"/>
  </si>
  <si>
    <r>
      <t xml:space="preserve">WT </t>
    </r>
    <r>
      <rPr>
        <i/>
        <sz val="11"/>
        <rFont val="Arial"/>
        <family val="2"/>
      </rPr>
      <t>E. coli</t>
    </r>
    <r>
      <rPr>
        <sz val="11"/>
        <rFont val="Arial"/>
        <family val="2"/>
      </rPr>
      <t>:strain EML = 1:32</t>
    </r>
    <phoneticPr fontId="2" type="noConversion"/>
  </si>
  <si>
    <t>The result corresponds to the fourth attempt to optimize inoculation ratio between the co-culture strains in Supplementary Information Text Results SR3.</t>
    <phoneticPr fontId="2" type="noConversion"/>
  </si>
  <si>
    <r>
      <t>The result corresponds to the first and second attempts to optimize inoculation ratio between the co-culture strains in</t>
    </r>
    <r>
      <rPr>
        <sz val="11"/>
        <color theme="1"/>
        <rFont val="Calibri"/>
        <family val="3"/>
        <charset val="134"/>
        <scheme val="minor"/>
      </rPr>
      <t xml:space="preserve"> </t>
    </r>
    <r>
      <rPr>
        <sz val="11"/>
        <color rgb="FF000000"/>
        <rFont val="Arial"/>
        <family val="2"/>
      </rPr>
      <t>Supplementary Information Text Results SR3.</t>
    </r>
  </si>
  <si>
    <r>
      <t xml:space="preserve"> </t>
    </r>
    <r>
      <rPr>
        <sz val="11"/>
        <color rgb="FF000000"/>
        <rFont val="Arial"/>
        <family val="2"/>
      </rPr>
      <t>The result corresponds to the third attempt to optimize inoculation ratio between the co-culture strains in</t>
    </r>
    <r>
      <rPr>
        <sz val="11"/>
        <color theme="1"/>
        <rFont val="Calibri"/>
        <family val="3"/>
        <charset val="134"/>
        <scheme val="minor"/>
      </rPr>
      <t xml:space="preserve"> </t>
    </r>
    <r>
      <rPr>
        <sz val="11"/>
        <color rgb="FF000000"/>
        <rFont val="Arial"/>
        <family val="2"/>
      </rPr>
      <t>Supplementary Information Text Results SR3.</t>
    </r>
  </si>
  <si>
    <r>
      <t>ArsP</t>
    </r>
    <r>
      <rPr>
        <i/>
        <sz val="11"/>
        <rFont val="Arial"/>
        <family val="2"/>
      </rPr>
      <t xml:space="preserve"> E. coli</t>
    </r>
    <r>
      <rPr>
        <sz val="11"/>
        <rFont val="Arial"/>
        <family val="2"/>
      </rPr>
      <t>:strain EML = 1:2</t>
    </r>
    <phoneticPr fontId="2" type="noConversion"/>
  </si>
  <si>
    <r>
      <t xml:space="preserve">ArsP </t>
    </r>
    <r>
      <rPr>
        <i/>
        <sz val="11"/>
        <rFont val="Arial"/>
        <family val="2"/>
      </rPr>
      <t>E. coli</t>
    </r>
    <r>
      <rPr>
        <sz val="11"/>
        <rFont val="Arial"/>
        <family val="2"/>
      </rPr>
      <t>:strain EML = 1:4</t>
    </r>
    <phoneticPr fontId="2" type="noConversion"/>
  </si>
  <si>
    <r>
      <t xml:space="preserve">ArsP </t>
    </r>
    <r>
      <rPr>
        <i/>
        <sz val="11"/>
        <rFont val="Arial"/>
        <family val="2"/>
      </rPr>
      <t>E. coli</t>
    </r>
    <r>
      <rPr>
        <sz val="11"/>
        <rFont val="Arial"/>
        <family val="2"/>
      </rPr>
      <t>:strain EML = 1:8</t>
    </r>
    <phoneticPr fontId="2" type="noConversion"/>
  </si>
  <si>
    <r>
      <t>ArsP</t>
    </r>
    <r>
      <rPr>
        <i/>
        <sz val="11"/>
        <rFont val="Arial"/>
        <family val="2"/>
      </rPr>
      <t xml:space="preserve"> E. coli</t>
    </r>
    <r>
      <rPr>
        <sz val="11"/>
        <rFont val="Arial"/>
        <family val="2"/>
      </rPr>
      <t>:strain EML = 1:16</t>
    </r>
    <phoneticPr fontId="2" type="noConversion"/>
  </si>
  <si>
    <r>
      <t xml:space="preserve">ArsP </t>
    </r>
    <r>
      <rPr>
        <i/>
        <sz val="11"/>
        <rFont val="Arial"/>
        <family val="2"/>
      </rPr>
      <t>E. coli</t>
    </r>
    <r>
      <rPr>
        <sz val="11"/>
        <rFont val="Arial"/>
        <family val="2"/>
      </rPr>
      <t>:strain EML = 1:32</t>
    </r>
    <phoneticPr fontId="2" type="noConversion"/>
  </si>
  <si>
    <r>
      <t xml:space="preserve">Strain EML + WT </t>
    </r>
    <r>
      <rPr>
        <i/>
        <sz val="10"/>
        <rFont val="Arial"/>
        <family val="2"/>
      </rPr>
      <t>E. coli</t>
    </r>
  </si>
  <si>
    <t>Strain EML</t>
  </si>
  <si>
    <r>
      <t xml:space="preserve">Strain EML + ArsP </t>
    </r>
    <r>
      <rPr>
        <i/>
        <sz val="10"/>
        <rFont val="Arial"/>
        <family val="2"/>
      </rPr>
      <t>E.coli</t>
    </r>
    <phoneticPr fontId="2" type="noConversion"/>
  </si>
  <si>
    <r>
      <t>10% strain EML + ArsP</t>
    </r>
    <r>
      <rPr>
        <i/>
        <sz val="11"/>
        <rFont val="Arial"/>
        <family val="2"/>
      </rPr>
      <t xml:space="preserve"> E.coli</t>
    </r>
    <phoneticPr fontId="2" type="noConversion"/>
  </si>
  <si>
    <t>25% RCB + strain EML+ 25 μM iAs(III)</t>
    <phoneticPr fontId="4" type="noConversion"/>
  </si>
  <si>
    <t>iAs(III)</t>
    <phoneticPr fontId="2" type="noConversion"/>
  </si>
  <si>
    <t>100% RCB + strain EML + 25 μM iAs(III)-no oxidation [μM]</t>
    <phoneticPr fontId="2" type="noConversion"/>
  </si>
  <si>
    <t>75% RCB + strain EML + 25 μM iAs(III)-no oxidation [μΜ]</t>
    <phoneticPr fontId="2" type="noConversion"/>
  </si>
  <si>
    <t>50% RCB + strain EML + 25 μM iAs(III)-no oxidation [μΜ]</t>
    <phoneticPr fontId="2" type="noConversion"/>
  </si>
  <si>
    <t>25% RCB + strain EML + 25 μM iAs(III)-no oxidation [μΜ]</t>
    <phoneticPr fontId="2" type="noConversion"/>
  </si>
  <si>
    <t>iAs(V)</t>
    <phoneticPr fontId="2" type="noConversion"/>
  </si>
  <si>
    <r>
      <t xml:space="preserve">WT </t>
    </r>
    <r>
      <rPr>
        <i/>
        <sz val="11"/>
        <rFont val="Arial"/>
        <family val="2"/>
      </rPr>
      <t>E.coli</t>
    </r>
    <r>
      <rPr>
        <sz val="11"/>
        <rFont val="Arial"/>
        <family val="2"/>
      </rPr>
      <t xml:space="preserve"> + 25 μM iAs(III)</t>
    </r>
    <phoneticPr fontId="2" type="noConversion"/>
  </si>
  <si>
    <r>
      <t xml:space="preserve">WT </t>
    </r>
    <r>
      <rPr>
        <i/>
        <sz val="11"/>
        <rFont val="Arial"/>
        <family val="2"/>
      </rPr>
      <t>E.coli</t>
    </r>
    <r>
      <rPr>
        <sz val="11"/>
        <rFont val="Arial"/>
        <family val="2"/>
      </rPr>
      <t xml:space="preserve"> + 15 μM iAs(III)</t>
    </r>
    <phoneticPr fontId="2" type="noConversion"/>
  </si>
  <si>
    <r>
      <t xml:space="preserve">WT </t>
    </r>
    <r>
      <rPr>
        <i/>
        <sz val="11"/>
        <rFont val="Arial"/>
        <family val="2"/>
      </rPr>
      <t>E.coli</t>
    </r>
    <r>
      <rPr>
        <sz val="11"/>
        <rFont val="Arial"/>
        <family val="2"/>
      </rPr>
      <t xml:space="preserve"> + 10 μM iAs(III)</t>
    </r>
    <phoneticPr fontId="2" type="noConversion"/>
  </si>
  <si>
    <t>100% RCB + strain EML + 25 μM iAs(III)-oxidation [μΜ]</t>
    <phoneticPr fontId="2" type="noConversion"/>
  </si>
  <si>
    <t>75% RCB + strain EML + 25 μM iAs(III)-oxidation [μΜ]</t>
    <phoneticPr fontId="2" type="noConversion"/>
  </si>
  <si>
    <t>50% RCB + strain EML + 25 μM iAs(III)-oxidation [μΜ]</t>
    <phoneticPr fontId="2" type="noConversion"/>
  </si>
  <si>
    <t>25% RCB + strain EML + 25 μM iAs(III)-oxidation [μΜ]</t>
    <phoneticPr fontId="2" type="noConversion"/>
  </si>
  <si>
    <t>100% RCB + strain EML + 25 μM iAs(III)-[no oxidation] nmol/g protein</t>
    <phoneticPr fontId="2" type="noConversion"/>
  </si>
  <si>
    <t>75% RCB + strain EML + 25 μM iAs(III)-[no oxidation] nmol/g protein</t>
    <phoneticPr fontId="2" type="noConversion"/>
  </si>
  <si>
    <t>50% RCB + strain EML + 25 μM iAs(III)-[no oxidation] nmol/g protein</t>
    <phoneticPr fontId="2" type="noConversion"/>
  </si>
  <si>
    <t>25% RCB + strain EML + 25 μM iAs(III)-[no oxidation] nmol/g protein</t>
    <phoneticPr fontId="2" type="noConversion"/>
  </si>
  <si>
    <t>100% RCB + strain EML + 25 iμM As(III)-[oxidation] nmol/g protein</t>
    <phoneticPr fontId="2" type="noConversion"/>
  </si>
  <si>
    <t>75% RCB + strain EML + 25 μM iAs(III)-[oxidation] nmol/g protein</t>
    <phoneticPr fontId="2" type="noConversion"/>
  </si>
  <si>
    <t>50% RCB + strain EML + 25 μM iAs(III)-[oxidation] nmol/g protein</t>
    <phoneticPr fontId="2" type="noConversion"/>
  </si>
  <si>
    <t>25% RCB + strain EML + 25 μM iAs(III)-[oxidation] nmol/g protein</t>
    <phoneticPr fontId="2" type="noConversion"/>
  </si>
  <si>
    <t>100% RCB+strain EML+25 μM iAs(III)</t>
    <phoneticPr fontId="4" type="noConversion"/>
  </si>
  <si>
    <t>75% RCB+strain EML+25 μM iAs(III)</t>
    <phoneticPr fontId="4" type="noConversion"/>
  </si>
  <si>
    <t>50% RCB+strain EML+25 μM iAs(III)</t>
    <phoneticPr fontId="4" type="noConversion"/>
  </si>
  <si>
    <t>25% RCB+strian EML+25 μM iAs(III)</t>
    <phoneticPr fontId="4" type="noConversion"/>
  </si>
  <si>
    <t>100%RCB+strain EML+25 μM iAs(III)</t>
    <phoneticPr fontId="2" type="noConversion"/>
  </si>
  <si>
    <t>75%RCB+strain EML+25 μM iAs(III)</t>
    <phoneticPr fontId="2" type="noConversion"/>
  </si>
  <si>
    <t>50%RCB+strain EML+25 μM iAs(III)</t>
    <phoneticPr fontId="2" type="noConversion"/>
  </si>
  <si>
    <t>25%RCB+strain EML+25 μM iAs(III)</t>
    <phoneticPr fontId="2" type="noConversion"/>
  </si>
  <si>
    <t>75% RCB + strain EML+ 25 μM iAs(III)</t>
    <phoneticPr fontId="2" type="noConversion"/>
  </si>
  <si>
    <t>50% RCB + strain EML+ 25 μM iAs(III)</t>
    <phoneticPr fontId="2" type="noConversion"/>
  </si>
  <si>
    <t>25% RCB + strain EML+ 25 μM iAs(III)</t>
    <phoneticPr fontId="2" type="noConversion"/>
  </si>
  <si>
    <r>
      <t xml:space="preserve">Strain EML + WT </t>
    </r>
    <r>
      <rPr>
        <i/>
        <sz val="11"/>
        <rFont val="Arial"/>
        <family val="2"/>
      </rPr>
      <t xml:space="preserve">E. coli + </t>
    </r>
    <r>
      <rPr>
        <sz val="11"/>
        <rFont val="Arial"/>
        <family val="2"/>
      </rPr>
      <t>25 μM iAs(III)</t>
    </r>
    <phoneticPr fontId="2" type="noConversion"/>
  </si>
  <si>
    <r>
      <t xml:space="preserve">Strain EML + WT </t>
    </r>
    <r>
      <rPr>
        <i/>
        <sz val="11"/>
        <rFont val="Arial"/>
        <family val="2"/>
      </rPr>
      <t>E. coli</t>
    </r>
    <r>
      <rPr>
        <sz val="11"/>
        <rFont val="Arial"/>
        <family val="2"/>
      </rPr>
      <t xml:space="preserve"> + 25 μM iAs(III)</t>
    </r>
    <phoneticPr fontId="2" type="noConversion"/>
  </si>
  <si>
    <r>
      <t xml:space="preserve">Strain EML + ArsP </t>
    </r>
    <r>
      <rPr>
        <i/>
        <sz val="11"/>
        <rFont val="Arial"/>
        <family val="2"/>
      </rPr>
      <t>E. coli</t>
    </r>
    <r>
      <rPr>
        <sz val="11"/>
        <rFont val="Arial"/>
        <family val="2"/>
      </rPr>
      <t xml:space="preserve"> + 25 μM iAs(III)</t>
    </r>
    <phoneticPr fontId="2" type="noConversion"/>
  </si>
  <si>
    <r>
      <t xml:space="preserve"> with 25 μM iAs(III). [0.5 mL strain EML + 0.03 mL E. coli] </t>
    </r>
    <r>
      <rPr>
        <b/>
        <sz val="11"/>
        <color theme="1"/>
        <rFont val="Arial"/>
        <family val="2"/>
      </rPr>
      <t>Data presented in Figure S4b.</t>
    </r>
    <phoneticPr fontId="2" type="noConversion"/>
  </si>
  <si>
    <t>iAs(III) [μΜ]</t>
    <phoneticPr fontId="2" type="noConversion"/>
  </si>
  <si>
    <t>The co-culture systems were performed at an optimal ratio of 10% (v/v) strain EML, i.e., cell pellet from 5 mL exponential growth phase of strain EML cells in RCB and 50 μL exponential growth phase of E. coli (WT or ArsP E. coli) in RCB</t>
    <phoneticPr fontId="2" type="noConversion"/>
  </si>
  <si>
    <t>MMMTAs(V)/iAs(V) [μM]</t>
  </si>
  <si>
    <t>The same amount total RNA for reverse transcription regardless of biomass amount used for the RNA extraction.</t>
  </si>
  <si>
    <r>
      <t xml:space="preserve">WT </t>
    </r>
    <r>
      <rPr>
        <i/>
        <sz val="11"/>
        <rFont val="Arial"/>
        <family val="2"/>
      </rPr>
      <t>E. coli</t>
    </r>
    <r>
      <rPr>
        <sz val="11"/>
        <rFont val="Arial"/>
        <family val="2"/>
      </rPr>
      <t>-MMAs(III) [μM]</t>
    </r>
    <phoneticPr fontId="2" type="noConversion"/>
  </si>
  <si>
    <r>
      <t xml:space="preserve">WT </t>
    </r>
    <r>
      <rPr>
        <i/>
        <sz val="11"/>
        <rFont val="Arial"/>
        <family val="2"/>
      </rPr>
      <t>E. coli</t>
    </r>
    <r>
      <rPr>
        <sz val="11"/>
        <rFont val="Arial"/>
        <family val="2"/>
      </rPr>
      <t>-MMAs(V) [μM]</t>
    </r>
    <phoneticPr fontId="2" type="noConversion"/>
  </si>
  <si>
    <r>
      <t xml:space="preserve">ArsP </t>
    </r>
    <r>
      <rPr>
        <i/>
        <sz val="11"/>
        <rFont val="Arial"/>
        <family val="2"/>
      </rPr>
      <t>E. coli</t>
    </r>
    <r>
      <rPr>
        <sz val="11"/>
        <rFont val="Arial"/>
        <family val="2"/>
      </rPr>
      <t>-MMAs(III) [μM]</t>
    </r>
    <phoneticPr fontId="2" type="noConversion"/>
  </si>
  <si>
    <r>
      <t xml:space="preserve">ArsP </t>
    </r>
    <r>
      <rPr>
        <i/>
        <sz val="11"/>
        <rFont val="Arial"/>
        <family val="2"/>
      </rPr>
      <t>E. coli</t>
    </r>
    <r>
      <rPr>
        <sz val="11"/>
        <rFont val="Arial"/>
        <family val="2"/>
      </rPr>
      <t>-MMAs(V) [μM]</t>
    </r>
    <phoneticPr fontId="2" type="noConversion"/>
  </si>
  <si>
    <r>
      <t xml:space="preserve">10% strain EML + WT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[μM]</t>
    </r>
    <phoneticPr fontId="2" type="noConversion"/>
  </si>
  <si>
    <r>
      <t xml:space="preserve">10% strain EML + ArsP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[μM]</t>
    </r>
    <phoneticPr fontId="2" type="noConversion"/>
  </si>
  <si>
    <t>10% strain EML [μM]</t>
    <phoneticPr fontId="2" type="noConversion"/>
  </si>
  <si>
    <t>NO OXIDATION</t>
  </si>
  <si>
    <t>OXIDATION</t>
  </si>
  <si>
    <t>Aqueous total As (measured by ICP-MS)-no oxidation [μM]</t>
    <phoneticPr fontId="5" type="noConversion"/>
  </si>
  <si>
    <t>Aqueous total As (measured by ICP-MS)-oxidation [μM]</t>
    <phoneticPr fontId="5" type="noConversion"/>
  </si>
  <si>
    <t>Time/ h</t>
    <phoneticPr fontId="5" type="noConversion"/>
  </si>
  <si>
    <t>100% RCB+strain EML+25 μM iAs(III)</t>
    <phoneticPr fontId="5" type="noConversion"/>
  </si>
  <si>
    <t>75% RCB+strain EML+25 μM iAs(III)</t>
    <phoneticPr fontId="5" type="noConversion"/>
  </si>
  <si>
    <t>50% RCB+strain EML+25 μM iAs(III)</t>
    <phoneticPr fontId="5" type="noConversion"/>
  </si>
  <si>
    <t>25% RCB+strain EML+25 μΜ iAs(III)</t>
    <phoneticPr fontId="5" type="noConversion"/>
  </si>
  <si>
    <t>Time/h</t>
    <phoneticPr fontId="5" type="noConversion"/>
  </si>
  <si>
    <t>Intracellular total As (measured by ICP-MS) [μM]</t>
    <phoneticPr fontId="5" type="noConversion"/>
  </si>
  <si>
    <t>Intracellular total As (measured by ICP-MS)-oxidation [μM]</t>
    <phoneticPr fontId="5" type="noConversion"/>
  </si>
  <si>
    <t>50% RCB+strain EML+25 μΜ iAs(III)</t>
    <phoneticPr fontId="5" type="noConversion"/>
  </si>
  <si>
    <t>100% RCB+strain EML+25 μΜ iAs(III)</t>
    <phoneticPr fontId="5" type="noConversion"/>
  </si>
  <si>
    <t>no oxidation: aqueous total As + intracellular total As (determined by ICP-MS) [μM]</t>
    <phoneticPr fontId="5" type="noConversion"/>
  </si>
  <si>
    <t>oxidation: aqueous total As + intracellular total As [μM]</t>
    <phoneticPr fontId="5" type="noConversion"/>
  </si>
  <si>
    <t>no oxidation: aqueous As species+intracellular As species (determined by HPLC-ICP-MS) [μM]</t>
    <phoneticPr fontId="5" type="noConversion"/>
  </si>
  <si>
    <t>oxidation: aqueous As species+intracellular As species (determined by HPLC-ICP-MS) [μM]</t>
    <phoneticPr fontId="5" type="noConversion"/>
  </si>
  <si>
    <t>As mass balance-no oxidation: aqueous As species+intracellular As species (determined by HPLC-ICP-MS) / aqueous total As + intracellular total As (determined by ICP-MS) [%]</t>
    <phoneticPr fontId="5" type="noConversion"/>
  </si>
  <si>
    <t>As mass balance-oxidation: aqueous As species+intracellular As species (determined by HPLC-ICP-MS) / aqueous total As + intracellular total As (determined by ICP-MS) [%]</t>
    <phoneticPr fontId="5" type="noConversion"/>
  </si>
  <si>
    <r>
      <rPr>
        <i/>
        <vertAlign val="superscript"/>
        <sz val="12"/>
        <color theme="1"/>
        <rFont val="Arial"/>
        <family val="2"/>
      </rPr>
      <t xml:space="preserve">a </t>
    </r>
    <r>
      <rPr>
        <i/>
        <sz val="12"/>
        <color theme="1"/>
        <rFont val="Arial"/>
        <family val="2"/>
      </rPr>
      <t>Environmental Microbiology Laboratory, School of Architecture, Civil and Environmental Engineering, École Polytechnique Fédérale de Lausanne (EPFL), CH-1015 Lausanne, Switzerland</t>
    </r>
  </si>
  <si>
    <r>
      <rPr>
        <i/>
        <vertAlign val="superscript"/>
        <sz val="12"/>
        <color theme="1"/>
        <rFont val="Arial"/>
        <family val="2"/>
      </rPr>
      <t xml:space="preserve">b </t>
    </r>
    <r>
      <rPr>
        <i/>
        <sz val="12"/>
        <color theme="1"/>
        <rFont val="Arial"/>
        <family val="2"/>
      </rPr>
      <t>Guangdong Key Laboratory of Integrated Agro-environmental Pollution Control and Management, Institute of Eco-environmental and Soil Sciences, Guangdong Academy of Sciencesm Guangzhou 510650, China</t>
    </r>
  </si>
  <si>
    <r>
      <rPr>
        <i/>
        <vertAlign val="superscript"/>
        <sz val="12"/>
        <color theme="1"/>
        <rFont val="Arial"/>
        <family val="2"/>
      </rPr>
      <t>c</t>
    </r>
    <r>
      <rPr>
        <i/>
        <sz val="12"/>
        <color theme="1"/>
        <rFont val="Arial"/>
        <family val="2"/>
      </rPr>
      <t>National-Regional Joint Engineering Research Center for Soil Pollution Contril and Remediation in South China, Guangzhou 510650, China</t>
    </r>
  </si>
  <si>
    <t>*Corresponding author. E-mail address: rizlan.bernier-latmani@epfl.ch. Postal address: Building CH, CH A1 375, Station 6 CH-1015 Lausanne Switzerland. Tel. +41 21 69 35001.</t>
  </si>
  <si>
    <r>
      <t>Jiangtao Qiao</t>
    </r>
    <r>
      <rPr>
        <vertAlign val="superscript"/>
        <sz val="12"/>
        <color theme="1"/>
        <rFont val="Arial"/>
        <family val="2"/>
      </rPr>
      <t>a,b,c</t>
    </r>
    <r>
      <rPr>
        <sz val="12"/>
        <color theme="1"/>
        <rFont val="Arial"/>
        <family val="2"/>
      </rPr>
      <t>, Hugo Sallet</t>
    </r>
    <r>
      <rPr>
        <vertAlign val="superscript"/>
        <sz val="12"/>
        <color theme="1"/>
        <rFont val="Arial"/>
        <family val="2"/>
      </rPr>
      <t>a</t>
    </r>
    <r>
      <rPr>
        <sz val="12"/>
        <color theme="1"/>
        <rFont val="Arial"/>
        <family val="2"/>
      </rPr>
      <t>, Karin Lederballe Meibom</t>
    </r>
    <r>
      <rPr>
        <vertAlign val="superscript"/>
        <sz val="12"/>
        <color theme="1"/>
        <rFont val="Arial"/>
        <family val="2"/>
      </rPr>
      <t>a</t>
    </r>
    <r>
      <rPr>
        <sz val="12"/>
        <color theme="1"/>
        <rFont val="Arial"/>
        <family val="2"/>
      </rPr>
      <t>, Rizlan Bernier-Latmani</t>
    </r>
    <r>
      <rPr>
        <vertAlign val="superscript"/>
        <sz val="12"/>
        <color theme="1"/>
        <rFont val="Arial"/>
        <family val="2"/>
      </rPr>
      <t>a</t>
    </r>
    <r>
      <rPr>
        <sz val="12"/>
        <color theme="1"/>
        <rFont val="Arial"/>
        <family val="2"/>
      </rPr>
      <t>*</t>
    </r>
  </si>
  <si>
    <r>
      <t xml:space="preserve">Non-normalized data available in </t>
    </r>
    <r>
      <rPr>
        <b/>
        <sz val="11"/>
        <color theme="1"/>
        <rFont val="Arial"/>
        <family val="2"/>
      </rPr>
      <t>Data Table S15.</t>
    </r>
  </si>
  <si>
    <r>
      <t>Data Table 4a</t>
    </r>
    <r>
      <rPr>
        <sz val="11"/>
        <color theme="1"/>
        <rFont val="Arial"/>
        <family val="2"/>
      </rPr>
      <t xml:space="preserve">. Growth curves (16S rRNA gene copy number) of </t>
    </r>
    <r>
      <rPr>
        <i/>
        <sz val="11"/>
        <color rgb="FF000000"/>
        <rFont val="Arial"/>
        <family val="2"/>
      </rPr>
      <t>Escherichia coli</t>
    </r>
    <r>
      <rPr>
        <sz val="11"/>
        <color rgb="FF000000"/>
        <rFont val="Arial"/>
        <family val="2"/>
      </rPr>
      <t xml:space="preserve"> K-12 wild-type strain MG1655 (WT </t>
    </r>
    <r>
      <rPr>
        <i/>
        <sz val="11"/>
        <color rgb="FF000000"/>
        <rFont val="Arial"/>
        <family val="2"/>
      </rPr>
      <t>E. coli</t>
    </r>
    <r>
      <rPr>
        <sz val="11"/>
        <color rgb="FF000000"/>
        <rFont val="Arial"/>
        <family val="2"/>
      </rPr>
      <t>) and engineered WT</t>
    </r>
    <r>
      <rPr>
        <i/>
        <sz val="11"/>
        <color rgb="FF000000"/>
        <rFont val="Arial"/>
        <family val="2"/>
      </rPr>
      <t xml:space="preserve"> E. coli</t>
    </r>
    <r>
      <rPr>
        <sz val="11"/>
        <color rgb="FF000000"/>
        <rFont val="Arial"/>
        <family val="2"/>
      </rPr>
      <t xml:space="preserve"> harboring an expressing MMAs(III)-</t>
    </r>
  </si>
  <si>
    <r>
      <t xml:space="preserve">Data Table 5b. </t>
    </r>
    <r>
      <rPr>
        <sz val="11"/>
        <color theme="1"/>
        <rFont val="Arial"/>
        <family val="2"/>
      </rPr>
      <t>Transcripts of</t>
    </r>
    <r>
      <rPr>
        <i/>
        <sz val="11"/>
        <color theme="1"/>
        <rFont val="Arial"/>
        <family val="2"/>
      </rPr>
      <t xml:space="preserve"> arsM</t>
    </r>
    <r>
      <rPr>
        <sz val="11"/>
        <color theme="1"/>
        <rFont val="Arial"/>
        <family val="2"/>
      </rPr>
      <t xml:space="preserve"> gene of strain EML normalized to16S rRNA gene copies in anaerobic co-culture systems as described above at 0, 4, and 6 hours of incubation. </t>
    </r>
    <r>
      <rPr>
        <b/>
        <sz val="11"/>
        <color theme="1"/>
        <rFont val="Arial"/>
        <family val="2"/>
      </rPr>
      <t>Data shown in Figure 5b.</t>
    </r>
  </si>
  <si>
    <t>Data Table S1</t>
  </si>
  <si>
    <r>
      <t>Data Table S3.</t>
    </r>
    <r>
      <rPr>
        <sz val="11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>Growth curves (OD</t>
    </r>
    <r>
      <rPr>
        <vertAlign val="subscript"/>
        <sz val="11"/>
        <color rgb="FF000000"/>
        <rFont val="Arial"/>
        <family val="2"/>
      </rPr>
      <t>600</t>
    </r>
    <r>
      <rPr>
        <sz val="11"/>
        <color rgb="FF000000"/>
        <rFont val="Arial"/>
        <family val="2"/>
      </rPr>
      <t xml:space="preserve">) of </t>
    </r>
    <r>
      <rPr>
        <i/>
        <sz val="11"/>
        <color rgb="FF000000"/>
        <rFont val="Arial"/>
        <family val="2"/>
      </rPr>
      <t>Escherichia coli</t>
    </r>
    <r>
      <rPr>
        <sz val="11"/>
        <color rgb="FF000000"/>
        <rFont val="Arial"/>
        <family val="2"/>
      </rPr>
      <t xml:space="preserve"> K-12 wild-type strain MG1655 (WT </t>
    </r>
    <r>
      <rPr>
        <i/>
        <sz val="11"/>
        <color rgb="FF000000"/>
        <rFont val="Arial"/>
        <family val="2"/>
      </rPr>
      <t>E. coli</t>
    </r>
    <r>
      <rPr>
        <sz val="11"/>
        <color rgb="FF000000"/>
        <rFont val="Arial"/>
        <family val="2"/>
      </rPr>
      <t>) and engineered WT</t>
    </r>
    <r>
      <rPr>
        <i/>
        <sz val="11"/>
        <color rgb="FF000000"/>
        <rFont val="Arial"/>
        <family val="2"/>
      </rPr>
      <t xml:space="preserve"> E. coli</t>
    </r>
    <r>
      <rPr>
        <sz val="11"/>
        <color rgb="FF000000"/>
        <rFont val="Arial"/>
        <family val="2"/>
      </rPr>
      <t xml:space="preserve"> harboring an expressing MMAs(III)-resistance gene (</t>
    </r>
    <r>
      <rPr>
        <i/>
        <sz val="11"/>
        <color rgb="FF000000"/>
        <rFont val="Arial"/>
        <family val="2"/>
      </rPr>
      <t>arsP</t>
    </r>
    <r>
      <rPr>
        <sz val="11"/>
        <color rgb="FF000000"/>
        <rFont val="Arial"/>
        <family val="2"/>
      </rPr>
      <t xml:space="preserve">) (ArsP </t>
    </r>
    <r>
      <rPr>
        <i/>
        <sz val="11"/>
        <color rgb="FF000000"/>
        <rFont val="Arial"/>
        <family val="2"/>
      </rPr>
      <t>E. coli</t>
    </r>
    <r>
      <rPr>
        <sz val="11"/>
        <color rgb="FF000000"/>
        <rFont val="Arial"/>
        <family val="2"/>
      </rPr>
      <t>)</t>
    </r>
  </si>
  <si>
    <t>Data Table S4</t>
  </si>
  <si>
    <r>
      <t>Data Table S4a.</t>
    </r>
    <r>
      <rPr>
        <sz val="11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 xml:space="preserve">Growth curves (16S rRNA gene copy number) of WT </t>
    </r>
    <r>
      <rPr>
        <i/>
        <sz val="11"/>
        <color rgb="FF000000"/>
        <rFont val="Arial"/>
        <family val="2"/>
      </rPr>
      <t>E. coli</t>
    </r>
    <r>
      <rPr>
        <sz val="11"/>
        <color rgb="FF000000"/>
        <rFont val="Arial"/>
        <family val="2"/>
      </rPr>
      <t xml:space="preserve"> and ArsP-expressing </t>
    </r>
    <r>
      <rPr>
        <i/>
        <sz val="11"/>
        <color rgb="FF000000"/>
        <rFont val="Arial"/>
        <family val="2"/>
      </rPr>
      <t>E. coli</t>
    </r>
    <r>
      <rPr>
        <sz val="11"/>
        <color rgb="FF000000"/>
        <rFont val="Arial"/>
        <family val="2"/>
      </rPr>
      <t xml:space="preserve"> in anaerobic co-culture with </t>
    </r>
    <r>
      <rPr>
        <i/>
        <sz val="11"/>
        <color theme="1"/>
        <rFont val="Arial"/>
        <family val="2"/>
      </rPr>
      <t>Paraclostridium bifermentans</t>
    </r>
    <r>
      <rPr>
        <sz val="11"/>
        <color rgb="FF000000"/>
        <rFont val="Arial"/>
        <family val="2"/>
      </rPr>
      <t xml:space="preserve"> strain EML in anoxic RCB supplied </t>
    </r>
  </si>
  <si>
    <r>
      <t>Data Table S4b.</t>
    </r>
    <r>
      <rPr>
        <sz val="11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 xml:space="preserve">Growth curves (16S rRNA gene copy number) of WT </t>
    </r>
    <r>
      <rPr>
        <i/>
        <sz val="11"/>
        <color rgb="FF000000"/>
        <rFont val="Arial"/>
        <family val="2"/>
      </rPr>
      <t>E. coli</t>
    </r>
    <r>
      <rPr>
        <sz val="11"/>
        <color rgb="FF000000"/>
        <rFont val="Arial"/>
        <family val="2"/>
      </rPr>
      <t xml:space="preserve"> and ArsP-expressing </t>
    </r>
    <r>
      <rPr>
        <i/>
        <sz val="11"/>
        <color rgb="FF000000"/>
        <rFont val="Arial"/>
        <family val="2"/>
      </rPr>
      <t>E. coli</t>
    </r>
    <r>
      <rPr>
        <sz val="11"/>
        <color rgb="FF000000"/>
        <rFont val="Arial"/>
        <family val="2"/>
      </rPr>
      <t xml:space="preserve"> in anaerobic co-culture with </t>
    </r>
    <r>
      <rPr>
        <i/>
        <sz val="11"/>
        <color theme="1"/>
        <rFont val="Arial"/>
        <family val="2"/>
      </rPr>
      <t>Paraclostridium bifermentans</t>
    </r>
    <r>
      <rPr>
        <sz val="11"/>
        <color rgb="FF000000"/>
        <rFont val="Arial"/>
        <family val="2"/>
      </rPr>
      <t xml:space="preserve"> strain EML in anoxic RCB supplied</t>
    </r>
  </si>
  <si>
    <r>
      <t>Data Table S5.</t>
    </r>
    <r>
      <rPr>
        <sz val="11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>Growth (16S rRNA gene copy number) of the co-culture members in anoxic RCB supplied with 25 μM iAs(III) after 12 hours of incubation.</t>
    </r>
    <r>
      <rPr>
        <sz val="11"/>
        <color theme="1"/>
        <rFont val="Arial"/>
        <family val="2"/>
      </rPr>
      <t xml:space="preserve"> </t>
    </r>
    <r>
      <rPr>
        <i/>
        <sz val="11"/>
        <color theme="1"/>
        <rFont val="Arial"/>
        <family val="2"/>
      </rPr>
      <t>Paraclostridium bifermentans</t>
    </r>
    <r>
      <rPr>
        <sz val="11"/>
        <color theme="1"/>
        <rFont val="Arial"/>
        <family val="2"/>
      </rPr>
      <t xml:space="preserve"> strain EML was co-culture with  </t>
    </r>
  </si>
  <si>
    <t>Data Table S6</t>
  </si>
  <si>
    <r>
      <t>Data Table S6a.</t>
    </r>
    <r>
      <rPr>
        <sz val="11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 xml:space="preserve">Growth (16S rRNA gene copy number) of the co-culture members in anoxic RCB supplied with 25 μM iAs(III) after 12 hours of incubation. </t>
    </r>
    <r>
      <rPr>
        <i/>
        <sz val="11"/>
        <color rgb="FF000000"/>
        <rFont val="Arial"/>
        <family val="2"/>
      </rPr>
      <t>Paraclostridium bifermentans</t>
    </r>
    <r>
      <rPr>
        <sz val="11"/>
        <color rgb="FF000000"/>
        <rFont val="Arial"/>
        <family val="2"/>
      </rPr>
      <t xml:space="preserve"> strain EML was co-culture with either </t>
    </r>
  </si>
  <si>
    <r>
      <rPr>
        <b/>
        <sz val="11"/>
        <color theme="1"/>
        <rFont val="Arial"/>
        <family val="2"/>
      </rPr>
      <t>Data Table S8</t>
    </r>
    <r>
      <rPr>
        <sz val="11"/>
        <color theme="1"/>
        <rFont val="Arial"/>
        <family val="2"/>
      </rPr>
      <t>.The concentration of aqueous As species for each replicate in anaerobic dilutions of RCB (100%, 75%, 50%, or 25% RCB) inoculated with</t>
    </r>
    <r>
      <rPr>
        <i/>
        <sz val="11"/>
        <color theme="1"/>
        <rFont val="Arial"/>
        <family val="2"/>
      </rPr>
      <t xml:space="preserve"> Paraclostridium bifermentans</t>
    </r>
    <r>
      <rPr>
        <sz val="11"/>
        <color theme="1"/>
        <rFont val="Arial"/>
        <family val="2"/>
      </rPr>
      <t xml:space="preserve"> strain EML and 25 μM iAs(III). </t>
    </r>
  </si>
  <si>
    <r>
      <rPr>
        <b/>
        <sz val="11"/>
        <color theme="1"/>
        <rFont val="Arial"/>
        <family val="2"/>
      </rPr>
      <t>Data Table S9</t>
    </r>
    <r>
      <rPr>
        <sz val="11"/>
        <color theme="1"/>
        <rFont val="Arial"/>
        <family val="2"/>
      </rPr>
      <t>.The concentration of protein-normalized intracellular As species for each replicate in anaerobic dilutions of RCB (100%, 75%, 50%, or 25% RCB) inoculated with</t>
    </r>
    <r>
      <rPr>
        <i/>
        <sz val="11"/>
        <color theme="1"/>
        <rFont val="Arial"/>
        <family val="2"/>
      </rPr>
      <t xml:space="preserve"> Paraclostridium bifermentans</t>
    </r>
    <r>
      <rPr>
        <sz val="11"/>
        <color theme="1"/>
        <rFont val="Arial"/>
        <family val="2"/>
      </rPr>
      <t xml:space="preserve"> </t>
    </r>
  </si>
  <si>
    <r>
      <rPr>
        <b/>
        <sz val="11"/>
        <color theme="1"/>
        <rFont val="Arial"/>
        <family val="2"/>
      </rPr>
      <t xml:space="preserve">Data Table S12. </t>
    </r>
    <r>
      <rPr>
        <sz val="11"/>
        <color theme="1"/>
        <rFont val="Arial"/>
        <family val="2"/>
      </rPr>
      <t>The concentration of aqueous As species for each replicate in anaerobic water supplemented with 3 μM MMAs(III) and 6 μΜ sodium sulfide.</t>
    </r>
    <r>
      <rPr>
        <sz val="11"/>
        <color theme="1"/>
        <rFont val="宋体"/>
        <family val="2"/>
        <charset val="134"/>
      </rPr>
      <t xml:space="preserve"> </t>
    </r>
  </si>
  <si>
    <t>—</t>
  </si>
  <si>
    <t>Time/ h</t>
  </si>
  <si>
    <r>
      <rPr>
        <b/>
        <sz val="11"/>
        <color theme="1"/>
        <rFont val="Arial"/>
        <family val="2"/>
      </rPr>
      <t>Data Table S18</t>
    </r>
    <r>
      <rPr>
        <sz val="11"/>
        <color theme="1"/>
        <rFont val="Arial"/>
        <family val="2"/>
      </rPr>
      <t>.Comparison of As mass balance for each replicate in anaerobic dilutions of RCB (100%, 75%, 50%, or 25% RCB) inoculated with</t>
    </r>
    <r>
      <rPr>
        <i/>
        <sz val="11"/>
        <color theme="1"/>
        <rFont val="Arial"/>
        <family val="2"/>
      </rPr>
      <t xml:space="preserve"> Paraclostridium bifermentans</t>
    </r>
    <r>
      <rPr>
        <sz val="11"/>
        <color theme="1"/>
        <rFont val="Arial"/>
        <family val="2"/>
      </rPr>
      <t xml:space="preserve"> strain EML and 25 μM iAs(III).</t>
    </r>
  </si>
  <si>
    <r>
      <t xml:space="preserve">10% strain EML + WT </t>
    </r>
    <r>
      <rPr>
        <i/>
        <sz val="11"/>
        <rFont val="Arial"/>
        <family val="2"/>
      </rPr>
      <t>E. coli</t>
    </r>
  </si>
  <si>
    <r>
      <t xml:space="preserve">10% strain EML + ArsP </t>
    </r>
    <r>
      <rPr>
        <i/>
        <sz val="11"/>
        <rFont val="Arial"/>
        <family val="2"/>
      </rPr>
      <t>E. coli</t>
    </r>
  </si>
  <si>
    <t>These data are used to calculate normalized intracellular concentrations in Data Table S9.</t>
  </si>
  <si>
    <r>
      <t xml:space="preserve">10% strain EML + WT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[μM]</t>
    </r>
  </si>
  <si>
    <r>
      <t xml:space="preserve">10% strain EML + ArsP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[μM]</t>
    </r>
  </si>
  <si>
    <r>
      <t xml:space="preserve">ArsP </t>
    </r>
    <r>
      <rPr>
        <i/>
        <sz val="11"/>
        <rFont val="Arial"/>
        <family val="2"/>
      </rPr>
      <t>E.coli</t>
    </r>
    <r>
      <rPr>
        <sz val="11"/>
        <rFont val="Arial"/>
        <family val="2"/>
      </rPr>
      <t xml:space="preserve"> + 25 μM iAs(III)</t>
    </r>
  </si>
  <si>
    <r>
      <t xml:space="preserve">ArsP </t>
    </r>
    <r>
      <rPr>
        <i/>
        <sz val="11"/>
        <rFont val="Arial"/>
        <family val="2"/>
      </rPr>
      <t>E.coli</t>
    </r>
    <r>
      <rPr>
        <sz val="11"/>
        <rFont val="Arial"/>
        <family val="2"/>
      </rPr>
      <t xml:space="preserve"> + 15 μM iAs(III)</t>
    </r>
  </si>
  <si>
    <r>
      <t xml:space="preserve">ArsP </t>
    </r>
    <r>
      <rPr>
        <i/>
        <sz val="11"/>
        <rFont val="Arial"/>
        <family val="2"/>
      </rPr>
      <t>E.coli</t>
    </r>
    <r>
      <rPr>
        <sz val="11"/>
        <rFont val="Arial"/>
        <family val="2"/>
      </rPr>
      <t xml:space="preserve"> + 10 μM iAs(III)</t>
    </r>
  </si>
  <si>
    <r>
      <t xml:space="preserve">WT/ArsP </t>
    </r>
    <r>
      <rPr>
        <i/>
        <sz val="11"/>
        <rFont val="Arial"/>
        <family val="2"/>
      </rPr>
      <t>E.coli</t>
    </r>
  </si>
  <si>
    <r>
      <t>ArsP</t>
    </r>
    <r>
      <rPr>
        <i/>
        <sz val="11"/>
        <rFont val="Arial"/>
        <family val="2"/>
      </rPr>
      <t xml:space="preserve"> E. coli</t>
    </r>
    <r>
      <rPr>
        <sz val="11"/>
        <rFont val="Arial"/>
        <family val="2"/>
      </rPr>
      <t xml:space="preserve"> + 1 μM MMAs(III)</t>
    </r>
  </si>
  <si>
    <t>100% RCB + strain EML + 25 μM iAs(III)</t>
  </si>
  <si>
    <t>75% RCB + strain EML + 25 μM iAs(III)</t>
  </si>
  <si>
    <t>50% RCB + strain EML + 25 μM iAs(III)</t>
  </si>
  <si>
    <t>25% RCB + strain EML + 25 μM iAs(III)</t>
  </si>
  <si>
    <t>iAs(III)</t>
  </si>
  <si>
    <t>iAs(V)</t>
  </si>
  <si>
    <r>
      <rPr>
        <b/>
        <sz val="11"/>
        <color theme="1"/>
        <rFont val="Arial"/>
        <family val="2"/>
      </rPr>
      <t>Data Table S21</t>
    </r>
    <r>
      <rPr>
        <sz val="11"/>
        <color theme="1"/>
        <rFont val="Arial"/>
        <family val="2"/>
      </rPr>
      <t>.The concentration of intracellular As species for each replicate in anaerobic dilutions of RCB (100%, 75%, 50%, or 25% RCB) inoculated with</t>
    </r>
    <r>
      <rPr>
        <i/>
        <sz val="11"/>
        <color theme="1"/>
        <rFont val="Arial"/>
        <family val="2"/>
      </rPr>
      <t xml:space="preserve"> Paraclostridium bifermentans</t>
    </r>
    <r>
      <rPr>
        <sz val="11"/>
        <color theme="1"/>
        <rFont val="Arial"/>
        <family val="2"/>
      </rPr>
      <t xml:space="preserve"> strain EML and 25 μM iAs(III). </t>
    </r>
  </si>
  <si>
    <t>no-oxidation [μM]</t>
  </si>
  <si>
    <r>
      <t>oxidation by H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O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[μM]</t>
    </r>
  </si>
  <si>
    <t>100% RCB + MMAs(III) [μM]</t>
  </si>
  <si>
    <t>75% RCB + MMAs(III) [μM]</t>
  </si>
  <si>
    <t>50% RCB + MMAs(III) [μM]</t>
  </si>
  <si>
    <t>25% RCB + MMAs(III) [μM]</t>
  </si>
  <si>
    <r>
      <t xml:space="preserve">10% strain EML + WT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[μmol/copy]</t>
    </r>
  </si>
  <si>
    <r>
      <t xml:space="preserve">10% strain EML + ArsP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[μmol/copy]</t>
    </r>
  </si>
  <si>
    <t>10% strain EML [μmol/copy]</t>
  </si>
  <si>
    <r>
      <t>100% RCB + strain EML+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25 μM</t>
    </r>
    <r>
      <rPr>
        <sz val="11"/>
        <rFont val="Arial"/>
        <family val="2"/>
      </rPr>
      <t xml:space="preserve"> iAs(III)</t>
    </r>
  </si>
  <si>
    <r>
      <t>75% RCB + strain EML+</t>
    </r>
    <r>
      <rPr>
        <b/>
        <sz val="11"/>
        <color theme="1"/>
        <rFont val="Arial"/>
        <family val="2"/>
      </rPr>
      <t xml:space="preserve"> </t>
    </r>
    <r>
      <rPr>
        <sz val="11"/>
        <rFont val="Arial"/>
        <family val="2"/>
      </rPr>
      <t>25 μM iAs(III)</t>
    </r>
  </si>
  <si>
    <r>
      <t>50% RCB</t>
    </r>
    <r>
      <rPr>
        <sz val="11"/>
        <rFont val="Arial"/>
        <family val="2"/>
      </rPr>
      <t xml:space="preserve"> + strain EML + 25 μM iAs(III)</t>
    </r>
  </si>
  <si>
    <r>
      <t>OD</t>
    </r>
    <r>
      <rPr>
        <vertAlign val="subscript"/>
        <sz val="11"/>
        <color theme="1"/>
        <rFont val="Arial"/>
        <family val="2"/>
      </rPr>
      <t>600</t>
    </r>
  </si>
  <si>
    <r>
      <t>OD</t>
    </r>
    <r>
      <rPr>
        <vertAlign val="subscript"/>
        <sz val="11"/>
        <color theme="1"/>
        <rFont val="Arial"/>
        <family val="2"/>
      </rPr>
      <t xml:space="preserve">600 </t>
    </r>
    <r>
      <rPr>
        <sz val="11"/>
        <color theme="1"/>
        <rFont val="Arial"/>
        <family val="2"/>
      </rPr>
      <t>adjustment</t>
    </r>
  </si>
  <si>
    <r>
      <t>A</t>
    </r>
    <r>
      <rPr>
        <vertAlign val="subscript"/>
        <sz val="11"/>
        <color theme="1"/>
        <rFont val="Arial"/>
        <family val="2"/>
      </rPr>
      <t>260</t>
    </r>
    <r>
      <rPr>
        <sz val="11"/>
        <color theme="1"/>
        <rFont val="Arial"/>
        <family val="2"/>
      </rPr>
      <t>/A</t>
    </r>
    <r>
      <rPr>
        <vertAlign val="subscript"/>
        <sz val="11"/>
        <color theme="1"/>
        <rFont val="Arial"/>
        <family val="2"/>
      </rPr>
      <t>280</t>
    </r>
  </si>
  <si>
    <r>
      <t>A</t>
    </r>
    <r>
      <rPr>
        <vertAlign val="subscript"/>
        <sz val="11"/>
        <color theme="1"/>
        <rFont val="Arial"/>
        <family val="2"/>
      </rPr>
      <t>260</t>
    </r>
    <r>
      <rPr>
        <sz val="11"/>
        <color theme="1"/>
        <rFont val="Arial"/>
        <family val="2"/>
      </rPr>
      <t>/A</t>
    </r>
    <r>
      <rPr>
        <vertAlign val="subscript"/>
        <sz val="11"/>
        <color theme="1"/>
        <rFont val="Arial"/>
        <family val="2"/>
      </rPr>
      <t>230</t>
    </r>
  </si>
  <si>
    <r>
      <t>copies/OD</t>
    </r>
    <r>
      <rPr>
        <vertAlign val="subscript"/>
        <sz val="11"/>
        <color theme="1"/>
        <rFont val="Arial"/>
        <family val="2"/>
      </rPr>
      <t>600</t>
    </r>
  </si>
  <si>
    <t>100% RCB + strain EML+ 25 μM iAs(III)</t>
  </si>
  <si>
    <t>Data for the manuscript:</t>
  </si>
  <si>
    <t>Data Table 1- Data displayed in Figure 1.</t>
  </si>
  <si>
    <r>
      <t>As species were either directly determined by HPLC-ICP-MS or were oxidized by 10% (v/v) H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O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to pentavalent As species before analyzing by HPLC-ICP-MS. </t>
    </r>
  </si>
  <si>
    <r>
      <t>All the treatments were adjusted to a similar biomass (OD</t>
    </r>
    <r>
      <rPr>
        <vertAlign val="subscript"/>
        <sz val="11"/>
        <color theme="1"/>
        <rFont val="Arial"/>
        <family val="2"/>
      </rPr>
      <t>600</t>
    </r>
    <r>
      <rPr>
        <sz val="11"/>
        <color theme="1"/>
        <rFont val="Arial"/>
        <family val="2"/>
      </rPr>
      <t>) before RNA extraction and transcripts of arsM gene were then normalized to the OD</t>
    </r>
    <r>
      <rPr>
        <vertAlign val="subscript"/>
        <sz val="11"/>
        <color theme="1"/>
        <rFont val="Arial"/>
        <family val="2"/>
      </rPr>
      <t>600</t>
    </r>
    <r>
      <rPr>
        <sz val="11"/>
        <color theme="1"/>
        <rFont val="Arial"/>
        <family val="2"/>
      </rPr>
      <t xml:space="preserve"> values.</t>
    </r>
    <r>
      <rPr>
        <b/>
        <sz val="11"/>
        <color theme="1"/>
        <rFont val="Arial"/>
        <family val="2"/>
      </rPr>
      <t xml:space="preserve"> </t>
    </r>
  </si>
  <si>
    <t>Data Table 5. Data displayed in Figure 5.</t>
  </si>
  <si>
    <t>Data Table S20</t>
  </si>
  <si>
    <r>
      <rPr>
        <b/>
        <sz val="11"/>
        <color theme="1"/>
        <rFont val="Arial"/>
        <family val="2"/>
      </rPr>
      <t>Data Table 1a-d</t>
    </r>
    <r>
      <rPr>
        <sz val="11"/>
        <color theme="1"/>
        <rFont val="Arial"/>
        <family val="2"/>
      </rPr>
      <t>.The value of OD</t>
    </r>
    <r>
      <rPr>
        <vertAlign val="subscript"/>
        <sz val="11"/>
        <color theme="1"/>
        <rFont val="Arial"/>
        <family val="2"/>
      </rPr>
      <t>600</t>
    </r>
    <r>
      <rPr>
        <sz val="11"/>
        <color theme="1"/>
        <rFont val="Arial"/>
        <family val="2"/>
      </rPr>
      <t xml:space="preserve"> for each replicate in anaerobic dilutions of RCB (100%, 75%, 50%, or 25% RCB) inoculated with</t>
    </r>
    <r>
      <rPr>
        <i/>
        <sz val="11"/>
        <color theme="1"/>
        <rFont val="Arial"/>
        <family val="2"/>
      </rPr>
      <t xml:space="preserve"> Paraclostridium bifermentans</t>
    </r>
    <r>
      <rPr>
        <sz val="11"/>
        <color theme="1"/>
        <rFont val="Arial"/>
        <family val="2"/>
      </rPr>
      <t xml:space="preserve"> strain EML in the presence and absence of 25 μM iAs(III). </t>
    </r>
    <r>
      <rPr>
        <b/>
        <sz val="11"/>
        <color theme="1"/>
        <rFont val="Arial"/>
        <family val="2"/>
      </rPr>
      <t>Data shown in Fig. 1a-d.</t>
    </r>
  </si>
  <si>
    <r>
      <rPr>
        <b/>
        <sz val="11"/>
        <color theme="1"/>
        <rFont val="Arial"/>
        <family val="2"/>
      </rPr>
      <t>Data Table 1e</t>
    </r>
    <r>
      <rPr>
        <sz val="11"/>
        <color theme="1"/>
        <rFont val="Arial"/>
        <family val="2"/>
      </rPr>
      <t>.The concentration of total protein for each replicate in anaerobic dilutions of RCB (100%, 75%, 50%, or 25% RCB) inoculated with</t>
    </r>
    <r>
      <rPr>
        <i/>
        <sz val="11"/>
        <color theme="1"/>
        <rFont val="Arial"/>
        <family val="2"/>
      </rPr>
      <t xml:space="preserve"> Paraclostridium bifermentans</t>
    </r>
    <r>
      <rPr>
        <sz val="11"/>
        <color theme="1"/>
        <rFont val="Arial"/>
        <family val="2"/>
      </rPr>
      <t xml:space="preserve"> strain EML and 25μM iAs(III). </t>
    </r>
    <r>
      <rPr>
        <b/>
        <sz val="11"/>
        <color theme="1"/>
        <rFont val="Arial"/>
        <family val="2"/>
      </rPr>
      <t>Data shown in Fig. 1e.</t>
    </r>
  </si>
  <si>
    <r>
      <rPr>
        <b/>
        <sz val="11"/>
        <color theme="1"/>
        <rFont val="Arial"/>
        <family val="2"/>
      </rPr>
      <t>Data Table 2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Data shown in Fig. 2</t>
    </r>
    <r>
      <rPr>
        <sz val="11"/>
        <color theme="1"/>
        <rFont val="Arial"/>
        <family val="2"/>
      </rPr>
      <t>. The concentration of protein-normalized aqueous As species for each replicate in anaerobic dilutions of RCB (100%, 75%, 50%, or 25% RCB) inoculated with</t>
    </r>
    <r>
      <rPr>
        <i/>
        <sz val="11"/>
        <color theme="1"/>
        <rFont val="Arial"/>
        <family val="2"/>
      </rPr>
      <t xml:space="preserve"> Paraclostridium bifermentans</t>
    </r>
    <r>
      <rPr>
        <sz val="11"/>
        <color theme="1"/>
        <rFont val="Arial"/>
        <family val="2"/>
      </rPr>
      <t xml:space="preserve"> strain EML and 25 μM iAs(III). </t>
    </r>
  </si>
  <si>
    <r>
      <rPr>
        <b/>
        <sz val="11"/>
        <color theme="1"/>
        <rFont val="Arial"/>
        <family val="2"/>
      </rPr>
      <t>Data Table 3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Data shown in Fig. 3</t>
    </r>
    <r>
      <rPr>
        <sz val="11"/>
        <color theme="1"/>
        <rFont val="Arial"/>
        <family val="2"/>
      </rPr>
      <t xml:space="preserve">. Absolute copy numbers of </t>
    </r>
    <r>
      <rPr>
        <i/>
        <sz val="11"/>
        <color theme="1"/>
        <rFont val="Arial"/>
        <family val="2"/>
      </rPr>
      <t>arsM</t>
    </r>
    <r>
      <rPr>
        <sz val="11"/>
        <color theme="1"/>
        <rFont val="Arial"/>
        <family val="2"/>
      </rPr>
      <t xml:space="preserve"> gene transcripts in </t>
    </r>
    <r>
      <rPr>
        <i/>
        <sz val="11"/>
        <color theme="1"/>
        <rFont val="Arial"/>
        <family val="2"/>
      </rPr>
      <t>Paraclostridium bifermentans</t>
    </r>
    <r>
      <rPr>
        <sz val="11"/>
        <color theme="1"/>
        <rFont val="Arial"/>
        <family val="2"/>
      </rPr>
      <t xml:space="preserve"> strain EML inoculated in anaerobic dilutions of RCB (100%, 75%, 50%, or 25% RCB) with 25 μM As(III) at 8 hours of incubation. </t>
    </r>
  </si>
  <si>
    <t>Data Table 4. Data displayed in Fig. 4.</t>
  </si>
  <si>
    <r>
      <t>resistance gene (</t>
    </r>
    <r>
      <rPr>
        <i/>
        <sz val="11"/>
        <color theme="1"/>
        <rFont val="Arial"/>
        <family val="2"/>
      </rPr>
      <t>arsP</t>
    </r>
    <r>
      <rPr>
        <sz val="11"/>
        <color theme="1"/>
        <rFont val="Arial"/>
        <family val="2"/>
      </rPr>
      <t>) (ArsP</t>
    </r>
    <r>
      <rPr>
        <i/>
        <sz val="11"/>
        <color theme="1"/>
        <rFont val="Arial"/>
        <family val="2"/>
      </rPr>
      <t xml:space="preserve"> E. coli</t>
    </r>
    <r>
      <rPr>
        <sz val="11"/>
        <color theme="1"/>
        <rFont val="Arial"/>
        <family val="2"/>
      </rPr>
      <t xml:space="preserve">) in anaerobic co-culture with Paraclostridium bifermentans strain EML in anoxic RCB with 25 μM iAs(III). </t>
    </r>
    <r>
      <rPr>
        <b/>
        <sz val="11"/>
        <color theme="1"/>
        <rFont val="Arial"/>
        <family val="2"/>
      </rPr>
      <t>Data shown in Fig. 4a.</t>
    </r>
  </si>
  <si>
    <r>
      <t xml:space="preserve">Data Table 4b. </t>
    </r>
    <r>
      <rPr>
        <sz val="11"/>
        <color rgb="FF000000"/>
        <rFont val="Arial"/>
        <family val="2"/>
      </rPr>
      <t xml:space="preserve">Growth curves (16S rRNA gene copy number) of </t>
    </r>
    <r>
      <rPr>
        <i/>
        <sz val="11"/>
        <color theme="1"/>
        <rFont val="Arial"/>
        <family val="2"/>
      </rPr>
      <t>Paraclostridium bifermentans</t>
    </r>
    <r>
      <rPr>
        <sz val="11"/>
        <color theme="1"/>
        <rFont val="Arial"/>
        <family val="2"/>
      </rPr>
      <t xml:space="preserve"> strain EML in anerobic co-culture systems as described above.</t>
    </r>
    <r>
      <rPr>
        <b/>
        <sz val="11"/>
        <color theme="1"/>
        <rFont val="Arial"/>
        <family val="2"/>
      </rPr>
      <t xml:space="preserve"> Data shown in Fig. 4b.</t>
    </r>
  </si>
  <si>
    <r>
      <t>Data Table 5a.</t>
    </r>
    <r>
      <rPr>
        <sz val="11"/>
        <color theme="1"/>
        <rFont val="Arial"/>
        <family val="2"/>
      </rPr>
      <t xml:space="preserve"> Time-dependent concentrations of 16S rRNA gene copies-normalized aqueous As species in anaerobic co-culture </t>
    </r>
    <r>
      <rPr>
        <i/>
        <sz val="11"/>
        <color theme="1"/>
        <rFont val="Arial"/>
        <family val="2"/>
      </rPr>
      <t>Paraclostridium bifermentans</t>
    </r>
    <r>
      <rPr>
        <sz val="11"/>
        <color theme="1"/>
        <rFont val="Arial"/>
        <family val="2"/>
      </rPr>
      <t xml:space="preserve"> strain EML with either WT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or ArsP-expressing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in anoxic RCB with 25 μM As(III).</t>
    </r>
    <r>
      <rPr>
        <sz val="11"/>
        <color theme="1"/>
        <rFont val="宋体"/>
        <family val="2"/>
        <charset val="134"/>
      </rPr>
      <t xml:space="preserve"> </t>
    </r>
    <r>
      <rPr>
        <b/>
        <sz val="11"/>
        <color theme="1"/>
        <rFont val="Arial"/>
        <family val="2"/>
      </rPr>
      <t>Data shown in Fig. 5a.</t>
    </r>
  </si>
  <si>
    <r>
      <t>Data Table S1a.</t>
    </r>
    <r>
      <rPr>
        <sz val="11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>Growth curves (OD</t>
    </r>
    <r>
      <rPr>
        <vertAlign val="subscript"/>
        <sz val="11"/>
        <color rgb="FF000000"/>
        <rFont val="Arial"/>
        <family val="2"/>
      </rPr>
      <t>600</t>
    </r>
    <r>
      <rPr>
        <sz val="11"/>
        <color rgb="FF000000"/>
        <rFont val="Arial"/>
        <family val="2"/>
      </rPr>
      <t>)</t>
    </r>
    <r>
      <rPr>
        <sz val="11"/>
        <color theme="1"/>
        <rFont val="Arial"/>
        <family val="2"/>
      </rPr>
      <t xml:space="preserve"> of WT </t>
    </r>
    <r>
      <rPr>
        <i/>
        <sz val="11"/>
        <color theme="1"/>
        <rFont val="Arial"/>
        <family val="2"/>
      </rPr>
      <t xml:space="preserve">E. coli </t>
    </r>
    <r>
      <rPr>
        <sz val="11"/>
        <color theme="1"/>
        <rFont val="Arial"/>
        <family val="2"/>
      </rPr>
      <t xml:space="preserve">and ArsP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in anoxic 1/4 tryptic soy broth (TSB) medium in the presence or absence of 3 μM MMAs(III).</t>
    </r>
    <r>
      <rPr>
        <b/>
        <sz val="11"/>
        <color theme="1"/>
        <rFont val="Arial"/>
        <family val="2"/>
      </rPr>
      <t xml:space="preserve"> Data presented in Fig. S1a.</t>
    </r>
  </si>
  <si>
    <r>
      <t>Data Table S1b,c.</t>
    </r>
    <r>
      <rPr>
        <sz val="11"/>
        <color theme="1"/>
        <rFont val="Arial"/>
        <family val="2"/>
      </rPr>
      <t xml:space="preserve"> Time-dependent stability of aqueous MMAs(III) (3 μM) in 1/4 TSB incubating with WT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and ArsP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Data presented in Fig. S1b,c</t>
    </r>
    <r>
      <rPr>
        <sz val="11"/>
        <color theme="1"/>
        <rFont val="Arial"/>
        <family val="2"/>
      </rPr>
      <t xml:space="preserve">. </t>
    </r>
  </si>
  <si>
    <r>
      <t>Data Table S2.</t>
    </r>
    <r>
      <rPr>
        <sz val="11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>Growth curves (OD</t>
    </r>
    <r>
      <rPr>
        <vertAlign val="subscript"/>
        <sz val="11"/>
        <color rgb="FF000000"/>
        <rFont val="Arial"/>
        <family val="2"/>
      </rPr>
      <t>600</t>
    </r>
    <r>
      <rPr>
        <sz val="11"/>
        <color rgb="FF000000"/>
        <rFont val="Arial"/>
        <family val="2"/>
      </rPr>
      <t xml:space="preserve">) of WT </t>
    </r>
    <r>
      <rPr>
        <i/>
        <sz val="11"/>
        <color rgb="FF000000"/>
        <rFont val="Arial"/>
        <family val="2"/>
      </rPr>
      <t>E. coli</t>
    </r>
    <r>
      <rPr>
        <sz val="11"/>
        <color rgb="FF000000"/>
        <rFont val="Arial"/>
        <family val="2"/>
      </rPr>
      <t xml:space="preserve"> and ArsP </t>
    </r>
    <r>
      <rPr>
        <i/>
        <sz val="11"/>
        <color rgb="FF000000"/>
        <rFont val="Arial"/>
        <family val="2"/>
      </rPr>
      <t>E. coli</t>
    </r>
    <r>
      <rPr>
        <sz val="11"/>
        <color rgb="FF000000"/>
        <rFont val="Arial"/>
        <family val="2"/>
      </rPr>
      <t xml:space="preserve"> in anoxic 1/4 TSB in the presence or absence of 1 μM MMAs(III).</t>
    </r>
    <r>
      <rPr>
        <b/>
        <sz val="11"/>
        <color theme="1"/>
        <rFont val="Arial"/>
        <family val="2"/>
      </rPr>
      <t xml:space="preserve"> Data presented in Fig. S2.</t>
    </r>
  </si>
  <si>
    <r>
      <t xml:space="preserve"> in anoxic RCB in the presence or absence of 10, 15, or 25 μM iAs(III). </t>
    </r>
    <r>
      <rPr>
        <b/>
        <sz val="11"/>
        <color theme="1"/>
        <rFont val="Arial"/>
        <family val="2"/>
      </rPr>
      <t>Data presented in Fig. S3.</t>
    </r>
  </si>
  <si>
    <r>
      <t xml:space="preserve">with 25 μM iAs(III). [0.5 mL strain EML + 0.3 mL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] </t>
    </r>
    <r>
      <rPr>
        <b/>
        <sz val="11"/>
        <color theme="1"/>
        <rFont val="Arial"/>
        <family val="2"/>
      </rPr>
      <t>Data presented in Fig. S4a.</t>
    </r>
  </si>
  <si>
    <r>
      <t>either WT</t>
    </r>
    <r>
      <rPr>
        <i/>
        <sz val="11"/>
        <color theme="1"/>
        <rFont val="Arial"/>
        <family val="2"/>
      </rPr>
      <t xml:space="preserve"> E. coli</t>
    </r>
    <r>
      <rPr>
        <sz val="11"/>
        <color theme="1"/>
        <rFont val="Arial"/>
        <family val="2"/>
      </rPr>
      <t xml:space="preserve"> or ArsP</t>
    </r>
    <r>
      <rPr>
        <i/>
        <sz val="11"/>
        <color theme="1"/>
        <rFont val="Arial"/>
        <family val="2"/>
      </rPr>
      <t xml:space="preserve"> E. coli</t>
    </r>
    <r>
      <rPr>
        <sz val="11"/>
        <color theme="1"/>
        <rFont val="Arial"/>
        <family val="2"/>
      </rPr>
      <t xml:space="preserve"> anaerobically at various inoculation ratios of E. coli: strain EML = 1:2, 1:4, 1:8, 1:16, and 1:32 (v/v). </t>
    </r>
    <r>
      <rPr>
        <b/>
        <sz val="11"/>
        <color theme="1"/>
        <rFont val="Arial"/>
        <family val="2"/>
      </rPr>
      <t>Data presented in Fig. S5.</t>
    </r>
  </si>
  <si>
    <r>
      <t xml:space="preserve">WT </t>
    </r>
    <r>
      <rPr>
        <i/>
        <sz val="11"/>
        <color theme="1"/>
        <rFont val="Arial"/>
        <family val="2"/>
      </rPr>
      <t xml:space="preserve">E. coli </t>
    </r>
    <r>
      <rPr>
        <sz val="11"/>
        <color theme="1"/>
        <rFont val="Arial"/>
        <family val="2"/>
      </rPr>
      <t xml:space="preserve">or ArsP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anaerobically at various inoculation ratios. </t>
    </r>
    <r>
      <rPr>
        <b/>
        <sz val="11"/>
        <color theme="1"/>
        <rFont val="Arial"/>
        <family val="2"/>
      </rPr>
      <t>Data presented in Fig. S6a.</t>
    </r>
  </si>
  <si>
    <r>
      <t>Data Table S6b.</t>
    </r>
    <r>
      <rPr>
        <sz val="11"/>
        <color theme="1"/>
        <rFont val="Arial"/>
        <family val="2"/>
      </rPr>
      <t xml:space="preserve"> Aqueous As speciation in the above-described co-culture treatments. Reporting duplicate treatments. </t>
    </r>
    <r>
      <rPr>
        <b/>
        <sz val="11"/>
        <color theme="1"/>
        <rFont val="Arial"/>
        <family val="2"/>
      </rPr>
      <t>Data presented in Fig. S6b.</t>
    </r>
  </si>
  <si>
    <r>
      <t>As species were either directly determined by HPLC-ICP-MS or were oxidized by 10% (v/v) H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O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to pentavalent As species before analysis by HPLC-ICP-MS. </t>
    </r>
    <r>
      <rPr>
        <b/>
        <sz val="11"/>
        <color theme="1"/>
        <rFont val="Arial"/>
        <family val="2"/>
      </rPr>
      <t>Data shown in Fig. S8.</t>
    </r>
  </si>
  <si>
    <r>
      <t xml:space="preserve">strain EML and 25 μM As(III). </t>
    </r>
    <r>
      <rPr>
        <b/>
        <sz val="11"/>
        <color theme="1"/>
        <rFont val="Arial"/>
        <family val="2"/>
      </rPr>
      <t>Data shown in Fig. S9.</t>
    </r>
  </si>
  <si>
    <r>
      <rPr>
        <b/>
        <sz val="11"/>
        <color theme="1"/>
        <rFont val="Arial"/>
        <family val="2"/>
      </rPr>
      <t>Data Table S10.</t>
    </r>
    <r>
      <rPr>
        <sz val="11"/>
        <color theme="1"/>
        <rFont val="Arial"/>
        <family val="2"/>
      </rPr>
      <t xml:space="preserve"> The concentration of aqueous As species for each replicate for abiotic controls of  anaerobic RCB dilutions (100%, 75%, 50%, or 25% RCB) supplemented with 3 μM MMAs(III). </t>
    </r>
    <r>
      <rPr>
        <b/>
        <sz val="11"/>
        <color theme="1"/>
        <rFont val="Arial"/>
        <family val="2"/>
      </rPr>
      <t>Data shown in Fig. S10</t>
    </r>
    <r>
      <rPr>
        <sz val="11"/>
        <color theme="1"/>
        <rFont val="Arial"/>
        <family val="2"/>
      </rPr>
      <t>.</t>
    </r>
  </si>
  <si>
    <r>
      <rPr>
        <b/>
        <sz val="11"/>
        <color theme="1"/>
        <rFont val="Arial"/>
        <family val="2"/>
      </rPr>
      <t>Data Table S11.</t>
    </r>
    <r>
      <rPr>
        <sz val="11"/>
        <color theme="1"/>
        <rFont val="Arial"/>
        <family val="2"/>
      </rPr>
      <t xml:space="preserve"> The concentration of aqueous As species for each replicate in an abiotic control for anaerobic spent RCB (100%) supplemented with 3 μM MMAs(III). </t>
    </r>
    <r>
      <rPr>
        <b/>
        <sz val="11"/>
        <color theme="1"/>
        <rFont val="Arial"/>
        <family val="2"/>
      </rPr>
      <t>Data shown in Fig. S11.</t>
    </r>
  </si>
  <si>
    <r>
      <t>As species were either directly determined by HPLC-ICP-MS or were oxidized by 10% (v/v) H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O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to pentavalent As species before analysis by HPLC-ICP-MS. </t>
    </r>
    <r>
      <rPr>
        <b/>
        <sz val="11"/>
        <color theme="1"/>
        <rFont val="Arial"/>
        <family val="2"/>
      </rPr>
      <t>Data shown in Fig. S12.</t>
    </r>
  </si>
  <si>
    <r>
      <rPr>
        <b/>
        <sz val="12"/>
        <color theme="1"/>
        <rFont val="Arial"/>
        <family val="2"/>
      </rPr>
      <t>Data Table S14</t>
    </r>
    <r>
      <rPr>
        <sz val="12"/>
        <color theme="1"/>
        <rFont val="Arial"/>
        <family val="2"/>
      </rPr>
      <t xml:space="preserve">.  </t>
    </r>
    <r>
      <rPr>
        <i/>
        <sz val="12"/>
        <color theme="1"/>
        <rFont val="Arial"/>
        <family val="2"/>
      </rPr>
      <t>arsM</t>
    </r>
    <r>
      <rPr>
        <sz val="12"/>
        <color theme="1"/>
        <rFont val="Arial"/>
        <family val="2"/>
      </rPr>
      <t xml:space="preserve"> transcripts normalized to protein in </t>
    </r>
    <r>
      <rPr>
        <i/>
        <sz val="12"/>
        <color theme="1"/>
        <rFont val="Arial"/>
        <family val="2"/>
      </rPr>
      <t>Paraclostridium bifermentans</t>
    </r>
    <r>
      <rPr>
        <sz val="12"/>
        <color theme="1"/>
        <rFont val="Arial"/>
        <family val="2"/>
      </rPr>
      <t xml:space="preserve"> strain EML inoculated in anaerobic dilutions of RCB (100%, 75%, 50%, or 25% RCB) with 25 μM As(III) at 8 and 24 hours of incubation.</t>
    </r>
    <r>
      <rPr>
        <sz val="12"/>
        <color theme="1"/>
        <rFont val="宋体"/>
        <family val="2"/>
        <charset val="134"/>
      </rPr>
      <t xml:space="preserve"> </t>
    </r>
    <r>
      <rPr>
        <b/>
        <sz val="12"/>
        <color theme="1"/>
        <rFont val="Arial"/>
        <family val="2"/>
      </rPr>
      <t>Data shown in Fig. S14.</t>
    </r>
  </si>
  <si>
    <r>
      <t>Data Table S15.</t>
    </r>
    <r>
      <rPr>
        <sz val="11"/>
        <color theme="1"/>
        <rFont val="Arial"/>
        <family val="2"/>
      </rPr>
      <t xml:space="preserve"> Time-dependent concentrations of aqueous As species in anaerobic co-culture </t>
    </r>
    <r>
      <rPr>
        <i/>
        <sz val="11"/>
        <color theme="1"/>
        <rFont val="Arial"/>
        <family val="2"/>
      </rPr>
      <t>Paraclostridium bifermentans</t>
    </r>
    <r>
      <rPr>
        <sz val="11"/>
        <color theme="1"/>
        <rFont val="Arial"/>
        <family val="2"/>
      </rPr>
      <t xml:space="preserve"> strain EML with either WT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or ArsP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in anoxic RCB with 25 μM iAs(III).</t>
    </r>
    <r>
      <rPr>
        <b/>
        <sz val="11"/>
        <color theme="1"/>
        <rFont val="Arial"/>
        <family val="2"/>
      </rPr>
      <t xml:space="preserve"> Data plotted in Fig. S15.</t>
    </r>
  </si>
  <si>
    <r>
      <t>Total As was either directly determined by ICP-MS or was oxidized by 30% H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O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to pentavalent As before analyzing by ICP-MS. </t>
    </r>
    <r>
      <rPr>
        <b/>
        <sz val="11"/>
        <color theme="1"/>
        <rFont val="Arial"/>
        <family val="2"/>
      </rPr>
      <t xml:space="preserve">Data shown in Fig. S18. </t>
    </r>
  </si>
  <si>
    <r>
      <rPr>
        <b/>
        <sz val="11"/>
        <color theme="1"/>
        <rFont val="Arial"/>
        <family val="2"/>
      </rPr>
      <t>Data Table S19</t>
    </r>
    <r>
      <rPr>
        <sz val="11"/>
        <color theme="1"/>
        <rFont val="Arial"/>
        <family val="2"/>
      </rPr>
      <t>.The concentration of total protein for each replicate in anaerobic dilutions of RCB (100%, 75%, 50%, or 25% RCB) inoculated with</t>
    </r>
    <r>
      <rPr>
        <i/>
        <sz val="11"/>
        <color theme="1"/>
        <rFont val="Arial"/>
        <family val="2"/>
      </rPr>
      <t xml:space="preserve"> Paraclostridium bifermentans</t>
    </r>
    <r>
      <rPr>
        <sz val="11"/>
        <color theme="1"/>
        <rFont val="Arial"/>
        <family val="2"/>
      </rPr>
      <t xml:space="preserve"> strain EML and 25μM iAs(III). </t>
    </r>
    <r>
      <rPr>
        <b/>
        <sz val="11"/>
        <color theme="1"/>
        <rFont val="Arial"/>
        <family val="2"/>
      </rPr>
      <t>Data used to normalize As species concentration (Fig. 2).</t>
    </r>
  </si>
  <si>
    <r>
      <t>Data Table S20a.</t>
    </r>
    <r>
      <rPr>
        <sz val="11"/>
        <color theme="1"/>
        <rFont val="Arial"/>
        <family val="2"/>
      </rPr>
      <t xml:space="preserve"> Time-dependent concentrations of aqueous As species in anaerobic co-culture </t>
    </r>
    <r>
      <rPr>
        <i/>
        <sz val="11"/>
        <color theme="1"/>
        <rFont val="Arial"/>
        <family val="2"/>
      </rPr>
      <t>Paraclostridium bifermentans</t>
    </r>
    <r>
      <rPr>
        <sz val="11"/>
        <color theme="1"/>
        <rFont val="Arial"/>
        <family val="2"/>
      </rPr>
      <t xml:space="preserve"> strain EML with either WT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or ArsP </t>
    </r>
    <r>
      <rPr>
        <i/>
        <sz val="11"/>
        <color theme="1"/>
        <rFont val="Arial"/>
        <family val="2"/>
      </rPr>
      <t>E. coli</t>
    </r>
    <r>
      <rPr>
        <sz val="11"/>
        <color theme="1"/>
        <rFont val="Arial"/>
        <family val="2"/>
      </rPr>
      <t xml:space="preserve"> in anoxic RCB with 25 μM iAs(III).</t>
    </r>
    <r>
      <rPr>
        <b/>
        <sz val="11"/>
        <color theme="1"/>
        <rFont val="Arial"/>
        <family val="2"/>
      </rPr>
      <t xml:space="preserve"> Data used to calculate data in Fig. 5a.</t>
    </r>
  </si>
  <si>
    <r>
      <t xml:space="preserve">Data Table S20b. </t>
    </r>
    <r>
      <rPr>
        <sz val="11"/>
        <color theme="1"/>
        <rFont val="Arial"/>
        <family val="2"/>
      </rPr>
      <t>Transcripts of</t>
    </r>
    <r>
      <rPr>
        <i/>
        <sz val="11"/>
        <color theme="1"/>
        <rFont val="Arial"/>
        <family val="2"/>
      </rPr>
      <t xml:space="preserve"> arsM</t>
    </r>
    <r>
      <rPr>
        <sz val="11"/>
        <color theme="1"/>
        <rFont val="Arial"/>
        <family val="2"/>
      </rPr>
      <t xml:space="preserve"> gene of strain EML in anaerobic co-culture systems as described above at 0, 4, and 6 hours of incubation. </t>
    </r>
    <r>
      <rPr>
        <b/>
        <sz val="11"/>
        <color theme="1"/>
        <rFont val="Arial"/>
        <family val="2"/>
      </rPr>
      <t>Data used to calculate data in Fig. 5b.</t>
    </r>
  </si>
  <si>
    <r>
      <t xml:space="preserve">Growth substrate limitation enhances anaerobic arsenic methylation by </t>
    </r>
    <r>
      <rPr>
        <b/>
        <i/>
        <sz val="12"/>
        <color theme="1"/>
        <rFont val="Arial"/>
        <family val="2"/>
      </rPr>
      <t xml:space="preserve">Paraclostridium bifermentans </t>
    </r>
    <r>
      <rPr>
        <b/>
        <sz val="12"/>
        <color theme="1"/>
        <rFont val="Arial"/>
        <family val="2"/>
      </rPr>
      <t>strain EML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</si>
</sst>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0_ "/>
    <numFmt numFmtId="165" formatCode="0.000_);[Red]\(0.000\)"/>
    <numFmt numFmtId="166" formatCode="0_ "/>
    <numFmt numFmtId="167" formatCode="0.00_);[Red]\(0.00\)"/>
    <numFmt numFmtId="168" formatCode="0.0_ "/>
    <numFmt numFmtId="169" formatCode="0.000_ "/>
    <numFmt numFmtId="170" formatCode="0.0_);[Red]\(0.0\)"/>
    <numFmt numFmtId="171" formatCode="0.000"/>
  </numFmts>
  <fonts count="26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9"/>
      <name val="Calibri"/>
      <family val="3"/>
      <charset val="134"/>
      <scheme val="minor"/>
    </font>
    <font>
      <sz val="12"/>
      <color theme="1"/>
      <name val="Arial"/>
      <family val="2"/>
    </font>
    <font>
      <sz val="9"/>
      <name val="Calibri"/>
      <family val="2"/>
      <charset val="134"/>
      <scheme val="minor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sz val="11"/>
      <name val="Calibri"/>
      <family val="2"/>
      <scheme val="minor"/>
    </font>
    <font>
      <sz val="12"/>
      <color theme="1"/>
      <name val="宋体"/>
      <family val="2"/>
      <charset val="134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vertAlign val="subscript"/>
      <sz val="11"/>
      <color theme="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sz val="11"/>
      <name val="Calibri"/>
      <family val="2"/>
      <charset val="134"/>
      <scheme val="minor"/>
    </font>
    <font>
      <sz val="11"/>
      <color theme="1"/>
      <name val="宋体"/>
      <family val="2"/>
      <charset val="134"/>
    </font>
    <font>
      <sz val="11"/>
      <color rgb="FF000000"/>
      <name val="Arial"/>
      <family val="2"/>
    </font>
    <font>
      <vertAlign val="subscript"/>
      <sz val="11"/>
      <color rgb="FF000000"/>
      <name val="Arial"/>
      <family val="2"/>
    </font>
    <font>
      <i/>
      <sz val="11"/>
      <color rgb="FF000000"/>
      <name val="Arial"/>
      <family val="2"/>
    </font>
    <font>
      <i/>
      <sz val="11"/>
      <name val="Arial"/>
      <family val="2"/>
    </font>
    <font>
      <sz val="11"/>
      <color theme="1"/>
      <name val="Calibri"/>
      <family val="3"/>
      <charset val="134"/>
      <scheme val="minor"/>
    </font>
    <font>
      <sz val="10"/>
      <name val="Arial"/>
      <family val="2"/>
    </font>
    <font>
      <i/>
      <sz val="10"/>
      <name val="Arial"/>
      <family val="2"/>
    </font>
    <font>
      <vertAlign val="superscript"/>
      <sz val="12"/>
      <color theme="1"/>
      <name val="Arial"/>
      <family val="2"/>
    </font>
    <font>
      <i/>
      <vertAlign val="superscript"/>
      <sz val="12"/>
      <color theme="1"/>
      <name val="Arial"/>
      <family val="2"/>
    </font>
    <font>
      <b/>
      <i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164" fontId="3" fillId="0" borderId="0" xfId="0" applyNumberFormat="1" applyFont="1" applyAlignment="1">
      <alignment horizontal="center"/>
    </xf>
    <xf numFmtId="11" fontId="3" fillId="0" borderId="0" xfId="0" applyNumberFormat="1" applyFont="1" applyAlignment="1">
      <alignment horizontal="center"/>
    </xf>
    <xf numFmtId="0" fontId="3" fillId="0" borderId="3" xfId="0" applyFont="1" applyBorder="1" applyAlignment="1">
      <alignment horizontal="center"/>
    </xf>
    <xf numFmtId="168" fontId="3" fillId="0" borderId="3" xfId="0" applyNumberFormat="1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11" fontId="3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right"/>
    </xf>
    <xf numFmtId="11" fontId="3" fillId="0" borderId="0" xfId="0" applyNumberFormat="1" applyFont="1"/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/>
    </xf>
    <xf numFmtId="165" fontId="1" fillId="0" borderId="0" xfId="0" applyNumberFormat="1" applyFont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1" fillId="0" borderId="5" xfId="0" applyNumberFormat="1" applyFont="1" applyBorder="1" applyAlignment="1">
      <alignment horizontal="center" vertical="center"/>
    </xf>
    <xf numFmtId="167" fontId="12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164" fontId="12" fillId="0" borderId="0" xfId="0" applyNumberFormat="1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center"/>
    </xf>
    <xf numFmtId="169" fontId="1" fillId="0" borderId="0" xfId="0" applyNumberFormat="1" applyFont="1" applyAlignment="1">
      <alignment horizontal="center"/>
    </xf>
    <xf numFmtId="169" fontId="1" fillId="0" borderId="3" xfId="0" applyNumberFormat="1" applyFont="1" applyBorder="1" applyAlignment="1">
      <alignment horizontal="center"/>
    </xf>
    <xf numFmtId="169" fontId="12" fillId="0" borderId="0" xfId="0" applyNumberFormat="1" applyFont="1" applyAlignment="1">
      <alignment horizontal="center" vertical="top"/>
    </xf>
    <xf numFmtId="11" fontId="1" fillId="0" borderId="0" xfId="0" applyNumberFormat="1" applyFont="1"/>
    <xf numFmtId="0" fontId="9" fillId="0" borderId="0" xfId="0" applyFont="1"/>
    <xf numFmtId="0" fontId="12" fillId="0" borderId="3" xfId="0" applyFont="1" applyBorder="1" applyAlignment="1">
      <alignment horizontal="center"/>
    </xf>
    <xf numFmtId="169" fontId="12" fillId="0" borderId="3" xfId="0" applyNumberFormat="1" applyFont="1" applyBorder="1" applyAlignment="1">
      <alignment horizontal="center"/>
    </xf>
    <xf numFmtId="0" fontId="12" fillId="0" borderId="3" xfId="0" applyFont="1" applyBorder="1" applyAlignment="1">
      <alignment horizontal="left"/>
    </xf>
    <xf numFmtId="11" fontId="12" fillId="0" borderId="3" xfId="0" applyNumberFormat="1" applyFont="1" applyBorder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16" fillId="0" borderId="0" xfId="0" applyFont="1"/>
    <xf numFmtId="164" fontId="12" fillId="0" borderId="3" xfId="0" applyNumberFormat="1" applyFont="1" applyBorder="1" applyAlignment="1">
      <alignment horizontal="center"/>
    </xf>
    <xf numFmtId="164" fontId="1" fillId="0" borderId="0" xfId="0" applyNumberFormat="1" applyFont="1"/>
    <xf numFmtId="0" fontId="13" fillId="0" borderId="0" xfId="0" applyFont="1"/>
    <xf numFmtId="11" fontId="21" fillId="0" borderId="3" xfId="0" applyNumberFormat="1" applyFont="1" applyBorder="1" applyAlignment="1">
      <alignment horizontal="center"/>
    </xf>
    <xf numFmtId="164" fontId="12" fillId="0" borderId="4" xfId="0" applyNumberFormat="1" applyFont="1" applyBorder="1" applyAlignment="1">
      <alignment horizontal="center"/>
    </xf>
    <xf numFmtId="164" fontId="12" fillId="0" borderId="5" xfId="0" applyNumberFormat="1" applyFont="1" applyBorder="1" applyAlignment="1">
      <alignment horizontal="center"/>
    </xf>
    <xf numFmtId="164" fontId="12" fillId="0" borderId="15" xfId="0" applyNumberFormat="1" applyFont="1" applyBorder="1" applyAlignment="1">
      <alignment horizontal="center"/>
    </xf>
    <xf numFmtId="164" fontId="12" fillId="0" borderId="16" xfId="0" applyNumberFormat="1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8" xfId="0" applyFont="1" applyBorder="1"/>
    <xf numFmtId="167" fontId="1" fillId="0" borderId="13" xfId="0" applyNumberFormat="1" applyFont="1" applyBorder="1" applyAlignment="1">
      <alignment horizontal="center"/>
    </xf>
    <xf numFmtId="168" fontId="1" fillId="0" borderId="13" xfId="0" applyNumberFormat="1" applyFont="1" applyBorder="1" applyAlignment="1">
      <alignment horizontal="center"/>
    </xf>
    <xf numFmtId="11" fontId="1" fillId="0" borderId="13" xfId="0" applyNumberFormat="1" applyFont="1" applyBorder="1" applyAlignment="1">
      <alignment horizontal="center"/>
    </xf>
    <xf numFmtId="167" fontId="1" fillId="0" borderId="14" xfId="0" applyNumberFormat="1" applyFont="1" applyBorder="1" applyAlignment="1">
      <alignment horizontal="center"/>
    </xf>
    <xf numFmtId="168" fontId="1" fillId="0" borderId="14" xfId="0" applyNumberFormat="1" applyFont="1" applyBorder="1" applyAlignment="1">
      <alignment horizontal="center"/>
    </xf>
    <xf numFmtId="11" fontId="1" fillId="0" borderId="14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5" fontId="1" fillId="0" borderId="13" xfId="0" applyNumberFormat="1" applyFont="1" applyBorder="1" applyAlignment="1">
      <alignment horizontal="center" vertical="center"/>
    </xf>
    <xf numFmtId="165" fontId="1" fillId="0" borderId="21" xfId="0" applyNumberFormat="1" applyFont="1" applyBorder="1" applyAlignment="1">
      <alignment horizontal="center" vertical="center"/>
    </xf>
    <xf numFmtId="165" fontId="1" fillId="0" borderId="22" xfId="0" applyNumberFormat="1" applyFont="1" applyBorder="1" applyAlignment="1">
      <alignment horizontal="center" vertical="center"/>
    </xf>
    <xf numFmtId="11" fontId="3" fillId="0" borderId="13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168" fontId="3" fillId="0" borderId="13" xfId="0" applyNumberFormat="1" applyFont="1" applyBorder="1" applyAlignment="1">
      <alignment horizontal="center"/>
    </xf>
    <xf numFmtId="164" fontId="3" fillId="0" borderId="13" xfId="0" applyNumberFormat="1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68" fontId="3" fillId="0" borderId="14" xfId="0" applyNumberFormat="1" applyFont="1" applyBorder="1" applyAlignment="1">
      <alignment horizontal="center"/>
    </xf>
    <xf numFmtId="164" fontId="3" fillId="0" borderId="14" xfId="0" applyNumberFormat="1" applyFont="1" applyBorder="1" applyAlignment="1">
      <alignment horizontal="center"/>
    </xf>
    <xf numFmtId="11" fontId="3" fillId="0" borderId="14" xfId="0" applyNumberFormat="1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2" fillId="0" borderId="13" xfId="0" applyFont="1" applyBorder="1" applyAlignment="1">
      <alignment horizontal="left"/>
    </xf>
    <xf numFmtId="0" fontId="12" fillId="0" borderId="21" xfId="0" applyFont="1" applyBorder="1" applyAlignment="1">
      <alignment horizontal="center"/>
    </xf>
    <xf numFmtId="0" fontId="12" fillId="0" borderId="22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11" fontId="12" fillId="0" borderId="5" xfId="0" applyNumberFormat="1" applyFont="1" applyBorder="1" applyAlignment="1">
      <alignment horizontal="center"/>
    </xf>
    <xf numFmtId="11" fontId="12" fillId="0" borderId="16" xfId="0" applyNumberFormat="1" applyFont="1" applyBorder="1" applyAlignment="1">
      <alignment horizontal="center"/>
    </xf>
    <xf numFmtId="11" fontId="12" fillId="0" borderId="4" xfId="0" applyNumberFormat="1" applyFont="1" applyBorder="1" applyAlignment="1">
      <alignment horizontal="center"/>
    </xf>
    <xf numFmtId="11" fontId="12" fillId="0" borderId="15" xfId="0" applyNumberFormat="1" applyFont="1" applyBorder="1" applyAlignment="1">
      <alignment horizontal="center"/>
    </xf>
    <xf numFmtId="11" fontId="21" fillId="0" borderId="4" xfId="0" applyNumberFormat="1" applyFont="1" applyBorder="1" applyAlignment="1">
      <alignment horizontal="center"/>
    </xf>
    <xf numFmtId="11" fontId="21" fillId="0" borderId="5" xfId="0" applyNumberFormat="1" applyFont="1" applyBorder="1" applyAlignment="1">
      <alignment horizontal="center"/>
    </xf>
    <xf numFmtId="11" fontId="21" fillId="0" borderId="15" xfId="0" applyNumberFormat="1" applyFont="1" applyBorder="1" applyAlignment="1">
      <alignment horizontal="center"/>
    </xf>
    <xf numFmtId="11" fontId="21" fillId="0" borderId="16" xfId="0" applyNumberFormat="1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23" xfId="0" applyFont="1" applyBorder="1" applyAlignment="1">
      <alignment horizontal="center"/>
    </xf>
    <xf numFmtId="0" fontId="12" fillId="0" borderId="5" xfId="0" applyFont="1" applyBorder="1" applyAlignment="1">
      <alignment horizontal="left"/>
    </xf>
    <xf numFmtId="0" fontId="12" fillId="0" borderId="16" xfId="0" applyFont="1" applyBorder="1" applyAlignment="1">
      <alignment horizontal="left"/>
    </xf>
    <xf numFmtId="169" fontId="12" fillId="0" borderId="4" xfId="0" applyNumberFormat="1" applyFont="1" applyBorder="1" applyAlignment="1">
      <alignment horizontal="center"/>
    </xf>
    <xf numFmtId="169" fontId="12" fillId="0" borderId="5" xfId="0" applyNumberFormat="1" applyFont="1" applyBorder="1" applyAlignment="1">
      <alignment horizontal="center"/>
    </xf>
    <xf numFmtId="169" fontId="12" fillId="0" borderId="15" xfId="0" applyNumberFormat="1" applyFont="1" applyBorder="1" applyAlignment="1">
      <alignment horizontal="center"/>
    </xf>
    <xf numFmtId="169" fontId="12" fillId="0" borderId="16" xfId="0" applyNumberFormat="1" applyFont="1" applyBorder="1" applyAlignment="1">
      <alignment horizontal="center"/>
    </xf>
    <xf numFmtId="0" fontId="1" fillId="0" borderId="26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167" fontId="1" fillId="0" borderId="4" xfId="0" applyNumberFormat="1" applyFont="1" applyBorder="1" applyAlignment="1">
      <alignment horizontal="center" vertical="center"/>
    </xf>
    <xf numFmtId="167" fontId="1" fillId="0" borderId="5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66" fontId="1" fillId="0" borderId="23" xfId="0" applyNumberFormat="1" applyFont="1" applyBorder="1" applyAlignment="1">
      <alignment horizontal="center" vertical="center"/>
    </xf>
    <xf numFmtId="166" fontId="1" fillId="0" borderId="20" xfId="0" applyNumberFormat="1" applyFont="1" applyBorder="1" applyAlignment="1">
      <alignment horizontal="center" vertical="center"/>
    </xf>
    <xf numFmtId="166" fontId="1" fillId="0" borderId="24" xfId="0" applyNumberFormat="1" applyFont="1" applyBorder="1" applyAlignment="1">
      <alignment horizontal="center" vertical="center"/>
    </xf>
    <xf numFmtId="166" fontId="12" fillId="0" borderId="20" xfId="0" applyNumberFormat="1" applyFont="1" applyBorder="1" applyAlignment="1">
      <alignment horizontal="center" vertical="center"/>
    </xf>
    <xf numFmtId="166" fontId="12" fillId="0" borderId="24" xfId="0" applyNumberFormat="1" applyFont="1" applyBorder="1" applyAlignment="1">
      <alignment horizontal="center" vertical="center"/>
    </xf>
    <xf numFmtId="166" fontId="12" fillId="0" borderId="23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171" fontId="1" fillId="0" borderId="3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167" fontId="1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67" fontId="1" fillId="0" borderId="15" xfId="0" applyNumberFormat="1" applyFont="1" applyBorder="1" applyAlignment="1">
      <alignment horizontal="center" vertical="center"/>
    </xf>
    <xf numFmtId="167" fontId="1" fillId="0" borderId="3" xfId="0" applyNumberFormat="1" applyFont="1" applyBorder="1" applyAlignment="1">
      <alignment horizontal="center" vertical="center"/>
    </xf>
    <xf numFmtId="167" fontId="1" fillId="0" borderId="16" xfId="0" applyNumberFormat="1" applyFont="1" applyBorder="1" applyAlignment="1">
      <alignment horizontal="center" vertical="center"/>
    </xf>
    <xf numFmtId="167" fontId="12" fillId="0" borderId="3" xfId="0" applyNumberFormat="1" applyFont="1" applyBorder="1" applyAlignment="1">
      <alignment horizontal="center" vertical="center"/>
    </xf>
    <xf numFmtId="165" fontId="1" fillId="0" borderId="3" xfId="0" applyNumberFormat="1" applyFont="1" applyBorder="1" applyAlignment="1">
      <alignment horizontal="center" vertical="center"/>
    </xf>
    <xf numFmtId="165" fontId="1" fillId="0" borderId="15" xfId="0" applyNumberFormat="1" applyFont="1" applyBorder="1" applyAlignment="1">
      <alignment horizontal="center" vertical="center"/>
    </xf>
    <xf numFmtId="165" fontId="1" fillId="0" borderId="16" xfId="0" applyNumberFormat="1" applyFont="1" applyBorder="1" applyAlignment="1">
      <alignment horizontal="center" vertical="center"/>
    </xf>
    <xf numFmtId="11" fontId="1" fillId="0" borderId="0" xfId="0" applyNumberFormat="1" applyFont="1" applyAlignment="1">
      <alignment horizontal="center"/>
    </xf>
    <xf numFmtId="168" fontId="1" fillId="0" borderId="0" xfId="0" applyNumberFormat="1" applyFont="1" applyAlignment="1">
      <alignment horizontal="center"/>
    </xf>
    <xf numFmtId="167" fontId="1" fillId="0" borderId="0" xfId="0" applyNumberFormat="1" applyFont="1" applyAlignment="1">
      <alignment horizontal="center"/>
    </xf>
    <xf numFmtId="167" fontId="1" fillId="0" borderId="3" xfId="0" applyNumberFormat="1" applyFont="1" applyBorder="1" applyAlignment="1">
      <alignment horizontal="center"/>
    </xf>
    <xf numFmtId="11" fontId="1" fillId="0" borderId="3" xfId="0" applyNumberFormat="1" applyFont="1" applyBorder="1" applyAlignment="1">
      <alignment horizontal="center"/>
    </xf>
    <xf numFmtId="0" fontId="1" fillId="0" borderId="13" xfId="0" applyFont="1" applyBorder="1"/>
    <xf numFmtId="0" fontId="1" fillId="0" borderId="14" xfId="0" applyFont="1" applyBorder="1"/>
    <xf numFmtId="169" fontId="1" fillId="0" borderId="32" xfId="0" applyNumberFormat="1" applyFont="1" applyBorder="1" applyAlignment="1">
      <alignment horizontal="center" vertical="center"/>
    </xf>
    <xf numFmtId="169" fontId="1" fillId="0" borderId="33" xfId="0" applyNumberFormat="1" applyFont="1" applyBorder="1" applyAlignment="1">
      <alignment horizontal="center" vertical="center"/>
    </xf>
    <xf numFmtId="169" fontId="1" fillId="0" borderId="31" xfId="0" applyNumberFormat="1" applyFont="1" applyBorder="1" applyAlignment="1">
      <alignment horizontal="center" vertical="center"/>
    </xf>
    <xf numFmtId="169" fontId="1" fillId="0" borderId="34" xfId="0" applyNumberFormat="1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164" fontId="1" fillId="0" borderId="32" xfId="0" applyNumberFormat="1" applyFont="1" applyBorder="1" applyAlignment="1">
      <alignment horizontal="center" vertical="center"/>
    </xf>
    <xf numFmtId="164" fontId="1" fillId="0" borderId="33" xfId="0" applyNumberFormat="1" applyFont="1" applyBorder="1" applyAlignment="1">
      <alignment horizontal="center" vertical="center"/>
    </xf>
    <xf numFmtId="164" fontId="1" fillId="0" borderId="31" xfId="0" applyNumberFormat="1" applyFont="1" applyBorder="1" applyAlignment="1">
      <alignment horizontal="center" vertical="center"/>
    </xf>
    <xf numFmtId="164" fontId="1" fillId="0" borderId="34" xfId="0" applyNumberFormat="1" applyFont="1" applyBorder="1" applyAlignment="1">
      <alignment horizontal="center" vertical="center"/>
    </xf>
    <xf numFmtId="164" fontId="1" fillId="0" borderId="32" xfId="0" applyNumberFormat="1" applyFont="1" applyBorder="1" applyAlignment="1">
      <alignment horizontal="center"/>
    </xf>
    <xf numFmtId="164" fontId="1" fillId="0" borderId="33" xfId="0" applyNumberFormat="1" applyFont="1" applyBorder="1" applyAlignment="1">
      <alignment horizontal="center"/>
    </xf>
    <xf numFmtId="164" fontId="1" fillId="0" borderId="31" xfId="0" applyNumberFormat="1" applyFont="1" applyBorder="1" applyAlignment="1">
      <alignment horizontal="center"/>
    </xf>
    <xf numFmtId="164" fontId="1" fillId="0" borderId="34" xfId="0" applyNumberFormat="1" applyFont="1" applyBorder="1" applyAlignment="1">
      <alignment horizontal="center"/>
    </xf>
    <xf numFmtId="11" fontId="1" fillId="0" borderId="32" xfId="0" applyNumberFormat="1" applyFont="1" applyBorder="1" applyAlignment="1">
      <alignment horizontal="center"/>
    </xf>
    <xf numFmtId="11" fontId="1" fillId="0" borderId="33" xfId="0" applyNumberFormat="1" applyFont="1" applyBorder="1" applyAlignment="1">
      <alignment horizontal="center"/>
    </xf>
    <xf numFmtId="11" fontId="1" fillId="0" borderId="31" xfId="0" applyNumberFormat="1" applyFont="1" applyBorder="1" applyAlignment="1">
      <alignment horizontal="center"/>
    </xf>
    <xf numFmtId="11" fontId="1" fillId="0" borderId="34" xfId="0" applyNumberFormat="1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11" fontId="12" fillId="0" borderId="0" xfId="0" applyNumberFormat="1" applyFont="1" applyAlignment="1">
      <alignment horizontal="center"/>
    </xf>
    <xf numFmtId="0" fontId="9" fillId="0" borderId="27" xfId="0" applyFont="1" applyBorder="1"/>
    <xf numFmtId="0" fontId="12" fillId="0" borderId="27" xfId="0" applyFont="1" applyBorder="1" applyAlignment="1">
      <alignment horizontal="center"/>
    </xf>
    <xf numFmtId="164" fontId="12" fillId="0" borderId="27" xfId="0" applyNumberFormat="1" applyFont="1" applyBorder="1" applyAlignment="1">
      <alignment horizontal="center"/>
    </xf>
    <xf numFmtId="164" fontId="12" fillId="0" borderId="37" xfId="0" applyNumberFormat="1" applyFont="1" applyBorder="1" applyAlignment="1">
      <alignment horizontal="center"/>
    </xf>
    <xf numFmtId="164" fontId="12" fillId="0" borderId="38" xfId="0" applyNumberFormat="1" applyFont="1" applyBorder="1" applyAlignment="1">
      <alignment horizontal="center"/>
    </xf>
    <xf numFmtId="167" fontId="12" fillId="0" borderId="4" xfId="0" applyNumberFormat="1" applyFont="1" applyBorder="1" applyAlignment="1">
      <alignment horizontal="center" vertical="center"/>
    </xf>
    <xf numFmtId="167" fontId="12" fillId="0" borderId="5" xfId="0" applyNumberFormat="1" applyFont="1" applyBorder="1" applyAlignment="1">
      <alignment horizontal="center" vertical="center"/>
    </xf>
    <xf numFmtId="167" fontId="12" fillId="0" borderId="15" xfId="0" applyNumberFormat="1" applyFont="1" applyBorder="1" applyAlignment="1">
      <alignment horizontal="center" vertical="center"/>
    </xf>
    <xf numFmtId="167" fontId="12" fillId="0" borderId="16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/>
    </xf>
    <xf numFmtId="164" fontId="1" fillId="0" borderId="15" xfId="0" applyNumberFormat="1" applyFont="1" applyBorder="1" applyAlignment="1">
      <alignment horizontal="center"/>
    </xf>
    <xf numFmtId="164" fontId="1" fillId="0" borderId="16" xfId="0" applyNumberFormat="1" applyFont="1" applyBorder="1" applyAlignment="1">
      <alignment horizontal="center"/>
    </xf>
    <xf numFmtId="167" fontId="12" fillId="0" borderId="0" xfId="0" applyNumberFormat="1" applyFont="1" applyAlignment="1">
      <alignment horizontal="center"/>
    </xf>
    <xf numFmtId="167" fontId="12" fillId="0" borderId="4" xfId="0" applyNumberFormat="1" applyFont="1" applyBorder="1" applyAlignment="1">
      <alignment horizontal="center"/>
    </xf>
    <xf numFmtId="167" fontId="12" fillId="0" borderId="5" xfId="0" applyNumberFormat="1" applyFont="1" applyBorder="1" applyAlignment="1">
      <alignment horizontal="center"/>
    </xf>
    <xf numFmtId="167" fontId="12" fillId="0" borderId="3" xfId="0" applyNumberFormat="1" applyFont="1" applyBorder="1" applyAlignment="1">
      <alignment horizontal="center"/>
    </xf>
    <xf numFmtId="167" fontId="12" fillId="0" borderId="15" xfId="0" applyNumberFormat="1" applyFont="1" applyBorder="1" applyAlignment="1">
      <alignment horizontal="center"/>
    </xf>
    <xf numFmtId="167" fontId="12" fillId="0" borderId="16" xfId="0" applyNumberFormat="1" applyFont="1" applyBorder="1" applyAlignment="1">
      <alignment horizontal="center"/>
    </xf>
    <xf numFmtId="0" fontId="12" fillId="0" borderId="4" xfId="0" applyFont="1" applyBorder="1"/>
    <xf numFmtId="0" fontId="12" fillId="0" borderId="5" xfId="0" applyFont="1" applyBorder="1"/>
    <xf numFmtId="11" fontId="3" fillId="0" borderId="10" xfId="0" applyNumberFormat="1" applyFont="1" applyBorder="1" applyAlignment="1">
      <alignment horizontal="center"/>
    </xf>
    <xf numFmtId="11" fontId="3" fillId="0" borderId="21" xfId="0" applyNumberFormat="1" applyFont="1" applyBorder="1" applyAlignment="1">
      <alignment horizontal="center"/>
    </xf>
    <xf numFmtId="11" fontId="3" fillId="0" borderId="22" xfId="0" applyNumberFormat="1" applyFont="1" applyBorder="1" applyAlignment="1">
      <alignment horizontal="center"/>
    </xf>
    <xf numFmtId="11" fontId="3" fillId="0" borderId="4" xfId="0" applyNumberFormat="1" applyFont="1" applyBorder="1" applyAlignment="1">
      <alignment horizontal="center"/>
    </xf>
    <xf numFmtId="11" fontId="3" fillId="0" borderId="5" xfId="0" applyNumberFormat="1" applyFont="1" applyBorder="1" applyAlignment="1">
      <alignment horizontal="center"/>
    </xf>
    <xf numFmtId="11" fontId="3" fillId="0" borderId="11" xfId="0" applyNumberFormat="1" applyFont="1" applyBorder="1" applyAlignment="1">
      <alignment horizontal="center"/>
    </xf>
    <xf numFmtId="11" fontId="3" fillId="0" borderId="12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168" fontId="3" fillId="0" borderId="0" xfId="0" applyNumberFormat="1" applyFont="1" applyAlignment="1">
      <alignment horizontal="center"/>
    </xf>
    <xf numFmtId="0" fontId="3" fillId="0" borderId="18" xfId="0" applyFont="1" applyBorder="1" applyAlignment="1">
      <alignment vertical="center"/>
    </xf>
    <xf numFmtId="0" fontId="3" fillId="0" borderId="35" xfId="0" applyFont="1" applyBorder="1" applyAlignment="1">
      <alignment horizontal="left" vertical="center"/>
    </xf>
    <xf numFmtId="0" fontId="3" fillId="0" borderId="32" xfId="0" applyFont="1" applyBorder="1"/>
    <xf numFmtId="0" fontId="3" fillId="0" borderId="32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3" fillId="0" borderId="34" xfId="0" applyFont="1" applyBorder="1" applyAlignment="1">
      <alignment horizontal="left" vertical="center"/>
    </xf>
    <xf numFmtId="0" fontId="3" fillId="0" borderId="35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164" fontId="3" fillId="0" borderId="32" xfId="0" applyNumberFormat="1" applyFont="1" applyBorder="1" applyAlignment="1">
      <alignment horizontal="center"/>
    </xf>
    <xf numFmtId="164" fontId="3" fillId="0" borderId="33" xfId="0" applyNumberFormat="1" applyFont="1" applyBorder="1" applyAlignment="1">
      <alignment horizontal="center"/>
    </xf>
    <xf numFmtId="164" fontId="3" fillId="0" borderId="31" xfId="0" applyNumberFormat="1" applyFont="1" applyBorder="1" applyAlignment="1">
      <alignment horizontal="center"/>
    </xf>
    <xf numFmtId="164" fontId="3" fillId="0" borderId="34" xfId="0" applyNumberFormat="1" applyFont="1" applyBorder="1" applyAlignment="1">
      <alignment horizontal="center"/>
    </xf>
    <xf numFmtId="11" fontId="3" fillId="0" borderId="32" xfId="0" applyNumberFormat="1" applyFont="1" applyBorder="1" applyAlignment="1">
      <alignment horizontal="center"/>
    </xf>
    <xf numFmtId="11" fontId="3" fillId="0" borderId="33" xfId="0" applyNumberFormat="1" applyFont="1" applyBorder="1" applyAlignment="1">
      <alignment horizontal="center"/>
    </xf>
    <xf numFmtId="11" fontId="3" fillId="0" borderId="31" xfId="0" applyNumberFormat="1" applyFont="1" applyBorder="1" applyAlignment="1">
      <alignment horizontal="center"/>
    </xf>
    <xf numFmtId="11" fontId="3" fillId="0" borderId="34" xfId="0" applyNumberFormat="1" applyFont="1" applyBorder="1" applyAlignment="1">
      <alignment horizontal="center"/>
    </xf>
    <xf numFmtId="168" fontId="3" fillId="0" borderId="32" xfId="0" applyNumberFormat="1" applyFont="1" applyBorder="1" applyAlignment="1">
      <alignment horizontal="center"/>
    </xf>
    <xf numFmtId="168" fontId="3" fillId="0" borderId="33" xfId="0" applyNumberFormat="1" applyFont="1" applyBorder="1" applyAlignment="1">
      <alignment horizontal="center"/>
    </xf>
    <xf numFmtId="168" fontId="3" fillId="0" borderId="31" xfId="0" applyNumberFormat="1" applyFont="1" applyBorder="1" applyAlignment="1">
      <alignment horizontal="center"/>
    </xf>
    <xf numFmtId="168" fontId="3" fillId="0" borderId="34" xfId="0" applyNumberFormat="1" applyFont="1" applyBorder="1" applyAlignment="1">
      <alignment horizontal="center"/>
    </xf>
    <xf numFmtId="0" fontId="3" fillId="0" borderId="33" xfId="0" applyFont="1" applyBorder="1"/>
    <xf numFmtId="0" fontId="3" fillId="0" borderId="31" xfId="0" applyFont="1" applyBorder="1"/>
    <xf numFmtId="0" fontId="3" fillId="0" borderId="34" xfId="0" applyFont="1" applyBorder="1"/>
    <xf numFmtId="0" fontId="3" fillId="0" borderId="35" xfId="0" applyFont="1" applyBorder="1" applyAlignment="1">
      <alignment horizontal="center" wrapText="1"/>
    </xf>
    <xf numFmtId="0" fontId="3" fillId="0" borderId="28" xfId="0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/>
    </xf>
    <xf numFmtId="164" fontId="3" fillId="0" borderId="21" xfId="0" applyNumberFormat="1" applyFont="1" applyBorder="1" applyAlignment="1">
      <alignment horizontal="center"/>
    </xf>
    <xf numFmtId="164" fontId="3" fillId="0" borderId="26" xfId="0" applyNumberFormat="1" applyFont="1" applyBorder="1" applyAlignment="1">
      <alignment horizontal="center"/>
    </xf>
    <xf numFmtId="164" fontId="3" fillId="0" borderId="15" xfId="0" applyNumberFormat="1" applyFont="1" applyBorder="1" applyAlignment="1">
      <alignment horizontal="center"/>
    </xf>
    <xf numFmtId="0" fontId="0" fillId="0" borderId="0" xfId="0" quotePrefix="1" applyAlignment="1">
      <alignment horizontal="center"/>
    </xf>
    <xf numFmtId="169" fontId="1" fillId="0" borderId="4" xfId="0" applyNumberFormat="1" applyFont="1" applyBorder="1" applyAlignment="1">
      <alignment horizontal="center"/>
    </xf>
    <xf numFmtId="169" fontId="1" fillId="0" borderId="5" xfId="0" applyNumberFormat="1" applyFont="1" applyBorder="1" applyAlignment="1">
      <alignment horizontal="center"/>
    </xf>
    <xf numFmtId="169" fontId="1" fillId="0" borderId="15" xfId="0" applyNumberFormat="1" applyFont="1" applyBorder="1" applyAlignment="1">
      <alignment horizontal="center"/>
    </xf>
    <xf numFmtId="169" fontId="1" fillId="0" borderId="16" xfId="0" applyNumberFormat="1" applyFont="1" applyBorder="1" applyAlignment="1">
      <alignment horizontal="center"/>
    </xf>
    <xf numFmtId="0" fontId="0" fillId="0" borderId="4" xfId="0" quotePrefix="1" applyBorder="1" applyAlignment="1">
      <alignment horizontal="center"/>
    </xf>
    <xf numFmtId="171" fontId="1" fillId="0" borderId="0" xfId="0" applyNumberFormat="1" applyFont="1" applyAlignment="1">
      <alignment horizontal="center"/>
    </xf>
    <xf numFmtId="0" fontId="1" fillId="0" borderId="27" xfId="0" applyFont="1" applyBorder="1"/>
    <xf numFmtId="0" fontId="12" fillId="0" borderId="18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1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69" fontId="12" fillId="0" borderId="0" xfId="0" applyNumberFormat="1" applyFont="1" applyAlignment="1">
      <alignment horizontal="center"/>
    </xf>
    <xf numFmtId="11" fontId="21" fillId="0" borderId="0" xfId="0" applyNumberFormat="1" applyFont="1" applyAlignment="1">
      <alignment horizontal="center"/>
    </xf>
    <xf numFmtId="164" fontId="1" fillId="0" borderId="4" xfId="0" applyNumberFormat="1" applyFont="1" applyBorder="1" applyAlignment="1">
      <alignment horizontal="center" vertical="center"/>
    </xf>
    <xf numFmtId="164" fontId="1" fillId="0" borderId="21" xfId="0" applyNumberFormat="1" applyFont="1" applyBorder="1" applyAlignment="1">
      <alignment horizontal="center" vertical="center"/>
    </xf>
    <xf numFmtId="164" fontId="1" fillId="0" borderId="26" xfId="0" applyNumberFormat="1" applyFont="1" applyBorder="1" applyAlignment="1">
      <alignment horizontal="center" vertical="center"/>
    </xf>
    <xf numFmtId="164" fontId="1" fillId="0" borderId="15" xfId="0" applyNumberFormat="1" applyFont="1" applyBorder="1" applyAlignment="1">
      <alignment horizontal="center" vertical="center"/>
    </xf>
    <xf numFmtId="170" fontId="1" fillId="0" borderId="0" xfId="0" applyNumberFormat="1" applyFont="1" applyAlignment="1">
      <alignment horizontal="center"/>
    </xf>
    <xf numFmtId="170" fontId="1" fillId="0" borderId="13" xfId="0" applyNumberFormat="1" applyFont="1" applyBorder="1" applyAlignment="1">
      <alignment horizontal="center"/>
    </xf>
    <xf numFmtId="170" fontId="1" fillId="0" borderId="14" xfId="0" applyNumberFormat="1" applyFont="1" applyBorder="1" applyAlignment="1">
      <alignment horizontal="center"/>
    </xf>
    <xf numFmtId="170" fontId="1" fillId="0" borderId="3" xfId="0" applyNumberFormat="1" applyFont="1" applyBorder="1" applyAlignment="1">
      <alignment horizont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/>
    </xf>
    <xf numFmtId="2" fontId="1" fillId="0" borderId="0" xfId="0" applyNumberFormat="1" applyFont="1" applyAlignment="1">
      <alignment horizontal="center"/>
    </xf>
    <xf numFmtId="2" fontId="1" fillId="0" borderId="5" xfId="0" applyNumberFormat="1" applyFont="1" applyBorder="1" applyAlignment="1">
      <alignment horizontal="center"/>
    </xf>
    <xf numFmtId="2" fontId="1" fillId="0" borderId="15" xfId="0" applyNumberFormat="1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2" fontId="1" fillId="0" borderId="16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6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166" fontId="1" fillId="0" borderId="21" xfId="0" applyNumberFormat="1" applyFont="1" applyBorder="1" applyAlignment="1">
      <alignment horizontal="center" vertical="center"/>
    </xf>
    <xf numFmtId="166" fontId="1" fillId="0" borderId="13" xfId="0" applyNumberFormat="1" applyFont="1" applyBorder="1" applyAlignment="1">
      <alignment horizontal="center" vertical="center"/>
    </xf>
    <xf numFmtId="166" fontId="1" fillId="0" borderId="22" xfId="0" applyNumberFormat="1" applyFont="1" applyBorder="1" applyAlignment="1">
      <alignment horizontal="center" vertical="center"/>
    </xf>
    <xf numFmtId="166" fontId="12" fillId="0" borderId="13" xfId="0" applyNumberFormat="1" applyFont="1" applyBorder="1" applyAlignment="1">
      <alignment horizontal="center" vertical="center"/>
    </xf>
    <xf numFmtId="166" fontId="12" fillId="0" borderId="22" xfId="0" applyNumberFormat="1" applyFont="1" applyBorder="1" applyAlignment="1">
      <alignment horizontal="center" vertical="center"/>
    </xf>
    <xf numFmtId="166" fontId="12" fillId="0" borderId="21" xfId="0" applyNumberFormat="1" applyFont="1" applyBorder="1" applyAlignment="1">
      <alignment horizontal="center" vertical="center"/>
    </xf>
    <xf numFmtId="0" fontId="1" fillId="0" borderId="3" xfId="0" applyFont="1" applyBorder="1"/>
    <xf numFmtId="165" fontId="1" fillId="0" borderId="0" xfId="0" applyNumberFormat="1" applyFont="1"/>
    <xf numFmtId="165" fontId="1" fillId="0" borderId="0" xfId="0" applyNumberFormat="1" applyFont="1" applyAlignment="1">
      <alignment horizontal="center"/>
    </xf>
    <xf numFmtId="164" fontId="12" fillId="0" borderId="28" xfId="0" applyNumberFormat="1" applyFont="1" applyBorder="1" applyAlignment="1">
      <alignment horizontal="center" vertical="center"/>
    </xf>
    <xf numFmtId="164" fontId="12" fillId="0" borderId="18" xfId="0" applyNumberFormat="1" applyFont="1" applyBorder="1" applyAlignment="1">
      <alignment horizontal="center" vertical="center"/>
    </xf>
    <xf numFmtId="164" fontId="12" fillId="0" borderId="29" xfId="0" applyNumberFormat="1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1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3" fillId="0" borderId="18" xfId="0" applyNumberFormat="1" applyFont="1" applyBorder="1" applyAlignment="1">
      <alignment horizontal="center" vertical="center"/>
    </xf>
    <xf numFmtId="164" fontId="13" fillId="0" borderId="29" xfId="0" applyNumberFormat="1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9" xfId="0" applyBorder="1" applyAlignment="1">
      <alignment horizontal="center"/>
    </xf>
    <xf numFmtId="0" fontId="1" fillId="0" borderId="18" xfId="0" applyFont="1" applyBorder="1" applyAlignment="1">
      <alignment horizontal="center"/>
    </xf>
    <xf numFmtId="164" fontId="1" fillId="0" borderId="28" xfId="0" applyNumberFormat="1" applyFont="1" applyBorder="1" applyAlignment="1">
      <alignment horizontal="center"/>
    </xf>
    <xf numFmtId="164" fontId="0" fillId="0" borderId="18" xfId="0" applyNumberFormat="1" applyBorder="1" applyAlignment="1">
      <alignment horizontal="center"/>
    </xf>
    <xf numFmtId="164" fontId="0" fillId="0" borderId="29" xfId="0" applyNumberFormat="1" applyBorder="1" applyAlignment="1">
      <alignment horizont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2" fillId="0" borderId="28" xfId="0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21" fillId="0" borderId="28" xfId="0" applyFont="1" applyBorder="1" applyAlignment="1">
      <alignment horizontal="center"/>
    </xf>
    <xf numFmtId="0" fontId="21" fillId="0" borderId="18" xfId="0" applyFont="1" applyBorder="1" applyAlignment="1">
      <alignment horizontal="center"/>
    </xf>
    <xf numFmtId="0" fontId="21" fillId="0" borderId="29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2" fillId="0" borderId="23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2" fillId="0" borderId="24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0" fontId="0" fillId="0" borderId="27" xfId="0" applyBorder="1"/>
    <xf numFmtId="0" fontId="1" fillId="0" borderId="27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1" fillId="0" borderId="38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1" fillId="0" borderId="27" xfId="0" applyFont="1" applyBorder="1"/>
    <xf numFmtId="0" fontId="12" fillId="0" borderId="37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" fillId="0" borderId="39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3" fillId="0" borderId="2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4" fillId="0" borderId="18" xfId="0" applyFont="1" applyBorder="1" applyAlignment="1">
      <alignment horizontal="center"/>
    </xf>
    <xf numFmtId="0" fontId="14" fillId="0" borderId="2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27BEB-3E3A-6C48-A3C5-48E22000CD9E}">
  <dimension ref="A2:H18"/>
  <sheetViews>
    <sheetView workbookViewId="0">
      <selection activeCell="D22" sqref="D22"/>
    </sheetView>
  </sheetViews>
  <sheetFormatPr baseColWidth="10" defaultRowHeight="15"/>
  <sheetData>
    <row r="2" spans="1:8" ht="16">
      <c r="A2" s="96" t="s">
        <v>219</v>
      </c>
      <c r="B2" s="95"/>
      <c r="C2" s="95"/>
      <c r="D2" s="95"/>
      <c r="E2" s="95"/>
      <c r="F2" s="95"/>
      <c r="G2" s="95"/>
      <c r="H2" s="95"/>
    </row>
    <row r="3" spans="1:8" ht="16">
      <c r="A3" s="95"/>
      <c r="B3" s="95"/>
      <c r="C3" s="95"/>
      <c r="D3" s="95"/>
      <c r="E3" s="95"/>
      <c r="F3" s="95"/>
      <c r="G3" s="95"/>
      <c r="H3" s="95"/>
    </row>
    <row r="4" spans="1:8" ht="16">
      <c r="A4" s="96" t="s">
        <v>252</v>
      </c>
      <c r="B4" s="95"/>
      <c r="C4" s="95"/>
      <c r="D4" s="95"/>
      <c r="E4" s="95"/>
      <c r="F4" s="95"/>
      <c r="G4" s="95"/>
      <c r="H4" s="95"/>
    </row>
    <row r="5" spans="1:8" ht="16">
      <c r="A5" s="95"/>
      <c r="B5" s="95"/>
      <c r="C5" s="95"/>
      <c r="D5" s="95"/>
      <c r="E5" s="95"/>
      <c r="F5" s="95"/>
      <c r="G5" s="95"/>
      <c r="H5" s="95"/>
    </row>
    <row r="6" spans="1:8" ht="18">
      <c r="A6" s="95" t="s">
        <v>166</v>
      </c>
      <c r="B6" s="95"/>
      <c r="C6" s="95"/>
      <c r="D6" s="95"/>
      <c r="E6" s="95"/>
      <c r="F6" s="95"/>
      <c r="G6" s="95"/>
      <c r="H6" s="95"/>
    </row>
    <row r="7" spans="1:8" ht="16">
      <c r="A7" s="95"/>
      <c r="B7" s="95"/>
      <c r="C7" s="95"/>
      <c r="D7" s="95"/>
      <c r="E7" s="95"/>
      <c r="F7" s="95"/>
      <c r="G7" s="95"/>
      <c r="H7" s="95"/>
    </row>
    <row r="8" spans="1:8" ht="18">
      <c r="A8" s="97" t="s">
        <v>162</v>
      </c>
      <c r="B8" s="95"/>
      <c r="C8" s="95"/>
      <c r="D8" s="95"/>
      <c r="E8" s="95"/>
      <c r="F8" s="95"/>
      <c r="G8" s="95"/>
      <c r="H8" s="95"/>
    </row>
    <row r="9" spans="1:8" ht="18">
      <c r="A9" s="97" t="s">
        <v>163</v>
      </c>
      <c r="B9" s="95"/>
      <c r="C9" s="95"/>
      <c r="D9" s="95"/>
      <c r="E9" s="95"/>
      <c r="F9" s="95"/>
      <c r="G9" s="95"/>
      <c r="H9" s="95"/>
    </row>
    <row r="10" spans="1:8" ht="18">
      <c r="A10" s="97" t="s">
        <v>164</v>
      </c>
      <c r="B10" s="95"/>
      <c r="C10" s="95"/>
      <c r="D10" s="95"/>
      <c r="E10" s="95"/>
      <c r="F10" s="95"/>
      <c r="G10" s="95"/>
      <c r="H10" s="95"/>
    </row>
    <row r="11" spans="1:8" ht="16">
      <c r="A11" s="95"/>
      <c r="B11" s="95"/>
      <c r="C11" s="95"/>
      <c r="D11" s="95"/>
      <c r="E11" s="95"/>
      <c r="F11" s="95"/>
      <c r="G11" s="95"/>
      <c r="H11" s="95"/>
    </row>
    <row r="12" spans="1:8" ht="16">
      <c r="A12" s="95" t="s">
        <v>165</v>
      </c>
      <c r="B12" s="95"/>
      <c r="C12" s="95"/>
      <c r="D12" s="95"/>
      <c r="E12" s="95"/>
      <c r="F12" s="95"/>
      <c r="G12" s="95"/>
      <c r="H12" s="95"/>
    </row>
    <row r="13" spans="1:8" ht="16">
      <c r="A13" s="95"/>
      <c r="B13" s="95"/>
      <c r="C13" s="95"/>
      <c r="D13" s="95"/>
      <c r="E13" s="95"/>
      <c r="F13" s="95"/>
      <c r="G13" s="95"/>
      <c r="H13" s="95"/>
    </row>
    <row r="14" spans="1:8" ht="16">
      <c r="A14" s="95"/>
      <c r="B14" s="95"/>
      <c r="C14" s="95"/>
      <c r="D14" s="95"/>
      <c r="E14" s="95"/>
      <c r="F14" s="95"/>
      <c r="G14" s="95"/>
      <c r="H14" s="95"/>
    </row>
    <row r="15" spans="1:8" ht="16">
      <c r="A15" s="95"/>
      <c r="B15" s="95"/>
      <c r="C15" s="95"/>
      <c r="D15" s="95"/>
      <c r="E15" s="95"/>
      <c r="F15" s="95"/>
      <c r="G15" s="95"/>
      <c r="H15" s="95"/>
    </row>
    <row r="16" spans="1:8" ht="16">
      <c r="A16" s="95"/>
      <c r="B16" s="95"/>
      <c r="C16" s="95"/>
      <c r="D16" s="95"/>
      <c r="E16" s="95"/>
      <c r="F16" s="95"/>
      <c r="G16" s="95"/>
      <c r="H16" s="95"/>
    </row>
    <row r="17" spans="1:8" ht="16">
      <c r="A17" s="95"/>
      <c r="B17" s="95"/>
      <c r="C17" s="95"/>
      <c r="D17" s="95"/>
      <c r="E17" s="95"/>
      <c r="F17" s="95"/>
      <c r="G17" s="95"/>
      <c r="H17" s="95"/>
    </row>
    <row r="18" spans="1:8" ht="16">
      <c r="A18" s="95"/>
      <c r="B18" s="95"/>
      <c r="C18" s="95"/>
      <c r="D18" s="95"/>
      <c r="E18" s="95"/>
      <c r="F18" s="95"/>
      <c r="G18" s="95"/>
      <c r="H18" s="9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3BDEE-4420-4DB8-9110-07FB5F02DF3F}">
  <dimension ref="B2:Z33"/>
  <sheetViews>
    <sheetView tabSelected="1" zoomScale="90" zoomScaleNormal="90" workbookViewId="0">
      <selection activeCell="I32" sqref="I32"/>
    </sheetView>
  </sheetViews>
  <sheetFormatPr baseColWidth="10" defaultColWidth="9" defaultRowHeight="14"/>
  <cols>
    <col min="1" max="1" width="2.5" style="1" customWidth="1"/>
    <col min="2" max="2" width="9" style="1"/>
    <col min="3" max="3" width="12.33203125" style="1" customWidth="1"/>
    <col min="4" max="4" width="10.6640625" style="1" customWidth="1"/>
    <col min="5" max="5" width="13.33203125" style="1" customWidth="1"/>
    <col min="6" max="6" width="9.33203125" style="1" customWidth="1"/>
    <col min="7" max="7" width="12" style="1" customWidth="1"/>
    <col min="8" max="8" width="13" style="1" customWidth="1"/>
    <col min="9" max="9" width="11.6640625" style="1" customWidth="1"/>
    <col min="10" max="10" width="9.6640625" style="1" customWidth="1"/>
    <col min="11" max="11" width="12.6640625" style="1" customWidth="1"/>
    <col min="12" max="12" width="9" style="1"/>
    <col min="13" max="13" width="10.6640625" style="1" customWidth="1"/>
    <col min="14" max="14" width="13.33203125" style="1" customWidth="1"/>
    <col min="15" max="15" width="12.5" style="1" customWidth="1"/>
    <col min="16" max="16" width="11.83203125" style="1" customWidth="1"/>
    <col min="17" max="17" width="10.1640625" style="1" customWidth="1"/>
    <col min="18" max="18" width="9.6640625" style="1" customWidth="1"/>
    <col min="19" max="19" width="9.33203125" style="1" customWidth="1"/>
    <col min="20" max="20" width="9" style="1" customWidth="1"/>
    <col min="21" max="21" width="13" style="1" customWidth="1"/>
    <col min="22" max="22" width="9.83203125" style="1" customWidth="1"/>
    <col min="23" max="23" width="10.6640625" style="1" customWidth="1"/>
    <col min="24" max="24" width="9.33203125" style="1" customWidth="1"/>
    <col min="25" max="25" width="10.33203125" style="1" customWidth="1"/>
    <col min="26" max="26" width="8.5" style="1" customWidth="1"/>
    <col min="27" max="16384" width="9" style="1"/>
  </cols>
  <sheetData>
    <row r="2" spans="2:26">
      <c r="B2" s="29" t="s">
        <v>220</v>
      </c>
    </row>
    <row r="4" spans="2:26" ht="17" thickBot="1">
      <c r="B4" s="1" t="s">
        <v>225</v>
      </c>
    </row>
    <row r="5" spans="2:26" ht="18.5" customHeight="1">
      <c r="B5" s="262" t="s">
        <v>8</v>
      </c>
      <c r="C5" s="264" t="s">
        <v>210</v>
      </c>
      <c r="D5" s="265"/>
      <c r="E5" s="266"/>
      <c r="F5" s="265" t="s">
        <v>4</v>
      </c>
      <c r="G5" s="265"/>
      <c r="H5" s="266"/>
      <c r="I5" s="264" t="s">
        <v>211</v>
      </c>
      <c r="J5" s="265"/>
      <c r="K5" s="266"/>
      <c r="L5" s="264" t="s">
        <v>5</v>
      </c>
      <c r="M5" s="267"/>
      <c r="N5" s="268"/>
      <c r="O5" s="264" t="s">
        <v>212</v>
      </c>
      <c r="P5" s="265"/>
      <c r="Q5" s="266"/>
      <c r="R5" s="264" t="s">
        <v>6</v>
      </c>
      <c r="S5" s="267"/>
      <c r="T5" s="268"/>
      <c r="U5" s="259" t="s">
        <v>94</v>
      </c>
      <c r="V5" s="260"/>
      <c r="W5" s="261"/>
      <c r="X5" s="259" t="s">
        <v>7</v>
      </c>
      <c r="Y5" s="260"/>
      <c r="Z5" s="260"/>
    </row>
    <row r="6" spans="2:26">
      <c r="B6" s="263"/>
      <c r="C6" s="98">
        <v>1</v>
      </c>
      <c r="D6" s="99">
        <v>2</v>
      </c>
      <c r="E6" s="100">
        <v>3</v>
      </c>
      <c r="F6" s="99">
        <v>4</v>
      </c>
      <c r="G6" s="99">
        <v>5</v>
      </c>
      <c r="H6" s="99">
        <v>6</v>
      </c>
      <c r="I6" s="98">
        <v>7</v>
      </c>
      <c r="J6" s="99">
        <v>8</v>
      </c>
      <c r="K6" s="100">
        <v>9</v>
      </c>
      <c r="L6" s="98">
        <v>10</v>
      </c>
      <c r="M6" s="101">
        <v>11</v>
      </c>
      <c r="N6" s="102">
        <v>12</v>
      </c>
      <c r="O6" s="98">
        <v>13</v>
      </c>
      <c r="P6" s="99">
        <v>14</v>
      </c>
      <c r="Q6" s="100">
        <v>15</v>
      </c>
      <c r="R6" s="98">
        <v>16</v>
      </c>
      <c r="S6" s="101">
        <v>17</v>
      </c>
      <c r="T6" s="102">
        <v>18</v>
      </c>
      <c r="U6" s="103">
        <v>19</v>
      </c>
      <c r="V6" s="101">
        <v>20</v>
      </c>
      <c r="W6" s="102">
        <v>21</v>
      </c>
      <c r="X6" s="103">
        <v>22</v>
      </c>
      <c r="Y6" s="101">
        <v>23</v>
      </c>
      <c r="Z6" s="101">
        <v>24</v>
      </c>
    </row>
    <row r="7" spans="2:26">
      <c r="B7" s="14">
        <v>0</v>
      </c>
      <c r="C7" s="17">
        <f>0.045*2</f>
        <v>0.09</v>
      </c>
      <c r="D7" s="16">
        <f>0.041*2</f>
        <v>8.2000000000000003E-2</v>
      </c>
      <c r="E7" s="18">
        <f>0.042*2</f>
        <v>8.4000000000000005E-2</v>
      </c>
      <c r="F7" s="16">
        <f>0.039*2</f>
        <v>7.8E-2</v>
      </c>
      <c r="G7" s="16">
        <f>0.038*2</f>
        <v>7.5999999999999998E-2</v>
      </c>
      <c r="H7" s="16">
        <f>0.04*2</f>
        <v>0.08</v>
      </c>
      <c r="I7" s="17">
        <f>0.034*2</f>
        <v>6.8000000000000005E-2</v>
      </c>
      <c r="J7" s="16">
        <f>0.034*2</f>
        <v>6.8000000000000005E-2</v>
      </c>
      <c r="K7" s="18">
        <f>0.03*2</f>
        <v>0.06</v>
      </c>
      <c r="L7" s="17">
        <f>0.03*2</f>
        <v>0.06</v>
      </c>
      <c r="M7" s="16">
        <f>0.035*2</f>
        <v>7.0000000000000007E-2</v>
      </c>
      <c r="N7" s="18">
        <f>0.033*2</f>
        <v>6.6000000000000003E-2</v>
      </c>
      <c r="O7" s="17">
        <f>0.028*2</f>
        <v>5.6000000000000001E-2</v>
      </c>
      <c r="P7" s="16">
        <f>0.028*2</f>
        <v>5.6000000000000001E-2</v>
      </c>
      <c r="Q7" s="18">
        <f>0.025*2</f>
        <v>0.05</v>
      </c>
      <c r="R7" s="17">
        <f>0.028*2</f>
        <v>5.6000000000000001E-2</v>
      </c>
      <c r="S7" s="16">
        <f>0.028*2</f>
        <v>5.6000000000000001E-2</v>
      </c>
      <c r="T7" s="18">
        <f>0.028*2</f>
        <v>5.6000000000000001E-2</v>
      </c>
      <c r="U7" s="17">
        <f>0.025*2</f>
        <v>0.05</v>
      </c>
      <c r="V7" s="16">
        <f>0.025*2</f>
        <v>0.05</v>
      </c>
      <c r="W7" s="18">
        <f>0.021*2</f>
        <v>4.2000000000000003E-2</v>
      </c>
      <c r="X7" s="17">
        <f>0.021*2</f>
        <v>4.2000000000000003E-2</v>
      </c>
      <c r="Y7" s="16">
        <f>0.025*2</f>
        <v>0.05</v>
      </c>
      <c r="Z7" s="16">
        <f>0.02*2</f>
        <v>0.04</v>
      </c>
    </row>
    <row r="8" spans="2:26">
      <c r="B8" s="14">
        <v>4</v>
      </c>
      <c r="C8" s="17">
        <f>0.197*2</f>
        <v>0.39400000000000002</v>
      </c>
      <c r="D8" s="16">
        <f>0.208*2</f>
        <v>0.41599999999999998</v>
      </c>
      <c r="E8" s="18">
        <f>0.223*2</f>
        <v>0.44600000000000001</v>
      </c>
      <c r="F8" s="16">
        <f>0.396*2</f>
        <v>0.79200000000000004</v>
      </c>
      <c r="G8" s="16">
        <f>0.402*2</f>
        <v>0.80400000000000005</v>
      </c>
      <c r="H8" s="16">
        <f>0.41*2</f>
        <v>0.82</v>
      </c>
      <c r="I8" s="17">
        <f>0.282*2</f>
        <v>0.56399999999999995</v>
      </c>
      <c r="J8" s="16">
        <f>0.282*2</f>
        <v>0.56399999999999995</v>
      </c>
      <c r="K8" s="18">
        <f>0.25*2</f>
        <v>0.5</v>
      </c>
      <c r="L8" s="17">
        <f>0.396*2</f>
        <v>0.79200000000000004</v>
      </c>
      <c r="M8" s="16">
        <f>0.383*2</f>
        <v>0.76600000000000001</v>
      </c>
      <c r="N8" s="18">
        <f>0.39*2</f>
        <v>0.78</v>
      </c>
      <c r="O8" s="17">
        <f>0.294*2</f>
        <v>0.58799999999999997</v>
      </c>
      <c r="P8" s="16">
        <f>0.301*2</f>
        <v>0.60199999999999998</v>
      </c>
      <c r="Q8" s="18">
        <f>0.276*2</f>
        <v>0.55200000000000005</v>
      </c>
      <c r="R8" s="17">
        <f>0.385*2</f>
        <v>0.77</v>
      </c>
      <c r="S8" s="16">
        <f>0.341*2</f>
        <v>0.68200000000000005</v>
      </c>
      <c r="T8" s="18">
        <f>0.353*2</f>
        <v>0.70599999999999996</v>
      </c>
      <c r="U8" s="17">
        <f>0.152*2</f>
        <v>0.30399999999999999</v>
      </c>
      <c r="V8" s="16">
        <f>0.133*2</f>
        <v>0.26600000000000001</v>
      </c>
      <c r="W8" s="18">
        <f>0.136*2</f>
        <v>0.27200000000000002</v>
      </c>
      <c r="X8" s="17">
        <f>0.305*2</f>
        <v>0.61</v>
      </c>
      <c r="Y8" s="16">
        <f>0.325*2</f>
        <v>0.65</v>
      </c>
      <c r="Z8" s="16">
        <f>0.307*2</f>
        <v>0.61399999999999999</v>
      </c>
    </row>
    <row r="9" spans="2:26">
      <c r="B9" s="14">
        <v>8</v>
      </c>
      <c r="C9" s="17">
        <f>0.498*2</f>
        <v>0.996</v>
      </c>
      <c r="D9" s="16">
        <f>0.562*2</f>
        <v>1.1240000000000001</v>
      </c>
      <c r="E9" s="18">
        <f>0.581*2</f>
        <v>1.1619999999999999</v>
      </c>
      <c r="F9" s="16">
        <f>1.217*2</f>
        <v>2.4340000000000002</v>
      </c>
      <c r="G9" s="16">
        <f>1.257*2</f>
        <v>2.5139999999999998</v>
      </c>
      <c r="H9" s="16">
        <f>1.23*2</f>
        <v>2.46</v>
      </c>
      <c r="I9" s="17">
        <f>0.374*2</f>
        <v>0.748</v>
      </c>
      <c r="J9" s="16">
        <f>0.376*2</f>
        <v>0.752</v>
      </c>
      <c r="K9" s="18">
        <f>0.347*2</f>
        <v>0.69399999999999995</v>
      </c>
      <c r="L9" s="17">
        <f>1.138*2</f>
        <v>2.2759999999999998</v>
      </c>
      <c r="M9" s="16">
        <f>1.156*2</f>
        <v>2.3119999999999998</v>
      </c>
      <c r="N9" s="18">
        <f>1.172*2</f>
        <v>2.3439999999999999</v>
      </c>
      <c r="O9" s="17">
        <f>0.271*2</f>
        <v>0.54200000000000004</v>
      </c>
      <c r="P9" s="16">
        <f>0.281*2</f>
        <v>0.56200000000000006</v>
      </c>
      <c r="Q9" s="18">
        <v>0.27300000000000002</v>
      </c>
      <c r="R9" s="17">
        <f>1.015*2</f>
        <v>2.0299999999999998</v>
      </c>
      <c r="S9" s="16">
        <f>1.006*2</f>
        <v>2.012</v>
      </c>
      <c r="T9" s="18">
        <f>0.961*2</f>
        <v>1.9219999999999999</v>
      </c>
      <c r="U9" s="17">
        <f>0.142*2</f>
        <v>0.28399999999999997</v>
      </c>
      <c r="V9" s="16">
        <f>0.143*2</f>
        <v>0.28599999999999998</v>
      </c>
      <c r="W9" s="18">
        <f>0.146*2</f>
        <v>0.29199999999999998</v>
      </c>
      <c r="X9" s="17">
        <f>0.651*2</f>
        <v>1.302</v>
      </c>
      <c r="Y9" s="16">
        <f>0.638*2</f>
        <v>1.276</v>
      </c>
      <c r="Z9" s="16">
        <f>0.672*2</f>
        <v>1.3440000000000001</v>
      </c>
    </row>
    <row r="10" spans="2:26">
      <c r="B10" s="14">
        <v>12</v>
      </c>
      <c r="C10" s="17">
        <f>0.509*2</f>
        <v>1.018</v>
      </c>
      <c r="D10" s="16">
        <f>0.586*2</f>
        <v>1.1719999999999999</v>
      </c>
      <c r="E10" s="18">
        <f>0.662*2</f>
        <v>1.3240000000000001</v>
      </c>
      <c r="F10" s="16">
        <f>1.421*2</f>
        <v>2.8420000000000001</v>
      </c>
      <c r="G10" s="16">
        <f>1.466*2</f>
        <v>2.9319999999999999</v>
      </c>
      <c r="H10" s="16">
        <f>1.481*2</f>
        <v>2.9620000000000002</v>
      </c>
      <c r="I10" s="17">
        <f>0.331*2</f>
        <v>0.66200000000000003</v>
      </c>
      <c r="J10" s="16">
        <f>0.349*2</f>
        <v>0.69799999999999995</v>
      </c>
      <c r="K10" s="18">
        <f>0.3*2</f>
        <v>0.6</v>
      </c>
      <c r="L10" s="17">
        <f>1.239*2</f>
        <v>2.4780000000000002</v>
      </c>
      <c r="M10" s="16">
        <f>1.244*2</f>
        <v>2.488</v>
      </c>
      <c r="N10" s="18">
        <f>1.258*2</f>
        <v>2.516</v>
      </c>
      <c r="O10" s="17">
        <v>0.251</v>
      </c>
      <c r="P10" s="16">
        <v>0.23599999999999999</v>
      </c>
      <c r="Q10" s="18">
        <f>0.231*2</f>
        <v>0.46200000000000002</v>
      </c>
      <c r="R10" s="17">
        <f>1.134*2</f>
        <v>2.2679999999999998</v>
      </c>
      <c r="S10" s="16">
        <f>1.095*2</f>
        <v>2.19</v>
      </c>
      <c r="T10" s="18">
        <f>1.081*2</f>
        <v>2.1619999999999999</v>
      </c>
      <c r="U10" s="17">
        <f>0.152*2</f>
        <v>0.30399999999999999</v>
      </c>
      <c r="V10" s="16">
        <f>0.145*2</f>
        <v>0.28999999999999998</v>
      </c>
      <c r="W10" s="18">
        <f>0.142*2</f>
        <v>0.28399999999999997</v>
      </c>
      <c r="X10" s="17">
        <f>0.651*2</f>
        <v>1.302</v>
      </c>
      <c r="Y10" s="16">
        <f>0.638*2</f>
        <v>1.276</v>
      </c>
      <c r="Z10" s="16">
        <f>0.672*2</f>
        <v>1.3440000000000001</v>
      </c>
    </row>
    <row r="11" spans="2:26">
      <c r="B11" s="14">
        <v>24</v>
      </c>
      <c r="C11" s="17">
        <f>0.663*2</f>
        <v>1.3260000000000001</v>
      </c>
      <c r="D11" s="16">
        <f>0.795*2</f>
        <v>1.59</v>
      </c>
      <c r="E11" s="18">
        <f>0.838*2</f>
        <v>1.6759999999999999</v>
      </c>
      <c r="F11" s="16">
        <f>1.597*2</f>
        <v>3.194</v>
      </c>
      <c r="G11" s="16">
        <f>1.602*2</f>
        <v>3.2040000000000002</v>
      </c>
      <c r="H11" s="16">
        <f>1.599*2</f>
        <v>3.198</v>
      </c>
      <c r="I11" s="17">
        <f>0.402*2</f>
        <v>0.80400000000000005</v>
      </c>
      <c r="J11" s="16">
        <f>0.401*2</f>
        <v>0.80200000000000005</v>
      </c>
      <c r="K11" s="18">
        <f>0.379*2</f>
        <v>0.75800000000000001</v>
      </c>
      <c r="L11" s="17">
        <f>1.023*2</f>
        <v>2.0459999999999998</v>
      </c>
      <c r="M11" s="16">
        <f>1.051*2</f>
        <v>2.1019999999999999</v>
      </c>
      <c r="N11" s="18">
        <f>1.144*2</f>
        <v>2.2879999999999998</v>
      </c>
      <c r="O11" s="17">
        <f>0.197*2</f>
        <v>0.39400000000000002</v>
      </c>
      <c r="P11" s="16">
        <f>0.196*2</f>
        <v>0.39200000000000002</v>
      </c>
      <c r="Q11" s="18">
        <f>0.184*2</f>
        <v>0.36799999999999999</v>
      </c>
      <c r="R11" s="17">
        <f>0.609*2</f>
        <v>1.218</v>
      </c>
      <c r="S11" s="16">
        <f>0.603*2</f>
        <v>1.206</v>
      </c>
      <c r="T11" s="18">
        <f>0.622*2</f>
        <v>1.244</v>
      </c>
      <c r="U11" s="17">
        <f>0.118*2</f>
        <v>0.23599999999999999</v>
      </c>
      <c r="V11" s="16">
        <f>0.117*2</f>
        <v>0.23400000000000001</v>
      </c>
      <c r="W11" s="18">
        <f>0.123*2</f>
        <v>0.246</v>
      </c>
      <c r="X11" s="17">
        <f>0.248*2</f>
        <v>0.496</v>
      </c>
      <c r="Y11" s="16">
        <f>0.275*2</f>
        <v>0.55000000000000004</v>
      </c>
      <c r="Z11" s="16">
        <f>0.291*2</f>
        <v>0.58199999999999996</v>
      </c>
    </row>
    <row r="12" spans="2:26">
      <c r="B12" s="14">
        <v>28</v>
      </c>
      <c r="C12" s="17">
        <f>0.717*2</f>
        <v>1.4339999999999999</v>
      </c>
      <c r="D12" s="16">
        <f>0.857*2</f>
        <v>1.714</v>
      </c>
      <c r="E12" s="18">
        <f>0.923*2</f>
        <v>1.8460000000000001</v>
      </c>
      <c r="F12" s="16">
        <f>1.663*2</f>
        <v>3.3260000000000001</v>
      </c>
      <c r="G12" s="16">
        <f>1.584*2</f>
        <v>3.1680000000000001</v>
      </c>
      <c r="H12" s="16">
        <f>1.627*2</f>
        <v>3.254</v>
      </c>
      <c r="I12" s="17">
        <f>0.478*2</f>
        <v>0.95599999999999996</v>
      </c>
      <c r="J12" s="16">
        <f>0.449*2</f>
        <v>0.89800000000000002</v>
      </c>
      <c r="K12" s="18">
        <f>0.427*2</f>
        <v>0.85399999999999998</v>
      </c>
      <c r="L12" s="17">
        <f>0.894*2</f>
        <v>1.788</v>
      </c>
      <c r="M12" s="16">
        <f>0.843*2</f>
        <v>1.6859999999999999</v>
      </c>
      <c r="N12" s="18">
        <f>0.916*2</f>
        <v>1.8320000000000001</v>
      </c>
      <c r="O12" s="17">
        <f>0.219*2</f>
        <v>0.438</v>
      </c>
      <c r="P12" s="16">
        <f>0.214*2</f>
        <v>0.42799999999999999</v>
      </c>
      <c r="Q12" s="18">
        <f>0.211*2</f>
        <v>0.42199999999999999</v>
      </c>
      <c r="R12" s="17">
        <f>0.605*2</f>
        <v>1.21</v>
      </c>
      <c r="S12" s="16">
        <f>0.578*2</f>
        <v>1.1559999999999999</v>
      </c>
      <c r="T12" s="18">
        <f>0.561*2</f>
        <v>1.1220000000000001</v>
      </c>
      <c r="U12" s="17">
        <f>0.117*2</f>
        <v>0.23400000000000001</v>
      </c>
      <c r="V12" s="16">
        <f>0.125*2</f>
        <v>0.25</v>
      </c>
      <c r="W12" s="18">
        <f>0.127*2</f>
        <v>0.254</v>
      </c>
      <c r="X12" s="17">
        <f>0.216*2</f>
        <v>0.432</v>
      </c>
      <c r="Y12" s="16">
        <f>0.239*2</f>
        <v>0.47799999999999998</v>
      </c>
      <c r="Z12" s="16">
        <f>0.253*2</f>
        <v>0.50600000000000001</v>
      </c>
    </row>
    <row r="13" spans="2:26">
      <c r="B13" s="14">
        <v>32</v>
      </c>
      <c r="C13" s="17">
        <f>0.74*2</f>
        <v>1.48</v>
      </c>
      <c r="D13" s="16">
        <f>0.858*2</f>
        <v>1.716</v>
      </c>
      <c r="E13" s="18">
        <f>0.958*2</f>
        <v>1.9159999999999999</v>
      </c>
      <c r="F13" s="16">
        <f>1.463*2</f>
        <v>2.9260000000000002</v>
      </c>
      <c r="G13" s="16">
        <f>1.44*2</f>
        <v>2.88</v>
      </c>
      <c r="H13" s="16">
        <f>1.471*2</f>
        <v>2.9420000000000002</v>
      </c>
      <c r="I13" s="17">
        <f>0.45*2</f>
        <v>0.9</v>
      </c>
      <c r="J13" s="16">
        <f>0.456*2</f>
        <v>0.91200000000000003</v>
      </c>
      <c r="K13" s="18">
        <f>0.431*2</f>
        <v>0.86199999999999999</v>
      </c>
      <c r="L13" s="17">
        <f>0.754*2</f>
        <v>1.508</v>
      </c>
      <c r="M13" s="16">
        <f>0.72*2</f>
        <v>1.44</v>
      </c>
      <c r="N13" s="18">
        <f>0.714*2</f>
        <v>1.4279999999999999</v>
      </c>
      <c r="O13" s="17">
        <f>0.222*2</f>
        <v>0.44400000000000001</v>
      </c>
      <c r="P13" s="16">
        <f>0.223*2</f>
        <v>0.44600000000000001</v>
      </c>
      <c r="Q13" s="18">
        <f>0.218*2</f>
        <v>0.436</v>
      </c>
      <c r="R13" s="17">
        <f>0.515*2</f>
        <v>1.03</v>
      </c>
      <c r="S13" s="16">
        <f>0.527*2</f>
        <v>1.054</v>
      </c>
      <c r="T13" s="18">
        <f>0.533*2</f>
        <v>1.0660000000000001</v>
      </c>
      <c r="U13" s="17">
        <f>0.121*2</f>
        <v>0.24199999999999999</v>
      </c>
      <c r="V13" s="16">
        <f>0.117*2</f>
        <v>0.23400000000000001</v>
      </c>
      <c r="W13" s="18">
        <f>0.115*2</f>
        <v>0.23</v>
      </c>
      <c r="X13" s="17">
        <f>0.216*2</f>
        <v>0.432</v>
      </c>
      <c r="Y13" s="16">
        <f>0.217*2</f>
        <v>0.434</v>
      </c>
      <c r="Z13" s="16">
        <f>0.225*2</f>
        <v>0.45</v>
      </c>
    </row>
    <row r="14" spans="2:26">
      <c r="B14" s="14">
        <v>36</v>
      </c>
      <c r="C14" s="17">
        <f>0.773*2</f>
        <v>1.546</v>
      </c>
      <c r="D14" s="16">
        <f>0.844*2</f>
        <v>1.6879999999999999</v>
      </c>
      <c r="E14" s="18">
        <f>0.989*2</f>
        <v>1.978</v>
      </c>
      <c r="F14" s="16">
        <f>1.395*2</f>
        <v>2.79</v>
      </c>
      <c r="G14" s="16">
        <f>1.396*2</f>
        <v>2.7919999999999998</v>
      </c>
      <c r="H14" s="16">
        <f>1.582*2</f>
        <v>3.1640000000000001</v>
      </c>
      <c r="I14" s="17">
        <f>0.467*2</f>
        <v>0.93400000000000005</v>
      </c>
      <c r="J14" s="16">
        <f>0.48*2</f>
        <v>0.96</v>
      </c>
      <c r="K14" s="18">
        <f>0.48*2</f>
        <v>0.96</v>
      </c>
      <c r="L14" s="17">
        <f>0.711*2</f>
        <v>1.4219999999999999</v>
      </c>
      <c r="M14" s="16">
        <f>0.694*2</f>
        <v>1.3879999999999999</v>
      </c>
      <c r="N14" s="18">
        <f>0.708*2</f>
        <v>1.4159999999999999</v>
      </c>
      <c r="O14" s="17">
        <f>0.229*2</f>
        <v>0.45800000000000002</v>
      </c>
      <c r="P14" s="16">
        <f>0.221*2</f>
        <v>0.442</v>
      </c>
      <c r="Q14" s="18">
        <f>0.221*2</f>
        <v>0.442</v>
      </c>
      <c r="R14" s="17">
        <f>0.509*2</f>
        <v>1.018</v>
      </c>
      <c r="S14" s="16">
        <f>0.514*2</f>
        <v>1.028</v>
      </c>
      <c r="T14" s="18">
        <f>0.517*2</f>
        <v>1.034</v>
      </c>
      <c r="U14" s="17">
        <f>0.113*2</f>
        <v>0.22600000000000001</v>
      </c>
      <c r="V14" s="16">
        <f>0.116*2</f>
        <v>0.23200000000000001</v>
      </c>
      <c r="W14" s="18">
        <f>0.123*2</f>
        <v>0.246</v>
      </c>
      <c r="X14" s="17">
        <f>0.208*2</f>
        <v>0.41599999999999998</v>
      </c>
      <c r="Y14" s="16">
        <f>0.212*2</f>
        <v>0.42399999999999999</v>
      </c>
      <c r="Z14" s="16">
        <f>0.233*2</f>
        <v>0.46600000000000003</v>
      </c>
    </row>
    <row r="15" spans="2:26" ht="15" thickBot="1">
      <c r="B15" s="108">
        <v>48</v>
      </c>
      <c r="C15" s="114">
        <f>0.788*2</f>
        <v>1.5760000000000001</v>
      </c>
      <c r="D15" s="113">
        <f>0.855*2</f>
        <v>1.71</v>
      </c>
      <c r="E15" s="115">
        <f>1.038*2</f>
        <v>2.0760000000000001</v>
      </c>
      <c r="F15" s="113">
        <f>0.899*2</f>
        <v>1.798</v>
      </c>
      <c r="G15" s="113">
        <f>0.926*2</f>
        <v>1.8520000000000001</v>
      </c>
      <c r="H15" s="113">
        <f>0.988*2</f>
        <v>1.976</v>
      </c>
      <c r="I15" s="114">
        <f>0.437*2</f>
        <v>0.874</v>
      </c>
      <c r="J15" s="113">
        <f>0.496*2</f>
        <v>0.99199999999999999</v>
      </c>
      <c r="K15" s="115">
        <f>0.423*2</f>
        <v>0.84599999999999997</v>
      </c>
      <c r="L15" s="114">
        <f>0.612*2</f>
        <v>1.224</v>
      </c>
      <c r="M15" s="113">
        <f>0.575*2</f>
        <v>1.1499999999999999</v>
      </c>
      <c r="N15" s="115">
        <f>0.52*2</f>
        <v>1.04</v>
      </c>
      <c r="O15" s="114">
        <f>0.199*2</f>
        <v>0.39800000000000002</v>
      </c>
      <c r="P15" s="113">
        <f>0.206*2</f>
        <v>0.41199999999999998</v>
      </c>
      <c r="Q15" s="115">
        <f>0.187*2</f>
        <v>0.374</v>
      </c>
      <c r="R15" s="114">
        <f>0.442*2</f>
        <v>0.88400000000000001</v>
      </c>
      <c r="S15" s="113">
        <f>0.444*2</f>
        <v>0.88800000000000001</v>
      </c>
      <c r="T15" s="115">
        <f>0.434*2</f>
        <v>0.86799999999999999</v>
      </c>
      <c r="U15" s="114">
        <f>0.088*2</f>
        <v>0.17599999999999999</v>
      </c>
      <c r="V15" s="113">
        <f>0.088*2</f>
        <v>0.17599999999999999</v>
      </c>
      <c r="W15" s="115">
        <f>0.096*2</f>
        <v>0.192</v>
      </c>
      <c r="X15" s="114">
        <f>0.137*2</f>
        <v>0.27400000000000002</v>
      </c>
      <c r="Y15" s="113">
        <f>0.18*2</f>
        <v>0.36</v>
      </c>
      <c r="Z15" s="113">
        <f>0.192*2</f>
        <v>0.38400000000000001</v>
      </c>
    </row>
    <row r="16" spans="2:26" ht="8" customHeight="1"/>
    <row r="17" spans="2:23" ht="15" thickBot="1">
      <c r="B17" s="1" t="s">
        <v>226</v>
      </c>
    </row>
    <row r="18" spans="2:23">
      <c r="B18" s="262" t="s">
        <v>10</v>
      </c>
      <c r="C18" s="269" t="s">
        <v>116</v>
      </c>
      <c r="D18" s="270"/>
      <c r="E18" s="271"/>
      <c r="F18" s="270" t="s">
        <v>117</v>
      </c>
      <c r="G18" s="270"/>
      <c r="H18" s="270"/>
      <c r="I18" s="269" t="s">
        <v>118</v>
      </c>
      <c r="J18" s="270"/>
      <c r="K18" s="271"/>
      <c r="L18" s="270" t="s">
        <v>119</v>
      </c>
      <c r="M18" s="270"/>
      <c r="N18" s="270"/>
    </row>
    <row r="19" spans="2:23">
      <c r="B19" s="263"/>
      <c r="C19" s="91">
        <v>1</v>
      </c>
      <c r="D19" s="13">
        <v>2</v>
      </c>
      <c r="E19" s="92">
        <v>3</v>
      </c>
      <c r="F19" s="13">
        <v>7</v>
      </c>
      <c r="G19" s="13">
        <v>8</v>
      </c>
      <c r="H19" s="13">
        <v>9</v>
      </c>
      <c r="I19" s="91">
        <v>13</v>
      </c>
      <c r="J19" s="13">
        <v>14</v>
      </c>
      <c r="K19" s="92">
        <v>15</v>
      </c>
      <c r="L19" s="13">
        <v>19</v>
      </c>
      <c r="M19" s="13">
        <v>20</v>
      </c>
      <c r="N19" s="13">
        <v>21</v>
      </c>
    </row>
    <row r="20" spans="2:23">
      <c r="B20" s="14">
        <v>0</v>
      </c>
      <c r="C20" s="93">
        <v>0</v>
      </c>
      <c r="D20" s="107">
        <v>0</v>
      </c>
      <c r="E20" s="94">
        <v>0</v>
      </c>
      <c r="F20" s="107">
        <v>0</v>
      </c>
      <c r="G20" s="107">
        <v>0</v>
      </c>
      <c r="H20" s="107">
        <v>0</v>
      </c>
      <c r="I20" s="93">
        <v>0</v>
      </c>
      <c r="J20" s="107">
        <v>0</v>
      </c>
      <c r="K20" s="94">
        <v>0</v>
      </c>
      <c r="L20" s="107">
        <v>0</v>
      </c>
      <c r="M20" s="107">
        <v>0</v>
      </c>
      <c r="N20" s="107">
        <v>0</v>
      </c>
    </row>
    <row r="21" spans="2:23">
      <c r="B21" s="14">
        <v>8</v>
      </c>
      <c r="C21" s="93">
        <v>5331.1764705882351</v>
      </c>
      <c r="D21" s="107">
        <v>5484.7058823529424</v>
      </c>
      <c r="E21" s="94">
        <v>4838.8235294117649</v>
      </c>
      <c r="F21" s="107">
        <v>2827.0588235294122</v>
      </c>
      <c r="G21" s="107">
        <v>2885.294117647059</v>
      </c>
      <c r="H21" s="107">
        <v>2768.8235294117649</v>
      </c>
      <c r="I21" s="93">
        <v>1524.7058823529414</v>
      </c>
      <c r="J21" s="107">
        <v>1461.1764705882356</v>
      </c>
      <c r="K21" s="94">
        <v>1440.0000000000002</v>
      </c>
      <c r="L21" s="19">
        <v>285.88235294117646</v>
      </c>
      <c r="M21" s="19">
        <v>248.82352941176464</v>
      </c>
      <c r="N21" s="19">
        <v>227.64705882352933</v>
      </c>
    </row>
    <row r="22" spans="2:23">
      <c r="B22" s="14">
        <v>12</v>
      </c>
      <c r="C22" s="93">
        <v>4203.5294117647063</v>
      </c>
      <c r="D22" s="107">
        <v>4870.5882352941171</v>
      </c>
      <c r="E22" s="94">
        <v>5167.0588235294117</v>
      </c>
      <c r="F22" s="107">
        <v>2578.2352941176473</v>
      </c>
      <c r="G22" s="107">
        <v>2890.588235294118</v>
      </c>
      <c r="H22" s="107">
        <v>2588.8235294117649</v>
      </c>
      <c r="I22" s="93">
        <v>1381.7647058823529</v>
      </c>
      <c r="J22" s="107">
        <v>1461.1764705882356</v>
      </c>
      <c r="K22" s="94">
        <v>1270.5882352941178</v>
      </c>
      <c r="L22" s="19">
        <v>195.88235294117635</v>
      </c>
      <c r="M22" s="19">
        <v>153.52941176470571</v>
      </c>
      <c r="N22" s="19">
        <v>142.94117647058809</v>
      </c>
    </row>
    <row r="23" spans="2:23">
      <c r="B23" s="14">
        <v>24</v>
      </c>
      <c r="C23" s="93">
        <v>4939.4117647058829</v>
      </c>
      <c r="D23" s="107">
        <v>5786.4705882352946</v>
      </c>
      <c r="E23" s="94">
        <v>5066.4705882352946</v>
      </c>
      <c r="F23" s="107">
        <v>3012.3529411764703</v>
      </c>
      <c r="G23" s="107">
        <v>3213.5294117647059</v>
      </c>
      <c r="H23" s="107">
        <v>3218.8235294117649</v>
      </c>
      <c r="I23" s="93">
        <v>1148.8235294117646</v>
      </c>
      <c r="J23" s="107">
        <v>1260</v>
      </c>
      <c r="K23" s="94">
        <v>1270.5882352941178</v>
      </c>
      <c r="L23" s="19">
        <v>47.647058823529456</v>
      </c>
      <c r="M23" s="19">
        <v>31.76470588235297</v>
      </c>
      <c r="N23" s="19">
        <v>37.058823529411804</v>
      </c>
    </row>
    <row r="24" spans="2:23">
      <c r="B24" s="14">
        <v>28</v>
      </c>
      <c r="C24" s="93">
        <v>4531.7647058823541</v>
      </c>
      <c r="D24" s="107">
        <v>4748.8235294117658</v>
      </c>
      <c r="E24" s="94">
        <v>5151.176470588236</v>
      </c>
      <c r="F24" s="107">
        <v>2662.9411764705883</v>
      </c>
      <c r="G24" s="107">
        <v>2943.5294117647059</v>
      </c>
      <c r="H24" s="107">
        <v>2763.5294117647059</v>
      </c>
      <c r="I24" s="93">
        <v>1164.7058823529412</v>
      </c>
      <c r="J24" s="107">
        <v>1048.2352941176471</v>
      </c>
      <c r="K24" s="94">
        <v>1064.1176470588236</v>
      </c>
      <c r="L24" s="19">
        <v>26.470588235294144</v>
      </c>
      <c r="M24" s="19">
        <v>26.470588235294144</v>
      </c>
      <c r="N24" s="19">
        <v>31.76470588235297</v>
      </c>
    </row>
    <row r="25" spans="2:23">
      <c r="B25" s="14">
        <v>32</v>
      </c>
      <c r="C25" s="93">
        <v>4404.7058823529424</v>
      </c>
      <c r="D25" s="107">
        <v>4452.3529411764703</v>
      </c>
      <c r="E25" s="94">
        <v>5040</v>
      </c>
      <c r="F25" s="107">
        <v>2742.3529411764712</v>
      </c>
      <c r="G25" s="107">
        <v>2768.8235294117649</v>
      </c>
      <c r="H25" s="107">
        <v>2424.705882352941</v>
      </c>
      <c r="I25" s="93">
        <v>1079.9999999999998</v>
      </c>
      <c r="J25" s="107">
        <v>1180.5882352941176</v>
      </c>
      <c r="K25" s="94">
        <v>1011.1764705882354</v>
      </c>
      <c r="L25" s="19">
        <v>21.176470588235315</v>
      </c>
      <c r="M25" s="19">
        <v>31.76470588235297</v>
      </c>
      <c r="N25" s="19">
        <v>26.470588235294144</v>
      </c>
    </row>
    <row r="26" spans="2:23">
      <c r="B26" s="14">
        <v>36</v>
      </c>
      <c r="C26" s="93">
        <v>4997.6470588235288</v>
      </c>
      <c r="D26" s="107">
        <v>4494.7058823529414</v>
      </c>
      <c r="E26" s="94">
        <v>4944.7058823529405</v>
      </c>
      <c r="F26" s="107">
        <v>2678.8235294117649</v>
      </c>
      <c r="G26" s="107">
        <v>3266.4705882352941</v>
      </c>
      <c r="H26" s="107">
        <v>2657.6470588235297</v>
      </c>
      <c r="I26" s="93">
        <v>995.2941176470589</v>
      </c>
      <c r="J26" s="107">
        <v>1185.8823529411764</v>
      </c>
      <c r="K26" s="94">
        <v>1064.1176470588236</v>
      </c>
      <c r="L26" s="19">
        <v>21.176470588235315</v>
      </c>
      <c r="M26" s="19">
        <v>26.470588235294144</v>
      </c>
      <c r="N26" s="19">
        <v>25.411764705882199</v>
      </c>
    </row>
    <row r="27" spans="2:23" ht="15" thickBot="1">
      <c r="B27" s="108">
        <v>48</v>
      </c>
      <c r="C27" s="109">
        <v>4282.9411764705883</v>
      </c>
      <c r="D27" s="110">
        <v>5325.8823529411766</v>
      </c>
      <c r="E27" s="111">
        <v>4965.8823529411766</v>
      </c>
      <c r="F27" s="110">
        <v>2324.117647058823</v>
      </c>
      <c r="G27" s="110">
        <v>2493.5294117647059</v>
      </c>
      <c r="H27" s="110">
        <v>2292.3529411764703</v>
      </c>
      <c r="I27" s="109">
        <v>921.17647058823525</v>
      </c>
      <c r="J27" s="110">
        <v>841.76470588235281</v>
      </c>
      <c r="K27" s="111">
        <v>820.58823529411745</v>
      </c>
      <c r="L27" s="112">
        <v>21.176470588235315</v>
      </c>
      <c r="M27" s="112">
        <v>26.470588235294144</v>
      </c>
      <c r="N27" s="112">
        <v>21.176470588235315</v>
      </c>
    </row>
    <row r="31" spans="2:23">
      <c r="C31" s="258"/>
      <c r="D31" s="258"/>
      <c r="E31" s="258"/>
      <c r="I31" s="258"/>
      <c r="J31" s="258"/>
      <c r="K31" s="258"/>
      <c r="O31" s="258"/>
      <c r="P31" s="258"/>
      <c r="Q31" s="258"/>
      <c r="U31" s="258"/>
      <c r="V31" s="258"/>
      <c r="W31" s="258"/>
    </row>
    <row r="33" spans="3:21">
      <c r="C33" s="257"/>
      <c r="I33" s="257"/>
      <c r="O33" s="257"/>
      <c r="U33" s="257"/>
    </row>
  </sheetData>
  <mergeCells count="14">
    <mergeCell ref="B18:B19"/>
    <mergeCell ref="C18:E18"/>
    <mergeCell ref="F18:H18"/>
    <mergeCell ref="I18:K18"/>
    <mergeCell ref="L18:N18"/>
    <mergeCell ref="U5:W5"/>
    <mergeCell ref="X5:Z5"/>
    <mergeCell ref="B5:B6"/>
    <mergeCell ref="C5:E5"/>
    <mergeCell ref="F5:H5"/>
    <mergeCell ref="I5:K5"/>
    <mergeCell ref="L5:N5"/>
    <mergeCell ref="O5:Q5"/>
    <mergeCell ref="R5:T5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48105-40C8-43D3-A33E-DD112E9C9BB9}">
  <dimension ref="B2:AE47"/>
  <sheetViews>
    <sheetView topLeftCell="M1" zoomScale="90" zoomScaleNormal="90" workbookViewId="0">
      <selection activeCell="B2" sqref="B2"/>
    </sheetView>
  </sheetViews>
  <sheetFormatPr baseColWidth="10" defaultColWidth="9" defaultRowHeight="14"/>
  <cols>
    <col min="1" max="1" width="2.33203125" style="1" customWidth="1"/>
    <col min="2" max="2" width="9" style="1"/>
    <col min="3" max="5" width="9.6640625" style="1" bestFit="1" customWidth="1"/>
    <col min="6" max="8" width="12.1640625" style="1" bestFit="1" customWidth="1"/>
    <col min="9" max="10" width="10.83203125" style="1" bestFit="1" customWidth="1"/>
    <col min="11" max="11" width="11.33203125" style="1" customWidth="1"/>
    <col min="12" max="14" width="12.1640625" style="1" bestFit="1" customWidth="1"/>
    <col min="15" max="15" width="2.1640625" style="1" customWidth="1"/>
    <col min="16" max="16" width="9" style="1"/>
    <col min="17" max="25" width="9.1640625" style="1" bestFit="1" customWidth="1"/>
    <col min="26" max="31" width="10.1640625" style="1" bestFit="1" customWidth="1"/>
    <col min="32" max="16384" width="9" style="1"/>
  </cols>
  <sheetData>
    <row r="2" spans="2:31">
      <c r="B2" s="1" t="s">
        <v>227</v>
      </c>
    </row>
    <row r="3" spans="2:31" ht="16">
      <c r="C3" s="1" t="s">
        <v>221</v>
      </c>
      <c r="S3" s="1" t="s">
        <v>167</v>
      </c>
    </row>
    <row r="4" spans="2:31" ht="5" customHeight="1"/>
    <row r="5" spans="2:31" ht="15" thickBot="1">
      <c r="B5" s="1" t="s">
        <v>108</v>
      </c>
      <c r="P5" s="1" t="s">
        <v>112</v>
      </c>
    </row>
    <row r="6" spans="2:31" ht="15">
      <c r="B6" s="104" t="s">
        <v>182</v>
      </c>
      <c r="C6" s="276" t="s">
        <v>16</v>
      </c>
      <c r="D6" s="277"/>
      <c r="E6" s="278"/>
      <c r="F6" s="275" t="s">
        <v>95</v>
      </c>
      <c r="G6" s="273"/>
      <c r="H6" s="273"/>
      <c r="I6" s="272" t="s">
        <v>100</v>
      </c>
      <c r="J6" s="273"/>
      <c r="K6" s="274"/>
      <c r="L6" s="275" t="s">
        <v>17</v>
      </c>
      <c r="M6" s="273"/>
      <c r="N6" s="273"/>
      <c r="P6" s="104" t="s">
        <v>182</v>
      </c>
      <c r="Q6" s="272" t="s">
        <v>18</v>
      </c>
      <c r="R6" s="273"/>
      <c r="S6" s="274"/>
      <c r="T6" s="275" t="s">
        <v>19</v>
      </c>
      <c r="U6" s="273"/>
      <c r="V6" s="273"/>
      <c r="W6" s="272" t="s">
        <v>95</v>
      </c>
      <c r="X6" s="273"/>
      <c r="Y6" s="274"/>
      <c r="Z6" s="275" t="s">
        <v>100</v>
      </c>
      <c r="AA6" s="273"/>
      <c r="AB6" s="273"/>
      <c r="AC6" s="272" t="s">
        <v>17</v>
      </c>
      <c r="AD6" s="273"/>
      <c r="AE6" s="273"/>
    </row>
    <row r="7" spans="2:31">
      <c r="B7" s="2">
        <v>0</v>
      </c>
      <c r="C7" s="154">
        <v>0</v>
      </c>
      <c r="D7" s="20">
        <v>0</v>
      </c>
      <c r="E7" s="155">
        <v>0</v>
      </c>
      <c r="F7" s="20">
        <v>0</v>
      </c>
      <c r="G7" s="20">
        <v>0</v>
      </c>
      <c r="H7" s="20">
        <v>0</v>
      </c>
      <c r="I7" s="154">
        <v>0</v>
      </c>
      <c r="J7" s="20">
        <v>0</v>
      </c>
      <c r="K7" s="155">
        <v>0</v>
      </c>
      <c r="L7" s="20">
        <v>0</v>
      </c>
      <c r="M7" s="20">
        <v>0</v>
      </c>
      <c r="N7" s="20">
        <v>0</v>
      </c>
      <c r="P7" s="2">
        <v>0</v>
      </c>
      <c r="Q7" s="235">
        <v>0</v>
      </c>
      <c r="R7" s="236">
        <v>0</v>
      </c>
      <c r="S7" s="237">
        <v>0</v>
      </c>
      <c r="T7" s="236">
        <v>0</v>
      </c>
      <c r="U7" s="236">
        <v>0</v>
      </c>
      <c r="V7" s="236">
        <v>0</v>
      </c>
      <c r="W7" s="235">
        <v>0</v>
      </c>
      <c r="X7" s="236">
        <v>0</v>
      </c>
      <c r="Y7" s="237">
        <v>0</v>
      </c>
      <c r="Z7" s="236">
        <v>0</v>
      </c>
      <c r="AA7" s="236">
        <v>0</v>
      </c>
      <c r="AB7" s="236">
        <v>0</v>
      </c>
      <c r="AC7" s="235">
        <v>0</v>
      </c>
      <c r="AD7" s="236">
        <v>0</v>
      </c>
      <c r="AE7" s="236">
        <v>0</v>
      </c>
    </row>
    <row r="8" spans="2:31">
      <c r="B8" s="2">
        <v>8</v>
      </c>
      <c r="C8" s="154">
        <v>35.597942805380569</v>
      </c>
      <c r="D8" s="20">
        <v>35.760803074902263</v>
      </c>
      <c r="E8" s="155">
        <v>52.815664101440468</v>
      </c>
      <c r="F8" s="20">
        <v>2944.2159371032644</v>
      </c>
      <c r="G8" s="20">
        <v>2788.9190393072008</v>
      </c>
      <c r="H8" s="20">
        <v>2913.3524648797443</v>
      </c>
      <c r="I8" s="154">
        <v>380.31539281959755</v>
      </c>
      <c r="J8" s="20">
        <v>292.19519021176399</v>
      </c>
      <c r="K8" s="155">
        <v>365.13566057498258</v>
      </c>
      <c r="L8" s="20">
        <v>3324.5313299228615</v>
      </c>
      <c r="M8" s="20">
        <v>3081.1142295189647</v>
      </c>
      <c r="N8" s="20">
        <v>3278.4881254547267</v>
      </c>
      <c r="P8" s="2">
        <v>8</v>
      </c>
      <c r="Q8" s="235">
        <v>9.8826070789818754</v>
      </c>
      <c r="R8" s="236">
        <v>14.302222587126314</v>
      </c>
      <c r="S8" s="237">
        <v>19.017999679621436</v>
      </c>
      <c r="T8" s="236">
        <v>171.60598158925461</v>
      </c>
      <c r="U8" s="236">
        <v>166.80233924747043</v>
      </c>
      <c r="V8" s="236">
        <v>203.00383881936872</v>
      </c>
      <c r="W8" s="235">
        <v>164.13912290735723</v>
      </c>
      <c r="X8" s="236">
        <v>140.50332696785867</v>
      </c>
      <c r="Y8" s="237">
        <v>138.73945313352331</v>
      </c>
      <c r="Z8" s="236">
        <v>3934.946679963678</v>
      </c>
      <c r="AA8" s="236">
        <v>3823.1762169467452</v>
      </c>
      <c r="AB8" s="236">
        <v>4376.0021770615103</v>
      </c>
      <c r="AC8" s="235">
        <v>4099.0858028710354</v>
      </c>
      <c r="AD8" s="236">
        <v>3963.679543914604</v>
      </c>
      <c r="AE8" s="236">
        <v>4514.7416301950334</v>
      </c>
    </row>
    <row r="9" spans="2:31">
      <c r="B9" s="2">
        <v>12</v>
      </c>
      <c r="C9" s="154">
        <v>76.608502713129468</v>
      </c>
      <c r="D9" s="20">
        <v>75.167614940315431</v>
      </c>
      <c r="E9" s="155">
        <v>86.076566125974239</v>
      </c>
      <c r="F9" s="20">
        <v>3207.7022174703011</v>
      </c>
      <c r="G9" s="20">
        <v>2641.1819563068957</v>
      </c>
      <c r="H9" s="20">
        <v>2269.2024528851402</v>
      </c>
      <c r="I9" s="154">
        <v>194.40115051801934</v>
      </c>
      <c r="J9" s="20">
        <v>163.72517963681793</v>
      </c>
      <c r="K9" s="155">
        <v>122.77692707647617</v>
      </c>
      <c r="L9" s="20">
        <v>3402.1033679883203</v>
      </c>
      <c r="M9" s="20">
        <v>2804.9071359437135</v>
      </c>
      <c r="N9" s="20">
        <v>2391.9793799616164</v>
      </c>
      <c r="P9" s="2">
        <v>12</v>
      </c>
      <c r="Q9" s="235">
        <v>12.310912720997365</v>
      </c>
      <c r="R9" s="236">
        <v>14.422877287731493</v>
      </c>
      <c r="S9" s="237">
        <v>14.728279743960794</v>
      </c>
      <c r="T9" s="236">
        <v>221.09507959112423</v>
      </c>
      <c r="U9" s="236">
        <v>190.81466651668768</v>
      </c>
      <c r="V9" s="236">
        <v>200.98437127528078</v>
      </c>
      <c r="W9" s="235">
        <v>208.78416687012734</v>
      </c>
      <c r="X9" s="236">
        <v>167.78613911394282</v>
      </c>
      <c r="Y9" s="237">
        <v>119.59363152096152</v>
      </c>
      <c r="Z9" s="236">
        <v>3015.3380343329695</v>
      </c>
      <c r="AA9" s="236">
        <v>3387.6454173423822</v>
      </c>
      <c r="AB9" s="236">
        <v>2936.5470742428201</v>
      </c>
      <c r="AC9" s="235">
        <v>3224.1222012030967</v>
      </c>
      <c r="AD9" s="236">
        <v>3555.4315564563253</v>
      </c>
      <c r="AE9" s="236">
        <v>3056.1407057637812</v>
      </c>
    </row>
    <row r="10" spans="2:31">
      <c r="B10" s="2">
        <v>24</v>
      </c>
      <c r="C10" s="154">
        <v>107.80871644036809</v>
      </c>
      <c r="D10" s="20">
        <v>87.480086713891779</v>
      </c>
      <c r="E10" s="155">
        <v>122.50746250845791</v>
      </c>
      <c r="F10" s="20">
        <v>1818.2414612687933</v>
      </c>
      <c r="G10" s="20">
        <v>1474.0769491396939</v>
      </c>
      <c r="H10" s="20">
        <v>1433.7753131683946</v>
      </c>
      <c r="I10" s="154">
        <v>157.30722567067676</v>
      </c>
      <c r="J10" s="20">
        <v>123.27509040107991</v>
      </c>
      <c r="K10" s="155">
        <v>126.59564840501957</v>
      </c>
      <c r="L10" s="20">
        <v>1975.5486869394704</v>
      </c>
      <c r="M10" s="20">
        <v>1597.3520395407736</v>
      </c>
      <c r="N10" s="20">
        <v>1560.3709615734142</v>
      </c>
      <c r="P10" s="2">
        <v>24</v>
      </c>
      <c r="Q10" s="235">
        <v>25.741666944834378</v>
      </c>
      <c r="R10" s="236">
        <v>17.481635709777429</v>
      </c>
      <c r="S10" s="237">
        <v>38.86892586229061</v>
      </c>
      <c r="T10" s="236">
        <v>276.18959782800289</v>
      </c>
      <c r="U10" s="236">
        <v>235.7592815860263</v>
      </c>
      <c r="V10" s="236">
        <v>354.58073628477263</v>
      </c>
      <c r="W10" s="235">
        <v>155.2559102105578</v>
      </c>
      <c r="X10" s="236">
        <v>95.825262409149815</v>
      </c>
      <c r="Y10" s="237">
        <v>76.952154055545648</v>
      </c>
      <c r="Z10" s="236">
        <v>2438.6318403484879</v>
      </c>
      <c r="AA10" s="236">
        <v>1621.2598450845467</v>
      </c>
      <c r="AB10" s="236">
        <v>1903.976539622975</v>
      </c>
      <c r="AC10" s="235">
        <v>2593.8877505590453</v>
      </c>
      <c r="AD10" s="236">
        <v>1717.0851074936966</v>
      </c>
      <c r="AE10" s="236">
        <v>1980.9286936785206</v>
      </c>
    </row>
    <row r="11" spans="2:31">
      <c r="B11" s="2">
        <v>28</v>
      </c>
      <c r="C11" s="154">
        <v>112.50355983727123</v>
      </c>
      <c r="D11" s="20">
        <v>82.517573054529493</v>
      </c>
      <c r="E11" s="155">
        <v>153.53002656806544</v>
      </c>
      <c r="F11" s="20">
        <v>1150.4888837683307</v>
      </c>
      <c r="G11" s="20">
        <v>1039.4561854308204</v>
      </c>
      <c r="H11" s="20">
        <v>869.5868979586013</v>
      </c>
      <c r="I11" s="154">
        <v>131.06371340910783</v>
      </c>
      <c r="J11" s="20">
        <v>125.3382993574692</v>
      </c>
      <c r="K11" s="155">
        <v>131.08872379948954</v>
      </c>
      <c r="L11" s="20">
        <v>1281.5525971774387</v>
      </c>
      <c r="M11" s="20">
        <v>1164.7944847882898</v>
      </c>
      <c r="N11" s="20">
        <v>1000.6756217580909</v>
      </c>
      <c r="P11" s="2">
        <v>28</v>
      </c>
      <c r="Q11" s="235">
        <v>21.805054042791586</v>
      </c>
      <c r="R11" s="236">
        <v>29.486771343806705</v>
      </c>
      <c r="S11" s="237">
        <v>45.457509779763583</v>
      </c>
      <c r="T11" s="236">
        <v>313.95144162085671</v>
      </c>
      <c r="U11" s="236">
        <v>299.60137572737273</v>
      </c>
      <c r="V11" s="236">
        <v>388.47987857786018</v>
      </c>
      <c r="W11" s="235">
        <v>151.03358523004667</v>
      </c>
      <c r="X11" s="236">
        <v>97.779711663492591</v>
      </c>
      <c r="Y11" s="237">
        <v>66.367964278454821</v>
      </c>
      <c r="Z11" s="236">
        <v>2406.9266052637918</v>
      </c>
      <c r="AA11" s="236">
        <v>1662.0085533684785</v>
      </c>
      <c r="AB11" s="236">
        <v>1333.9960819969376</v>
      </c>
      <c r="AC11" s="235">
        <v>2557.9601904938381</v>
      </c>
      <c r="AD11" s="236">
        <v>1759.7882650319712</v>
      </c>
      <c r="AE11" s="236">
        <v>1400.3640462753924</v>
      </c>
    </row>
    <row r="12" spans="2:31">
      <c r="B12" s="2">
        <v>32</v>
      </c>
      <c r="C12" s="154">
        <v>135.44808348923337</v>
      </c>
      <c r="D12" s="20">
        <v>142.73693410006553</v>
      </c>
      <c r="E12" s="155">
        <v>141.92202218858199</v>
      </c>
      <c r="F12" s="20">
        <v>1208.007537945261</v>
      </c>
      <c r="G12" s="20">
        <v>970.46027381753549</v>
      </c>
      <c r="H12" s="20">
        <v>570.74256389437039</v>
      </c>
      <c r="I12" s="154">
        <v>141.86621927736971</v>
      </c>
      <c r="J12" s="20">
        <v>155.87589874526</v>
      </c>
      <c r="K12" s="155">
        <v>133.1473481499217</v>
      </c>
      <c r="L12" s="20">
        <v>1349.8737572226307</v>
      </c>
      <c r="M12" s="20">
        <v>1126.3361725627956</v>
      </c>
      <c r="N12" s="20">
        <v>703.88991204429203</v>
      </c>
      <c r="P12" s="2">
        <v>32</v>
      </c>
      <c r="Q12" s="235">
        <v>25.038947060576159</v>
      </c>
      <c r="R12" s="236">
        <v>39.759808209128074</v>
      </c>
      <c r="S12" s="237">
        <v>58.586373946229322</v>
      </c>
      <c r="T12" s="236">
        <v>331.46037138575912</v>
      </c>
      <c r="U12" s="236">
        <v>327.91323304750495</v>
      </c>
      <c r="V12" s="236">
        <v>433.19536135974812</v>
      </c>
      <c r="W12" s="235">
        <v>115.35990471645513</v>
      </c>
      <c r="X12" s="236">
        <v>64.583392170382695</v>
      </c>
      <c r="Y12" s="237">
        <v>38.701387388746241</v>
      </c>
      <c r="Z12" s="236">
        <v>1715.0349705334413</v>
      </c>
      <c r="AA12" s="236">
        <v>1854.4584619868622</v>
      </c>
      <c r="AB12" s="236">
        <v>1011.9971429791968</v>
      </c>
      <c r="AC12" s="235">
        <v>1830.3948752498961</v>
      </c>
      <c r="AD12" s="236">
        <v>1919.0418541572446</v>
      </c>
      <c r="AE12" s="236">
        <v>1050.698530367943</v>
      </c>
    </row>
    <row r="13" spans="2:31">
      <c r="B13" s="2">
        <v>36</v>
      </c>
      <c r="C13" s="154">
        <v>123.6064667879978</v>
      </c>
      <c r="D13" s="20">
        <v>123.83082284619017</v>
      </c>
      <c r="E13" s="155">
        <v>148.02520482045122</v>
      </c>
      <c r="F13" s="20">
        <v>948.89466143368691</v>
      </c>
      <c r="G13" s="20">
        <v>840.16270879023261</v>
      </c>
      <c r="H13" s="20">
        <v>543.36288377495816</v>
      </c>
      <c r="I13" s="154">
        <v>139.98838411264177</v>
      </c>
      <c r="J13" s="20">
        <v>158.29919621574837</v>
      </c>
      <c r="K13" s="155">
        <v>129.57158464015802</v>
      </c>
      <c r="L13" s="20">
        <v>1088.8830455463287</v>
      </c>
      <c r="M13" s="20">
        <v>998.46190500598118</v>
      </c>
      <c r="N13" s="20">
        <v>672.93446841511616</v>
      </c>
      <c r="P13" s="2">
        <v>36</v>
      </c>
      <c r="Q13" s="235">
        <v>26.847330476696889</v>
      </c>
      <c r="R13" s="236">
        <v>46.418221320374144</v>
      </c>
      <c r="S13" s="237">
        <v>83.487973039289855</v>
      </c>
      <c r="T13" s="236">
        <v>310.54817870775992</v>
      </c>
      <c r="U13" s="236">
        <v>345.29738598365759</v>
      </c>
      <c r="V13" s="236">
        <v>523.42176177156614</v>
      </c>
      <c r="W13" s="235">
        <v>103.31302565639884</v>
      </c>
      <c r="X13" s="236">
        <v>63.297574527782828</v>
      </c>
      <c r="Y13" s="237">
        <v>50.102254949273245</v>
      </c>
      <c r="Z13" s="236">
        <v>1715.3710577353395</v>
      </c>
      <c r="AA13" s="236">
        <v>2144.2509218016548</v>
      </c>
      <c r="AB13" s="236">
        <v>1336.8967480840581</v>
      </c>
      <c r="AC13" s="235">
        <v>1818.6840833917383</v>
      </c>
      <c r="AD13" s="236">
        <v>2207.5484963294375</v>
      </c>
      <c r="AE13" s="236">
        <v>1386.9990030333315</v>
      </c>
    </row>
    <row r="14" spans="2:31" ht="15" thickBot="1">
      <c r="B14" s="15">
        <v>48</v>
      </c>
      <c r="C14" s="156">
        <v>153.87250600735439</v>
      </c>
      <c r="D14" s="153">
        <v>126.44699009512213</v>
      </c>
      <c r="E14" s="157">
        <v>168.58713426931851</v>
      </c>
      <c r="F14" s="153">
        <v>919.73867627712855</v>
      </c>
      <c r="G14" s="153">
        <v>570.27277203747849</v>
      </c>
      <c r="H14" s="153">
        <v>452.24301966227961</v>
      </c>
      <c r="I14" s="156">
        <v>154.00321104537281</v>
      </c>
      <c r="J14" s="153">
        <v>120.71851049397192</v>
      </c>
      <c r="K14" s="157">
        <v>140.88383219865014</v>
      </c>
      <c r="L14" s="153">
        <v>1073.7418873225015</v>
      </c>
      <c r="M14" s="153">
        <v>690.99128253145045</v>
      </c>
      <c r="N14" s="153">
        <v>593.12685186092983</v>
      </c>
      <c r="P14" s="15">
        <v>48</v>
      </c>
      <c r="Q14" s="238">
        <v>42.918013915120298</v>
      </c>
      <c r="R14" s="239">
        <v>79.271345029150211</v>
      </c>
      <c r="S14" s="240">
        <v>159.85099390539136</v>
      </c>
      <c r="T14" s="239">
        <v>420.54186373898852</v>
      </c>
      <c r="U14" s="239">
        <v>338.18923237061802</v>
      </c>
      <c r="V14" s="239">
        <v>632.80245964906999</v>
      </c>
      <c r="W14" s="238">
        <v>74.464120958463582</v>
      </c>
      <c r="X14" s="239">
        <v>43.878426144809687</v>
      </c>
      <c r="Y14" s="240">
        <v>45.55046021020879</v>
      </c>
      <c r="Z14" s="239">
        <v>1827.0499223127313</v>
      </c>
      <c r="AA14" s="239">
        <v>1161.4153357127195</v>
      </c>
      <c r="AB14" s="239">
        <v>1411.7813444033707</v>
      </c>
      <c r="AC14" s="238">
        <v>1901.5140432711951</v>
      </c>
      <c r="AD14" s="239">
        <v>1205.2937618575295</v>
      </c>
      <c r="AE14" s="239">
        <v>1457.3318046135796</v>
      </c>
    </row>
    <row r="16" spans="2:31" ht="15" thickBot="1">
      <c r="B16" s="1" t="s">
        <v>109</v>
      </c>
      <c r="P16" s="1" t="s">
        <v>113</v>
      </c>
    </row>
    <row r="17" spans="2:31" ht="15">
      <c r="B17" s="104" t="s">
        <v>182</v>
      </c>
      <c r="C17" s="272" t="s">
        <v>16</v>
      </c>
      <c r="D17" s="273"/>
      <c r="E17" s="274"/>
      <c r="F17" s="275" t="s">
        <v>95</v>
      </c>
      <c r="G17" s="273"/>
      <c r="H17" s="273"/>
      <c r="I17" s="272" t="s">
        <v>100</v>
      </c>
      <c r="J17" s="273"/>
      <c r="K17" s="274"/>
      <c r="L17" s="275" t="s">
        <v>17</v>
      </c>
      <c r="M17" s="273"/>
      <c r="N17" s="273"/>
      <c r="P17" s="104" t="s">
        <v>182</v>
      </c>
      <c r="Q17" s="272" t="s">
        <v>18</v>
      </c>
      <c r="R17" s="273"/>
      <c r="S17" s="274"/>
      <c r="T17" s="275" t="s">
        <v>19</v>
      </c>
      <c r="U17" s="273"/>
      <c r="V17" s="273"/>
      <c r="W17" s="272" t="s">
        <v>95</v>
      </c>
      <c r="X17" s="273"/>
      <c r="Y17" s="274"/>
      <c r="Z17" s="275" t="s">
        <v>100</v>
      </c>
      <c r="AA17" s="273"/>
      <c r="AB17" s="273"/>
      <c r="AC17" s="272" t="s">
        <v>17</v>
      </c>
      <c r="AD17" s="273"/>
      <c r="AE17" s="273"/>
    </row>
    <row r="18" spans="2:31">
      <c r="B18" s="2">
        <v>0</v>
      </c>
      <c r="C18" s="154">
        <v>0</v>
      </c>
      <c r="D18" s="20">
        <v>0</v>
      </c>
      <c r="E18" s="155">
        <v>0</v>
      </c>
      <c r="F18" s="20">
        <v>0</v>
      </c>
      <c r="G18" s="20">
        <v>0</v>
      </c>
      <c r="H18" s="20">
        <v>0</v>
      </c>
      <c r="I18" s="154">
        <v>0</v>
      </c>
      <c r="J18" s="20">
        <v>0</v>
      </c>
      <c r="K18" s="155">
        <v>0</v>
      </c>
      <c r="L18" s="20">
        <v>0</v>
      </c>
      <c r="M18" s="20">
        <v>0</v>
      </c>
      <c r="N18" s="20">
        <v>0</v>
      </c>
      <c r="P18" s="2">
        <v>0</v>
      </c>
      <c r="Q18" s="235">
        <v>0</v>
      </c>
      <c r="R18" s="236">
        <v>0</v>
      </c>
      <c r="S18" s="237">
        <v>0</v>
      </c>
      <c r="T18" s="236">
        <v>0</v>
      </c>
      <c r="U18" s="236">
        <v>0</v>
      </c>
      <c r="V18" s="236">
        <v>0</v>
      </c>
      <c r="W18" s="235">
        <v>0</v>
      </c>
      <c r="X18" s="236">
        <v>0</v>
      </c>
      <c r="Y18" s="237">
        <v>0</v>
      </c>
      <c r="Z18" s="236">
        <v>0</v>
      </c>
      <c r="AA18" s="236">
        <v>0</v>
      </c>
      <c r="AB18" s="236">
        <v>0</v>
      </c>
      <c r="AC18" s="235">
        <v>0</v>
      </c>
      <c r="AD18" s="236">
        <v>0</v>
      </c>
      <c r="AE18" s="236">
        <v>0</v>
      </c>
    </row>
    <row r="19" spans="2:31">
      <c r="B19" s="2">
        <v>8</v>
      </c>
      <c r="C19" s="154">
        <v>84.690380681958985</v>
      </c>
      <c r="D19" s="20">
        <v>73.148755825051396</v>
      </c>
      <c r="E19" s="155">
        <v>67.481436649765271</v>
      </c>
      <c r="F19" s="20">
        <v>4678.7758778080579</v>
      </c>
      <c r="G19" s="20">
        <v>4877.8692637288214</v>
      </c>
      <c r="H19" s="20">
        <v>5449.1701727124246</v>
      </c>
      <c r="I19" s="154">
        <v>524.49211243587035</v>
      </c>
      <c r="J19" s="20">
        <v>433.12878593975938</v>
      </c>
      <c r="K19" s="155">
        <v>666.46751340419382</v>
      </c>
      <c r="L19" s="20">
        <v>5203.2679902439277</v>
      </c>
      <c r="M19" s="20">
        <v>5310.9980496685812</v>
      </c>
      <c r="N19" s="20">
        <v>6115.6376861166191</v>
      </c>
      <c r="P19" s="2">
        <v>8</v>
      </c>
      <c r="Q19" s="235">
        <v>39.67461649911062</v>
      </c>
      <c r="R19" s="236">
        <v>49.180688351413252</v>
      </c>
      <c r="S19" s="237">
        <v>36.618848925052376</v>
      </c>
      <c r="T19" s="236">
        <v>332.8029417399307</v>
      </c>
      <c r="U19" s="236">
        <v>380.94744409494035</v>
      </c>
      <c r="V19" s="236">
        <v>327.70909834775523</v>
      </c>
      <c r="W19" s="235">
        <v>330.73224150511226</v>
      </c>
      <c r="X19" s="236">
        <v>325.76119313955957</v>
      </c>
      <c r="Y19" s="237">
        <v>343.35456497855262</v>
      </c>
      <c r="Z19" s="236">
        <v>6114.7777934172027</v>
      </c>
      <c r="AA19" s="236">
        <v>5855.6670076229875</v>
      </c>
      <c r="AB19" s="236">
        <v>6573.1256670918701</v>
      </c>
      <c r="AC19" s="235">
        <v>6445.5100349223148</v>
      </c>
      <c r="AD19" s="236">
        <v>6181.4282007625461</v>
      </c>
      <c r="AE19" s="236">
        <v>6916.480232070423</v>
      </c>
    </row>
    <row r="20" spans="2:31">
      <c r="B20" s="2">
        <v>12</v>
      </c>
      <c r="C20" s="154">
        <v>138.63496903666621</v>
      </c>
      <c r="D20" s="20">
        <v>135.41933653497304</v>
      </c>
      <c r="E20" s="155">
        <v>134.66220654945391</v>
      </c>
      <c r="F20" s="20">
        <v>4413.3036501789566</v>
      </c>
      <c r="G20" s="20">
        <v>5011.2416906384669</v>
      </c>
      <c r="H20" s="20">
        <v>5873.9968041953471</v>
      </c>
      <c r="I20" s="154">
        <v>278.68125725694631</v>
      </c>
      <c r="J20" s="20">
        <v>289.18830787393347</v>
      </c>
      <c r="K20" s="155">
        <v>325.49223028272331</v>
      </c>
      <c r="L20" s="20">
        <v>4691.9849074359026</v>
      </c>
      <c r="M20" s="20">
        <v>5300.4299985123998</v>
      </c>
      <c r="N20" s="20">
        <v>6199.4890344780706</v>
      </c>
      <c r="P20" s="2">
        <v>12</v>
      </c>
      <c r="Q20" s="235">
        <v>40.778933264997526</v>
      </c>
      <c r="R20" s="236">
        <v>45.202248378692701</v>
      </c>
      <c r="S20" s="237">
        <v>40.069446948792475</v>
      </c>
      <c r="T20" s="236">
        <v>377.54571399241473</v>
      </c>
      <c r="U20" s="236">
        <v>362.59007839252428</v>
      </c>
      <c r="V20" s="236">
        <v>369.48914398604313</v>
      </c>
      <c r="W20" s="235">
        <v>281.0022706501158</v>
      </c>
      <c r="X20" s="236">
        <v>302.96847479625461</v>
      </c>
      <c r="Y20" s="237">
        <v>409.64904115368245</v>
      </c>
      <c r="Z20" s="236">
        <v>5789.9727718860922</v>
      </c>
      <c r="AA20" s="236">
        <v>5810.3520917743936</v>
      </c>
      <c r="AB20" s="236">
        <v>8016.150645229638</v>
      </c>
      <c r="AC20" s="235">
        <v>6070.9750425362072</v>
      </c>
      <c r="AD20" s="236">
        <v>6113.3205665706473</v>
      </c>
      <c r="AE20" s="236">
        <v>8425.7996863833214</v>
      </c>
    </row>
    <row r="21" spans="2:31">
      <c r="B21" s="2">
        <v>24</v>
      </c>
      <c r="C21" s="154">
        <v>155.91594949057682</v>
      </c>
      <c r="D21" s="20">
        <v>118.43698885847525</v>
      </c>
      <c r="E21" s="155">
        <v>121.43621278345043</v>
      </c>
      <c r="F21" s="20">
        <v>4920.4583464085317</v>
      </c>
      <c r="G21" s="20">
        <v>4695.6043303631441</v>
      </c>
      <c r="H21" s="20">
        <v>4668.9245519291353</v>
      </c>
      <c r="I21" s="154">
        <v>313.78317129301524</v>
      </c>
      <c r="J21" s="20">
        <v>319.31154656114416</v>
      </c>
      <c r="K21" s="155">
        <v>273.21501324427152</v>
      </c>
      <c r="L21" s="20">
        <v>5234.2415177015482</v>
      </c>
      <c r="M21" s="20">
        <v>5014.9158769242886</v>
      </c>
      <c r="N21" s="20">
        <v>4942.1395651734074</v>
      </c>
      <c r="P21" s="2">
        <v>24</v>
      </c>
      <c r="Q21" s="235">
        <v>34.047115593815484</v>
      </c>
      <c r="R21" s="236">
        <v>41.752685288306203</v>
      </c>
      <c r="S21" s="237">
        <v>33.099870793006694</v>
      </c>
      <c r="T21" s="236">
        <v>422.24641987581077</v>
      </c>
      <c r="U21" s="236">
        <v>390.56613114366621</v>
      </c>
      <c r="V21" s="236">
        <v>342.41998202787408</v>
      </c>
      <c r="W21" s="235">
        <v>268.02386887551557</v>
      </c>
      <c r="X21" s="236">
        <v>259.18726277575036</v>
      </c>
      <c r="Y21" s="237">
        <v>268.58180872039708</v>
      </c>
      <c r="Z21" s="236">
        <v>5401.1318100572616</v>
      </c>
      <c r="AA21" s="236">
        <v>4366.3981859182722</v>
      </c>
      <c r="AB21" s="236">
        <v>4974.583218829408</v>
      </c>
      <c r="AC21" s="235">
        <v>5669.1556789327778</v>
      </c>
      <c r="AD21" s="236">
        <v>4625.5854486940225</v>
      </c>
      <c r="AE21" s="236">
        <v>5243.165027549805</v>
      </c>
    </row>
    <row r="22" spans="2:31">
      <c r="B22" s="2">
        <v>28</v>
      </c>
      <c r="C22" s="154">
        <v>224.51435647812278</v>
      </c>
      <c r="D22" s="20">
        <v>220.56187191403254</v>
      </c>
      <c r="E22" s="155">
        <v>199.63053698954292</v>
      </c>
      <c r="F22" s="20">
        <v>5854.3484877997253</v>
      </c>
      <c r="G22" s="20">
        <v>5037.3592945505088</v>
      </c>
      <c r="H22" s="20">
        <v>5847.5238064709665</v>
      </c>
      <c r="I22" s="154">
        <v>327.67954415755952</v>
      </c>
      <c r="J22" s="20">
        <v>319.97874498414228</v>
      </c>
      <c r="K22" s="155">
        <v>338.28817531459902</v>
      </c>
      <c r="L22" s="20">
        <v>6182.0280319572857</v>
      </c>
      <c r="M22" s="20">
        <v>5357.3380395346512</v>
      </c>
      <c r="N22" s="20">
        <v>6185.8119817855659</v>
      </c>
      <c r="P22" s="2">
        <v>28</v>
      </c>
      <c r="Q22" s="235">
        <v>46.428474958836659</v>
      </c>
      <c r="R22" s="236">
        <v>39.775321057293141</v>
      </c>
      <c r="S22" s="237">
        <v>35.079090046942348</v>
      </c>
      <c r="T22" s="236">
        <v>319.72336164835332</v>
      </c>
      <c r="U22" s="236">
        <v>396.87815350967162</v>
      </c>
      <c r="V22" s="236">
        <v>428.32077339926013</v>
      </c>
      <c r="W22" s="235">
        <v>232.05444207645814</v>
      </c>
      <c r="X22" s="236">
        <v>241.67485074411277</v>
      </c>
      <c r="Y22" s="237">
        <v>292.07155408649919</v>
      </c>
      <c r="Z22" s="236">
        <v>4779.4070065107035</v>
      </c>
      <c r="AA22" s="236">
        <v>3799.0204648241897</v>
      </c>
      <c r="AB22" s="236">
        <v>5804.7420817533457</v>
      </c>
      <c r="AC22" s="235">
        <v>5011.4614485871625</v>
      </c>
      <c r="AD22" s="236">
        <v>4040.6953155683027</v>
      </c>
      <c r="AE22" s="236">
        <v>6096.8136358398451</v>
      </c>
    </row>
    <row r="23" spans="2:31">
      <c r="B23" s="2">
        <v>32</v>
      </c>
      <c r="C23" s="154">
        <v>213.82826950864265</v>
      </c>
      <c r="D23" s="20">
        <v>241.25182289113172</v>
      </c>
      <c r="E23" s="155">
        <v>227.75738140676495</v>
      </c>
      <c r="F23" s="20">
        <v>5639.9119820399992</v>
      </c>
      <c r="G23" s="20">
        <v>5331.1952163459582</v>
      </c>
      <c r="H23" s="20">
        <v>6519.7714873151053</v>
      </c>
      <c r="I23" s="154">
        <v>356.77170218017096</v>
      </c>
      <c r="J23" s="20">
        <v>345.27366481653507</v>
      </c>
      <c r="K23" s="155">
        <v>349.83210560223125</v>
      </c>
      <c r="L23" s="20">
        <v>5996.683684220171</v>
      </c>
      <c r="M23" s="20">
        <v>5676.4688811624928</v>
      </c>
      <c r="N23" s="20">
        <v>6869.6035929173377</v>
      </c>
      <c r="P23" s="2">
        <v>32</v>
      </c>
      <c r="Q23" s="235">
        <v>44.059384208699583</v>
      </c>
      <c r="R23" s="236">
        <v>48.966082049896997</v>
      </c>
      <c r="S23" s="237">
        <v>37.180372163861115</v>
      </c>
      <c r="T23" s="236">
        <v>412.75787454429002</v>
      </c>
      <c r="U23" s="236">
        <v>450.50486887703102</v>
      </c>
      <c r="V23" s="236">
        <v>520.58781556909537</v>
      </c>
      <c r="W23" s="235">
        <v>226.0178100783485</v>
      </c>
      <c r="X23" s="236">
        <v>236.96539188913903</v>
      </c>
      <c r="Y23" s="237">
        <v>264.31864574672096</v>
      </c>
      <c r="Z23" s="236">
        <v>5867.3267168619868</v>
      </c>
      <c r="AA23" s="236">
        <v>5304.1514681994558</v>
      </c>
      <c r="AB23" s="236">
        <v>4095.2489921576407</v>
      </c>
      <c r="AC23" s="235">
        <v>6093.3445269403355</v>
      </c>
      <c r="AD23" s="236">
        <v>5541.1168600885949</v>
      </c>
      <c r="AE23" s="236">
        <v>4359.5676379043625</v>
      </c>
    </row>
    <row r="24" spans="2:31">
      <c r="B24" s="2">
        <v>36</v>
      </c>
      <c r="C24" s="154">
        <v>230.60178784164015</v>
      </c>
      <c r="D24" s="20">
        <v>198.11324858203105</v>
      </c>
      <c r="E24" s="155">
        <v>208.32117853324922</v>
      </c>
      <c r="F24" s="20">
        <v>5681.6644392681619</v>
      </c>
      <c r="G24" s="20">
        <v>4759.7490292386674</v>
      </c>
      <c r="H24" s="20">
        <v>5980.7556953324647</v>
      </c>
      <c r="I24" s="154">
        <v>341.04405777757648</v>
      </c>
      <c r="J24" s="20">
        <v>249.7409442008348</v>
      </c>
      <c r="K24" s="155">
        <v>330.96526973747979</v>
      </c>
      <c r="L24" s="20">
        <v>6022.7084970457381</v>
      </c>
      <c r="M24" s="20">
        <v>5009.4899734395021</v>
      </c>
      <c r="N24" s="20">
        <v>6311.7209650699433</v>
      </c>
      <c r="P24" s="2">
        <v>36</v>
      </c>
      <c r="Q24" s="235">
        <v>40.20923365064543</v>
      </c>
      <c r="R24" s="236">
        <v>37.061574030991977</v>
      </c>
      <c r="S24" s="237">
        <v>41.763136305670436</v>
      </c>
      <c r="T24" s="236">
        <v>400.51893171142905</v>
      </c>
      <c r="U24" s="236">
        <v>375.92049171861089</v>
      </c>
      <c r="V24" s="236">
        <v>415.86920540667592</v>
      </c>
      <c r="W24" s="235">
        <v>169.92771786272772</v>
      </c>
      <c r="X24" s="236">
        <v>179.85974708657426</v>
      </c>
      <c r="Y24" s="237">
        <v>260.79933220418565</v>
      </c>
      <c r="Z24" s="236">
        <v>4833.4121189400921</v>
      </c>
      <c r="AA24" s="236">
        <v>4009.3884633527719</v>
      </c>
      <c r="AB24" s="236">
        <v>5532.4701580287983</v>
      </c>
      <c r="AC24" s="235">
        <v>5003.3398368028184</v>
      </c>
      <c r="AD24" s="236">
        <v>4189.2482104393457</v>
      </c>
      <c r="AE24" s="236">
        <v>5793.2694902329849</v>
      </c>
    </row>
    <row r="25" spans="2:31" ht="15" thickBot="1">
      <c r="B25" s="15">
        <v>48</v>
      </c>
      <c r="C25" s="156">
        <v>211.54096812893246</v>
      </c>
      <c r="D25" s="153">
        <v>211.26235502850992</v>
      </c>
      <c r="E25" s="157">
        <v>249.63764230395432</v>
      </c>
      <c r="F25" s="153">
        <v>6598.4162270515644</v>
      </c>
      <c r="G25" s="153">
        <v>5544.0172913495335</v>
      </c>
      <c r="H25" s="153">
        <v>6739.3616278530581</v>
      </c>
      <c r="I25" s="156">
        <v>454.27414277388789</v>
      </c>
      <c r="J25" s="153">
        <v>332.26275184795537</v>
      </c>
      <c r="K25" s="157">
        <v>378.63845868650543</v>
      </c>
      <c r="L25" s="153">
        <v>7052.6903698254537</v>
      </c>
      <c r="M25" s="153">
        <v>5876.2800431974883</v>
      </c>
      <c r="N25" s="153">
        <v>7118.0000865395641</v>
      </c>
      <c r="P25" s="15">
        <v>48</v>
      </c>
      <c r="Q25" s="238">
        <v>57.862577074751016</v>
      </c>
      <c r="R25" s="239">
        <v>56.20502782116224</v>
      </c>
      <c r="S25" s="240">
        <v>53.717962586402201</v>
      </c>
      <c r="T25" s="239">
        <v>722.45281730430952</v>
      </c>
      <c r="U25" s="239">
        <v>680.00807931849465</v>
      </c>
      <c r="V25" s="239">
        <v>774.56446500269954</v>
      </c>
      <c r="W25" s="238">
        <v>304.92504782225461</v>
      </c>
      <c r="X25" s="239">
        <v>291.30211021226984</v>
      </c>
      <c r="Y25" s="240">
        <v>352.18406410237884</v>
      </c>
      <c r="Z25" s="239">
        <v>8098.809270159064</v>
      </c>
      <c r="AA25" s="239">
        <v>6124.0743663326839</v>
      </c>
      <c r="AB25" s="239">
        <v>6633.0307061799003</v>
      </c>
      <c r="AC25" s="238">
        <v>8403.7343179813197</v>
      </c>
      <c r="AD25" s="239">
        <v>6415.3764765449532</v>
      </c>
      <c r="AE25" s="239">
        <v>6985.2147702822776</v>
      </c>
    </row>
    <row r="27" spans="2:31" ht="15" thickBot="1">
      <c r="B27" s="1" t="s">
        <v>110</v>
      </c>
      <c r="P27" s="1" t="s">
        <v>114</v>
      </c>
    </row>
    <row r="28" spans="2:31" ht="15">
      <c r="B28" s="104" t="s">
        <v>182</v>
      </c>
      <c r="C28" s="272" t="s">
        <v>16</v>
      </c>
      <c r="D28" s="273"/>
      <c r="E28" s="274"/>
      <c r="F28" s="275" t="s">
        <v>95</v>
      </c>
      <c r="G28" s="273"/>
      <c r="H28" s="273"/>
      <c r="I28" s="272" t="s">
        <v>100</v>
      </c>
      <c r="J28" s="273"/>
      <c r="K28" s="274"/>
      <c r="L28" s="275" t="s">
        <v>17</v>
      </c>
      <c r="M28" s="273"/>
      <c r="N28" s="273"/>
      <c r="P28" s="104" t="s">
        <v>182</v>
      </c>
      <c r="Q28" s="272" t="s">
        <v>18</v>
      </c>
      <c r="R28" s="273"/>
      <c r="S28" s="274"/>
      <c r="T28" s="275" t="s">
        <v>19</v>
      </c>
      <c r="U28" s="273"/>
      <c r="V28" s="273"/>
      <c r="W28" s="272" t="s">
        <v>95</v>
      </c>
      <c r="X28" s="273"/>
      <c r="Y28" s="274"/>
      <c r="Z28" s="275" t="s">
        <v>100</v>
      </c>
      <c r="AA28" s="273"/>
      <c r="AB28" s="273"/>
      <c r="AC28" s="272" t="s">
        <v>17</v>
      </c>
      <c r="AD28" s="273"/>
      <c r="AE28" s="273"/>
    </row>
    <row r="29" spans="2:31">
      <c r="B29" s="2">
        <v>0</v>
      </c>
      <c r="C29" s="154">
        <v>0</v>
      </c>
      <c r="D29" s="20">
        <v>0</v>
      </c>
      <c r="E29" s="155">
        <v>0</v>
      </c>
      <c r="F29" s="20">
        <v>0</v>
      </c>
      <c r="G29" s="20">
        <v>0</v>
      </c>
      <c r="H29" s="20">
        <v>0</v>
      </c>
      <c r="I29" s="154">
        <v>0</v>
      </c>
      <c r="J29" s="20">
        <v>0</v>
      </c>
      <c r="K29" s="155">
        <v>0</v>
      </c>
      <c r="L29" s="20">
        <v>0</v>
      </c>
      <c r="M29" s="20">
        <v>0</v>
      </c>
      <c r="N29" s="20">
        <v>0</v>
      </c>
      <c r="P29" s="2">
        <v>0</v>
      </c>
      <c r="Q29" s="235">
        <v>0</v>
      </c>
      <c r="R29" s="236">
        <v>0</v>
      </c>
      <c r="S29" s="237">
        <v>0</v>
      </c>
      <c r="T29" s="236">
        <v>0</v>
      </c>
      <c r="U29" s="236">
        <v>0</v>
      </c>
      <c r="V29" s="236">
        <v>0</v>
      </c>
      <c r="W29" s="235">
        <v>0</v>
      </c>
      <c r="X29" s="236">
        <v>0</v>
      </c>
      <c r="Y29" s="237">
        <v>0</v>
      </c>
      <c r="Z29" s="236">
        <v>0</v>
      </c>
      <c r="AA29" s="236">
        <v>0</v>
      </c>
      <c r="AB29" s="236">
        <v>0</v>
      </c>
      <c r="AC29" s="235">
        <v>0</v>
      </c>
      <c r="AD29" s="236">
        <v>0</v>
      </c>
      <c r="AE29" s="236">
        <v>0</v>
      </c>
    </row>
    <row r="30" spans="2:31">
      <c r="B30" s="2">
        <v>8</v>
      </c>
      <c r="C30" s="154">
        <v>130.24353998816403</v>
      </c>
      <c r="D30" s="20">
        <v>150.88612289483396</v>
      </c>
      <c r="E30" s="155">
        <v>131.28141230044295</v>
      </c>
      <c r="F30" s="20">
        <v>9771.7942649740471</v>
      </c>
      <c r="G30" s="20">
        <v>10221.593356972151</v>
      </c>
      <c r="H30" s="20">
        <v>10231.798144181739</v>
      </c>
      <c r="I30" s="154">
        <v>1040.1839369744387</v>
      </c>
      <c r="J30" s="20">
        <v>868.32746043083512</v>
      </c>
      <c r="K30" s="155">
        <v>1143.0653887297944</v>
      </c>
      <c r="L30" s="20">
        <v>10811.978201948485</v>
      </c>
      <c r="M30" s="20">
        <v>11089.920817402985</v>
      </c>
      <c r="N30" s="20">
        <v>11374.863532911533</v>
      </c>
      <c r="P30" s="2">
        <v>8</v>
      </c>
      <c r="Q30" s="235">
        <v>139.9085869489993</v>
      </c>
      <c r="R30" s="236">
        <v>154.0042785945555</v>
      </c>
      <c r="S30" s="237">
        <v>152.69160822702813</v>
      </c>
      <c r="T30" s="236">
        <v>686.18174147983382</v>
      </c>
      <c r="U30" s="236">
        <v>700.3108194154072</v>
      </c>
      <c r="V30" s="236">
        <v>773.86513690354423</v>
      </c>
      <c r="W30" s="235">
        <v>680.80654878695293</v>
      </c>
      <c r="X30" s="236">
        <v>915.21169100260875</v>
      </c>
      <c r="Y30" s="237">
        <v>1055.6697770073147</v>
      </c>
      <c r="Z30" s="236">
        <v>10098.29772364927</v>
      </c>
      <c r="AA30" s="236">
        <v>10232.23016468507</v>
      </c>
      <c r="AB30" s="236">
        <v>10751.830815730664</v>
      </c>
      <c r="AC30" s="235">
        <v>10779.104272436223</v>
      </c>
      <c r="AD30" s="236">
        <v>11147.441855687677</v>
      </c>
      <c r="AE30" s="236">
        <v>11807.500592737979</v>
      </c>
    </row>
    <row r="31" spans="2:31">
      <c r="B31" s="2">
        <v>12</v>
      </c>
      <c r="C31" s="154">
        <v>235.28246444784813</v>
      </c>
      <c r="D31" s="20">
        <v>231.59440994607854</v>
      </c>
      <c r="E31" s="155">
        <v>281.31345800356848</v>
      </c>
      <c r="F31" s="20">
        <v>10582.444138142291</v>
      </c>
      <c r="G31" s="20">
        <v>10270.321333377995</v>
      </c>
      <c r="H31" s="20">
        <v>11521.184962300365</v>
      </c>
      <c r="I31" s="154">
        <v>669.79033034594158</v>
      </c>
      <c r="J31" s="20">
        <v>549.2944338464672</v>
      </c>
      <c r="K31" s="155">
        <v>638.84810353198509</v>
      </c>
      <c r="L31" s="20">
        <v>11252.234468488234</v>
      </c>
      <c r="M31" s="20">
        <v>10819.615767224463</v>
      </c>
      <c r="N31" s="20">
        <v>12160.033065832349</v>
      </c>
      <c r="P31" s="2">
        <v>12</v>
      </c>
      <c r="Q31" s="235">
        <v>140.82475279714558</v>
      </c>
      <c r="R31" s="236">
        <v>139.90190969099575</v>
      </c>
      <c r="S31" s="237">
        <v>152.77833402509819</v>
      </c>
      <c r="T31" s="236">
        <v>519.57724678224929</v>
      </c>
      <c r="U31" s="236">
        <v>742.93843451025816</v>
      </c>
      <c r="V31" s="236">
        <v>747.67394588639888</v>
      </c>
      <c r="W31" s="235">
        <v>849.63390933227254</v>
      </c>
      <c r="X31" s="236">
        <v>860.88551988548727</v>
      </c>
      <c r="Y31" s="237">
        <v>932.70343606878487</v>
      </c>
      <c r="Z31" s="236">
        <v>5824.8235898236981</v>
      </c>
      <c r="AA31" s="236">
        <v>15115.175397542627</v>
      </c>
      <c r="AB31" s="236">
        <v>10950.649707806215</v>
      </c>
      <c r="AC31" s="235">
        <v>6674.4574991559703</v>
      </c>
      <c r="AD31" s="236">
        <v>15976.060917428116</v>
      </c>
      <c r="AE31" s="236">
        <v>11883.353143875</v>
      </c>
    </row>
    <row r="32" spans="2:31">
      <c r="B32" s="2">
        <v>24</v>
      </c>
      <c r="C32" s="154">
        <v>334.15420587730591</v>
      </c>
      <c r="D32" s="20">
        <v>314.88861898229635</v>
      </c>
      <c r="E32" s="155">
        <v>372.56251716103878</v>
      </c>
      <c r="F32" s="20">
        <v>12356.761837024646</v>
      </c>
      <c r="G32" s="20">
        <v>11037.651366048252</v>
      </c>
      <c r="H32" s="20">
        <v>10689.329058329982</v>
      </c>
      <c r="I32" s="154">
        <v>820.34065708267553</v>
      </c>
      <c r="J32" s="20">
        <v>749.95695074725495</v>
      </c>
      <c r="K32" s="155">
        <v>564.82984050207278</v>
      </c>
      <c r="L32" s="20">
        <v>13177.102494107321</v>
      </c>
      <c r="M32" s="20">
        <v>11787.608316795508</v>
      </c>
      <c r="N32" s="20">
        <v>11254.158898832056</v>
      </c>
      <c r="P32" s="2">
        <v>24</v>
      </c>
      <c r="Q32" s="235">
        <v>176.30915123773792</v>
      </c>
      <c r="R32" s="236">
        <v>167.62857826962369</v>
      </c>
      <c r="S32" s="237">
        <v>168.62747362239438</v>
      </c>
      <c r="T32" s="236">
        <v>870.33534772848486</v>
      </c>
      <c r="U32" s="236">
        <v>909.31999276415661</v>
      </c>
      <c r="V32" s="236">
        <v>748.77969981178876</v>
      </c>
      <c r="W32" s="235">
        <v>790.43570924849428</v>
      </c>
      <c r="X32" s="236">
        <v>796.32866727864553</v>
      </c>
      <c r="Y32" s="237">
        <v>715.97566669180662</v>
      </c>
      <c r="Z32" s="236">
        <v>12653.901418660398</v>
      </c>
      <c r="AA32" s="236">
        <v>11331.84056382324</v>
      </c>
      <c r="AB32" s="236">
        <v>9788.8709168601927</v>
      </c>
      <c r="AC32" s="235">
        <v>13444.337127908893</v>
      </c>
      <c r="AD32" s="236">
        <v>12128.169231101885</v>
      </c>
      <c r="AE32" s="236">
        <v>10504.846583552002</v>
      </c>
    </row>
    <row r="33" spans="2:31">
      <c r="B33" s="2">
        <v>28</v>
      </c>
      <c r="C33" s="154">
        <v>374.8976958657932</v>
      </c>
      <c r="D33" s="20">
        <v>373.82961126218669</v>
      </c>
      <c r="E33" s="155">
        <v>415.3334659709738</v>
      </c>
      <c r="F33" s="20">
        <v>13343.834622946189</v>
      </c>
      <c r="G33" s="20">
        <v>13938.370566486044</v>
      </c>
      <c r="H33" s="20">
        <v>14484.06415686619</v>
      </c>
      <c r="I33" s="154">
        <v>788.72707553303178</v>
      </c>
      <c r="J33" s="20">
        <v>880.3687345224489</v>
      </c>
      <c r="K33" s="155">
        <v>937.45945074132635</v>
      </c>
      <c r="L33" s="20">
        <v>14132.561698479221</v>
      </c>
      <c r="M33" s="20">
        <v>14818.739301008492</v>
      </c>
      <c r="N33" s="20">
        <v>15421.523607607518</v>
      </c>
      <c r="P33" s="2">
        <v>28</v>
      </c>
      <c r="Q33" s="235">
        <v>192.40118301833854</v>
      </c>
      <c r="R33" s="236">
        <v>225.17170844361451</v>
      </c>
      <c r="S33" s="237">
        <v>172.29956688209401</v>
      </c>
      <c r="T33" s="236">
        <v>839.5687986254751</v>
      </c>
      <c r="U33" s="236">
        <v>849.53175318558124</v>
      </c>
      <c r="V33" s="236">
        <v>881.96253392520089</v>
      </c>
      <c r="W33" s="235">
        <v>839.76984479372857</v>
      </c>
      <c r="X33" s="236">
        <v>838.80929087874495</v>
      </c>
      <c r="Y33" s="237">
        <v>702.62135000578053</v>
      </c>
      <c r="Z33" s="236">
        <v>13619.06848364186</v>
      </c>
      <c r="AA33" s="236">
        <v>12058.749171828582</v>
      </c>
      <c r="AB33" s="236">
        <v>10724.602798381389</v>
      </c>
      <c r="AC33" s="235">
        <v>14458.83832843559</v>
      </c>
      <c r="AD33" s="236">
        <v>12897.558462707326</v>
      </c>
      <c r="AE33" s="236">
        <v>11427.224148387169</v>
      </c>
    </row>
    <row r="34" spans="2:31">
      <c r="B34" s="2">
        <v>32</v>
      </c>
      <c r="C34" s="154">
        <v>384.34553246975065</v>
      </c>
      <c r="D34" s="20">
        <v>402.33501717412554</v>
      </c>
      <c r="E34" s="155">
        <v>443.44524074016664</v>
      </c>
      <c r="F34" s="20">
        <v>14494.336090134522</v>
      </c>
      <c r="G34" s="20">
        <v>13311.314500147249</v>
      </c>
      <c r="H34" s="20">
        <v>15304.950565396068</v>
      </c>
      <c r="I34" s="154">
        <v>912.65865987338293</v>
      </c>
      <c r="J34" s="20">
        <v>721.09720373311882</v>
      </c>
      <c r="K34" s="155">
        <v>923.01382974287242</v>
      </c>
      <c r="L34" s="20">
        <v>15406.994750007903</v>
      </c>
      <c r="M34" s="20">
        <v>14032.411703880367</v>
      </c>
      <c r="N34" s="20">
        <v>16227.964395138941</v>
      </c>
      <c r="P34" s="2">
        <v>32</v>
      </c>
      <c r="Q34" s="235">
        <v>188.62861080229288</v>
      </c>
      <c r="R34" s="236">
        <v>189.61448478483734</v>
      </c>
      <c r="S34" s="237">
        <v>217.44564103534896</v>
      </c>
      <c r="T34" s="236">
        <v>865.74027923397068</v>
      </c>
      <c r="U34" s="236">
        <v>733.46690871791941</v>
      </c>
      <c r="V34" s="236">
        <v>948.98001806481682</v>
      </c>
      <c r="W34" s="235">
        <v>690.9877961228791</v>
      </c>
      <c r="X34" s="236">
        <v>526.00168791777298</v>
      </c>
      <c r="Y34" s="237">
        <v>753.99681279137133</v>
      </c>
      <c r="Z34" s="236">
        <v>13039.223739827461</v>
      </c>
      <c r="AA34" s="236">
        <v>9303.6052696677325</v>
      </c>
      <c r="AB34" s="236">
        <v>13749.326401312905</v>
      </c>
      <c r="AC34" s="235">
        <v>13730.21153595034</v>
      </c>
      <c r="AD34" s="236">
        <v>9829.6069575855036</v>
      </c>
      <c r="AE34" s="236">
        <v>14503.323214104275</v>
      </c>
    </row>
    <row r="35" spans="2:31">
      <c r="B35" s="2">
        <v>36</v>
      </c>
      <c r="C35" s="154">
        <v>455.30230944311774</v>
      </c>
      <c r="D35" s="20">
        <v>400.53887870459823</v>
      </c>
      <c r="E35" s="155">
        <v>409.28364347741376</v>
      </c>
      <c r="F35" s="20">
        <v>14578.391858691679</v>
      </c>
      <c r="G35" s="20">
        <v>13180.608646399669</v>
      </c>
      <c r="H35" s="20">
        <v>13767.686262900441</v>
      </c>
      <c r="I35" s="154">
        <v>1014.6576482216001</v>
      </c>
      <c r="J35" s="20">
        <v>934.90542047667248</v>
      </c>
      <c r="K35" s="155">
        <v>956.52954338407176</v>
      </c>
      <c r="L35" s="20">
        <v>15593.049506913276</v>
      </c>
      <c r="M35" s="20">
        <v>14115.51406687634</v>
      </c>
      <c r="N35" s="20">
        <v>14724.215806284512</v>
      </c>
      <c r="P35" s="2">
        <v>36</v>
      </c>
      <c r="Q35" s="235">
        <v>169.15682390582705</v>
      </c>
      <c r="R35" s="236">
        <v>186.2010627938148</v>
      </c>
      <c r="S35" s="237">
        <v>208.60790473081153</v>
      </c>
      <c r="T35" s="236">
        <v>764.61707606945401</v>
      </c>
      <c r="U35" s="236">
        <v>843.33482417007576</v>
      </c>
      <c r="V35" s="236">
        <v>967.56219103520903</v>
      </c>
      <c r="W35" s="235">
        <v>681.56789826868169</v>
      </c>
      <c r="X35" s="236">
        <v>601.05624087420222</v>
      </c>
      <c r="Y35" s="237">
        <v>827.39000188591683</v>
      </c>
      <c r="Z35" s="236">
        <v>12136.237498167005</v>
      </c>
      <c r="AA35" s="236">
        <v>6868.1140690957172</v>
      </c>
      <c r="AB35" s="236">
        <v>12830.926494671803</v>
      </c>
      <c r="AC35" s="235">
        <v>12817.805396435688</v>
      </c>
      <c r="AD35" s="236">
        <v>7469.1703099699189</v>
      </c>
      <c r="AE35" s="236">
        <v>13658.316496557718</v>
      </c>
    </row>
    <row r="36" spans="2:31" ht="15" thickBot="1">
      <c r="B36" s="15">
        <v>48</v>
      </c>
      <c r="C36" s="156">
        <v>501.96293319136379</v>
      </c>
      <c r="D36" s="153">
        <v>572.09533487405531</v>
      </c>
      <c r="E36" s="157">
        <v>565.19936332057807</v>
      </c>
      <c r="F36" s="153">
        <v>16990.472963233322</v>
      </c>
      <c r="G36" s="153">
        <v>18945.483173370685</v>
      </c>
      <c r="H36" s="153">
        <v>16381.742439659494</v>
      </c>
      <c r="I36" s="156">
        <v>1137.1340210938674</v>
      </c>
      <c r="J36" s="153">
        <v>1067.8780400744158</v>
      </c>
      <c r="K36" s="157">
        <v>1149.8413118609965</v>
      </c>
      <c r="L36" s="153">
        <v>18127.606984327194</v>
      </c>
      <c r="M36" s="153">
        <v>20013.3612134451</v>
      </c>
      <c r="N36" s="153">
        <v>17531.583751520488</v>
      </c>
      <c r="P36" s="15">
        <v>48</v>
      </c>
      <c r="Q36" s="238">
        <v>242.49041757068491</v>
      </c>
      <c r="R36" s="239">
        <v>290.42181530867759</v>
      </c>
      <c r="S36" s="240">
        <v>307.03646688887767</v>
      </c>
      <c r="T36" s="239">
        <v>1276.2135276004353</v>
      </c>
      <c r="U36" s="239">
        <v>1430.2870291964462</v>
      </c>
      <c r="V36" s="239">
        <v>1595.7052743621757</v>
      </c>
      <c r="W36" s="238">
        <v>913.33954232207452</v>
      </c>
      <c r="X36" s="239">
        <v>1119.6596144924545</v>
      </c>
      <c r="Y36" s="240">
        <v>1144.1322888568459</v>
      </c>
      <c r="Z36" s="239">
        <v>16443.312142942887</v>
      </c>
      <c r="AA36" s="239">
        <v>20490.363642794175</v>
      </c>
      <c r="AB36" s="239">
        <v>20167.957015436226</v>
      </c>
      <c r="AC36" s="238">
        <v>17356.651685264958</v>
      </c>
      <c r="AD36" s="239">
        <v>21610.02325728663</v>
      </c>
      <c r="AE36" s="239">
        <v>21312.089304293073</v>
      </c>
    </row>
    <row r="38" spans="2:31" ht="15" thickBot="1">
      <c r="B38" s="1" t="s">
        <v>111</v>
      </c>
      <c r="P38" s="1" t="s">
        <v>115</v>
      </c>
    </row>
    <row r="39" spans="2:31" ht="15">
      <c r="B39" s="104" t="s">
        <v>182</v>
      </c>
      <c r="C39" s="272" t="s">
        <v>16</v>
      </c>
      <c r="D39" s="273"/>
      <c r="E39" s="274"/>
      <c r="F39" s="275" t="s">
        <v>95</v>
      </c>
      <c r="G39" s="273"/>
      <c r="H39" s="273"/>
      <c r="I39" s="272" t="s">
        <v>100</v>
      </c>
      <c r="J39" s="273"/>
      <c r="K39" s="274"/>
      <c r="L39" s="275" t="s">
        <v>17</v>
      </c>
      <c r="M39" s="273"/>
      <c r="N39" s="273"/>
      <c r="P39" s="104" t="s">
        <v>182</v>
      </c>
      <c r="Q39" s="272" t="s">
        <v>18</v>
      </c>
      <c r="R39" s="273"/>
      <c r="S39" s="274"/>
      <c r="T39" s="275" t="s">
        <v>19</v>
      </c>
      <c r="U39" s="273"/>
      <c r="V39" s="273"/>
      <c r="W39" s="272" t="s">
        <v>95</v>
      </c>
      <c r="X39" s="273"/>
      <c r="Y39" s="274"/>
      <c r="Z39" s="275" t="s">
        <v>100</v>
      </c>
      <c r="AA39" s="273"/>
      <c r="AB39" s="273"/>
      <c r="AC39" s="272" t="s">
        <v>17</v>
      </c>
      <c r="AD39" s="273"/>
      <c r="AE39" s="273"/>
    </row>
    <row r="40" spans="2:31">
      <c r="B40" s="2">
        <v>0</v>
      </c>
      <c r="C40" s="154">
        <v>0</v>
      </c>
      <c r="D40" s="20">
        <v>0</v>
      </c>
      <c r="E40" s="155">
        <v>0</v>
      </c>
      <c r="F40" s="20">
        <v>0</v>
      </c>
      <c r="G40" s="20">
        <v>0</v>
      </c>
      <c r="H40" s="20">
        <v>0</v>
      </c>
      <c r="I40" s="154">
        <v>0</v>
      </c>
      <c r="J40" s="20">
        <v>0</v>
      </c>
      <c r="K40" s="155">
        <v>0</v>
      </c>
      <c r="L40" s="20">
        <v>0</v>
      </c>
      <c r="M40" s="20">
        <v>0</v>
      </c>
      <c r="N40" s="20">
        <v>0</v>
      </c>
      <c r="P40" s="2">
        <v>0</v>
      </c>
      <c r="Q40" s="235">
        <v>0</v>
      </c>
      <c r="R40" s="236">
        <v>0</v>
      </c>
      <c r="S40" s="237">
        <v>0</v>
      </c>
      <c r="T40" s="236">
        <v>0</v>
      </c>
      <c r="U40" s="236">
        <v>0</v>
      </c>
      <c r="V40" s="236">
        <v>0</v>
      </c>
      <c r="W40" s="235">
        <v>0</v>
      </c>
      <c r="X40" s="236">
        <v>0</v>
      </c>
      <c r="Y40" s="237">
        <v>0</v>
      </c>
      <c r="Z40" s="236">
        <v>0</v>
      </c>
      <c r="AA40" s="236">
        <v>0</v>
      </c>
      <c r="AB40" s="236">
        <v>0</v>
      </c>
      <c r="AC40" s="235">
        <v>0</v>
      </c>
      <c r="AD40" s="236">
        <v>0</v>
      </c>
      <c r="AE40" s="236">
        <v>0</v>
      </c>
    </row>
    <row r="41" spans="2:31">
      <c r="B41" s="2">
        <v>8</v>
      </c>
      <c r="C41" s="154">
        <v>284.86764411204393</v>
      </c>
      <c r="D41" s="20">
        <v>251.61397432783187</v>
      </c>
      <c r="E41" s="155">
        <v>302.41448831253388</v>
      </c>
      <c r="F41" s="20">
        <v>58109.577565294014</v>
      </c>
      <c r="G41" s="20">
        <v>67376.521695887408</v>
      </c>
      <c r="H41" s="20">
        <v>73854.667239864299</v>
      </c>
      <c r="I41" s="154">
        <v>5973.6659424456511</v>
      </c>
      <c r="J41" s="20">
        <v>7481.0928343605046</v>
      </c>
      <c r="K41" s="155">
        <v>7349.2629291156118</v>
      </c>
      <c r="L41" s="20">
        <v>64083.243507739666</v>
      </c>
      <c r="M41" s="20">
        <v>74857.614530247898</v>
      </c>
      <c r="N41" s="20">
        <v>81203.930168979903</v>
      </c>
      <c r="P41" s="2">
        <v>8</v>
      </c>
      <c r="Q41" s="235">
        <v>530.76188418851939</v>
      </c>
      <c r="R41" s="236">
        <v>546.76002608781835</v>
      </c>
      <c r="S41" s="237">
        <v>678.88147977601432</v>
      </c>
      <c r="T41" s="236">
        <v>1825.7225923706962</v>
      </c>
      <c r="U41" s="236">
        <v>2362.0785980730234</v>
      </c>
      <c r="V41" s="236">
        <v>3127.9978484831172</v>
      </c>
      <c r="W41" s="235">
        <v>4212.5129172554989</v>
      </c>
      <c r="X41" s="236">
        <v>4896.3724883561435</v>
      </c>
      <c r="Y41" s="237">
        <v>6885.503978213088</v>
      </c>
      <c r="Z41" s="236">
        <v>74304.601948365918</v>
      </c>
      <c r="AA41" s="236">
        <v>75785.080311322206</v>
      </c>
      <c r="AB41" s="236">
        <v>96448.486110117839</v>
      </c>
      <c r="AC41" s="235">
        <v>78517.114865621421</v>
      </c>
      <c r="AD41" s="236">
        <v>80681.452799678358</v>
      </c>
      <c r="AE41" s="236">
        <v>103333.99008833093</v>
      </c>
    </row>
    <row r="42" spans="2:31">
      <c r="B42" s="2">
        <v>12</v>
      </c>
      <c r="C42" s="154">
        <v>770.90449622853214</v>
      </c>
      <c r="D42" s="20">
        <v>917.02429320310762</v>
      </c>
      <c r="E42" s="155">
        <v>960.47507979291765</v>
      </c>
      <c r="F42" s="20">
        <v>90490.184402061932</v>
      </c>
      <c r="G42" s="20">
        <v>122821.09266163062</v>
      </c>
      <c r="H42" s="20">
        <v>122741.07839261912</v>
      </c>
      <c r="I42" s="154">
        <v>4768.3193770428479</v>
      </c>
      <c r="J42" s="20">
        <v>5590.5665906706417</v>
      </c>
      <c r="K42" s="155">
        <v>6116.2974755008627</v>
      </c>
      <c r="L42" s="20">
        <v>95258.503779104765</v>
      </c>
      <c r="M42" s="20">
        <v>128411.65925230128</v>
      </c>
      <c r="N42" s="20">
        <v>128857.37586811998</v>
      </c>
      <c r="P42" s="2">
        <v>12</v>
      </c>
      <c r="Q42" s="235">
        <v>760.28053681058418</v>
      </c>
      <c r="R42" s="236">
        <v>867.82618420479423</v>
      </c>
      <c r="S42" s="237">
        <v>959.95822263726279</v>
      </c>
      <c r="T42" s="236">
        <v>2913.2133147914988</v>
      </c>
      <c r="U42" s="236">
        <v>3988.3400205545258</v>
      </c>
      <c r="V42" s="236">
        <v>4455.7787808419007</v>
      </c>
      <c r="W42" s="235">
        <v>5610.0574831007279</v>
      </c>
      <c r="X42" s="236">
        <v>8757.5710891105864</v>
      </c>
      <c r="Y42" s="237">
        <v>9756.8450068729308</v>
      </c>
      <c r="Z42" s="236">
        <v>81707.444923805306</v>
      </c>
      <c r="AA42" s="236">
        <v>131262.90460000251</v>
      </c>
      <c r="AB42" s="236">
        <v>128834.25661694551</v>
      </c>
      <c r="AC42" s="235">
        <v>87317.502406906046</v>
      </c>
      <c r="AD42" s="236">
        <v>140020.47568911311</v>
      </c>
      <c r="AE42" s="236">
        <v>138591.10162381842</v>
      </c>
    </row>
    <row r="43" spans="2:31">
      <c r="B43" s="2">
        <v>24</v>
      </c>
      <c r="C43" s="154">
        <v>3248.5793218683939</v>
      </c>
      <c r="D43" s="20">
        <v>5013.8561504786167</v>
      </c>
      <c r="E43" s="155">
        <v>3296.8338584241719</v>
      </c>
      <c r="F43" s="20">
        <v>308797.1440024121</v>
      </c>
      <c r="G43" s="20">
        <v>500473.60430695734</v>
      </c>
      <c r="H43" s="20">
        <v>440140.53764659719</v>
      </c>
      <c r="I43" s="154">
        <v>20563.565852080141</v>
      </c>
      <c r="J43" s="20">
        <v>31638.401596297848</v>
      </c>
      <c r="K43" s="155">
        <v>24996.26954056085</v>
      </c>
      <c r="L43" s="20">
        <v>329360.70985449222</v>
      </c>
      <c r="M43" s="20">
        <v>532112.00590325519</v>
      </c>
      <c r="N43" s="20">
        <v>465136.80718715803</v>
      </c>
      <c r="P43" s="2">
        <v>24</v>
      </c>
      <c r="Q43" s="235">
        <v>2771.7565063178181</v>
      </c>
      <c r="R43" s="236">
        <v>4305.0686161957692</v>
      </c>
      <c r="S43" s="237">
        <v>4031.2628822889988</v>
      </c>
      <c r="T43" s="236">
        <v>12001.115936929345</v>
      </c>
      <c r="U43" s="236">
        <v>18775.701653168861</v>
      </c>
      <c r="V43" s="236">
        <v>17401.407488752142</v>
      </c>
      <c r="W43" s="235">
        <v>22562.294539902752</v>
      </c>
      <c r="X43" s="236">
        <v>38177.997197393692</v>
      </c>
      <c r="Y43" s="237">
        <v>32401.749310937179</v>
      </c>
      <c r="Z43" s="236">
        <v>334714.17044733011</v>
      </c>
      <c r="AA43" s="236">
        <v>553599.38859429664</v>
      </c>
      <c r="AB43" s="236">
        <v>448354.78307439189</v>
      </c>
      <c r="AC43" s="235">
        <v>357276.46498723287</v>
      </c>
      <c r="AD43" s="236">
        <v>591777.38579169032</v>
      </c>
      <c r="AE43" s="236">
        <v>480756.53238532908</v>
      </c>
    </row>
    <row r="44" spans="2:31">
      <c r="B44" s="2">
        <v>28</v>
      </c>
      <c r="C44" s="154">
        <v>6740.9489545099059</v>
      </c>
      <c r="D44" s="20">
        <v>6693.3657854192516</v>
      </c>
      <c r="E44" s="155">
        <v>4881.6806807823423</v>
      </c>
      <c r="F44" s="20">
        <v>627664.29645608482</v>
      </c>
      <c r="G44" s="20">
        <v>667179.47487648169</v>
      </c>
      <c r="H44" s="20">
        <v>546761.45379459171</v>
      </c>
      <c r="I44" s="154">
        <v>40012.158186455708</v>
      </c>
      <c r="J44" s="20">
        <v>41978.929175536199</v>
      </c>
      <c r="K44" s="155">
        <v>31299.151224077399</v>
      </c>
      <c r="L44" s="20">
        <v>667676.45464254043</v>
      </c>
      <c r="M44" s="20">
        <v>709158.40405201796</v>
      </c>
      <c r="N44" s="20">
        <v>578060.60501866916</v>
      </c>
      <c r="P44" s="2">
        <v>28</v>
      </c>
      <c r="Q44" s="235">
        <v>5581.8458153825914</v>
      </c>
      <c r="R44" s="236">
        <v>5847.2267574768457</v>
      </c>
      <c r="S44" s="237">
        <v>4496.7326299305068</v>
      </c>
      <c r="T44" s="236">
        <v>22999.681648169113</v>
      </c>
      <c r="U44" s="236">
        <v>22398.151512755547</v>
      </c>
      <c r="V44" s="236">
        <v>18296.541618831929</v>
      </c>
      <c r="W44" s="235">
        <v>40444.055575165265</v>
      </c>
      <c r="X44" s="236">
        <v>42169.031698777799</v>
      </c>
      <c r="Y44" s="237">
        <v>37971.58979798697</v>
      </c>
      <c r="Z44" s="236">
        <v>604122.02261477616</v>
      </c>
      <c r="AA44" s="236">
        <v>578503.91567127628</v>
      </c>
      <c r="AB44" s="236">
        <v>535730.40515995072</v>
      </c>
      <c r="AC44" s="235">
        <v>644566.07818994147</v>
      </c>
      <c r="AD44" s="236">
        <v>620672.94737005397</v>
      </c>
      <c r="AE44" s="236">
        <v>573701.99495793763</v>
      </c>
    </row>
    <row r="45" spans="2:31">
      <c r="B45" s="2">
        <v>32</v>
      </c>
      <c r="C45" s="154">
        <v>7467.914037839415</v>
      </c>
      <c r="D45" s="20">
        <v>5538.1521802738325</v>
      </c>
      <c r="E45" s="155">
        <v>6359.0220623215637</v>
      </c>
      <c r="F45" s="20">
        <v>778916.65169361944</v>
      </c>
      <c r="G45" s="20">
        <v>525137.54695228138</v>
      </c>
      <c r="H45" s="20">
        <v>598474.66572835995</v>
      </c>
      <c r="I45" s="154">
        <v>50021.806506554436</v>
      </c>
      <c r="J45" s="20">
        <v>35145.457392238917</v>
      </c>
      <c r="K45" s="155">
        <v>42861.86131310738</v>
      </c>
      <c r="L45" s="20">
        <v>828938.45820017403</v>
      </c>
      <c r="M45" s="20">
        <v>560283.00434452039</v>
      </c>
      <c r="N45" s="20">
        <v>641336.52704146726</v>
      </c>
      <c r="P45" s="2">
        <v>32</v>
      </c>
      <c r="Q45" s="235">
        <v>6656.6386308643359</v>
      </c>
      <c r="R45" s="236">
        <v>3405.7220902096656</v>
      </c>
      <c r="S45" s="237">
        <v>5484.5394699480339</v>
      </c>
      <c r="T45" s="236">
        <v>24403.989133417956</v>
      </c>
      <c r="U45" s="236">
        <v>14536.97827249667</v>
      </c>
      <c r="V45" s="236">
        <v>24441.584766881369</v>
      </c>
      <c r="W45" s="235">
        <v>44805.14905691419</v>
      </c>
      <c r="X45" s="236">
        <v>27997.689390944346</v>
      </c>
      <c r="Y45" s="237">
        <v>44265.541141322545</v>
      </c>
      <c r="Z45" s="236">
        <v>750442.01654629619</v>
      </c>
      <c r="AA45" s="236">
        <v>488706.37655941542</v>
      </c>
      <c r="AB45" s="236">
        <v>677084.08962789131</v>
      </c>
      <c r="AC45" s="235">
        <v>795247.16560321045</v>
      </c>
      <c r="AD45" s="236">
        <v>516704.06595035968</v>
      </c>
      <c r="AE45" s="236">
        <v>721349.63076921389</v>
      </c>
    </row>
    <row r="46" spans="2:31">
      <c r="B46" s="2">
        <v>36</v>
      </c>
      <c r="C46" s="154">
        <v>8578.1879832881023</v>
      </c>
      <c r="D46" s="20">
        <v>5852.7297981509546</v>
      </c>
      <c r="E46" s="155">
        <v>6030.505804892483</v>
      </c>
      <c r="F46" s="20">
        <v>718856.11826363404</v>
      </c>
      <c r="G46" s="20">
        <v>592013.92876960558</v>
      </c>
      <c r="H46" s="20">
        <v>589535.63871280418</v>
      </c>
      <c r="I46" s="154">
        <v>45369.229973245623</v>
      </c>
      <c r="J46" s="20">
        <v>36602.031068291857</v>
      </c>
      <c r="K46" s="155">
        <v>38330.886211919402</v>
      </c>
      <c r="L46" s="20">
        <v>764225.34823687968</v>
      </c>
      <c r="M46" s="20">
        <v>628615.95983789745</v>
      </c>
      <c r="N46" s="20">
        <v>627866.52492472366</v>
      </c>
      <c r="P46" s="2">
        <v>36</v>
      </c>
      <c r="Q46" s="235">
        <v>7076.82512251358</v>
      </c>
      <c r="R46" s="236">
        <v>5316.4648732883361</v>
      </c>
      <c r="S46" s="237">
        <v>5381.3357702447493</v>
      </c>
      <c r="T46" s="236">
        <v>24912.635939098618</v>
      </c>
      <c r="U46" s="236">
        <v>20903.172205624567</v>
      </c>
      <c r="V46" s="236">
        <v>20825.032261563589</v>
      </c>
      <c r="W46" s="235">
        <v>40050.407177725479</v>
      </c>
      <c r="X46" s="236">
        <v>29572.282980703625</v>
      </c>
      <c r="Y46" s="237">
        <v>39503.058984656316</v>
      </c>
      <c r="Z46" s="236">
        <v>704321.02031816554</v>
      </c>
      <c r="AA46" s="236">
        <v>512503.67537243391</v>
      </c>
      <c r="AB46" s="236">
        <v>657582.64481502806</v>
      </c>
      <c r="AC46" s="235">
        <v>744371.427495891</v>
      </c>
      <c r="AD46" s="236">
        <v>542075.9583531376</v>
      </c>
      <c r="AE46" s="236">
        <v>697085.7037996843</v>
      </c>
    </row>
    <row r="47" spans="2:31" ht="15" thickBot="1">
      <c r="B47" s="15">
        <v>48</v>
      </c>
      <c r="C47" s="156">
        <v>8644.2757181362413</v>
      </c>
      <c r="D47" s="153">
        <v>6809.680198751973</v>
      </c>
      <c r="E47" s="157">
        <v>7844.6141264737898</v>
      </c>
      <c r="F47" s="153">
        <v>778705.17094210628</v>
      </c>
      <c r="G47" s="153">
        <v>637635.61388997093</v>
      </c>
      <c r="H47" s="153">
        <v>789801.3016231088</v>
      </c>
      <c r="I47" s="156">
        <v>39725.337417214811</v>
      </c>
      <c r="J47" s="153">
        <v>38135.266516768585</v>
      </c>
      <c r="K47" s="157">
        <v>43227.987364166009</v>
      </c>
      <c r="L47" s="153">
        <v>818430.50835932093</v>
      </c>
      <c r="M47" s="153">
        <v>675770.88040673966</v>
      </c>
      <c r="N47" s="153">
        <v>833029.28898727475</v>
      </c>
      <c r="P47" s="15">
        <v>48</v>
      </c>
      <c r="Q47" s="238">
        <v>8427.9575637803082</v>
      </c>
      <c r="R47" s="239">
        <v>5868.514288375618</v>
      </c>
      <c r="S47" s="240">
        <v>7978.1809212405888</v>
      </c>
      <c r="T47" s="239">
        <v>37202.953718643854</v>
      </c>
      <c r="U47" s="239">
        <v>23773.908248529016</v>
      </c>
      <c r="V47" s="239">
        <v>35307.466439369353</v>
      </c>
      <c r="W47" s="238">
        <v>48104.682816392917</v>
      </c>
      <c r="X47" s="239">
        <v>25350.268290953903</v>
      </c>
      <c r="Y47" s="240">
        <v>49860.953515833615</v>
      </c>
      <c r="Z47" s="239">
        <v>889958.050038627</v>
      </c>
      <c r="AA47" s="239">
        <v>533426.53087798413</v>
      </c>
      <c r="AB47" s="239">
        <v>854832.63604980824</v>
      </c>
      <c r="AC47" s="238">
        <v>938062.73285501997</v>
      </c>
      <c r="AD47" s="239">
        <v>558776.79916893796</v>
      </c>
      <c r="AE47" s="239">
        <v>904693.58956564183</v>
      </c>
    </row>
  </sheetData>
  <mergeCells count="36">
    <mergeCell ref="C6:E6"/>
    <mergeCell ref="F6:H6"/>
    <mergeCell ref="I6:K6"/>
    <mergeCell ref="L6:N6"/>
    <mergeCell ref="C17:E17"/>
    <mergeCell ref="F17:H17"/>
    <mergeCell ref="I17:K17"/>
    <mergeCell ref="L17:N17"/>
    <mergeCell ref="C28:E28"/>
    <mergeCell ref="F28:H28"/>
    <mergeCell ref="I28:K28"/>
    <mergeCell ref="L28:N28"/>
    <mergeCell ref="C39:E39"/>
    <mergeCell ref="F39:H39"/>
    <mergeCell ref="I39:K39"/>
    <mergeCell ref="L39:N39"/>
    <mergeCell ref="Q17:S17"/>
    <mergeCell ref="T17:V17"/>
    <mergeCell ref="W17:Y17"/>
    <mergeCell ref="Z17:AB17"/>
    <mergeCell ref="AC17:AE17"/>
    <mergeCell ref="Q6:S6"/>
    <mergeCell ref="T6:V6"/>
    <mergeCell ref="W6:Y6"/>
    <mergeCell ref="Z6:AB6"/>
    <mergeCell ref="AC6:AE6"/>
    <mergeCell ref="Q39:S39"/>
    <mergeCell ref="T39:V39"/>
    <mergeCell ref="W39:Y39"/>
    <mergeCell ref="Z39:AB39"/>
    <mergeCell ref="AC39:AE39"/>
    <mergeCell ref="Q28:S28"/>
    <mergeCell ref="T28:V28"/>
    <mergeCell ref="W28:Y28"/>
    <mergeCell ref="Z28:AB28"/>
    <mergeCell ref="AC28:AE28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86B23-E6F7-4820-AB28-0221AEAFA8CC}">
  <dimension ref="B2:Z37"/>
  <sheetViews>
    <sheetView workbookViewId="0">
      <selection activeCell="B2" sqref="B2"/>
    </sheetView>
  </sheetViews>
  <sheetFormatPr baseColWidth="10" defaultColWidth="9" defaultRowHeight="15"/>
  <cols>
    <col min="1" max="1" width="1.5" customWidth="1"/>
    <col min="2" max="2" width="38.83203125" customWidth="1"/>
    <col min="3" max="3" width="11" customWidth="1"/>
    <col min="4" max="4" width="12.5" customWidth="1"/>
    <col min="5" max="5" width="11.83203125" customWidth="1"/>
    <col min="6" max="6" width="12.5" customWidth="1"/>
    <col min="7" max="7" width="15.5" customWidth="1"/>
    <col min="8" max="8" width="8.83203125" customWidth="1"/>
    <col min="9" max="9" width="10.1640625" customWidth="1"/>
    <col min="10" max="10" width="8.6640625" customWidth="1"/>
    <col min="11" max="11" width="15.1640625" customWidth="1"/>
    <col min="12" max="12" width="17.1640625" customWidth="1"/>
    <col min="13" max="13" width="13.33203125" customWidth="1"/>
    <col min="14" max="14" width="10.83203125" customWidth="1"/>
    <col min="15" max="15" width="13.33203125" customWidth="1"/>
    <col min="16" max="17" width="12.1640625" customWidth="1"/>
    <col min="18" max="18" width="10.1640625" customWidth="1"/>
    <col min="19" max="19" width="10" customWidth="1"/>
    <col min="20" max="20" width="11.33203125" customWidth="1"/>
    <col min="21" max="21" width="11.5" customWidth="1"/>
    <col min="22" max="22" width="12.33203125" customWidth="1"/>
    <col min="23" max="23" width="14.6640625" customWidth="1"/>
    <col min="24" max="24" width="11.1640625" customWidth="1"/>
    <col min="25" max="25" width="11.83203125" customWidth="1"/>
    <col min="26" max="26" width="10.33203125" customWidth="1"/>
  </cols>
  <sheetData>
    <row r="2" spans="2:26">
      <c r="B2" s="1" t="s">
        <v>228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2:26" ht="16">
      <c r="B3" s="1" t="s">
        <v>222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2:26" ht="4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2:26" ht="17" thickBot="1">
      <c r="B5" s="1" t="s">
        <v>63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2:26">
      <c r="B6" s="262" t="s">
        <v>8</v>
      </c>
      <c r="C6" s="264" t="s">
        <v>210</v>
      </c>
      <c r="D6" s="265"/>
      <c r="E6" s="266"/>
      <c r="F6" s="265" t="s">
        <v>4</v>
      </c>
      <c r="G6" s="265"/>
      <c r="H6" s="266"/>
      <c r="I6" s="264" t="s">
        <v>211</v>
      </c>
      <c r="J6" s="265"/>
      <c r="K6" s="266"/>
      <c r="L6" s="264" t="s">
        <v>5</v>
      </c>
      <c r="M6" s="267"/>
      <c r="N6" s="268"/>
      <c r="O6" s="264" t="s">
        <v>212</v>
      </c>
      <c r="P6" s="265"/>
      <c r="Q6" s="266"/>
      <c r="R6" s="264" t="s">
        <v>6</v>
      </c>
      <c r="S6" s="267"/>
      <c r="T6" s="268"/>
      <c r="U6" s="259" t="s">
        <v>94</v>
      </c>
      <c r="V6" s="260"/>
      <c r="W6" s="261"/>
      <c r="X6" s="259" t="s">
        <v>7</v>
      </c>
      <c r="Y6" s="260"/>
      <c r="Z6" s="260"/>
    </row>
    <row r="7" spans="2:26">
      <c r="B7" s="281"/>
      <c r="C7" s="250">
        <v>1</v>
      </c>
      <c r="D7" s="251">
        <v>2</v>
      </c>
      <c r="E7" s="252">
        <v>3</v>
      </c>
      <c r="F7" s="251">
        <v>4</v>
      </c>
      <c r="G7" s="251">
        <v>5</v>
      </c>
      <c r="H7" s="251">
        <v>6</v>
      </c>
      <c r="I7" s="250">
        <v>7</v>
      </c>
      <c r="J7" s="251">
        <v>8</v>
      </c>
      <c r="K7" s="252">
        <v>9</v>
      </c>
      <c r="L7" s="250">
        <v>10</v>
      </c>
      <c r="M7" s="253">
        <v>11</v>
      </c>
      <c r="N7" s="254">
        <v>12</v>
      </c>
      <c r="O7" s="250">
        <v>13</v>
      </c>
      <c r="P7" s="251">
        <v>14</v>
      </c>
      <c r="Q7" s="252">
        <v>15</v>
      </c>
      <c r="R7" s="250">
        <v>16</v>
      </c>
      <c r="S7" s="253">
        <v>17</v>
      </c>
      <c r="T7" s="254">
        <v>18</v>
      </c>
      <c r="U7" s="255">
        <v>19</v>
      </c>
      <c r="V7" s="253">
        <v>20</v>
      </c>
      <c r="W7" s="254">
        <v>21</v>
      </c>
      <c r="X7" s="255">
        <v>22</v>
      </c>
      <c r="Y7" s="253">
        <v>23</v>
      </c>
      <c r="Z7" s="253">
        <v>24</v>
      </c>
    </row>
    <row r="8" spans="2:26">
      <c r="B8" s="12">
        <v>0</v>
      </c>
      <c r="C8" s="59">
        <f>0.061*2</f>
        <v>0.122</v>
      </c>
      <c r="D8" s="58">
        <f>0.057*2</f>
        <v>0.114</v>
      </c>
      <c r="E8" s="60">
        <f>0.058*2</f>
        <v>0.11600000000000001</v>
      </c>
      <c r="F8" s="58">
        <f>0.051*2</f>
        <v>0.10199999999999999</v>
      </c>
      <c r="G8" s="58">
        <f>0.057*2</f>
        <v>0.114</v>
      </c>
      <c r="H8" s="58">
        <f>0.063*2</f>
        <v>0.126</v>
      </c>
      <c r="I8" s="59">
        <f>0.049*2</f>
        <v>9.8000000000000004E-2</v>
      </c>
      <c r="J8" s="58">
        <f>0.049*2</f>
        <v>9.8000000000000004E-2</v>
      </c>
      <c r="K8" s="60">
        <f>0.051*2</f>
        <v>0.10199999999999999</v>
      </c>
      <c r="L8" s="59">
        <f>0.052*2</f>
        <v>0.104</v>
      </c>
      <c r="M8" s="58">
        <f>0.049*2</f>
        <v>9.8000000000000004E-2</v>
      </c>
      <c r="N8" s="60">
        <f>0.048*2</f>
        <v>9.6000000000000002E-2</v>
      </c>
      <c r="O8" s="59">
        <f>0.039*2</f>
        <v>7.8E-2</v>
      </c>
      <c r="P8" s="58">
        <f>0.038*2</f>
        <v>7.5999999999999998E-2</v>
      </c>
      <c r="Q8" s="60">
        <f>0.038*2</f>
        <v>7.5999999999999998E-2</v>
      </c>
      <c r="R8" s="59">
        <f>0.039*2</f>
        <v>7.8E-2</v>
      </c>
      <c r="S8" s="58">
        <f>0.04*2</f>
        <v>0.08</v>
      </c>
      <c r="T8" s="60">
        <f>0.041*2</f>
        <v>8.2000000000000003E-2</v>
      </c>
      <c r="U8" s="59">
        <f>0.031*2</f>
        <v>6.2E-2</v>
      </c>
      <c r="V8" s="58">
        <f>0.03*2</f>
        <v>0.06</v>
      </c>
      <c r="W8" s="60">
        <f>0.031*2</f>
        <v>6.2E-2</v>
      </c>
      <c r="X8" s="59">
        <f>0.032*2</f>
        <v>6.4000000000000001E-2</v>
      </c>
      <c r="Y8" s="58">
        <f>0.031*2</f>
        <v>6.2E-2</v>
      </c>
      <c r="Z8" s="58">
        <f>0.031*2</f>
        <v>6.2E-2</v>
      </c>
    </row>
    <row r="9" spans="2:26" ht="16" thickBot="1">
      <c r="B9" s="108">
        <v>8</v>
      </c>
      <c r="C9" s="114">
        <f>0.655*2</f>
        <v>1.31</v>
      </c>
      <c r="D9" s="113">
        <f>0.637*2</f>
        <v>1.274</v>
      </c>
      <c r="E9" s="115">
        <f>0.675*2</f>
        <v>1.35</v>
      </c>
      <c r="F9" s="113">
        <f>1.033*2</f>
        <v>2.0659999999999998</v>
      </c>
      <c r="G9" s="113">
        <f>1.028*2</f>
        <v>2.056</v>
      </c>
      <c r="H9" s="113">
        <f>1.112*2</f>
        <v>2.2240000000000002</v>
      </c>
      <c r="I9" s="114">
        <f>0.634*2</f>
        <v>1.268</v>
      </c>
      <c r="J9" s="113">
        <f>0.621*2</f>
        <v>1.242</v>
      </c>
      <c r="K9" s="115">
        <f>0.562*2</f>
        <v>1.1240000000000001</v>
      </c>
      <c r="L9" s="114">
        <f>1.004*2</f>
        <v>2.008</v>
      </c>
      <c r="M9" s="113">
        <f>0.997*2</f>
        <v>1.994</v>
      </c>
      <c r="N9" s="115">
        <f>1.024*2</f>
        <v>2.048</v>
      </c>
      <c r="O9" s="114">
        <f>0.476*2</f>
        <v>0.95199999999999996</v>
      </c>
      <c r="P9" s="113">
        <f>0.461*2</f>
        <v>0.92200000000000004</v>
      </c>
      <c r="Q9" s="115">
        <f>0.48*2</f>
        <v>0.96</v>
      </c>
      <c r="R9" s="114">
        <f>0.779*2</f>
        <v>1.5580000000000001</v>
      </c>
      <c r="S9" s="113">
        <f>0.833*2</f>
        <v>1.6659999999999999</v>
      </c>
      <c r="T9" s="115">
        <f>0.835*2</f>
        <v>1.67</v>
      </c>
      <c r="U9" s="114">
        <f>0.179*2</f>
        <v>0.35799999999999998</v>
      </c>
      <c r="V9" s="113">
        <f>0.172*2</f>
        <v>0.34399999999999997</v>
      </c>
      <c r="W9" s="115">
        <f>0.177*2</f>
        <v>0.35399999999999998</v>
      </c>
      <c r="X9" s="114">
        <f>0.509*2</f>
        <v>1.018</v>
      </c>
      <c r="Y9" s="113">
        <f>0.495*2</f>
        <v>0.99</v>
      </c>
      <c r="Z9" s="113">
        <f>0.499*2</f>
        <v>0.998</v>
      </c>
    </row>
    <row r="10" spans="2:26">
      <c r="B10" s="14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2:26" ht="16" thickBot="1">
      <c r="B11" s="1" t="s">
        <v>62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2:26" ht="21.5" customHeight="1">
      <c r="B12" s="262" t="s">
        <v>39</v>
      </c>
      <c r="C12" s="279" t="s">
        <v>213</v>
      </c>
      <c r="D12" s="269" t="s">
        <v>214</v>
      </c>
      <c r="E12" s="271"/>
      <c r="F12" s="106" t="s">
        <v>41</v>
      </c>
      <c r="G12" s="279" t="s">
        <v>56</v>
      </c>
      <c r="H12" s="262" t="s">
        <v>215</v>
      </c>
      <c r="I12" s="279" t="s">
        <v>216</v>
      </c>
      <c r="J12" s="262" t="s">
        <v>37</v>
      </c>
      <c r="K12" s="279" t="s">
        <v>50</v>
      </c>
      <c r="L12" s="279" t="s">
        <v>38</v>
      </c>
      <c r="M12" s="262" t="s">
        <v>217</v>
      </c>
      <c r="N12" s="28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2:26" ht="22.25" customHeight="1">
      <c r="B13" s="263"/>
      <c r="C13" s="280"/>
      <c r="D13" s="91" t="s">
        <v>32</v>
      </c>
      <c r="E13" s="128" t="s">
        <v>52</v>
      </c>
      <c r="F13" s="13" t="s">
        <v>42</v>
      </c>
      <c r="G13" s="280"/>
      <c r="H13" s="263"/>
      <c r="I13" s="280"/>
      <c r="J13" s="263"/>
      <c r="K13" s="280"/>
      <c r="L13" s="280"/>
      <c r="M13" s="263"/>
      <c r="N13" s="28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2:26">
      <c r="B14" s="1"/>
      <c r="C14" s="123">
        <v>1.31</v>
      </c>
      <c r="D14" s="224">
        <v>0.78778625954198467</v>
      </c>
      <c r="E14" s="129">
        <v>2.2122137404580151</v>
      </c>
      <c r="F14" s="228">
        <v>10.199999999999999</v>
      </c>
      <c r="G14" s="232">
        <v>50</v>
      </c>
      <c r="H14" s="118">
        <v>2.15</v>
      </c>
      <c r="I14" s="133">
        <v>0.67</v>
      </c>
      <c r="J14" s="117">
        <v>26.19</v>
      </c>
      <c r="K14" s="137">
        <v>93.224999999999994</v>
      </c>
      <c r="L14" s="137">
        <v>1865</v>
      </c>
      <c r="M14" s="116">
        <v>5420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2:26">
      <c r="B15" s="1" t="s">
        <v>218</v>
      </c>
      <c r="C15" s="123">
        <v>1.274</v>
      </c>
      <c r="D15" s="224">
        <v>0.81004709576138145</v>
      </c>
      <c r="E15" s="129">
        <v>2.1899529042386185</v>
      </c>
      <c r="F15" s="228">
        <v>9.5</v>
      </c>
      <c r="G15" s="232">
        <v>50</v>
      </c>
      <c r="H15" s="118">
        <v>2.1</v>
      </c>
      <c r="I15" s="133">
        <v>0.38</v>
      </c>
      <c r="J15" s="117">
        <v>25</v>
      </c>
      <c r="K15" s="137">
        <v>220</v>
      </c>
      <c r="L15" s="137">
        <v>4395</v>
      </c>
      <c r="M15" s="116">
        <v>12775</v>
      </c>
      <c r="N15" s="28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2:26">
      <c r="B16" s="1"/>
      <c r="C16" s="123">
        <v>1.35</v>
      </c>
      <c r="D16" s="224">
        <v>0.76444444444444437</v>
      </c>
      <c r="E16" s="129">
        <v>2.2355555555555555</v>
      </c>
      <c r="F16" s="228">
        <v>11.3</v>
      </c>
      <c r="G16" s="232">
        <v>50</v>
      </c>
      <c r="H16" s="118">
        <v>2.16</v>
      </c>
      <c r="I16" s="133">
        <v>0.67</v>
      </c>
      <c r="J16" s="117">
        <v>25.6</v>
      </c>
      <c r="K16" s="137">
        <v>146.5</v>
      </c>
      <c r="L16" s="137">
        <v>2927.5</v>
      </c>
      <c r="M16" s="116">
        <v>8517.5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2:26">
      <c r="B17" s="121"/>
      <c r="C17" s="124">
        <v>2.0659999999999998</v>
      </c>
      <c r="D17" s="225">
        <v>0.49951597289448213</v>
      </c>
      <c r="E17" s="130">
        <v>2.500484027105518</v>
      </c>
      <c r="F17" s="229">
        <v>9.3000000000000007</v>
      </c>
      <c r="G17" s="233">
        <v>50</v>
      </c>
      <c r="H17" s="50">
        <v>2.13</v>
      </c>
      <c r="I17" s="134">
        <v>0.35</v>
      </c>
      <c r="J17" s="51">
        <v>27</v>
      </c>
      <c r="K17" s="138">
        <v>52.324999999999996</v>
      </c>
      <c r="L17" s="138">
        <v>1046.25</v>
      </c>
      <c r="M17" s="52">
        <v>3040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2:26">
      <c r="B18" s="1" t="s">
        <v>33</v>
      </c>
      <c r="C18" s="123">
        <v>2.056</v>
      </c>
      <c r="D18" s="224">
        <v>0.50194552529182879</v>
      </c>
      <c r="E18" s="129">
        <v>2.4980544747081699</v>
      </c>
      <c r="F18" s="228">
        <v>9.1999999999999993</v>
      </c>
      <c r="G18" s="232">
        <v>50</v>
      </c>
      <c r="H18" s="118">
        <v>2.29</v>
      </c>
      <c r="I18" s="133">
        <v>0.27</v>
      </c>
      <c r="J18" s="117">
        <v>25.7</v>
      </c>
      <c r="K18" s="137">
        <v>136.75</v>
      </c>
      <c r="L18" s="137">
        <v>2727.5</v>
      </c>
      <c r="M18" s="116">
        <v>7930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2:26">
      <c r="B19" s="122"/>
      <c r="C19" s="125">
        <v>2.2240000000000002</v>
      </c>
      <c r="D19" s="226">
        <v>0.46402877697841721</v>
      </c>
      <c r="E19" s="131">
        <v>2.535971223021583</v>
      </c>
      <c r="F19" s="230">
        <v>14.2</v>
      </c>
      <c r="G19" s="127">
        <v>50</v>
      </c>
      <c r="H19" s="53">
        <v>2.12</v>
      </c>
      <c r="I19" s="135">
        <v>2.02</v>
      </c>
      <c r="J19" s="54">
        <v>26.6</v>
      </c>
      <c r="K19" s="139">
        <v>67.575000000000003</v>
      </c>
      <c r="L19" s="139">
        <v>1352.5</v>
      </c>
      <c r="M19" s="55">
        <v>3927.5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2:26">
      <c r="B20" s="1"/>
      <c r="C20" s="123">
        <v>1.268</v>
      </c>
      <c r="D20" s="224">
        <v>0.81388012618296535</v>
      </c>
      <c r="E20" s="129">
        <v>2.1861198738170344</v>
      </c>
      <c r="F20" s="228">
        <v>24.4</v>
      </c>
      <c r="G20" s="232">
        <v>50</v>
      </c>
      <c r="H20" s="118">
        <v>2.12</v>
      </c>
      <c r="I20" s="133">
        <v>0.86</v>
      </c>
      <c r="J20" s="117">
        <v>26.8</v>
      </c>
      <c r="K20" s="137">
        <v>59.899999999999991</v>
      </c>
      <c r="L20" s="137">
        <v>1198</v>
      </c>
      <c r="M20" s="116">
        <v>3482.5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2:26">
      <c r="B21" s="1" t="s">
        <v>124</v>
      </c>
      <c r="C21" s="123">
        <v>1.242</v>
      </c>
      <c r="D21" s="224">
        <v>0.83091787439613529</v>
      </c>
      <c r="E21" s="129">
        <v>2.1690821256038646</v>
      </c>
      <c r="F21" s="228">
        <v>22.4</v>
      </c>
      <c r="G21" s="232">
        <v>50</v>
      </c>
      <c r="H21" s="118">
        <v>2.0699999999999998</v>
      </c>
      <c r="I21" s="133">
        <v>1.81</v>
      </c>
      <c r="J21" s="117">
        <v>24</v>
      </c>
      <c r="K21" s="137">
        <v>435</v>
      </c>
      <c r="L21" s="137">
        <v>8700</v>
      </c>
      <c r="M21" s="116">
        <v>25300</v>
      </c>
      <c r="N21" s="28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2:26">
      <c r="B22" s="1"/>
      <c r="C22" s="123">
        <v>1.1240000000000001</v>
      </c>
      <c r="D22" s="224">
        <v>0.91814946619217075</v>
      </c>
      <c r="E22" s="129">
        <v>2.0818505338078293</v>
      </c>
      <c r="F22" s="228">
        <v>32.1</v>
      </c>
      <c r="G22" s="232">
        <v>50</v>
      </c>
      <c r="H22" s="118">
        <v>2.11</v>
      </c>
      <c r="I22" s="133">
        <v>2.2200000000000002</v>
      </c>
      <c r="J22" s="117">
        <v>23.6</v>
      </c>
      <c r="K22" s="137">
        <v>595.25</v>
      </c>
      <c r="L22" s="137">
        <v>11900</v>
      </c>
      <c r="M22" s="116">
        <v>34625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2:26">
      <c r="B23" s="121"/>
      <c r="C23" s="124">
        <v>2.008</v>
      </c>
      <c r="D23" s="225">
        <v>0.51394422310756971</v>
      </c>
      <c r="E23" s="130">
        <v>2.4860557768924303</v>
      </c>
      <c r="F23" s="229">
        <v>22.2</v>
      </c>
      <c r="G23" s="233">
        <v>50</v>
      </c>
      <c r="H23" s="50">
        <v>2.11</v>
      </c>
      <c r="I23" s="134">
        <v>0.52</v>
      </c>
      <c r="J23" s="51">
        <v>27.1</v>
      </c>
      <c r="K23" s="138">
        <v>48.050000000000004</v>
      </c>
      <c r="L23" s="138">
        <v>961.75</v>
      </c>
      <c r="M23" s="52">
        <v>2795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2:26">
      <c r="B24" s="1" t="s">
        <v>34</v>
      </c>
      <c r="C24" s="123">
        <v>1.994</v>
      </c>
      <c r="D24" s="224">
        <v>0.5175526579739218</v>
      </c>
      <c r="E24" s="129">
        <v>2.4824473420260782</v>
      </c>
      <c r="F24" s="228">
        <v>23.8</v>
      </c>
      <c r="G24" s="232">
        <v>50</v>
      </c>
      <c r="H24" s="118">
        <v>2.13</v>
      </c>
      <c r="I24" s="133">
        <v>1.89</v>
      </c>
      <c r="J24" s="117">
        <v>27.7</v>
      </c>
      <c r="K24" s="137">
        <v>31.174999999999997</v>
      </c>
      <c r="L24" s="137">
        <v>623.75</v>
      </c>
      <c r="M24" s="116">
        <v>1812.5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2:26">
      <c r="B25" s="122"/>
      <c r="C25" s="125">
        <v>2.048</v>
      </c>
      <c r="D25" s="226">
        <v>0.50390625</v>
      </c>
      <c r="E25" s="131">
        <v>2.49609375</v>
      </c>
      <c r="F25" s="230">
        <v>24</v>
      </c>
      <c r="G25" s="127">
        <v>50</v>
      </c>
      <c r="H25" s="53">
        <v>2.09</v>
      </c>
      <c r="I25" s="135">
        <v>1.76</v>
      </c>
      <c r="J25" s="54">
        <v>27.5</v>
      </c>
      <c r="K25" s="139">
        <v>35.875</v>
      </c>
      <c r="L25" s="139">
        <v>717.25</v>
      </c>
      <c r="M25" s="55">
        <v>2085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2:26">
      <c r="B26" s="1"/>
      <c r="C26" s="123">
        <v>0.95199999999999996</v>
      </c>
      <c r="D26" s="224">
        <v>1.0840336134453783</v>
      </c>
      <c r="E26" s="129">
        <v>1.9159663865546217</v>
      </c>
      <c r="F26" s="228">
        <v>24</v>
      </c>
      <c r="G26" s="232">
        <v>50</v>
      </c>
      <c r="H26" s="118">
        <v>2.14</v>
      </c>
      <c r="I26" s="133">
        <v>0.28000000000000003</v>
      </c>
      <c r="J26" s="2">
        <v>24.2</v>
      </c>
      <c r="K26" s="137">
        <v>385.5</v>
      </c>
      <c r="L26" s="137">
        <v>7707.5</v>
      </c>
      <c r="M26" s="116">
        <v>22425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2:26">
      <c r="B27" s="1" t="s">
        <v>125</v>
      </c>
      <c r="C27" s="123">
        <v>0.92200000000000004</v>
      </c>
      <c r="D27" s="224">
        <v>1.1193058568329717</v>
      </c>
      <c r="E27" s="129">
        <v>1.8806941431670283</v>
      </c>
      <c r="F27" s="228">
        <v>44.3</v>
      </c>
      <c r="G27" s="232">
        <v>50</v>
      </c>
      <c r="H27" s="118">
        <v>1.8</v>
      </c>
      <c r="I27" s="133">
        <v>0.86</v>
      </c>
      <c r="J27" s="2">
        <v>23.1</v>
      </c>
      <c r="K27" s="137">
        <v>877.25</v>
      </c>
      <c r="L27" s="137">
        <v>17550</v>
      </c>
      <c r="M27" s="116">
        <v>51000</v>
      </c>
      <c r="N27" s="28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2:26">
      <c r="B28" s="1"/>
      <c r="C28" s="123">
        <v>0.96</v>
      </c>
      <c r="D28" s="224">
        <v>1.0750000000000002</v>
      </c>
      <c r="E28" s="129">
        <v>1.9249999999999998</v>
      </c>
      <c r="F28" s="228">
        <v>20.8</v>
      </c>
      <c r="G28" s="232">
        <v>50</v>
      </c>
      <c r="H28" s="118">
        <v>2.08</v>
      </c>
      <c r="I28" s="133">
        <v>1.33</v>
      </c>
      <c r="J28" s="2">
        <v>26.2</v>
      </c>
      <c r="K28" s="137">
        <v>93.75</v>
      </c>
      <c r="L28" s="137">
        <v>1872.5</v>
      </c>
      <c r="M28" s="116">
        <v>5447.5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2:26">
      <c r="B29" s="121"/>
      <c r="C29" s="124">
        <v>1.5580000000000001</v>
      </c>
      <c r="D29" s="225">
        <v>0.66238767650834407</v>
      </c>
      <c r="E29" s="130">
        <v>2.3376123234916557</v>
      </c>
      <c r="F29" s="229">
        <v>22.3</v>
      </c>
      <c r="G29" s="233">
        <v>50</v>
      </c>
      <c r="H29" s="50">
        <v>2.13</v>
      </c>
      <c r="I29" s="134">
        <v>1.1000000000000001</v>
      </c>
      <c r="J29" s="56">
        <v>29.4</v>
      </c>
      <c r="K29" s="138">
        <v>8.9924999999999997</v>
      </c>
      <c r="L29" s="138">
        <v>180.25</v>
      </c>
      <c r="M29" s="52">
        <v>523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2:26">
      <c r="B30" s="1" t="s">
        <v>35</v>
      </c>
      <c r="C30" s="123">
        <v>1.6659999999999999</v>
      </c>
      <c r="D30" s="224">
        <v>0.61944777911164473</v>
      </c>
      <c r="E30" s="129">
        <v>2.3805522208883554</v>
      </c>
      <c r="F30" s="228">
        <v>24.3</v>
      </c>
      <c r="G30" s="232">
        <v>50</v>
      </c>
      <c r="H30" s="118">
        <v>2.13</v>
      </c>
      <c r="I30" s="133">
        <v>1.99</v>
      </c>
      <c r="J30" s="2">
        <v>29.7</v>
      </c>
      <c r="K30" s="137">
        <v>7.2949999999999999</v>
      </c>
      <c r="L30" s="137">
        <v>146</v>
      </c>
      <c r="M30" s="116">
        <v>424.25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2:26">
      <c r="B31" s="122"/>
      <c r="C31" s="125">
        <v>1.67</v>
      </c>
      <c r="D31" s="226">
        <v>0.61796407185628743</v>
      </c>
      <c r="E31" s="131">
        <v>2.3820359281437127</v>
      </c>
      <c r="F31" s="230">
        <v>22.5</v>
      </c>
      <c r="G31" s="127">
        <v>50</v>
      </c>
      <c r="H31" s="53">
        <v>2.09</v>
      </c>
      <c r="I31" s="135">
        <v>1.78</v>
      </c>
      <c r="J31" s="57">
        <v>28.8</v>
      </c>
      <c r="K31" s="139">
        <v>14</v>
      </c>
      <c r="L31" s="139">
        <v>280</v>
      </c>
      <c r="M31" s="55">
        <v>813.25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2:26">
      <c r="B32" s="1"/>
      <c r="C32" s="123">
        <v>0.35799999999999998</v>
      </c>
      <c r="D32" s="224">
        <v>2.8826815642458103</v>
      </c>
      <c r="E32" s="129">
        <v>0.11731843575418965</v>
      </c>
      <c r="F32" s="228">
        <v>77.8</v>
      </c>
      <c r="G32" s="232">
        <v>50</v>
      </c>
      <c r="H32" s="118">
        <v>1.8</v>
      </c>
      <c r="I32" s="133">
        <v>0.56999999999999995</v>
      </c>
      <c r="J32" s="2">
        <v>22.2</v>
      </c>
      <c r="K32" s="137">
        <v>1622.5</v>
      </c>
      <c r="L32" s="137">
        <v>32475</v>
      </c>
      <c r="M32" s="116">
        <v>94275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2:26">
      <c r="B33" s="1" t="s">
        <v>126</v>
      </c>
      <c r="C33" s="123">
        <v>0.34399999999999997</v>
      </c>
      <c r="D33" s="224">
        <v>3.0000000000000004</v>
      </c>
      <c r="E33" s="129">
        <v>0</v>
      </c>
      <c r="F33" s="228">
        <v>50.3</v>
      </c>
      <c r="G33" s="232">
        <v>50</v>
      </c>
      <c r="H33" s="118">
        <v>1.93</v>
      </c>
      <c r="I33" s="133">
        <v>1.17</v>
      </c>
      <c r="J33" s="2">
        <v>22.3</v>
      </c>
      <c r="K33" s="137">
        <v>1537.5</v>
      </c>
      <c r="L33" s="137">
        <v>30725</v>
      </c>
      <c r="M33" s="116">
        <v>89325</v>
      </c>
      <c r="N33" s="28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2:26">
      <c r="B34" s="1"/>
      <c r="C34" s="123">
        <v>0.35399999999999998</v>
      </c>
      <c r="D34" s="224">
        <v>2.9152542372881358</v>
      </c>
      <c r="E34" s="129">
        <v>8.4745762711864181E-2</v>
      </c>
      <c r="F34" s="228">
        <v>97.9</v>
      </c>
      <c r="G34" s="232">
        <v>50</v>
      </c>
      <c r="H34" s="118">
        <v>1.71</v>
      </c>
      <c r="I34" s="133">
        <v>0.81</v>
      </c>
      <c r="J34" s="2">
        <v>21.8</v>
      </c>
      <c r="K34" s="137">
        <v>2187.5</v>
      </c>
      <c r="L34" s="137">
        <v>43725</v>
      </c>
      <c r="M34" s="116">
        <v>127000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2:26">
      <c r="B35" s="121"/>
      <c r="C35" s="124">
        <v>1.018</v>
      </c>
      <c r="D35" s="225">
        <v>1.0137524557956779</v>
      </c>
      <c r="E35" s="130">
        <v>1.9862475442043221</v>
      </c>
      <c r="F35" s="229">
        <v>19.100000000000001</v>
      </c>
      <c r="G35" s="233">
        <v>50</v>
      </c>
      <c r="H35" s="50">
        <v>2.13</v>
      </c>
      <c r="I35" s="134">
        <v>0.72</v>
      </c>
      <c r="J35" s="56">
        <v>28.1</v>
      </c>
      <c r="K35" s="138">
        <v>23.974999999999998</v>
      </c>
      <c r="L35" s="138">
        <v>479.25</v>
      </c>
      <c r="M35" s="52">
        <v>1392.5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2:26">
      <c r="B36" s="1" t="s">
        <v>36</v>
      </c>
      <c r="C36" s="123">
        <v>0.99</v>
      </c>
      <c r="D36" s="224">
        <v>1.0424242424242425</v>
      </c>
      <c r="E36" s="129">
        <v>1.9575757575757575</v>
      </c>
      <c r="F36" s="228">
        <v>25.3</v>
      </c>
      <c r="G36" s="232">
        <v>50</v>
      </c>
      <c r="H36" s="118">
        <v>2.12</v>
      </c>
      <c r="I36" s="133">
        <v>2.0499999999999998</v>
      </c>
      <c r="J36" s="2">
        <v>28.9</v>
      </c>
      <c r="K36" s="137">
        <v>12.875</v>
      </c>
      <c r="L36" s="137">
        <v>257.75</v>
      </c>
      <c r="M36" s="116">
        <v>749.5</v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2:26" ht="16" thickBot="1">
      <c r="B37" s="256"/>
      <c r="C37" s="126">
        <v>0.998</v>
      </c>
      <c r="D37" s="227">
        <v>1.034068136272545</v>
      </c>
      <c r="E37" s="132">
        <v>1.965931863727455</v>
      </c>
      <c r="F37" s="231">
        <v>22.2</v>
      </c>
      <c r="G37" s="234">
        <v>50</v>
      </c>
      <c r="H37" s="119">
        <v>2.11</v>
      </c>
      <c r="I37" s="136">
        <v>0.53</v>
      </c>
      <c r="J37" s="15">
        <v>29.1</v>
      </c>
      <c r="K37" s="140">
        <v>11.41</v>
      </c>
      <c r="L37" s="140">
        <v>228</v>
      </c>
      <c r="M37" s="120">
        <v>662.5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</sheetData>
  <mergeCells count="20">
    <mergeCell ref="L12:L13"/>
    <mergeCell ref="R6:T6"/>
    <mergeCell ref="U6:W6"/>
    <mergeCell ref="X6:Z6"/>
    <mergeCell ref="D12:E12"/>
    <mergeCell ref="I12:I13"/>
    <mergeCell ref="O6:Q6"/>
    <mergeCell ref="J12:J13"/>
    <mergeCell ref="K12:K13"/>
    <mergeCell ref="M12:M13"/>
    <mergeCell ref="N12:N13"/>
    <mergeCell ref="I6:K6"/>
    <mergeCell ref="L6:N6"/>
    <mergeCell ref="C12:C13"/>
    <mergeCell ref="B12:B13"/>
    <mergeCell ref="H12:H13"/>
    <mergeCell ref="B6:B7"/>
    <mergeCell ref="C6:E6"/>
    <mergeCell ref="F6:H6"/>
    <mergeCell ref="G12:G13"/>
  </mergeCells>
  <phoneticPr fontId="2" type="noConversion"/>
  <pageMargins left="0.7" right="0.7" top="0.75" bottom="0.75" header="0.3" footer="0.3"/>
  <pageSetup paperSize="9" orientation="portrait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0AE76-2E8C-462E-B4F2-DCB49A7631A1}">
  <dimension ref="B2:Z24"/>
  <sheetViews>
    <sheetView workbookViewId="0">
      <selection activeCell="L38" sqref="L38"/>
    </sheetView>
  </sheetViews>
  <sheetFormatPr baseColWidth="10" defaultColWidth="9" defaultRowHeight="14"/>
  <cols>
    <col min="1" max="1" width="3.1640625" style="1" customWidth="1"/>
    <col min="2" max="2" width="9.1640625" style="1" bestFit="1" customWidth="1"/>
    <col min="3" max="4" width="11.33203125" style="1" customWidth="1"/>
    <col min="5" max="5" width="11.1640625" style="1" customWidth="1"/>
    <col min="6" max="6" width="12" style="1" customWidth="1"/>
    <col min="7" max="10" width="11.1640625" style="1" customWidth="1"/>
    <col min="11" max="11" width="10.33203125" style="1" customWidth="1"/>
    <col min="12" max="12" width="9.6640625" style="1" customWidth="1"/>
    <col min="13" max="13" width="11.33203125" style="1" customWidth="1"/>
    <col min="14" max="14" width="11.6640625" style="1" customWidth="1"/>
    <col min="15" max="15" width="10.6640625" style="1" customWidth="1"/>
    <col min="16" max="16" width="11.1640625" style="1" customWidth="1"/>
    <col min="17" max="18" width="11.33203125" style="1" customWidth="1"/>
    <col min="19" max="19" width="10.33203125" style="1" customWidth="1"/>
    <col min="20" max="20" width="11.1640625" style="1" customWidth="1"/>
    <col min="21" max="21" width="10.83203125" style="1" customWidth="1"/>
    <col min="22" max="22" width="11" style="1" customWidth="1"/>
    <col min="23" max="23" width="11.33203125" style="1" customWidth="1"/>
    <col min="24" max="24" width="10.1640625" style="1" customWidth="1"/>
    <col min="25" max="26" width="10.6640625" style="1" customWidth="1"/>
    <col min="27" max="16384" width="9" style="1"/>
  </cols>
  <sheetData>
    <row r="2" spans="2:26">
      <c r="B2" s="29" t="s">
        <v>229</v>
      </c>
    </row>
    <row r="3" spans="2:26">
      <c r="B3" s="29"/>
    </row>
    <row r="4" spans="2:26">
      <c r="B4" s="29" t="s">
        <v>168</v>
      </c>
    </row>
    <row r="5" spans="2:26" ht="15" thickBot="1">
      <c r="B5" s="29"/>
      <c r="C5" s="1" t="s">
        <v>230</v>
      </c>
    </row>
    <row r="6" spans="2:26">
      <c r="B6" s="141" t="s">
        <v>182</v>
      </c>
      <c r="C6" s="282" t="s">
        <v>69</v>
      </c>
      <c r="D6" s="283"/>
      <c r="E6" s="283"/>
      <c r="F6" s="283"/>
      <c r="G6" s="283"/>
      <c r="H6" s="283"/>
      <c r="I6" s="283"/>
      <c r="J6" s="284"/>
      <c r="K6" s="283" t="s">
        <v>93</v>
      </c>
      <c r="L6" s="283"/>
      <c r="M6" s="283"/>
      <c r="N6" s="283"/>
      <c r="O6" s="283"/>
      <c r="P6" s="283"/>
      <c r="Q6" s="283"/>
      <c r="R6" s="283"/>
    </row>
    <row r="7" spans="2:26">
      <c r="B7" s="24">
        <v>0</v>
      </c>
      <c r="C7" s="77">
        <v>38600000</v>
      </c>
      <c r="D7" s="143">
        <v>36800000</v>
      </c>
      <c r="E7" s="143">
        <v>24500000</v>
      </c>
      <c r="F7" s="143">
        <v>22300000</v>
      </c>
      <c r="G7" s="143">
        <v>33200000</v>
      </c>
      <c r="H7" s="143">
        <v>27900000</v>
      </c>
      <c r="I7" s="143">
        <v>33300000</v>
      </c>
      <c r="J7" s="75">
        <v>35400000</v>
      </c>
      <c r="K7" s="143">
        <v>35100000</v>
      </c>
      <c r="L7" s="143">
        <v>29600000</v>
      </c>
      <c r="M7" s="143">
        <v>27700000</v>
      </c>
      <c r="N7" s="143">
        <v>30000000</v>
      </c>
      <c r="O7" s="143">
        <v>34400000</v>
      </c>
      <c r="P7" s="143">
        <v>30300000</v>
      </c>
      <c r="Q7" s="143">
        <v>33700000</v>
      </c>
      <c r="R7" s="143">
        <v>32300000</v>
      </c>
    </row>
    <row r="8" spans="2:26">
      <c r="B8" s="24">
        <v>2</v>
      </c>
      <c r="C8" s="77">
        <v>106000000</v>
      </c>
      <c r="D8" s="143">
        <v>103000000</v>
      </c>
      <c r="E8" s="143">
        <v>100000000</v>
      </c>
      <c r="F8" s="143">
        <v>102000000</v>
      </c>
      <c r="G8" s="143">
        <v>101000000</v>
      </c>
      <c r="H8" s="143">
        <v>102000000</v>
      </c>
      <c r="I8" s="143">
        <v>103000000</v>
      </c>
      <c r="J8" s="75">
        <v>113000000</v>
      </c>
      <c r="K8" s="143">
        <v>161000000</v>
      </c>
      <c r="L8" s="143">
        <v>164000000</v>
      </c>
      <c r="M8" s="143">
        <v>151000000</v>
      </c>
      <c r="N8" s="143">
        <v>168000000</v>
      </c>
      <c r="O8" s="143">
        <v>155000000</v>
      </c>
      <c r="P8" s="143">
        <v>152000000</v>
      </c>
      <c r="Q8" s="143">
        <v>150000000</v>
      </c>
      <c r="R8" s="143">
        <v>159000000</v>
      </c>
    </row>
    <row r="9" spans="2:26">
      <c r="B9" s="24">
        <v>4</v>
      </c>
      <c r="C9" s="77">
        <v>173000000</v>
      </c>
      <c r="D9" s="143">
        <v>171000000</v>
      </c>
      <c r="E9" s="143">
        <v>172000000</v>
      </c>
      <c r="F9" s="143">
        <v>185000000</v>
      </c>
      <c r="G9" s="143">
        <v>191000000</v>
      </c>
      <c r="H9" s="143">
        <v>180000000</v>
      </c>
      <c r="I9" s="143">
        <v>187000000</v>
      </c>
      <c r="J9" s="75">
        <v>172000000</v>
      </c>
      <c r="K9" s="143">
        <v>263000000</v>
      </c>
      <c r="L9" s="143">
        <v>275000000</v>
      </c>
      <c r="M9" s="143">
        <v>259000000</v>
      </c>
      <c r="N9" s="143">
        <v>258000000</v>
      </c>
      <c r="O9" s="143">
        <v>223000000</v>
      </c>
      <c r="P9" s="143">
        <v>260000000</v>
      </c>
      <c r="Q9" s="143">
        <v>242000000</v>
      </c>
      <c r="R9" s="143">
        <v>220000000</v>
      </c>
    </row>
    <row r="10" spans="2:26">
      <c r="B10" s="24">
        <v>6</v>
      </c>
      <c r="C10" s="77">
        <v>548000000</v>
      </c>
      <c r="D10" s="143">
        <v>508000000</v>
      </c>
      <c r="E10" s="143">
        <v>515000000</v>
      </c>
      <c r="F10" s="143">
        <v>682000000</v>
      </c>
      <c r="G10" s="143">
        <v>644000000</v>
      </c>
      <c r="H10" s="143">
        <v>562000000</v>
      </c>
      <c r="I10" s="143">
        <v>540000000</v>
      </c>
      <c r="J10" s="75">
        <v>533000000</v>
      </c>
      <c r="K10" s="143">
        <v>755000000</v>
      </c>
      <c r="L10" s="143">
        <v>740000000</v>
      </c>
      <c r="M10" s="143">
        <v>742000000</v>
      </c>
      <c r="N10" s="143">
        <v>755000000</v>
      </c>
      <c r="O10" s="143">
        <v>703000000</v>
      </c>
      <c r="P10" s="143">
        <v>726000000</v>
      </c>
      <c r="Q10" s="143">
        <v>744000000</v>
      </c>
      <c r="R10" s="143">
        <v>724000000</v>
      </c>
    </row>
    <row r="11" spans="2:26">
      <c r="B11" s="24">
        <v>8</v>
      </c>
      <c r="C11" s="77">
        <v>633000000</v>
      </c>
      <c r="D11" s="143">
        <v>592000000</v>
      </c>
      <c r="E11" s="143">
        <v>614000000</v>
      </c>
      <c r="F11" s="143">
        <v>620000000</v>
      </c>
      <c r="G11" s="143">
        <v>667000000</v>
      </c>
      <c r="H11" s="143">
        <v>708000000</v>
      </c>
      <c r="I11" s="143">
        <v>638000000</v>
      </c>
      <c r="J11" s="75">
        <v>683000000</v>
      </c>
      <c r="K11" s="143">
        <v>902000000</v>
      </c>
      <c r="L11" s="143">
        <v>895000000</v>
      </c>
      <c r="M11" s="143">
        <v>887000000</v>
      </c>
      <c r="N11" s="143">
        <v>918000000</v>
      </c>
      <c r="O11" s="143">
        <v>773000000</v>
      </c>
      <c r="P11" s="143">
        <v>924000000</v>
      </c>
      <c r="Q11" s="143">
        <v>919000000</v>
      </c>
      <c r="R11" s="143">
        <v>960000000</v>
      </c>
    </row>
    <row r="12" spans="2:26">
      <c r="B12" s="24">
        <v>10</v>
      </c>
      <c r="C12" s="77">
        <v>915000000</v>
      </c>
      <c r="D12" s="143">
        <v>891000000</v>
      </c>
      <c r="E12" s="143">
        <v>841000000</v>
      </c>
      <c r="F12" s="143">
        <v>837000000</v>
      </c>
      <c r="G12" s="143">
        <v>822000000</v>
      </c>
      <c r="H12" s="143">
        <v>782000000</v>
      </c>
      <c r="I12" s="143">
        <v>834000000</v>
      </c>
      <c r="J12" s="75">
        <v>891000000</v>
      </c>
      <c r="K12" s="143">
        <v>1000000000</v>
      </c>
      <c r="L12" s="143">
        <v>979000000</v>
      </c>
      <c r="M12" s="143">
        <v>957000000</v>
      </c>
      <c r="N12" s="143">
        <v>967000000</v>
      </c>
      <c r="O12" s="143">
        <v>994000000</v>
      </c>
      <c r="P12" s="143">
        <v>974000000</v>
      </c>
      <c r="Q12" s="143">
        <v>1020000000</v>
      </c>
      <c r="R12" s="143">
        <v>1010000000</v>
      </c>
    </row>
    <row r="13" spans="2:26" ht="15" thickBot="1">
      <c r="B13" s="30">
        <v>12</v>
      </c>
      <c r="C13" s="78">
        <v>515000000</v>
      </c>
      <c r="D13" s="33">
        <v>481000000</v>
      </c>
      <c r="E13" s="33">
        <v>426000000</v>
      </c>
      <c r="F13" s="33">
        <v>430000000</v>
      </c>
      <c r="G13" s="33">
        <v>500000000</v>
      </c>
      <c r="H13" s="33">
        <v>509000000</v>
      </c>
      <c r="I13" s="33">
        <v>500000000</v>
      </c>
      <c r="J13" s="76">
        <v>531000000</v>
      </c>
      <c r="K13" s="33">
        <v>551000000</v>
      </c>
      <c r="L13" s="33">
        <v>564000000</v>
      </c>
      <c r="M13" s="33">
        <v>564000000</v>
      </c>
      <c r="N13" s="33">
        <v>570000000</v>
      </c>
      <c r="O13" s="33">
        <v>614000000</v>
      </c>
      <c r="P13" s="33">
        <v>612000000</v>
      </c>
      <c r="Q13" s="33">
        <v>598000000</v>
      </c>
      <c r="R13" s="33">
        <v>600000000</v>
      </c>
    </row>
    <row r="14" spans="2:26" ht="6" customHeight="1"/>
    <row r="15" spans="2:26" ht="15" thickBot="1">
      <c r="B15" s="29" t="s">
        <v>231</v>
      </c>
    </row>
    <row r="16" spans="2:26">
      <c r="B16" s="141" t="s">
        <v>182</v>
      </c>
      <c r="C16" s="282" t="s">
        <v>69</v>
      </c>
      <c r="D16" s="283"/>
      <c r="E16" s="283"/>
      <c r="F16" s="283"/>
      <c r="G16" s="283"/>
      <c r="H16" s="283"/>
      <c r="I16" s="283"/>
      <c r="J16" s="284"/>
      <c r="K16" s="282" t="s">
        <v>93</v>
      </c>
      <c r="L16" s="283"/>
      <c r="M16" s="283"/>
      <c r="N16" s="283"/>
      <c r="O16" s="283"/>
      <c r="P16" s="283"/>
      <c r="Q16" s="283"/>
      <c r="R16" s="284"/>
      <c r="S16" s="283" t="s">
        <v>60</v>
      </c>
      <c r="T16" s="283"/>
      <c r="U16" s="283"/>
      <c r="V16" s="283"/>
      <c r="W16" s="283"/>
      <c r="X16" s="283"/>
      <c r="Y16" s="283"/>
      <c r="Z16" s="283"/>
    </row>
    <row r="17" spans="2:26">
      <c r="B17" s="24">
        <v>0</v>
      </c>
      <c r="C17" s="77">
        <v>3990000000</v>
      </c>
      <c r="D17" s="143">
        <v>4180000000</v>
      </c>
      <c r="E17" s="143">
        <v>4070000000</v>
      </c>
      <c r="F17" s="143">
        <v>4320000000</v>
      </c>
      <c r="G17" s="143">
        <v>3430000000</v>
      </c>
      <c r="H17" s="143">
        <v>3540000000</v>
      </c>
      <c r="I17" s="143">
        <v>3350000000</v>
      </c>
      <c r="J17" s="75">
        <v>3850000000</v>
      </c>
      <c r="K17" s="77">
        <v>2950000000</v>
      </c>
      <c r="L17" s="143">
        <v>2770000000</v>
      </c>
      <c r="M17" s="143">
        <v>2760000000</v>
      </c>
      <c r="N17" s="143">
        <v>3060000000</v>
      </c>
      <c r="O17" s="143">
        <v>2720000000</v>
      </c>
      <c r="P17" s="143">
        <v>2950000000</v>
      </c>
      <c r="Q17" s="143">
        <v>2710000000</v>
      </c>
      <c r="R17" s="75">
        <v>2870000000</v>
      </c>
      <c r="S17" s="143">
        <v>3990000000</v>
      </c>
      <c r="T17" s="143">
        <v>4180000000</v>
      </c>
      <c r="U17" s="143">
        <v>4070000000</v>
      </c>
      <c r="V17" s="143">
        <v>4320000000</v>
      </c>
      <c r="W17" s="143">
        <v>3430000000</v>
      </c>
      <c r="X17" s="143">
        <v>3540000000</v>
      </c>
      <c r="Y17" s="143">
        <v>3350000000</v>
      </c>
      <c r="Z17" s="143">
        <v>3850000000</v>
      </c>
    </row>
    <row r="18" spans="2:26">
      <c r="B18" s="24">
        <v>2</v>
      </c>
      <c r="C18" s="77">
        <v>18300000000</v>
      </c>
      <c r="D18" s="143">
        <v>19700000000</v>
      </c>
      <c r="E18" s="143">
        <v>19300000000</v>
      </c>
      <c r="F18" s="143">
        <v>20900000000</v>
      </c>
      <c r="G18" s="143">
        <v>16300000000</v>
      </c>
      <c r="H18" s="143">
        <v>16700000000</v>
      </c>
      <c r="I18" s="143">
        <v>16400000000</v>
      </c>
      <c r="J18" s="75">
        <v>17800000000</v>
      </c>
      <c r="K18" s="77">
        <v>19400000000</v>
      </c>
      <c r="L18" s="143">
        <v>19100000000</v>
      </c>
      <c r="M18" s="143">
        <v>17100000000</v>
      </c>
      <c r="N18" s="143">
        <v>20100000000</v>
      </c>
      <c r="O18" s="143">
        <v>21100000000</v>
      </c>
      <c r="P18" s="143">
        <v>18400000000</v>
      </c>
      <c r="Q18" s="143">
        <v>21100000000</v>
      </c>
      <c r="R18" s="75">
        <v>21700000000</v>
      </c>
      <c r="S18" s="143">
        <v>21900000000</v>
      </c>
      <c r="T18" s="143">
        <v>21300000000</v>
      </c>
      <c r="U18" s="143">
        <v>20700000000</v>
      </c>
      <c r="V18" s="143">
        <v>21100000000</v>
      </c>
      <c r="W18" s="143">
        <v>22200000000</v>
      </c>
      <c r="X18" s="143">
        <v>22100000000</v>
      </c>
      <c r="Y18" s="143">
        <v>22000000000</v>
      </c>
      <c r="Z18" s="143">
        <v>21600000000</v>
      </c>
    </row>
    <row r="19" spans="2:26">
      <c r="B19" s="24">
        <v>4</v>
      </c>
      <c r="C19" s="77">
        <v>28100000000</v>
      </c>
      <c r="D19" s="143">
        <v>29200000000</v>
      </c>
      <c r="E19" s="143">
        <v>29400000000</v>
      </c>
      <c r="F19" s="143">
        <v>28900000000</v>
      </c>
      <c r="G19" s="143">
        <v>29600000000</v>
      </c>
      <c r="H19" s="143">
        <v>29200000000</v>
      </c>
      <c r="I19" s="143">
        <v>30600000000</v>
      </c>
      <c r="J19" s="75">
        <v>28900000000</v>
      </c>
      <c r="K19" s="77">
        <v>29200000000</v>
      </c>
      <c r="L19" s="143">
        <v>29400000000</v>
      </c>
      <c r="M19" s="143">
        <v>31300000000</v>
      </c>
      <c r="N19" s="143">
        <v>29700000000</v>
      </c>
      <c r="O19" s="143">
        <v>29500000000</v>
      </c>
      <c r="P19" s="143">
        <v>29400000000</v>
      </c>
      <c r="Q19" s="143">
        <v>29700000000</v>
      </c>
      <c r="R19" s="75">
        <v>30400000000</v>
      </c>
      <c r="S19" s="143">
        <v>32500000000</v>
      </c>
      <c r="T19" s="143">
        <v>33900000000</v>
      </c>
      <c r="U19" s="143">
        <v>33900000000</v>
      </c>
      <c r="V19" s="143">
        <v>34700000000</v>
      </c>
      <c r="W19" s="143">
        <v>33200000000</v>
      </c>
      <c r="X19" s="143">
        <v>36500000000</v>
      </c>
      <c r="Y19" s="143">
        <v>35600000000</v>
      </c>
      <c r="Z19" s="143">
        <v>35300000000</v>
      </c>
    </row>
    <row r="20" spans="2:26">
      <c r="B20" s="24">
        <v>6</v>
      </c>
      <c r="C20" s="77">
        <v>45600000000</v>
      </c>
      <c r="D20" s="143">
        <v>48900000000</v>
      </c>
      <c r="E20" s="143">
        <v>46600000000</v>
      </c>
      <c r="F20" s="143">
        <v>47300000000</v>
      </c>
      <c r="G20" s="143">
        <v>50400000000</v>
      </c>
      <c r="H20" s="143">
        <v>50900000000</v>
      </c>
      <c r="I20" s="143">
        <v>54600000000</v>
      </c>
      <c r="J20" s="75">
        <v>48700000000</v>
      </c>
      <c r="K20" s="77">
        <v>44700000000</v>
      </c>
      <c r="L20" s="143">
        <v>52000000000</v>
      </c>
      <c r="M20" s="143">
        <v>44500000000</v>
      </c>
      <c r="N20" s="143">
        <v>53900000000</v>
      </c>
      <c r="O20" s="143">
        <v>45300000000</v>
      </c>
      <c r="P20" s="143">
        <v>46100000000</v>
      </c>
      <c r="Q20" s="143">
        <v>54300000000</v>
      </c>
      <c r="R20" s="75">
        <v>49000000000</v>
      </c>
      <c r="S20" s="143">
        <v>59900000000</v>
      </c>
      <c r="T20" s="143">
        <v>56600000000</v>
      </c>
      <c r="U20" s="143">
        <v>56800000000</v>
      </c>
      <c r="V20" s="143">
        <v>56600000000</v>
      </c>
      <c r="W20" s="143">
        <v>75200000000</v>
      </c>
      <c r="X20" s="143">
        <v>78700000000</v>
      </c>
      <c r="Y20" s="143">
        <v>76600000000</v>
      </c>
      <c r="Z20" s="143">
        <v>84900000000</v>
      </c>
    </row>
    <row r="21" spans="2:26">
      <c r="B21" s="24">
        <v>8</v>
      </c>
      <c r="C21" s="77">
        <v>65600000000</v>
      </c>
      <c r="D21" s="143">
        <v>62000000000</v>
      </c>
      <c r="E21" s="143">
        <v>53200000000</v>
      </c>
      <c r="F21" s="143">
        <v>56800000000</v>
      </c>
      <c r="G21" s="143">
        <v>64800000000</v>
      </c>
      <c r="H21" s="143">
        <v>60900000000</v>
      </c>
      <c r="I21" s="143">
        <v>54400000000</v>
      </c>
      <c r="J21" s="75">
        <v>55700000000</v>
      </c>
      <c r="K21" s="77">
        <v>61500000000</v>
      </c>
      <c r="L21" s="143">
        <v>66300000000</v>
      </c>
      <c r="M21" s="143">
        <v>59800000000</v>
      </c>
      <c r="N21" s="143">
        <v>67200000000</v>
      </c>
      <c r="O21" s="143">
        <v>61300000000</v>
      </c>
      <c r="P21" s="143">
        <v>62900000000</v>
      </c>
      <c r="Q21" s="143">
        <v>64100000000</v>
      </c>
      <c r="R21" s="75">
        <v>60100000000</v>
      </c>
      <c r="S21" s="143">
        <v>72000000000</v>
      </c>
      <c r="T21" s="143">
        <v>79800000000</v>
      </c>
      <c r="U21" s="143">
        <v>81600000000</v>
      </c>
      <c r="V21" s="143">
        <v>78500000000</v>
      </c>
      <c r="W21" s="143">
        <v>82800000000</v>
      </c>
      <c r="X21" s="143">
        <v>85800000000</v>
      </c>
      <c r="Y21" s="143">
        <v>86300000000</v>
      </c>
      <c r="Z21" s="143">
        <v>87900000000</v>
      </c>
    </row>
    <row r="22" spans="2:26">
      <c r="B22" s="24">
        <v>10</v>
      </c>
      <c r="C22" s="77">
        <v>63900000000</v>
      </c>
      <c r="D22" s="143">
        <v>61600000000</v>
      </c>
      <c r="E22" s="143">
        <v>60400000000</v>
      </c>
      <c r="F22" s="143">
        <v>61000000000</v>
      </c>
      <c r="G22" s="143">
        <v>62300000000</v>
      </c>
      <c r="H22" s="143">
        <v>65100000000</v>
      </c>
      <c r="I22" s="143">
        <v>61600000000</v>
      </c>
      <c r="J22" s="75">
        <v>60000000000</v>
      </c>
      <c r="K22" s="77">
        <v>55900000000</v>
      </c>
      <c r="L22" s="143">
        <v>59000000000</v>
      </c>
      <c r="M22" s="143">
        <v>54700000000</v>
      </c>
      <c r="N22" s="143">
        <v>59200000000</v>
      </c>
      <c r="O22" s="143">
        <v>59900000000</v>
      </c>
      <c r="P22" s="143">
        <v>60600000000</v>
      </c>
      <c r="Q22" s="143">
        <v>55100000000</v>
      </c>
      <c r="R22" s="75">
        <v>58300000000</v>
      </c>
      <c r="S22" s="143">
        <v>86900000000</v>
      </c>
      <c r="T22" s="143">
        <v>93200000000</v>
      </c>
      <c r="U22" s="143">
        <v>83400000000</v>
      </c>
      <c r="V22" s="143">
        <v>93200000000</v>
      </c>
      <c r="W22" s="143">
        <v>92800000000</v>
      </c>
      <c r="X22" s="143">
        <v>83300000000</v>
      </c>
      <c r="Y22" s="143">
        <v>84500000000</v>
      </c>
      <c r="Z22" s="143">
        <v>83900000000</v>
      </c>
    </row>
    <row r="23" spans="2:26" ht="15" thickBot="1">
      <c r="B23" s="30">
        <v>12</v>
      </c>
      <c r="C23" s="78">
        <v>43900000000</v>
      </c>
      <c r="D23" s="33">
        <v>45800000000</v>
      </c>
      <c r="E23" s="33">
        <v>46800000000</v>
      </c>
      <c r="F23" s="33">
        <v>47200000000</v>
      </c>
      <c r="G23" s="33">
        <v>53100000000</v>
      </c>
      <c r="H23" s="33">
        <v>47500000000</v>
      </c>
      <c r="I23" s="33">
        <v>49100000000</v>
      </c>
      <c r="J23" s="76">
        <v>49200000000</v>
      </c>
      <c r="K23" s="78">
        <v>51800000000</v>
      </c>
      <c r="L23" s="33">
        <v>49700000000</v>
      </c>
      <c r="M23" s="33">
        <v>47000000000</v>
      </c>
      <c r="N23" s="33">
        <v>48900000000</v>
      </c>
      <c r="O23" s="33">
        <v>54000000000</v>
      </c>
      <c r="P23" s="33">
        <v>52100000000</v>
      </c>
      <c r="Q23" s="33">
        <v>47000000000</v>
      </c>
      <c r="R23" s="76">
        <v>47000000000</v>
      </c>
      <c r="S23" s="33">
        <v>96500000000</v>
      </c>
      <c r="T23" s="33">
        <v>96700000000</v>
      </c>
      <c r="U23" s="33">
        <v>84000000000</v>
      </c>
      <c r="V23" s="33">
        <v>96400000000</v>
      </c>
      <c r="W23" s="33">
        <v>89800000000</v>
      </c>
      <c r="X23" s="33">
        <v>84500000000</v>
      </c>
      <c r="Y23" s="33">
        <v>87800000000</v>
      </c>
      <c r="Z23" s="33">
        <v>98000000000</v>
      </c>
    </row>
    <row r="24" spans="2:26">
      <c r="B24" s="1" t="s">
        <v>132</v>
      </c>
    </row>
  </sheetData>
  <mergeCells count="5">
    <mergeCell ref="C16:J16"/>
    <mergeCell ref="K16:R16"/>
    <mergeCell ref="S16:Z16"/>
    <mergeCell ref="C6:J6"/>
    <mergeCell ref="K6:R6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B5BEB-1CC6-463B-9EC4-6D95C0A16008}">
  <dimension ref="B2:AC19"/>
  <sheetViews>
    <sheetView zoomScale="90" zoomScaleNormal="90" workbookViewId="0">
      <selection activeCell="R30" sqref="R30"/>
    </sheetView>
  </sheetViews>
  <sheetFormatPr baseColWidth="10" defaultColWidth="8.83203125" defaultRowHeight="14"/>
  <cols>
    <col min="1" max="1" width="3" style="1" customWidth="1"/>
    <col min="2" max="2" width="9.1640625" style="1" bestFit="1" customWidth="1"/>
    <col min="3" max="3" width="12" style="1" customWidth="1"/>
    <col min="4" max="4" width="12.6640625" style="1" customWidth="1"/>
    <col min="5" max="5" width="11.5" style="1" customWidth="1"/>
    <col min="6" max="6" width="11.6640625" style="1" customWidth="1"/>
    <col min="7" max="7" width="12.33203125" style="1" customWidth="1"/>
    <col min="8" max="8" width="12.5" style="1" customWidth="1"/>
    <col min="9" max="9" width="11" style="1" customWidth="1"/>
    <col min="10" max="10" width="11.1640625" style="1" customWidth="1"/>
    <col min="11" max="11" width="12.33203125" style="1" customWidth="1"/>
    <col min="12" max="12" width="10.33203125" style="1" customWidth="1"/>
    <col min="13" max="13" width="11" style="1" customWidth="1"/>
    <col min="14" max="14" width="10.83203125" style="1" customWidth="1"/>
    <col min="15" max="15" width="10.5" style="1" customWidth="1"/>
    <col min="16" max="16" width="10.6640625" style="1" customWidth="1"/>
    <col min="17" max="17" width="11.6640625" style="1" customWidth="1"/>
    <col min="18" max="18" width="11.33203125" style="1" customWidth="1"/>
    <col min="19" max="19" width="10.33203125" style="1" customWidth="1"/>
    <col min="20" max="20" width="10.6640625" style="1" customWidth="1"/>
    <col min="21" max="21" width="11" style="1" customWidth="1"/>
    <col min="22" max="22" width="10.1640625" style="1" customWidth="1"/>
    <col min="23" max="23" width="10.33203125" style="1" customWidth="1"/>
    <col min="24" max="24" width="10.6640625" style="1" customWidth="1"/>
    <col min="25" max="26" width="11.33203125" style="1" customWidth="1"/>
    <col min="27" max="27" width="10" style="1" customWidth="1"/>
    <col min="28" max="28" width="11.1640625" style="1" customWidth="1"/>
    <col min="29" max="29" width="10.83203125" style="1" customWidth="1"/>
    <col min="30" max="38" width="10.83203125" style="1" bestFit="1" customWidth="1"/>
    <col min="39" max="16384" width="8.83203125" style="1"/>
  </cols>
  <sheetData>
    <row r="2" spans="2:29">
      <c r="B2" s="29" t="s">
        <v>223</v>
      </c>
    </row>
    <row r="4" spans="2:29" ht="15" thickBot="1">
      <c r="B4" s="29" t="s">
        <v>232</v>
      </c>
    </row>
    <row r="5" spans="2:29">
      <c r="B5" s="217"/>
      <c r="C5" s="272" t="s">
        <v>207</v>
      </c>
      <c r="D5" s="275"/>
      <c r="E5" s="275"/>
      <c r="F5" s="275"/>
      <c r="G5" s="275"/>
      <c r="H5" s="275"/>
      <c r="I5" s="275"/>
      <c r="J5" s="275"/>
      <c r="K5" s="288"/>
      <c r="L5" s="275" t="s">
        <v>208</v>
      </c>
      <c r="M5" s="275"/>
      <c r="N5" s="275"/>
      <c r="O5" s="275"/>
      <c r="P5" s="275"/>
      <c r="Q5" s="275"/>
      <c r="R5" s="275"/>
      <c r="S5" s="275"/>
      <c r="T5" s="288"/>
      <c r="U5" s="275" t="s">
        <v>209</v>
      </c>
      <c r="V5" s="275"/>
      <c r="W5" s="275"/>
      <c r="X5" s="275"/>
      <c r="Y5" s="275"/>
      <c r="Z5" s="275"/>
      <c r="AA5" s="275"/>
      <c r="AB5" s="275"/>
      <c r="AC5" s="275"/>
    </row>
    <row r="6" spans="2:29">
      <c r="B6" s="83" t="s">
        <v>182</v>
      </c>
      <c r="C6" s="289" t="s">
        <v>12</v>
      </c>
      <c r="D6" s="290"/>
      <c r="E6" s="290"/>
      <c r="F6" s="289" t="s">
        <v>95</v>
      </c>
      <c r="G6" s="290"/>
      <c r="H6" s="291"/>
      <c r="I6" s="292" t="s">
        <v>40</v>
      </c>
      <c r="J6" s="292"/>
      <c r="K6" s="293"/>
      <c r="L6" s="290" t="s">
        <v>12</v>
      </c>
      <c r="M6" s="290"/>
      <c r="N6" s="290"/>
      <c r="O6" s="289" t="s">
        <v>2</v>
      </c>
      <c r="P6" s="290"/>
      <c r="Q6" s="291"/>
      <c r="R6" s="289" t="s">
        <v>40</v>
      </c>
      <c r="S6" s="290"/>
      <c r="T6" s="291"/>
      <c r="U6" s="292" t="s">
        <v>12</v>
      </c>
      <c r="V6" s="292"/>
      <c r="W6" s="292"/>
      <c r="X6" s="289" t="s">
        <v>2</v>
      </c>
      <c r="Y6" s="290"/>
      <c r="Z6" s="291"/>
      <c r="AA6" s="292" t="s">
        <v>40</v>
      </c>
      <c r="AB6" s="292"/>
      <c r="AC6" s="292"/>
    </row>
    <row r="7" spans="2:29">
      <c r="B7" s="24">
        <v>0</v>
      </c>
      <c r="C7" s="77">
        <v>0</v>
      </c>
      <c r="D7" s="143">
        <v>0</v>
      </c>
      <c r="E7" s="143">
        <v>0</v>
      </c>
      <c r="F7" s="77">
        <v>5.4199999999999999E-12</v>
      </c>
      <c r="G7" s="143">
        <v>5.4499999999999996E-12</v>
      </c>
      <c r="H7" s="75">
        <v>5.0300000000000002E-12</v>
      </c>
      <c r="I7" s="143">
        <v>0</v>
      </c>
      <c r="J7" s="143">
        <v>0</v>
      </c>
      <c r="K7" s="75">
        <v>0</v>
      </c>
      <c r="L7" s="143">
        <v>0</v>
      </c>
      <c r="M7" s="143">
        <v>0</v>
      </c>
      <c r="N7" s="143">
        <v>0</v>
      </c>
      <c r="O7" s="77">
        <v>7.4699999999999995E-12</v>
      </c>
      <c r="P7" s="143">
        <v>6.6699999999999996E-12</v>
      </c>
      <c r="Q7" s="75">
        <v>6.8000000000000001E-12</v>
      </c>
      <c r="R7" s="77">
        <v>0</v>
      </c>
      <c r="S7" s="143">
        <v>0</v>
      </c>
      <c r="T7" s="75">
        <v>0</v>
      </c>
      <c r="U7" s="143">
        <v>0</v>
      </c>
      <c r="V7" s="143">
        <v>0</v>
      </c>
      <c r="W7" s="143">
        <v>0</v>
      </c>
      <c r="X7" s="77">
        <v>5.0400000000000003E-12</v>
      </c>
      <c r="Y7" s="143">
        <v>5.73E-12</v>
      </c>
      <c r="Z7" s="75">
        <v>5.98E-12</v>
      </c>
      <c r="AA7" s="143">
        <v>0</v>
      </c>
      <c r="AB7" s="143">
        <v>0</v>
      </c>
      <c r="AC7" s="143">
        <v>0</v>
      </c>
    </row>
    <row r="8" spans="2:29">
      <c r="B8" s="24">
        <v>2</v>
      </c>
      <c r="C8" s="77">
        <v>1.0499999999999999E-14</v>
      </c>
      <c r="D8" s="143">
        <v>9.3499999999999993E-15</v>
      </c>
      <c r="E8" s="143">
        <v>8.7999999999999994E-15</v>
      </c>
      <c r="F8" s="77">
        <v>9.7299999999999999E-13</v>
      </c>
      <c r="G8" s="143">
        <v>1.0099999999999999E-12</v>
      </c>
      <c r="H8" s="75">
        <v>1.0300000000000001E-12</v>
      </c>
      <c r="I8" s="143">
        <v>3.5800000000000003E-14</v>
      </c>
      <c r="J8" s="143">
        <v>3.6899999999999999E-14</v>
      </c>
      <c r="K8" s="75">
        <v>3.7399999999999997E-14</v>
      </c>
      <c r="L8" s="143">
        <v>1.42E-14</v>
      </c>
      <c r="M8" s="143">
        <v>1.8200000000000001E-14</v>
      </c>
      <c r="N8" s="143">
        <v>1.42E-14</v>
      </c>
      <c r="O8" s="77">
        <v>7.8599999999999998E-13</v>
      </c>
      <c r="P8" s="143">
        <v>8.3799999999999996E-13</v>
      </c>
      <c r="Q8" s="75">
        <v>8.8900000000000005E-13</v>
      </c>
      <c r="R8" s="77">
        <v>3.7499999999999998E-14</v>
      </c>
      <c r="S8" s="143">
        <v>3.7E-14</v>
      </c>
      <c r="T8" s="75">
        <v>3.7499999999999998E-14</v>
      </c>
      <c r="U8" s="143">
        <v>8.3299999999999993E-15</v>
      </c>
      <c r="V8" s="143">
        <v>7.4000000000000003E-15</v>
      </c>
      <c r="W8" s="143">
        <v>8.3299999999999993E-15</v>
      </c>
      <c r="X8" s="77">
        <v>8.3499999999999998E-13</v>
      </c>
      <c r="Y8" s="143">
        <v>8.3599999999999997E-13</v>
      </c>
      <c r="Z8" s="75">
        <v>7.6899999999999995E-13</v>
      </c>
      <c r="AA8" s="143">
        <v>3.1499999999999998E-14</v>
      </c>
      <c r="AB8" s="143">
        <v>3.24E-14</v>
      </c>
      <c r="AC8" s="143">
        <v>3.24E-14</v>
      </c>
    </row>
    <row r="9" spans="2:29">
      <c r="B9" s="24">
        <v>4</v>
      </c>
      <c r="C9" s="77">
        <v>1.85E-14</v>
      </c>
      <c r="D9" s="143">
        <v>1.74E-14</v>
      </c>
      <c r="E9" s="143">
        <v>1.74E-14</v>
      </c>
      <c r="F9" s="77">
        <v>5.3400000000000005E-13</v>
      </c>
      <c r="G9" s="143">
        <v>5.2899999999999997E-13</v>
      </c>
      <c r="H9" s="75">
        <v>5.7799999999999996E-13</v>
      </c>
      <c r="I9" s="143">
        <v>2.4300000000000001E-14</v>
      </c>
      <c r="J9" s="143">
        <v>2.3599999999999999E-14</v>
      </c>
      <c r="K9" s="75">
        <v>2.94E-14</v>
      </c>
      <c r="L9" s="143">
        <v>2.0500000000000001E-14</v>
      </c>
      <c r="M9" s="143">
        <v>1.9400000000000001E-14</v>
      </c>
      <c r="N9" s="143">
        <v>2.2099999999999999E-14</v>
      </c>
      <c r="O9" s="77">
        <v>4.9999999999999999E-13</v>
      </c>
      <c r="P9" s="143">
        <v>5.0799999999999996E-13</v>
      </c>
      <c r="Q9" s="75">
        <v>4.2300000000000002E-13</v>
      </c>
      <c r="R9" s="77">
        <v>2.8499999999999998E-14</v>
      </c>
      <c r="S9" s="143">
        <v>2.2499999999999999E-14</v>
      </c>
      <c r="T9" s="75">
        <v>1.9400000000000001E-14</v>
      </c>
      <c r="U9" s="143">
        <v>1.3899999999999999E-14</v>
      </c>
      <c r="V9" s="143">
        <v>1.3100000000000001E-14</v>
      </c>
      <c r="W9" s="143">
        <v>1.5399999999999999E-14</v>
      </c>
      <c r="X9" s="77">
        <v>4.7599999999999999E-13</v>
      </c>
      <c r="Y9" s="143">
        <v>4.5799999999999997E-13</v>
      </c>
      <c r="Z9" s="75">
        <v>4.8099999999999997E-13</v>
      </c>
      <c r="AA9" s="143">
        <v>1.7100000000000001E-14</v>
      </c>
      <c r="AB9" s="143">
        <v>2.3500000000000001E-14</v>
      </c>
      <c r="AC9" s="143">
        <v>1.74E-14</v>
      </c>
    </row>
    <row r="10" spans="2:29">
      <c r="B10" s="24">
        <v>6</v>
      </c>
      <c r="C10" s="77">
        <v>1.77E-14</v>
      </c>
      <c r="D10" s="143">
        <v>1.47E-14</v>
      </c>
      <c r="E10" s="143">
        <v>1.6899999999999999E-14</v>
      </c>
      <c r="F10" s="77">
        <v>2.9999999999999998E-13</v>
      </c>
      <c r="G10" s="143">
        <v>3.2399999999999998E-13</v>
      </c>
      <c r="H10" s="75">
        <v>2.8100000000000001E-13</v>
      </c>
      <c r="I10" s="143">
        <v>1.24E-14</v>
      </c>
      <c r="J10" s="143">
        <v>1.55E-14</v>
      </c>
      <c r="K10" s="75">
        <v>1.1999999999999999E-14</v>
      </c>
      <c r="L10" s="143">
        <v>1.9499999999999999E-14</v>
      </c>
      <c r="M10" s="143">
        <v>2.15E-14</v>
      </c>
      <c r="N10" s="143">
        <v>1.9099999999999999E-14</v>
      </c>
      <c r="O10" s="77">
        <v>2.6299999999999999E-13</v>
      </c>
      <c r="P10" s="143">
        <v>2.84E-13</v>
      </c>
      <c r="Q10" s="75">
        <v>2.6700000000000002E-13</v>
      </c>
      <c r="R10" s="77">
        <v>1.5600000000000001E-14</v>
      </c>
      <c r="S10" s="143">
        <v>1.77E-14</v>
      </c>
      <c r="T10" s="75">
        <v>1.9099999999999999E-14</v>
      </c>
      <c r="U10" s="143">
        <v>1.2199999999999999E-14</v>
      </c>
      <c r="V10" s="143">
        <v>1.11E-14</v>
      </c>
      <c r="W10" s="143">
        <v>1.17E-14</v>
      </c>
      <c r="X10" s="77">
        <v>2.08E-13</v>
      </c>
      <c r="Y10" s="143">
        <v>2.25E-13</v>
      </c>
      <c r="Z10" s="75">
        <v>2.13E-13</v>
      </c>
      <c r="AA10" s="143">
        <v>9.5399999999999996E-15</v>
      </c>
      <c r="AB10" s="143">
        <v>9.1000000000000004E-15</v>
      </c>
      <c r="AC10" s="143">
        <v>9.6799999999999995E-15</v>
      </c>
    </row>
    <row r="11" spans="2:29">
      <c r="B11" s="24">
        <v>8</v>
      </c>
      <c r="C11" s="77">
        <v>2.04E-14</v>
      </c>
      <c r="D11" s="143">
        <v>1.96E-14</v>
      </c>
      <c r="E11" s="143">
        <v>1.8300000000000002E-14</v>
      </c>
      <c r="F11" s="77">
        <v>2.02E-13</v>
      </c>
      <c r="G11" s="143">
        <v>1.9300000000000001E-13</v>
      </c>
      <c r="H11" s="75">
        <v>2.0000000000000001E-13</v>
      </c>
      <c r="I11" s="143">
        <v>1.1E-14</v>
      </c>
      <c r="J11" s="143">
        <v>9.4599999999999999E-15</v>
      </c>
      <c r="K11" s="75">
        <v>1.34E-14</v>
      </c>
      <c r="L11" s="143">
        <v>2E-14</v>
      </c>
      <c r="M11" s="143">
        <v>2E-14</v>
      </c>
      <c r="N11" s="143">
        <v>1.92E-14</v>
      </c>
      <c r="O11" s="77">
        <v>1.6300000000000001E-13</v>
      </c>
      <c r="P11" s="143">
        <v>1.7299999999999999E-13</v>
      </c>
      <c r="Q11" s="75">
        <v>1.7299999999999999E-13</v>
      </c>
      <c r="R11" s="77">
        <v>1.26E-14</v>
      </c>
      <c r="S11" s="143">
        <v>1.1600000000000001E-14</v>
      </c>
      <c r="T11" s="75">
        <v>1.26E-14</v>
      </c>
      <c r="U11" s="143">
        <v>1.43E-14</v>
      </c>
      <c r="V11" s="143">
        <v>1.3100000000000001E-14</v>
      </c>
      <c r="W11" s="143">
        <v>1.43E-14</v>
      </c>
      <c r="X11" s="77">
        <v>1.55E-13</v>
      </c>
      <c r="Y11" s="143">
        <v>1.4600000000000001E-13</v>
      </c>
      <c r="Z11" s="75">
        <v>1.4100000000000001E-13</v>
      </c>
      <c r="AA11" s="143">
        <v>8.7999999999999994E-15</v>
      </c>
      <c r="AB11" s="143">
        <v>8.1899999999999994E-15</v>
      </c>
      <c r="AC11" s="143">
        <v>8.5500000000000005E-15</v>
      </c>
    </row>
    <row r="12" spans="2:29">
      <c r="B12" s="24">
        <v>10</v>
      </c>
      <c r="C12" s="77">
        <v>2.0999999999999999E-14</v>
      </c>
      <c r="D12" s="143">
        <v>2.1300000000000001E-14</v>
      </c>
      <c r="E12" s="143">
        <v>2E-14</v>
      </c>
      <c r="F12" s="77">
        <v>1.61E-13</v>
      </c>
      <c r="G12" s="143">
        <v>1.47E-13</v>
      </c>
      <c r="H12" s="75">
        <v>1.7999999999999999E-13</v>
      </c>
      <c r="I12" s="143">
        <v>9.3600000000000006E-15</v>
      </c>
      <c r="J12" s="143">
        <v>1.0499999999999999E-14</v>
      </c>
      <c r="K12" s="75">
        <v>1.02E-14</v>
      </c>
      <c r="L12" s="143">
        <v>2.3699999999999999E-14</v>
      </c>
      <c r="M12" s="143">
        <v>2.3900000000000001E-14</v>
      </c>
      <c r="N12" s="143">
        <v>2.42E-14</v>
      </c>
      <c r="O12" s="77">
        <v>1.66E-13</v>
      </c>
      <c r="P12" s="143">
        <v>1.59E-13</v>
      </c>
      <c r="Q12" s="75">
        <v>1.67E-13</v>
      </c>
      <c r="R12" s="77">
        <v>1.07E-14</v>
      </c>
      <c r="S12" s="143">
        <v>1.1200000000000001E-14</v>
      </c>
      <c r="T12" s="75">
        <v>9.5100000000000003E-15</v>
      </c>
      <c r="U12" s="143">
        <v>1.44E-14</v>
      </c>
      <c r="V12" s="143">
        <v>1.32E-14</v>
      </c>
      <c r="W12" s="143">
        <v>1.47E-14</v>
      </c>
      <c r="X12" s="77">
        <v>1.1700000000000001E-13</v>
      </c>
      <c r="Y12" s="143">
        <v>1.19E-13</v>
      </c>
      <c r="Z12" s="75">
        <v>1.2200000000000001E-13</v>
      </c>
      <c r="AA12" s="143">
        <v>6.9600000000000003E-15</v>
      </c>
      <c r="AB12" s="143">
        <v>7.6399999999999995E-15</v>
      </c>
      <c r="AC12" s="143">
        <v>7.9899999999999993E-15</v>
      </c>
    </row>
    <row r="13" spans="2:29" ht="15" thickBot="1">
      <c r="B13" s="30">
        <v>12</v>
      </c>
      <c r="C13" s="78">
        <v>2.76E-14</v>
      </c>
      <c r="D13" s="33">
        <v>2.72E-14</v>
      </c>
      <c r="E13" s="33">
        <v>2.7799999999999999E-14</v>
      </c>
      <c r="F13" s="78">
        <v>1.89E-13</v>
      </c>
      <c r="G13" s="33">
        <v>1.2699999999999999E-13</v>
      </c>
      <c r="H13" s="76">
        <v>1.66E-13</v>
      </c>
      <c r="I13" s="33">
        <v>1.13E-14</v>
      </c>
      <c r="J13" s="33">
        <v>9.8300000000000008E-15</v>
      </c>
      <c r="K13" s="76">
        <v>1.32E-14</v>
      </c>
      <c r="L13" s="33">
        <v>2.8199999999999999E-14</v>
      </c>
      <c r="M13" s="33">
        <v>3.3799999999999999E-14</v>
      </c>
      <c r="N13" s="33">
        <v>3.1800000000000001E-14</v>
      </c>
      <c r="O13" s="78">
        <v>1.2300000000000001E-13</v>
      </c>
      <c r="P13" s="33">
        <v>1.2200000000000001E-13</v>
      </c>
      <c r="Q13" s="76">
        <v>1.3500000000000001E-13</v>
      </c>
      <c r="R13" s="78">
        <v>1.0099999999999999E-14</v>
      </c>
      <c r="S13" s="33">
        <v>1.21E-14</v>
      </c>
      <c r="T13" s="76">
        <v>1.21E-14</v>
      </c>
      <c r="U13" s="33">
        <v>1.4500000000000001E-14</v>
      </c>
      <c r="V13" s="33">
        <v>1.32E-14</v>
      </c>
      <c r="W13" s="33">
        <v>1.47E-14</v>
      </c>
      <c r="X13" s="78">
        <v>9.6500000000000005E-14</v>
      </c>
      <c r="Y13" s="33">
        <v>1.1099999999999999E-13</v>
      </c>
      <c r="Z13" s="76">
        <v>1.0799999999999999E-13</v>
      </c>
      <c r="AA13" s="33">
        <v>6.1100000000000003E-15</v>
      </c>
      <c r="AB13" s="33">
        <v>7.4100000000000001E-15</v>
      </c>
      <c r="AC13" s="33">
        <v>7.0899999999999996E-15</v>
      </c>
    </row>
    <row r="14" spans="2:29" ht="5" customHeight="1"/>
    <row r="15" spans="2:29" ht="15" thickBot="1">
      <c r="B15" s="29" t="s">
        <v>169</v>
      </c>
    </row>
    <row r="16" spans="2:29">
      <c r="B16" s="141" t="s">
        <v>182</v>
      </c>
      <c r="C16" s="285" t="s">
        <v>90</v>
      </c>
      <c r="D16" s="286"/>
      <c r="E16" s="286"/>
      <c r="F16" s="286"/>
      <c r="G16" s="286"/>
      <c r="H16" s="286"/>
      <c r="I16" s="286"/>
      <c r="J16" s="287"/>
      <c r="K16" s="285" t="s">
        <v>92</v>
      </c>
      <c r="L16" s="286"/>
      <c r="M16" s="286"/>
      <c r="N16" s="286"/>
      <c r="O16" s="286"/>
      <c r="P16" s="286"/>
      <c r="Q16" s="286"/>
      <c r="R16" s="287"/>
      <c r="S16" s="286" t="s">
        <v>91</v>
      </c>
      <c r="T16" s="286"/>
      <c r="U16" s="286"/>
      <c r="V16" s="286"/>
      <c r="W16" s="286"/>
      <c r="X16" s="286"/>
      <c r="Y16" s="286"/>
      <c r="Z16" s="286"/>
    </row>
    <row r="17" spans="2:26">
      <c r="B17" s="24">
        <v>0</v>
      </c>
      <c r="C17" s="79">
        <v>7.7399999999999998E-5</v>
      </c>
      <c r="D17" s="223">
        <v>7.8200000000000003E-5</v>
      </c>
      <c r="E17" s="223">
        <v>1.2300000000000001E-4</v>
      </c>
      <c r="F17" s="223">
        <v>9.2600000000000001E-5</v>
      </c>
      <c r="G17" s="223">
        <v>6.41E-5</v>
      </c>
      <c r="H17" s="223">
        <v>6.6400000000000001E-5</v>
      </c>
      <c r="I17" s="223">
        <v>6.1199999999999997E-5</v>
      </c>
      <c r="J17" s="80">
        <v>5.6100000000000002E-5</v>
      </c>
      <c r="K17" s="79">
        <v>1.2E-4</v>
      </c>
      <c r="L17" s="223">
        <v>1.2999999999999999E-4</v>
      </c>
      <c r="M17" s="223">
        <v>1.25E-4</v>
      </c>
      <c r="N17" s="223">
        <v>1.02E-4</v>
      </c>
      <c r="O17" s="223">
        <v>1.3100000000000001E-4</v>
      </c>
      <c r="P17" s="223">
        <v>1.08E-4</v>
      </c>
      <c r="Q17" s="223">
        <v>1.34E-4</v>
      </c>
      <c r="R17" s="80">
        <v>1.21E-4</v>
      </c>
      <c r="S17" s="223">
        <v>8.92E-5</v>
      </c>
      <c r="T17" s="223">
        <v>8.1100000000000006E-5</v>
      </c>
      <c r="U17" s="223">
        <v>8.6500000000000002E-5</v>
      </c>
      <c r="V17" s="223">
        <v>7.5900000000000002E-5</v>
      </c>
      <c r="W17" s="223">
        <v>9.6799999999999995E-5</v>
      </c>
      <c r="X17" s="223">
        <v>9.7499999999999998E-5</v>
      </c>
      <c r="Y17" s="223">
        <v>1.0399999999999999E-4</v>
      </c>
      <c r="Z17" s="223">
        <v>9.0400000000000002E-5</v>
      </c>
    </row>
    <row r="18" spans="2:26">
      <c r="B18" s="24">
        <v>4</v>
      </c>
      <c r="C18" s="79">
        <v>6.1899999999999998E-4</v>
      </c>
      <c r="D18" s="223">
        <v>5.1000000000000004E-4</v>
      </c>
      <c r="E18" s="223">
        <v>4.3899999999999999E-4</v>
      </c>
      <c r="F18" s="223">
        <v>4.6700000000000002E-4</v>
      </c>
      <c r="G18" s="223">
        <v>3.68E-4</v>
      </c>
      <c r="H18" s="223">
        <v>3.8699999999999997E-4</v>
      </c>
      <c r="I18" s="223">
        <v>4.2200000000000001E-4</v>
      </c>
      <c r="J18" s="80">
        <v>5.71E-4</v>
      </c>
      <c r="K18" s="79">
        <v>1.16E-3</v>
      </c>
      <c r="L18" s="223">
        <v>7.6499999999999995E-4</v>
      </c>
      <c r="M18" s="223">
        <v>8.5300000000000003E-4</v>
      </c>
      <c r="N18" s="223">
        <v>8.4500000000000005E-4</v>
      </c>
      <c r="O18" s="223">
        <v>8.34E-4</v>
      </c>
      <c r="P18" s="223">
        <v>8.7399999999999999E-4</v>
      </c>
      <c r="Q18" s="223">
        <v>9.0600000000000001E-4</v>
      </c>
      <c r="R18" s="80">
        <v>9.9299999999999996E-4</v>
      </c>
      <c r="S18" s="223">
        <v>5.5099999999999995E-4</v>
      </c>
      <c r="T18" s="223">
        <v>4.9600000000000002E-4</v>
      </c>
      <c r="U18" s="223">
        <v>4.37E-4</v>
      </c>
      <c r="V18" s="223">
        <v>4.4999999999999999E-4</v>
      </c>
      <c r="W18" s="223">
        <v>4.4900000000000002E-4</v>
      </c>
      <c r="X18" s="223">
        <v>6.2699999999999995E-4</v>
      </c>
      <c r="Y18" s="223">
        <v>6.4599999999999998E-4</v>
      </c>
      <c r="Z18" s="223">
        <v>7.2199999999999999E-4</v>
      </c>
    </row>
    <row r="19" spans="2:26" ht="15" thickBot="1">
      <c r="B19" s="30">
        <v>6</v>
      </c>
      <c r="C19" s="81">
        <v>4.4099999999999999E-4</v>
      </c>
      <c r="D19" s="39">
        <v>3.97E-4</v>
      </c>
      <c r="E19" s="39">
        <v>3.4299999999999999E-4</v>
      </c>
      <c r="F19" s="39">
        <v>4.08E-4</v>
      </c>
      <c r="G19" s="39">
        <v>5.44E-4</v>
      </c>
      <c r="H19" s="39">
        <v>5.6800000000000004E-4</v>
      </c>
      <c r="I19" s="39">
        <v>4.6500000000000003E-4</v>
      </c>
      <c r="J19" s="82">
        <v>5.2800000000000004E-4</v>
      </c>
      <c r="K19" s="81">
        <v>5.62E-4</v>
      </c>
      <c r="L19" s="39">
        <v>4.44E-4</v>
      </c>
      <c r="M19" s="39">
        <v>5.1000000000000004E-4</v>
      </c>
      <c r="N19" s="39">
        <v>3.4699999999999998E-4</v>
      </c>
      <c r="O19" s="39">
        <v>6.0499999999999996E-4</v>
      </c>
      <c r="P19" s="39">
        <v>6.1399999999999996E-4</v>
      </c>
      <c r="Q19" s="39">
        <v>4.4000000000000002E-4</v>
      </c>
      <c r="R19" s="82">
        <v>5.6099999999999998E-4</v>
      </c>
      <c r="S19" s="39">
        <v>5.3300000000000005E-4</v>
      </c>
      <c r="T19" s="39">
        <v>5.53E-4</v>
      </c>
      <c r="U19" s="39">
        <v>5.2599999999999999E-4</v>
      </c>
      <c r="V19" s="39">
        <v>5.2700000000000002E-4</v>
      </c>
      <c r="W19" s="39">
        <v>3.4600000000000001E-4</v>
      </c>
      <c r="X19" s="39">
        <v>3.3399999999999999E-4</v>
      </c>
      <c r="Y19" s="39">
        <v>3.2499999999999999E-4</v>
      </c>
      <c r="Z19" s="39">
        <v>2.9100000000000003E-4</v>
      </c>
    </row>
  </sheetData>
  <mergeCells count="15">
    <mergeCell ref="C16:J16"/>
    <mergeCell ref="K16:R16"/>
    <mergeCell ref="S16:Z16"/>
    <mergeCell ref="C5:K5"/>
    <mergeCell ref="L5:T5"/>
    <mergeCell ref="U5:AC5"/>
    <mergeCell ref="O6:Q6"/>
    <mergeCell ref="X6:Z6"/>
    <mergeCell ref="I6:K6"/>
    <mergeCell ref="R6:T6"/>
    <mergeCell ref="AA6:AC6"/>
    <mergeCell ref="C6:E6"/>
    <mergeCell ref="L6:N6"/>
    <mergeCell ref="U6:W6"/>
    <mergeCell ref="F6:H6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8733F-BEAA-4F76-AB50-92DDDD8ED632}">
  <dimension ref="B2:N23"/>
  <sheetViews>
    <sheetView topLeftCell="A2" zoomScaleNormal="100" workbookViewId="0">
      <selection activeCell="M36" sqref="M36"/>
    </sheetView>
  </sheetViews>
  <sheetFormatPr baseColWidth="10" defaultColWidth="9" defaultRowHeight="14"/>
  <cols>
    <col min="1" max="1" width="3.33203125" style="1" customWidth="1"/>
    <col min="2" max="2" width="9" style="1"/>
    <col min="3" max="3" width="9.5" style="1" customWidth="1"/>
    <col min="4" max="4" width="10.33203125" style="1" customWidth="1"/>
    <col min="5" max="5" width="10.6640625" style="1" customWidth="1"/>
    <col min="6" max="6" width="15.6640625" style="1" customWidth="1"/>
    <col min="7" max="7" width="9" style="1"/>
    <col min="8" max="9" width="11.6640625" style="1" customWidth="1"/>
    <col min="10" max="10" width="12.1640625" style="1" customWidth="1"/>
    <col min="11" max="11" width="11.83203125" style="1" customWidth="1"/>
    <col min="12" max="12" width="12.33203125" style="1" customWidth="1"/>
    <col min="13" max="13" width="10.6640625" style="1" customWidth="1"/>
    <col min="14" max="14" width="9.33203125" style="1" customWidth="1"/>
    <col min="15" max="16384" width="9" style="1"/>
  </cols>
  <sheetData>
    <row r="2" spans="2:14">
      <c r="B2" s="29" t="s">
        <v>170</v>
      </c>
    </row>
    <row r="4" spans="2:14" ht="17" thickBot="1">
      <c r="B4" s="29" t="s">
        <v>233</v>
      </c>
    </row>
    <row r="5" spans="2:14">
      <c r="B5" s="141" t="s">
        <v>182</v>
      </c>
      <c r="C5" s="282" t="s">
        <v>64</v>
      </c>
      <c r="D5" s="283"/>
      <c r="E5" s="284"/>
      <c r="F5" s="282" t="s">
        <v>67</v>
      </c>
      <c r="G5" s="283"/>
      <c r="H5" s="284"/>
      <c r="I5" s="283" t="s">
        <v>65</v>
      </c>
      <c r="J5" s="283"/>
      <c r="K5" s="283"/>
      <c r="L5" s="282" t="s">
        <v>66</v>
      </c>
      <c r="M5" s="283"/>
      <c r="N5" s="283"/>
    </row>
    <row r="6" spans="2:14">
      <c r="B6" s="24">
        <v>0</v>
      </c>
      <c r="C6" s="87">
        <v>0</v>
      </c>
      <c r="D6" s="222">
        <v>0</v>
      </c>
      <c r="E6" s="88">
        <v>0</v>
      </c>
      <c r="F6" s="87">
        <v>0</v>
      </c>
      <c r="G6" s="222">
        <v>0</v>
      </c>
      <c r="H6" s="88">
        <v>0</v>
      </c>
      <c r="I6" s="222">
        <v>0</v>
      </c>
      <c r="J6" s="222">
        <v>0</v>
      </c>
      <c r="K6" s="222">
        <v>0</v>
      </c>
      <c r="L6" s="87">
        <v>0</v>
      </c>
      <c r="M6" s="222">
        <v>0</v>
      </c>
      <c r="N6" s="222">
        <v>0</v>
      </c>
    </row>
    <row r="7" spans="2:14">
      <c r="B7" s="24">
        <v>4</v>
      </c>
      <c r="C7" s="87">
        <v>1.9E-2</v>
      </c>
      <c r="D7" s="222">
        <v>1.7999999999999999E-2</v>
      </c>
      <c r="E7" s="88">
        <v>1.4E-2</v>
      </c>
      <c r="F7" s="87">
        <v>2.7E-2</v>
      </c>
      <c r="G7" s="222">
        <v>2.5000000000000001E-2</v>
      </c>
      <c r="H7" s="88">
        <v>2.5000000000000001E-2</v>
      </c>
      <c r="I7" s="222">
        <v>5.3999999999999999E-2</v>
      </c>
      <c r="J7" s="222">
        <v>5.3999999999999999E-2</v>
      </c>
      <c r="K7" s="222">
        <v>5.3999999999999999E-2</v>
      </c>
      <c r="L7" s="87">
        <v>5.0999999999999997E-2</v>
      </c>
      <c r="M7" s="222">
        <v>5.0999999999999997E-2</v>
      </c>
      <c r="N7" s="222">
        <v>5.0999999999999997E-2</v>
      </c>
    </row>
    <row r="8" spans="2:14">
      <c r="B8" s="24">
        <v>8</v>
      </c>
      <c r="C8" s="87">
        <v>2.1999999999999999E-2</v>
      </c>
      <c r="D8" s="222">
        <v>2.5999999999999999E-2</v>
      </c>
      <c r="E8" s="88">
        <v>2.3E-2</v>
      </c>
      <c r="F8" s="87">
        <v>8.8999999999999996E-2</v>
      </c>
      <c r="G8" s="222">
        <v>7.8E-2</v>
      </c>
      <c r="H8" s="88">
        <v>7.8E-2</v>
      </c>
      <c r="I8" s="222">
        <v>0.20799999999999999</v>
      </c>
      <c r="J8" s="222">
        <v>0.19600000000000001</v>
      </c>
      <c r="K8" s="222">
        <v>0.19600000000000001</v>
      </c>
      <c r="L8" s="87">
        <v>0.184</v>
      </c>
      <c r="M8" s="222">
        <v>0.17599999999999999</v>
      </c>
      <c r="N8" s="222">
        <v>0.17599999999999999</v>
      </c>
    </row>
    <row r="9" spans="2:14">
      <c r="B9" s="24">
        <v>24</v>
      </c>
      <c r="C9" s="87">
        <v>1.7999999999999999E-2</v>
      </c>
      <c r="D9" s="222">
        <v>1.4999999999999999E-2</v>
      </c>
      <c r="E9" s="88">
        <v>1.2999999999999999E-2</v>
      </c>
      <c r="F9" s="87">
        <v>0.23200000000000001</v>
      </c>
      <c r="G9" s="222">
        <v>0.22800000000000001</v>
      </c>
      <c r="H9" s="88">
        <v>0.22800000000000001</v>
      </c>
      <c r="I9" s="222">
        <v>0.36499999999999999</v>
      </c>
      <c r="J9" s="222">
        <v>0.373</v>
      </c>
      <c r="K9" s="222">
        <v>0.373</v>
      </c>
      <c r="L9" s="87">
        <v>0.36599999999999999</v>
      </c>
      <c r="M9" s="222">
        <v>0.36599999999999999</v>
      </c>
      <c r="N9" s="222">
        <v>0.36599999999999999</v>
      </c>
    </row>
    <row r="10" spans="2:14">
      <c r="B10" s="24">
        <v>28</v>
      </c>
      <c r="C10" s="87">
        <v>1.9E-2</v>
      </c>
      <c r="D10" s="222">
        <v>1.4999999999999999E-2</v>
      </c>
      <c r="E10" s="88">
        <v>1.2E-2</v>
      </c>
      <c r="F10" s="87">
        <v>0.29499999999999998</v>
      </c>
      <c r="G10" s="222">
        <v>0.28000000000000003</v>
      </c>
      <c r="H10" s="88">
        <v>0.28000000000000003</v>
      </c>
      <c r="I10" s="222">
        <v>0.36699999999999999</v>
      </c>
      <c r="J10" s="222">
        <v>0.36899999999999999</v>
      </c>
      <c r="K10" s="222">
        <v>0.36899999999999999</v>
      </c>
      <c r="L10" s="87">
        <v>0.36</v>
      </c>
      <c r="M10" s="222">
        <v>0.36199999999999999</v>
      </c>
      <c r="N10" s="222">
        <v>0.36199999999999999</v>
      </c>
    </row>
    <row r="11" spans="2:14">
      <c r="B11" s="24">
        <v>32</v>
      </c>
      <c r="C11" s="87">
        <v>1.7999999999999999E-2</v>
      </c>
      <c r="D11" s="222">
        <v>1.2999999999999999E-2</v>
      </c>
      <c r="E11" s="88">
        <v>1.0999999999999999E-2</v>
      </c>
      <c r="F11" s="87">
        <v>0.29899999999999999</v>
      </c>
      <c r="G11" s="222">
        <v>0.28799999999999998</v>
      </c>
      <c r="H11" s="88">
        <v>0.27800000000000002</v>
      </c>
      <c r="I11" s="222">
        <v>0.379</v>
      </c>
      <c r="J11" s="222">
        <v>0.378</v>
      </c>
      <c r="K11" s="222">
        <v>0.378</v>
      </c>
      <c r="L11" s="87">
        <v>0.374</v>
      </c>
      <c r="M11" s="222">
        <v>0.38900000000000001</v>
      </c>
      <c r="N11" s="222">
        <v>0.38900000000000001</v>
      </c>
    </row>
    <row r="12" spans="2:14">
      <c r="B12" s="24">
        <v>36</v>
      </c>
      <c r="C12" s="87">
        <v>1.7000000000000001E-2</v>
      </c>
      <c r="D12" s="222">
        <v>1.2999999999999999E-2</v>
      </c>
      <c r="E12" s="88">
        <v>0.01</v>
      </c>
      <c r="F12" s="87">
        <v>0.308</v>
      </c>
      <c r="G12" s="222">
        <v>0.30199999999999999</v>
      </c>
      <c r="H12" s="88">
        <v>0.30199999999999999</v>
      </c>
      <c r="I12" s="222">
        <v>0.38900000000000001</v>
      </c>
      <c r="J12" s="222">
        <v>0.374</v>
      </c>
      <c r="K12" s="222">
        <v>0.374</v>
      </c>
      <c r="L12" s="87">
        <v>0.37</v>
      </c>
      <c r="M12" s="222">
        <v>0.372</v>
      </c>
      <c r="N12" s="222">
        <v>0.372</v>
      </c>
    </row>
    <row r="13" spans="2:14" ht="15" thickBot="1">
      <c r="B13" s="30">
        <v>48</v>
      </c>
      <c r="C13" s="89">
        <v>1.4E-2</v>
      </c>
      <c r="D13" s="31">
        <v>1.4999999999999999E-2</v>
      </c>
      <c r="E13" s="90">
        <v>1.2E-2</v>
      </c>
      <c r="F13" s="89">
        <v>0.28499999999999998</v>
      </c>
      <c r="G13" s="31">
        <v>0.27200000000000002</v>
      </c>
      <c r="H13" s="90">
        <v>0.28199999999999997</v>
      </c>
      <c r="I13" s="31">
        <v>0.36599999999999999</v>
      </c>
      <c r="J13" s="31">
        <v>0.36799999999999999</v>
      </c>
      <c r="K13" s="31">
        <v>0.36799999999999999</v>
      </c>
      <c r="L13" s="89">
        <v>0.35899999999999999</v>
      </c>
      <c r="M13" s="31">
        <v>0.36</v>
      </c>
      <c r="N13" s="31">
        <v>0.36</v>
      </c>
    </row>
    <row r="14" spans="2:14" ht="5" customHeight="1"/>
    <row r="15" spans="2:14" ht="15" thickBot="1">
      <c r="B15" s="29" t="s">
        <v>234</v>
      </c>
    </row>
    <row r="16" spans="2:14">
      <c r="B16" s="141" t="s">
        <v>182</v>
      </c>
      <c r="C16" s="282" t="s">
        <v>135</v>
      </c>
      <c r="D16" s="283"/>
      <c r="E16" s="284"/>
      <c r="F16" s="282" t="s">
        <v>136</v>
      </c>
      <c r="G16" s="283"/>
      <c r="H16" s="284"/>
      <c r="I16" s="282" t="s">
        <v>137</v>
      </c>
      <c r="J16" s="283"/>
      <c r="K16" s="284"/>
      <c r="L16" s="283" t="s">
        <v>138</v>
      </c>
      <c r="M16" s="283"/>
      <c r="N16" s="283"/>
    </row>
    <row r="17" spans="2:14">
      <c r="B17" s="24">
        <v>0</v>
      </c>
      <c r="C17" s="87">
        <v>2.8079999999999998</v>
      </c>
      <c r="D17" s="222">
        <v>2.9740000000000002</v>
      </c>
      <c r="E17" s="88">
        <v>2.9929999999999999</v>
      </c>
      <c r="F17" s="87">
        <v>0.66300000000000003</v>
      </c>
      <c r="G17" s="222">
        <v>0.32600000000000001</v>
      </c>
      <c r="H17" s="88">
        <v>0.317</v>
      </c>
      <c r="I17" s="87">
        <v>2.91</v>
      </c>
      <c r="J17" s="222">
        <v>3.1230000000000002</v>
      </c>
      <c r="K17" s="88">
        <v>3.1589999999999998</v>
      </c>
      <c r="L17" s="222">
        <v>0.3</v>
      </c>
      <c r="M17" s="222">
        <v>0.32500000000000001</v>
      </c>
      <c r="N17" s="222">
        <v>0.52400000000000002</v>
      </c>
    </row>
    <row r="18" spans="2:14">
      <c r="B18" s="24">
        <v>8</v>
      </c>
      <c r="C18" s="87">
        <v>3.1739999999999999</v>
      </c>
      <c r="D18" s="222">
        <v>2.9649999999999999</v>
      </c>
      <c r="E18" s="88">
        <v>2.992</v>
      </c>
      <c r="F18" s="87">
        <v>0.53800000000000003</v>
      </c>
      <c r="G18" s="222">
        <v>0.3</v>
      </c>
      <c r="H18" s="88">
        <v>0.29699999999999999</v>
      </c>
      <c r="I18" s="87">
        <v>2.2120000000000002</v>
      </c>
      <c r="J18" s="222">
        <v>3.1520000000000001</v>
      </c>
      <c r="K18" s="88">
        <v>3.3279999999999998</v>
      </c>
      <c r="L18" s="222">
        <v>0.27200000000000002</v>
      </c>
      <c r="M18" s="222">
        <v>0.30299999999999999</v>
      </c>
      <c r="N18" s="222">
        <v>0.49099999999999999</v>
      </c>
    </row>
    <row r="19" spans="2:14">
      <c r="B19" s="24">
        <v>24</v>
      </c>
      <c r="C19" s="87">
        <v>3.1379999999999999</v>
      </c>
      <c r="D19" s="222">
        <v>2.99</v>
      </c>
      <c r="E19" s="88">
        <v>2.8769999999999998</v>
      </c>
      <c r="F19" s="87">
        <v>0.41</v>
      </c>
      <c r="G19" s="222">
        <v>0.253</v>
      </c>
      <c r="H19" s="88">
        <v>0.24299999999999999</v>
      </c>
      <c r="I19" s="87">
        <v>2.593</v>
      </c>
      <c r="J19" s="222">
        <v>2.8559999999999999</v>
      </c>
      <c r="K19" s="88">
        <v>3.427</v>
      </c>
      <c r="L19" s="222">
        <v>0.20499999999999999</v>
      </c>
      <c r="M19" s="222">
        <v>0.22900000000000001</v>
      </c>
      <c r="N19" s="222">
        <v>0.46899999999999997</v>
      </c>
    </row>
    <row r="20" spans="2:14">
      <c r="B20" s="24">
        <v>28</v>
      </c>
      <c r="C20" s="87">
        <v>2.4220000000000002</v>
      </c>
      <c r="D20" s="222">
        <v>2.4910000000000001</v>
      </c>
      <c r="E20" s="88">
        <v>2.5009999999999999</v>
      </c>
      <c r="F20" s="87">
        <v>0.89300000000000002</v>
      </c>
      <c r="G20" s="222">
        <v>0.373</v>
      </c>
      <c r="H20" s="88">
        <v>0.38</v>
      </c>
      <c r="I20" s="87">
        <v>2.3090000000000002</v>
      </c>
      <c r="J20" s="222">
        <v>2.371</v>
      </c>
      <c r="K20" s="88">
        <v>2.625</v>
      </c>
      <c r="L20" s="222">
        <v>0.46800000000000003</v>
      </c>
      <c r="M20" s="222">
        <v>0.30299999999999999</v>
      </c>
      <c r="N20" s="222">
        <v>0.66100000000000003</v>
      </c>
    </row>
    <row r="21" spans="2:14">
      <c r="B21" s="24">
        <v>32</v>
      </c>
      <c r="C21" s="87">
        <v>2.5089999999999999</v>
      </c>
      <c r="D21" s="222">
        <v>2.6080000000000001</v>
      </c>
      <c r="E21" s="88">
        <v>2.573</v>
      </c>
      <c r="F21" s="87">
        <v>0.747</v>
      </c>
      <c r="G21" s="222">
        <v>0.378</v>
      </c>
      <c r="H21" s="88">
        <v>0.40500000000000003</v>
      </c>
      <c r="I21" s="87">
        <v>2.0830000000000002</v>
      </c>
      <c r="J21" s="222">
        <v>2.2519999999999998</v>
      </c>
      <c r="K21" s="88">
        <v>2.7650000000000001</v>
      </c>
      <c r="L21" s="222">
        <v>0.28999999999999998</v>
      </c>
      <c r="M21" s="222">
        <v>0.28399999999999997</v>
      </c>
      <c r="N21" s="222">
        <v>0.57999999999999996</v>
      </c>
    </row>
    <row r="22" spans="2:14">
      <c r="B22" s="24">
        <v>36</v>
      </c>
      <c r="C22" s="87">
        <v>2.1930000000000001</v>
      </c>
      <c r="D22" s="222">
        <v>2.5630000000000002</v>
      </c>
      <c r="E22" s="88">
        <v>2.548</v>
      </c>
      <c r="F22" s="87">
        <v>0.879</v>
      </c>
      <c r="G22" s="222">
        <v>0.41799999999999998</v>
      </c>
      <c r="H22" s="88">
        <v>0.46800000000000003</v>
      </c>
      <c r="I22" s="87">
        <v>1.919</v>
      </c>
      <c r="J22" s="222">
        <v>2.133</v>
      </c>
      <c r="K22" s="88">
        <v>2.4279999999999999</v>
      </c>
      <c r="L22" s="222">
        <v>0.32300000000000001</v>
      </c>
      <c r="M22" s="222">
        <v>0.29199999999999998</v>
      </c>
      <c r="N22" s="222">
        <v>0.56100000000000005</v>
      </c>
    </row>
    <row r="23" spans="2:14" ht="15" thickBot="1">
      <c r="B23" s="30">
        <v>48</v>
      </c>
      <c r="C23" s="89">
        <v>2.7149999999999999</v>
      </c>
      <c r="D23" s="31">
        <v>2.5379999999999998</v>
      </c>
      <c r="E23" s="90">
        <v>2.7919999999999998</v>
      </c>
      <c r="F23" s="89">
        <v>0.40799999999999997</v>
      </c>
      <c r="G23" s="31">
        <v>0.20200000000000001</v>
      </c>
      <c r="H23" s="90">
        <v>0.25</v>
      </c>
      <c r="I23" s="89">
        <v>1.4470000000000001</v>
      </c>
      <c r="J23" s="31">
        <v>1.5389999999999999</v>
      </c>
      <c r="K23" s="90">
        <v>1.911</v>
      </c>
      <c r="L23" s="31">
        <v>9.7000000000000003E-2</v>
      </c>
      <c r="M23" s="31">
        <v>0.153</v>
      </c>
      <c r="N23" s="31">
        <v>0.27400000000000002</v>
      </c>
    </row>
  </sheetData>
  <mergeCells count="8">
    <mergeCell ref="C5:E5"/>
    <mergeCell ref="F5:H5"/>
    <mergeCell ref="I5:K5"/>
    <mergeCell ref="L5:N5"/>
    <mergeCell ref="C16:E16"/>
    <mergeCell ref="F16:H16"/>
    <mergeCell ref="I16:K16"/>
    <mergeCell ref="L16:N16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D7342-ABDA-4559-A7A4-BAB8C1EDF724}">
  <dimension ref="B2:F8"/>
  <sheetViews>
    <sheetView workbookViewId="0">
      <selection activeCell="I23" sqref="I23"/>
    </sheetView>
  </sheetViews>
  <sheetFormatPr baseColWidth="10" defaultColWidth="9" defaultRowHeight="14"/>
  <cols>
    <col min="1" max="1" width="2.5" style="1" customWidth="1"/>
    <col min="2" max="2" width="9" style="1"/>
    <col min="3" max="3" width="21.1640625" style="1" customWidth="1"/>
    <col min="4" max="4" width="17" style="1" customWidth="1"/>
    <col min="5" max="5" width="23" style="1" customWidth="1"/>
    <col min="6" max="6" width="20.83203125" style="1" customWidth="1"/>
    <col min="7" max="16384" width="9" style="1"/>
  </cols>
  <sheetData>
    <row r="2" spans="2:6" ht="17" thickBot="1">
      <c r="B2" s="29" t="s">
        <v>235</v>
      </c>
    </row>
    <row r="3" spans="2:6">
      <c r="B3" s="141" t="s">
        <v>182</v>
      </c>
      <c r="C3" s="282" t="s">
        <v>68</v>
      </c>
      <c r="D3" s="284"/>
      <c r="E3" s="283" t="s">
        <v>193</v>
      </c>
      <c r="F3" s="283"/>
    </row>
    <row r="4" spans="2:6">
      <c r="B4" s="24">
        <v>0</v>
      </c>
      <c r="C4" s="87">
        <v>0</v>
      </c>
      <c r="D4" s="88">
        <v>0</v>
      </c>
      <c r="E4" s="222">
        <v>0</v>
      </c>
      <c r="F4" s="222">
        <v>0</v>
      </c>
    </row>
    <row r="5" spans="2:6">
      <c r="B5" s="24">
        <v>4</v>
      </c>
      <c r="C5" s="87">
        <v>1.7999999999999999E-2</v>
      </c>
      <c r="D5" s="88">
        <v>0.02</v>
      </c>
      <c r="E5" s="222">
        <v>3.7999999999999999E-2</v>
      </c>
      <c r="F5" s="222">
        <v>3.6999999999999998E-2</v>
      </c>
    </row>
    <row r="6" spans="2:6">
      <c r="B6" s="24">
        <v>8</v>
      </c>
      <c r="C6" s="87">
        <v>7.5999999999999998E-2</v>
      </c>
      <c r="D6" s="88">
        <v>7.9000000000000001E-2</v>
      </c>
      <c r="E6" s="222">
        <v>0.16900000000000001</v>
      </c>
      <c r="F6" s="222">
        <v>0.17</v>
      </c>
    </row>
    <row r="7" spans="2:6">
      <c r="B7" s="24">
        <v>12</v>
      </c>
      <c r="C7" s="87">
        <v>0.158</v>
      </c>
      <c r="D7" s="88">
        <v>0.155</v>
      </c>
      <c r="E7" s="222">
        <v>0.307</v>
      </c>
      <c r="F7" s="222">
        <v>0.29399999999999998</v>
      </c>
    </row>
    <row r="8" spans="2:6" ht="15" thickBot="1">
      <c r="B8" s="30">
        <v>24</v>
      </c>
      <c r="C8" s="89">
        <v>0.27300000000000002</v>
      </c>
      <c r="D8" s="90">
        <v>0.27200000000000002</v>
      </c>
      <c r="E8" s="31">
        <v>0.35699999999999998</v>
      </c>
      <c r="F8" s="31">
        <v>0.34899999999999998</v>
      </c>
    </row>
  </sheetData>
  <mergeCells count="2">
    <mergeCell ref="C3:D3"/>
    <mergeCell ref="E3:F3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D4829-233A-452F-AAF5-3DF160A61A52}">
  <dimension ref="B2:N11"/>
  <sheetViews>
    <sheetView workbookViewId="0">
      <selection activeCell="H31" sqref="H31"/>
    </sheetView>
  </sheetViews>
  <sheetFormatPr baseColWidth="10" defaultColWidth="9" defaultRowHeight="14"/>
  <cols>
    <col min="1" max="1" width="1.5" style="1" customWidth="1"/>
    <col min="2" max="2" width="9.83203125" style="1" customWidth="1"/>
    <col min="3" max="3" width="12.33203125" style="1" customWidth="1"/>
    <col min="4" max="4" width="13" style="1" customWidth="1"/>
    <col min="5" max="5" width="12.6640625" style="1" customWidth="1"/>
    <col min="6" max="6" width="14" style="1" customWidth="1"/>
    <col min="7" max="7" width="11.5" style="1" customWidth="1"/>
    <col min="8" max="8" width="12.1640625" style="1" customWidth="1"/>
    <col min="9" max="9" width="13.1640625" style="1" customWidth="1"/>
    <col min="10" max="10" width="11.33203125" style="1" customWidth="1"/>
    <col min="11" max="11" width="14.33203125" style="1" customWidth="1"/>
    <col min="12" max="12" width="9.33203125" style="1" customWidth="1"/>
    <col min="13" max="13" width="14.83203125" style="1" customWidth="1"/>
    <col min="14" max="14" width="12.5" style="1" customWidth="1"/>
    <col min="15" max="16384" width="9" style="1"/>
  </cols>
  <sheetData>
    <row r="2" spans="2:14" ht="16">
      <c r="B2" s="29" t="s">
        <v>171</v>
      </c>
    </row>
    <row r="3" spans="2:14" ht="15" thickBot="1">
      <c r="B3" s="29"/>
      <c r="C3" s="1" t="s">
        <v>236</v>
      </c>
    </row>
    <row r="4" spans="2:14">
      <c r="B4" s="141" t="s">
        <v>182</v>
      </c>
      <c r="C4" s="282" t="s">
        <v>101</v>
      </c>
      <c r="D4" s="284"/>
      <c r="E4" s="282" t="s">
        <v>189</v>
      </c>
      <c r="F4" s="284"/>
      <c r="G4" s="283" t="s">
        <v>102</v>
      </c>
      <c r="H4" s="283"/>
      <c r="I4" s="282" t="s">
        <v>190</v>
      </c>
      <c r="J4" s="284"/>
      <c r="K4" s="283" t="s">
        <v>103</v>
      </c>
      <c r="L4" s="283"/>
      <c r="M4" s="282" t="s">
        <v>191</v>
      </c>
      <c r="N4" s="283"/>
    </row>
    <row r="5" spans="2:14">
      <c r="B5" s="24">
        <v>0</v>
      </c>
      <c r="C5" s="87">
        <v>0</v>
      </c>
      <c r="D5" s="88">
        <v>0</v>
      </c>
      <c r="E5" s="87">
        <v>0</v>
      </c>
      <c r="F5" s="88">
        <v>0</v>
      </c>
      <c r="G5" s="222">
        <v>0</v>
      </c>
      <c r="H5" s="222">
        <v>0</v>
      </c>
      <c r="I5" s="87">
        <v>0</v>
      </c>
      <c r="J5" s="88">
        <v>0</v>
      </c>
      <c r="K5" s="222">
        <v>0</v>
      </c>
      <c r="L5" s="222">
        <v>0</v>
      </c>
      <c r="M5" s="87">
        <v>0</v>
      </c>
      <c r="N5" s="222">
        <v>0</v>
      </c>
    </row>
    <row r="6" spans="2:14">
      <c r="B6" s="24">
        <v>4</v>
      </c>
      <c r="C6" s="87">
        <v>9.4E-2</v>
      </c>
      <c r="D6" s="88">
        <v>9.6000000000000002E-2</v>
      </c>
      <c r="E6" s="87">
        <v>0.111</v>
      </c>
      <c r="F6" s="88">
        <v>9.0999999999999998E-2</v>
      </c>
      <c r="G6" s="222">
        <v>9.7000000000000003E-2</v>
      </c>
      <c r="H6" s="222">
        <v>0.121</v>
      </c>
      <c r="I6" s="87">
        <v>9.0999999999999998E-2</v>
      </c>
      <c r="J6" s="88">
        <v>9.5000000000000001E-2</v>
      </c>
      <c r="K6" s="222">
        <v>9.9000000000000005E-2</v>
      </c>
      <c r="L6" s="222">
        <v>0.11799999999999999</v>
      </c>
      <c r="M6" s="87">
        <v>9.7000000000000003E-2</v>
      </c>
      <c r="N6" s="222">
        <v>0.129</v>
      </c>
    </row>
    <row r="7" spans="2:14">
      <c r="B7" s="24">
        <v>8</v>
      </c>
      <c r="C7" s="87">
        <v>0.36799999999999999</v>
      </c>
      <c r="D7" s="88">
        <v>0.30199999999999999</v>
      </c>
      <c r="E7" s="87">
        <v>0.32900000000000001</v>
      </c>
      <c r="F7" s="88">
        <v>0.378</v>
      </c>
      <c r="G7" s="222">
        <v>0.35399999999999998</v>
      </c>
      <c r="H7" s="222">
        <v>0.375</v>
      </c>
      <c r="I7" s="87">
        <v>0.34899999999999998</v>
      </c>
      <c r="J7" s="88">
        <v>0.36599999999999999</v>
      </c>
      <c r="K7" s="222">
        <v>0.39600000000000002</v>
      </c>
      <c r="L7" s="222">
        <v>0.40500000000000003</v>
      </c>
      <c r="M7" s="87">
        <v>0.39200000000000002</v>
      </c>
      <c r="N7" s="222">
        <v>0.39</v>
      </c>
    </row>
    <row r="8" spans="2:14">
      <c r="B8" s="24">
        <v>12</v>
      </c>
      <c r="C8" s="87">
        <v>0.69699999999999995</v>
      </c>
      <c r="D8" s="88">
        <v>0.625</v>
      </c>
      <c r="E8" s="87">
        <v>0.624</v>
      </c>
      <c r="F8" s="88">
        <v>0.63300000000000001</v>
      </c>
      <c r="G8" s="222">
        <v>0.67700000000000005</v>
      </c>
      <c r="H8" s="222">
        <v>0.64</v>
      </c>
      <c r="I8" s="87">
        <v>0.61399999999999999</v>
      </c>
      <c r="J8" s="88">
        <v>0.63</v>
      </c>
      <c r="K8" s="222">
        <v>0.69399999999999995</v>
      </c>
      <c r="L8" s="222">
        <v>0.70199999999999996</v>
      </c>
      <c r="M8" s="87">
        <v>0.69899999999999995</v>
      </c>
      <c r="N8" s="222">
        <v>0.70099999999999996</v>
      </c>
    </row>
    <row r="9" spans="2:14">
      <c r="B9" s="24">
        <v>24</v>
      </c>
      <c r="C9" s="87">
        <v>1.1200000000000001</v>
      </c>
      <c r="D9" s="88">
        <v>1.1719999999999999</v>
      </c>
      <c r="E9" s="87">
        <v>1.0640000000000001</v>
      </c>
      <c r="F9" s="88">
        <v>1.1479999999999999</v>
      </c>
      <c r="G9" s="222">
        <v>1.1759999999999999</v>
      </c>
      <c r="H9" s="222">
        <v>1.1319999999999999</v>
      </c>
      <c r="I9" s="87">
        <v>1.1040000000000001</v>
      </c>
      <c r="J9" s="88">
        <v>1.1779999999999999</v>
      </c>
      <c r="K9" s="222">
        <v>1.262</v>
      </c>
      <c r="L9" s="222">
        <v>1.1739999999999999</v>
      </c>
      <c r="M9" s="87">
        <v>1.27</v>
      </c>
      <c r="N9" s="222">
        <v>1.258</v>
      </c>
    </row>
    <row r="10" spans="2:14">
      <c r="B10" s="24">
        <v>28</v>
      </c>
      <c r="C10" s="87">
        <v>1.016</v>
      </c>
      <c r="D10" s="88">
        <v>1.1140000000000001</v>
      </c>
      <c r="E10" s="87">
        <v>1.07</v>
      </c>
      <c r="F10" s="88">
        <v>1.0980000000000001</v>
      </c>
      <c r="G10" s="222">
        <v>1.1319999999999999</v>
      </c>
      <c r="H10" s="222">
        <v>1.1120000000000001</v>
      </c>
      <c r="I10" s="87">
        <v>1.1180000000000001</v>
      </c>
      <c r="J10" s="88">
        <v>1.1180000000000001</v>
      </c>
      <c r="K10" s="222">
        <v>1.1919999999999999</v>
      </c>
      <c r="L10" s="222">
        <v>1.198</v>
      </c>
      <c r="M10" s="87">
        <v>1.1779999999999999</v>
      </c>
      <c r="N10" s="222">
        <v>1.1419999999999999</v>
      </c>
    </row>
    <row r="11" spans="2:14" ht="15" thickBot="1">
      <c r="B11" s="30">
        <v>32</v>
      </c>
      <c r="C11" s="89">
        <v>1.008</v>
      </c>
      <c r="D11" s="90">
        <v>1.0760000000000001</v>
      </c>
      <c r="E11" s="89">
        <v>1.034</v>
      </c>
      <c r="F11" s="90">
        <v>1.0580000000000001</v>
      </c>
      <c r="G11" s="31">
        <v>1.1140000000000001</v>
      </c>
      <c r="H11" s="31">
        <v>1.08</v>
      </c>
      <c r="I11" s="89">
        <v>1.0660000000000001</v>
      </c>
      <c r="J11" s="90">
        <v>1.07</v>
      </c>
      <c r="K11" s="31">
        <v>1.1779999999999999</v>
      </c>
      <c r="L11" s="31">
        <v>1.1839999999999999</v>
      </c>
      <c r="M11" s="89">
        <v>1.1379999999999999</v>
      </c>
      <c r="N11" s="31">
        <v>1.1319999999999999</v>
      </c>
    </row>
  </sheetData>
  <mergeCells count="6">
    <mergeCell ref="M4:N4"/>
    <mergeCell ref="C4:D4"/>
    <mergeCell ref="E4:F4"/>
    <mergeCell ref="G4:H4"/>
    <mergeCell ref="I4:J4"/>
    <mergeCell ref="K4:L4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E7245-A829-4469-B4CA-FEBC84B841D6}">
  <dimension ref="B2:R20"/>
  <sheetViews>
    <sheetView workbookViewId="0">
      <selection activeCell="J34" sqref="J34"/>
    </sheetView>
  </sheetViews>
  <sheetFormatPr baseColWidth="10" defaultColWidth="9" defaultRowHeight="14"/>
  <cols>
    <col min="1" max="1" width="4" style="1" customWidth="1"/>
    <col min="2" max="2" width="9.1640625" style="1" bestFit="1" customWidth="1"/>
    <col min="3" max="18" width="13.33203125" style="1" bestFit="1" customWidth="1"/>
    <col min="19" max="16384" width="9" style="1"/>
  </cols>
  <sheetData>
    <row r="2" spans="2:18">
      <c r="B2" s="29" t="s">
        <v>172</v>
      </c>
    </row>
    <row r="4" spans="2:18">
      <c r="B4" s="29" t="s">
        <v>173</v>
      </c>
    </row>
    <row r="5" spans="2:18" ht="15" thickBot="1">
      <c r="B5" s="29"/>
      <c r="C5" s="1" t="s">
        <v>237</v>
      </c>
    </row>
    <row r="6" spans="2:18">
      <c r="B6" s="220" t="s">
        <v>11</v>
      </c>
      <c r="C6" s="282" t="s">
        <v>127</v>
      </c>
      <c r="D6" s="283"/>
      <c r="E6" s="283"/>
      <c r="F6" s="283"/>
      <c r="G6" s="283"/>
      <c r="H6" s="283"/>
      <c r="I6" s="283"/>
      <c r="J6" s="284"/>
      <c r="K6" s="283" t="s">
        <v>129</v>
      </c>
      <c r="L6" s="283"/>
      <c r="M6" s="283"/>
      <c r="N6" s="283"/>
      <c r="O6" s="283"/>
      <c r="P6" s="283"/>
      <c r="Q6" s="283"/>
      <c r="R6" s="283"/>
    </row>
    <row r="7" spans="2:18">
      <c r="B7" s="221">
        <v>0</v>
      </c>
      <c r="C7" s="77">
        <v>3140000000</v>
      </c>
      <c r="D7" s="143">
        <v>2820000000</v>
      </c>
      <c r="E7" s="143">
        <v>3010000000</v>
      </c>
      <c r="F7" s="143">
        <v>2890000000</v>
      </c>
      <c r="G7" s="143">
        <v>2970000000</v>
      </c>
      <c r="H7" s="143">
        <v>2930000000</v>
      </c>
      <c r="I7" s="143">
        <v>3330000000</v>
      </c>
      <c r="J7" s="75">
        <v>2850000000</v>
      </c>
      <c r="K7" s="143">
        <v>2830000000</v>
      </c>
      <c r="L7" s="143">
        <v>2590000000</v>
      </c>
      <c r="M7" s="143">
        <v>2600000000</v>
      </c>
      <c r="N7" s="143">
        <v>2460000000</v>
      </c>
      <c r="O7" s="143">
        <v>2590000000</v>
      </c>
      <c r="P7" s="143">
        <v>2010000000</v>
      </c>
      <c r="Q7" s="143">
        <v>2110000000</v>
      </c>
      <c r="R7" s="143">
        <v>2750000000</v>
      </c>
    </row>
    <row r="8" spans="2:18">
      <c r="B8" s="221">
        <v>4</v>
      </c>
      <c r="C8" s="77">
        <v>3600000000</v>
      </c>
      <c r="D8" s="143">
        <v>3070000000</v>
      </c>
      <c r="E8" s="143">
        <v>3100000000</v>
      </c>
      <c r="F8" s="143">
        <v>3580000000</v>
      </c>
      <c r="G8" s="143">
        <v>3720000000</v>
      </c>
      <c r="H8" s="143">
        <v>3640000000</v>
      </c>
      <c r="I8" s="143">
        <v>3680000000</v>
      </c>
      <c r="J8" s="75">
        <v>3680000000</v>
      </c>
      <c r="K8" s="143">
        <v>3100000000</v>
      </c>
      <c r="L8" s="143">
        <v>3020000000</v>
      </c>
      <c r="M8" s="143">
        <v>3160000000</v>
      </c>
      <c r="N8" s="143">
        <v>3210000000</v>
      </c>
      <c r="O8" s="143">
        <v>2720000000</v>
      </c>
      <c r="P8" s="143">
        <v>3140000000</v>
      </c>
      <c r="Q8" s="143">
        <v>2870000000</v>
      </c>
      <c r="R8" s="143">
        <v>3060000000</v>
      </c>
    </row>
    <row r="9" spans="2:18">
      <c r="B9" s="221">
        <v>7</v>
      </c>
      <c r="C9" s="77">
        <v>4160000000</v>
      </c>
      <c r="D9" s="143">
        <v>3440000000</v>
      </c>
      <c r="E9" s="143">
        <v>3560000000</v>
      </c>
      <c r="F9" s="143">
        <v>4280000000</v>
      </c>
      <c r="G9" s="143">
        <v>3610000000</v>
      </c>
      <c r="H9" s="143">
        <v>3550000000</v>
      </c>
      <c r="I9" s="143">
        <v>3830000000</v>
      </c>
      <c r="J9" s="75">
        <v>3610000000</v>
      </c>
      <c r="K9" s="143">
        <v>3650000000</v>
      </c>
      <c r="L9" s="143">
        <v>3360000000</v>
      </c>
      <c r="M9" s="143">
        <v>3450000000</v>
      </c>
      <c r="N9" s="143">
        <v>3500000000</v>
      </c>
      <c r="O9" s="143">
        <v>2720000000</v>
      </c>
      <c r="P9" s="143">
        <v>2920000000</v>
      </c>
      <c r="Q9" s="143">
        <v>2480000000</v>
      </c>
      <c r="R9" s="143">
        <v>2840000000</v>
      </c>
    </row>
    <row r="10" spans="2:18">
      <c r="B10" s="221">
        <v>10</v>
      </c>
      <c r="C10" s="77">
        <v>2990000000</v>
      </c>
      <c r="D10" s="143">
        <v>2800000000</v>
      </c>
      <c r="E10" s="143">
        <v>2520000000</v>
      </c>
      <c r="F10" s="143">
        <v>3290000000</v>
      </c>
      <c r="G10" s="143">
        <v>3140000000</v>
      </c>
      <c r="H10" s="143">
        <v>2950000000</v>
      </c>
      <c r="I10" s="143">
        <v>3010000000</v>
      </c>
      <c r="J10" s="75">
        <v>5680000000</v>
      </c>
      <c r="K10" s="143">
        <v>3430000000</v>
      </c>
      <c r="L10" s="143">
        <v>3100000000</v>
      </c>
      <c r="M10" s="143">
        <v>3150000000</v>
      </c>
      <c r="N10" s="143">
        <v>3520000000</v>
      </c>
      <c r="O10" s="143">
        <v>2900000000</v>
      </c>
      <c r="P10" s="143">
        <v>2990000000</v>
      </c>
      <c r="Q10" s="143">
        <v>2810000000</v>
      </c>
      <c r="R10" s="143">
        <v>3000000000</v>
      </c>
    </row>
    <row r="11" spans="2:18" ht="15" thickBot="1">
      <c r="B11" s="34">
        <v>20</v>
      </c>
      <c r="C11" s="78">
        <v>2940000000</v>
      </c>
      <c r="D11" s="33">
        <v>2720000000</v>
      </c>
      <c r="E11" s="33">
        <v>2850000000</v>
      </c>
      <c r="F11" s="33">
        <v>2090000000</v>
      </c>
      <c r="G11" s="33">
        <v>3110000000</v>
      </c>
      <c r="H11" s="33">
        <v>2680000000</v>
      </c>
      <c r="I11" s="33">
        <v>2910000000</v>
      </c>
      <c r="J11" s="76">
        <v>3100000000</v>
      </c>
      <c r="K11" s="33">
        <v>3240000000</v>
      </c>
      <c r="L11" s="33">
        <v>2930000000</v>
      </c>
      <c r="M11" s="33">
        <v>2950000000</v>
      </c>
      <c r="N11" s="33">
        <v>3030000000</v>
      </c>
      <c r="O11" s="33">
        <v>2560000000</v>
      </c>
      <c r="P11" s="33">
        <v>2560000000</v>
      </c>
      <c r="Q11" s="33">
        <v>2570000000</v>
      </c>
      <c r="R11" s="33">
        <v>2550000000</v>
      </c>
    </row>
    <row r="12" spans="2:18" ht="6" customHeight="1"/>
    <row r="13" spans="2:18">
      <c r="B13" s="29" t="s">
        <v>174</v>
      </c>
    </row>
    <row r="14" spans="2:18" ht="15" thickBot="1">
      <c r="B14" s="29"/>
      <c r="C14" s="1" t="s">
        <v>130</v>
      </c>
    </row>
    <row r="15" spans="2:18">
      <c r="B15" s="141" t="s">
        <v>9</v>
      </c>
      <c r="C15" s="282" t="s">
        <v>128</v>
      </c>
      <c r="D15" s="283"/>
      <c r="E15" s="283"/>
      <c r="F15" s="283"/>
      <c r="G15" s="283"/>
      <c r="H15" s="283"/>
      <c r="I15" s="283"/>
      <c r="J15" s="284"/>
      <c r="K15" s="283" t="s">
        <v>129</v>
      </c>
      <c r="L15" s="283"/>
      <c r="M15" s="283"/>
      <c r="N15" s="283"/>
      <c r="O15" s="283"/>
      <c r="P15" s="283"/>
      <c r="Q15" s="283"/>
      <c r="R15" s="283"/>
    </row>
    <row r="16" spans="2:18">
      <c r="B16" s="24">
        <v>0</v>
      </c>
      <c r="C16" s="77">
        <v>76800000</v>
      </c>
      <c r="D16" s="143">
        <v>82100000</v>
      </c>
      <c r="E16" s="143">
        <v>83100000</v>
      </c>
      <c r="F16" s="143">
        <v>82900000</v>
      </c>
      <c r="G16" s="143">
        <v>96000000</v>
      </c>
      <c r="H16" s="143">
        <v>100000000</v>
      </c>
      <c r="I16" s="143">
        <v>114000000</v>
      </c>
      <c r="J16" s="75">
        <v>122000000</v>
      </c>
      <c r="K16" s="143">
        <v>112000000</v>
      </c>
      <c r="L16" s="143">
        <v>109000000</v>
      </c>
      <c r="M16" s="143">
        <v>99400000</v>
      </c>
      <c r="N16" s="143">
        <v>96800000</v>
      </c>
      <c r="O16" s="143">
        <v>109000000</v>
      </c>
      <c r="P16" s="143">
        <v>87000000</v>
      </c>
      <c r="Q16" s="143">
        <v>92800000</v>
      </c>
      <c r="R16" s="143">
        <v>109000000</v>
      </c>
    </row>
    <row r="17" spans="2:18">
      <c r="B17" s="24">
        <v>4</v>
      </c>
      <c r="C17" s="77">
        <v>334000000</v>
      </c>
      <c r="D17" s="143">
        <v>289000000</v>
      </c>
      <c r="E17" s="143">
        <v>325000000</v>
      </c>
      <c r="F17" s="143">
        <v>300000000</v>
      </c>
      <c r="G17" s="143">
        <v>180000000</v>
      </c>
      <c r="H17" s="143">
        <v>171000000</v>
      </c>
      <c r="I17" s="143">
        <v>192000000</v>
      </c>
      <c r="J17" s="75">
        <v>198000000</v>
      </c>
      <c r="K17" s="143">
        <v>208000000</v>
      </c>
      <c r="L17" s="143">
        <v>177000000</v>
      </c>
      <c r="M17" s="143">
        <v>187000000</v>
      </c>
      <c r="N17" s="143">
        <v>184000000</v>
      </c>
      <c r="O17" s="143">
        <v>193000000</v>
      </c>
      <c r="P17" s="143">
        <v>202000000</v>
      </c>
      <c r="Q17" s="143">
        <v>208000000</v>
      </c>
      <c r="R17" s="143">
        <v>251000000</v>
      </c>
    </row>
    <row r="18" spans="2:18">
      <c r="B18" s="24">
        <v>8</v>
      </c>
      <c r="C18" s="77">
        <v>459000000</v>
      </c>
      <c r="D18" s="143">
        <v>415000000</v>
      </c>
      <c r="E18" s="143">
        <v>399000000</v>
      </c>
      <c r="F18" s="143">
        <v>488000000</v>
      </c>
      <c r="G18" s="143">
        <v>184000000</v>
      </c>
      <c r="H18" s="143">
        <v>189000000</v>
      </c>
      <c r="I18" s="143">
        <v>174000000</v>
      </c>
      <c r="J18" s="75">
        <v>204000000</v>
      </c>
      <c r="K18" s="143">
        <v>191000000</v>
      </c>
      <c r="L18" s="143">
        <v>175000000</v>
      </c>
      <c r="M18" s="143">
        <v>177000000</v>
      </c>
      <c r="N18" s="143">
        <v>307000000</v>
      </c>
      <c r="O18" s="143">
        <v>159000000</v>
      </c>
      <c r="P18" s="143">
        <v>157000000</v>
      </c>
      <c r="Q18" s="143">
        <v>140000000</v>
      </c>
      <c r="R18" s="143">
        <v>216000000</v>
      </c>
    </row>
    <row r="19" spans="2:18" ht="15" thickBot="1">
      <c r="B19" s="30">
        <v>12</v>
      </c>
      <c r="C19" s="78">
        <v>856000000</v>
      </c>
      <c r="D19" s="33">
        <v>794000000</v>
      </c>
      <c r="E19" s="33">
        <v>798000000</v>
      </c>
      <c r="F19" s="33">
        <v>816000000</v>
      </c>
      <c r="G19" s="33">
        <v>181000000</v>
      </c>
      <c r="H19" s="33">
        <v>170000000</v>
      </c>
      <c r="I19" s="33">
        <v>169000000</v>
      </c>
      <c r="J19" s="76">
        <v>179000000</v>
      </c>
      <c r="K19" s="33">
        <v>184000000</v>
      </c>
      <c r="L19" s="33">
        <v>155000000</v>
      </c>
      <c r="M19" s="33">
        <v>161000000</v>
      </c>
      <c r="N19" s="33">
        <v>171000000</v>
      </c>
      <c r="O19" s="33">
        <v>137000000</v>
      </c>
      <c r="P19" s="33">
        <v>222000000</v>
      </c>
      <c r="Q19" s="33">
        <v>164000000</v>
      </c>
      <c r="R19" s="33">
        <v>153000000</v>
      </c>
    </row>
    <row r="20" spans="2:18" ht="15">
      <c r="B20" s="35" t="s">
        <v>83</v>
      </c>
    </row>
  </sheetData>
  <mergeCells count="4">
    <mergeCell ref="C6:J6"/>
    <mergeCell ref="K6:R6"/>
    <mergeCell ref="C15:J15"/>
    <mergeCell ref="K15:R15"/>
  </mergeCells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54C7B-FB3B-4663-9758-2E42C39FE794}">
  <dimension ref="B2:F16"/>
  <sheetViews>
    <sheetView workbookViewId="0">
      <selection activeCell="K24" sqref="K24"/>
    </sheetView>
  </sheetViews>
  <sheetFormatPr baseColWidth="10" defaultColWidth="9" defaultRowHeight="14"/>
  <cols>
    <col min="1" max="1" width="3" style="1" customWidth="1"/>
    <col min="2" max="2" width="40.6640625" style="1" customWidth="1"/>
    <col min="3" max="3" width="14.83203125" style="1" customWidth="1"/>
    <col min="4" max="4" width="16.33203125" style="1" customWidth="1"/>
    <col min="5" max="5" width="13" style="1" customWidth="1"/>
    <col min="6" max="6" width="14.6640625" style="1" customWidth="1"/>
    <col min="7" max="16384" width="9" style="1"/>
  </cols>
  <sheetData>
    <row r="2" spans="2:6">
      <c r="B2" s="29" t="s">
        <v>175</v>
      </c>
    </row>
    <row r="3" spans="2:6" ht="15" thickBot="1">
      <c r="B3" s="1" t="s">
        <v>238</v>
      </c>
    </row>
    <row r="4" spans="2:6" ht="15">
      <c r="B4" s="296" t="s">
        <v>58</v>
      </c>
      <c r="C4" s="294" t="s">
        <v>192</v>
      </c>
      <c r="D4" s="295"/>
      <c r="E4" s="294" t="s">
        <v>59</v>
      </c>
      <c r="F4" s="295"/>
    </row>
    <row r="5" spans="2:6">
      <c r="B5" s="297"/>
      <c r="C5" s="69" t="s">
        <v>30</v>
      </c>
      <c r="D5" s="70" t="s">
        <v>57</v>
      </c>
      <c r="E5" s="69" t="s">
        <v>30</v>
      </c>
      <c r="F5" s="70" t="s">
        <v>57</v>
      </c>
    </row>
    <row r="6" spans="2:6">
      <c r="B6" s="219" t="s">
        <v>77</v>
      </c>
      <c r="C6" s="143">
        <v>7110000000</v>
      </c>
      <c r="D6" s="143">
        <v>434000000</v>
      </c>
      <c r="E6" s="143">
        <v>59300000000</v>
      </c>
      <c r="F6" s="143">
        <v>6250000000</v>
      </c>
    </row>
    <row r="7" spans="2:6">
      <c r="B7" s="219" t="s">
        <v>85</v>
      </c>
      <c r="C7" s="143">
        <v>1970000000</v>
      </c>
      <c r="D7" s="143">
        <v>85300000</v>
      </c>
      <c r="E7" s="143">
        <v>135000000000</v>
      </c>
      <c r="F7" s="143">
        <v>7050000000</v>
      </c>
    </row>
    <row r="8" spans="2:6">
      <c r="B8" s="219" t="s">
        <v>78</v>
      </c>
      <c r="C8" s="143">
        <v>2160000000</v>
      </c>
      <c r="D8" s="143">
        <v>142000000</v>
      </c>
      <c r="E8" s="143">
        <v>153000000000</v>
      </c>
      <c r="F8" s="143">
        <v>11200000000</v>
      </c>
    </row>
    <row r="9" spans="2:6">
      <c r="B9" s="219" t="s">
        <v>86</v>
      </c>
      <c r="C9" s="143">
        <v>1970000000</v>
      </c>
      <c r="D9" s="143">
        <v>170000000</v>
      </c>
      <c r="E9" s="143">
        <v>144000000000</v>
      </c>
      <c r="F9" s="143">
        <v>4740000000</v>
      </c>
    </row>
    <row r="10" spans="2:6">
      <c r="B10" s="219" t="s">
        <v>79</v>
      </c>
      <c r="C10" s="143">
        <v>1830000000</v>
      </c>
      <c r="D10" s="143">
        <v>31900000</v>
      </c>
      <c r="E10" s="143">
        <v>130000000000</v>
      </c>
      <c r="F10" s="143">
        <v>3780000000</v>
      </c>
    </row>
    <row r="11" spans="2:6">
      <c r="B11" s="219" t="s">
        <v>87</v>
      </c>
      <c r="C11" s="143">
        <v>1420000000</v>
      </c>
      <c r="D11" s="143">
        <v>156000000</v>
      </c>
      <c r="E11" s="143">
        <v>112000000000</v>
      </c>
      <c r="F11" s="143">
        <v>9600000000</v>
      </c>
    </row>
    <row r="12" spans="2:6">
      <c r="B12" s="219" t="s">
        <v>80</v>
      </c>
      <c r="C12" s="143">
        <v>199000000</v>
      </c>
      <c r="D12" s="143">
        <v>11900000</v>
      </c>
      <c r="E12" s="143">
        <v>50300000000</v>
      </c>
      <c r="F12" s="143">
        <v>1480000000</v>
      </c>
    </row>
    <row r="13" spans="2:6">
      <c r="B13" s="219" t="s">
        <v>88</v>
      </c>
      <c r="C13" s="143">
        <v>192000000</v>
      </c>
      <c r="D13" s="143">
        <v>19200000</v>
      </c>
      <c r="E13" s="143">
        <v>46100000000</v>
      </c>
      <c r="F13" s="143">
        <v>1050000000</v>
      </c>
    </row>
    <row r="14" spans="2:6">
      <c r="B14" s="219" t="s">
        <v>81</v>
      </c>
      <c r="C14" s="143">
        <v>265000000</v>
      </c>
      <c r="D14" s="143">
        <v>12100000</v>
      </c>
      <c r="E14" s="143">
        <v>63300000000</v>
      </c>
      <c r="F14" s="143">
        <v>3530000000</v>
      </c>
    </row>
    <row r="15" spans="2:6" ht="15" thickBot="1">
      <c r="B15" s="32" t="s">
        <v>89</v>
      </c>
      <c r="C15" s="33">
        <v>229000000</v>
      </c>
      <c r="D15" s="33">
        <v>7050000</v>
      </c>
      <c r="E15" s="33">
        <v>45800000000</v>
      </c>
      <c r="F15" s="33">
        <v>3000000000</v>
      </c>
    </row>
    <row r="16" spans="2:6" ht="15">
      <c r="B16" s="1" t="s">
        <v>84</v>
      </c>
    </row>
  </sheetData>
  <mergeCells count="3">
    <mergeCell ref="C4:D4"/>
    <mergeCell ref="E4:F4"/>
    <mergeCell ref="B4:B5"/>
  </mergeCells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82185-1A49-473D-B7B7-4F3ABCEA6549}">
  <dimension ref="B2:H27"/>
  <sheetViews>
    <sheetView zoomScale="90" zoomScaleNormal="90" workbookViewId="0">
      <selection activeCell="I38" sqref="I38"/>
    </sheetView>
  </sheetViews>
  <sheetFormatPr baseColWidth="10" defaultColWidth="9" defaultRowHeight="14"/>
  <cols>
    <col min="1" max="1" width="3" style="1" customWidth="1"/>
    <col min="2" max="2" width="40.5" style="1" customWidth="1"/>
    <col min="3" max="3" width="20" style="1" customWidth="1"/>
    <col min="4" max="4" width="14.6640625" style="1" customWidth="1"/>
    <col min="5" max="5" width="13.5" style="1" customWidth="1"/>
    <col min="6" max="6" width="13" style="1" customWidth="1"/>
    <col min="7" max="7" width="13.33203125" style="1" customWidth="1"/>
    <col min="8" max="8" width="15" style="1" customWidth="1"/>
    <col min="9" max="16384" width="9" style="1"/>
  </cols>
  <sheetData>
    <row r="2" spans="2:6">
      <c r="B2" s="29" t="s">
        <v>176</v>
      </c>
    </row>
    <row r="4" spans="2:6">
      <c r="B4" s="29" t="s">
        <v>177</v>
      </c>
    </row>
    <row r="5" spans="2:6" ht="15" thickBot="1">
      <c r="B5" s="1" t="s">
        <v>239</v>
      </c>
    </row>
    <row r="6" spans="2:6">
      <c r="B6" s="298" t="s">
        <v>58</v>
      </c>
      <c r="C6" s="294" t="s">
        <v>192</v>
      </c>
      <c r="D6" s="300"/>
      <c r="E6" s="301" t="s">
        <v>59</v>
      </c>
      <c r="F6" s="300"/>
    </row>
    <row r="7" spans="2:6">
      <c r="B7" s="299"/>
      <c r="C7" s="69" t="s">
        <v>30</v>
      </c>
      <c r="D7" s="70" t="s">
        <v>57</v>
      </c>
      <c r="E7" s="84" t="s">
        <v>30</v>
      </c>
      <c r="F7" s="70" t="s">
        <v>57</v>
      </c>
    </row>
    <row r="8" spans="2:6">
      <c r="B8" s="85" t="s">
        <v>69</v>
      </c>
      <c r="C8" s="143">
        <v>3870000000</v>
      </c>
      <c r="D8" s="143">
        <v>209000000</v>
      </c>
      <c r="E8" s="77">
        <v>235000000000</v>
      </c>
      <c r="F8" s="143">
        <v>4830000000</v>
      </c>
    </row>
    <row r="9" spans="2:6">
      <c r="B9" s="85" t="s">
        <v>73</v>
      </c>
      <c r="C9" s="143">
        <v>4770000000</v>
      </c>
      <c r="D9" s="143">
        <v>244000000</v>
      </c>
      <c r="E9" s="77">
        <v>230000000000</v>
      </c>
      <c r="F9" s="143">
        <v>6890000000</v>
      </c>
    </row>
    <row r="10" spans="2:6">
      <c r="B10" s="85" t="s">
        <v>70</v>
      </c>
      <c r="C10" s="143">
        <v>2350000000</v>
      </c>
      <c r="D10" s="143">
        <v>229000000</v>
      </c>
      <c r="E10" s="77">
        <v>279000000000</v>
      </c>
      <c r="F10" s="143">
        <v>14800000000</v>
      </c>
    </row>
    <row r="11" spans="2:6">
      <c r="B11" s="85" t="s">
        <v>74</v>
      </c>
      <c r="C11" s="143">
        <v>3120000000</v>
      </c>
      <c r="D11" s="143">
        <v>82200000</v>
      </c>
      <c r="E11" s="77">
        <v>376000000000</v>
      </c>
      <c r="F11" s="143">
        <v>12000000000</v>
      </c>
    </row>
    <row r="12" spans="2:6">
      <c r="B12" s="85" t="s">
        <v>71</v>
      </c>
      <c r="C12" s="143">
        <v>4620000000</v>
      </c>
      <c r="D12" s="143">
        <v>529000000</v>
      </c>
      <c r="E12" s="77">
        <v>333000000000</v>
      </c>
      <c r="F12" s="143">
        <v>16400000000</v>
      </c>
    </row>
    <row r="13" spans="2:6">
      <c r="B13" s="85" t="s">
        <v>75</v>
      </c>
      <c r="C13" s="143">
        <v>2420000000</v>
      </c>
      <c r="D13" s="143">
        <v>217000000</v>
      </c>
      <c r="E13" s="77">
        <v>262000000000</v>
      </c>
      <c r="F13" s="143">
        <v>13100000000</v>
      </c>
    </row>
    <row r="14" spans="2:6">
      <c r="B14" s="85" t="s">
        <v>72</v>
      </c>
      <c r="C14" s="143">
        <v>3170000000</v>
      </c>
      <c r="D14" s="143">
        <v>116000000</v>
      </c>
      <c r="E14" s="77">
        <v>347000000000</v>
      </c>
      <c r="F14" s="143">
        <v>21200000000</v>
      </c>
    </row>
    <row r="15" spans="2:6" ht="15" thickBot="1">
      <c r="B15" s="86" t="s">
        <v>76</v>
      </c>
      <c r="C15" s="33">
        <v>3910000000</v>
      </c>
      <c r="D15" s="33">
        <v>246000000</v>
      </c>
      <c r="E15" s="78">
        <v>325000000000</v>
      </c>
      <c r="F15" s="33">
        <v>29200000000</v>
      </c>
    </row>
    <row r="16" spans="2:6" ht="4.5" customHeight="1"/>
    <row r="17" spans="2:8" ht="15" thickBot="1">
      <c r="B17" s="29" t="s">
        <v>240</v>
      </c>
    </row>
    <row r="18" spans="2:8">
      <c r="B18" s="218" t="s">
        <v>58</v>
      </c>
      <c r="C18" s="282" t="s">
        <v>61</v>
      </c>
      <c r="D18" s="284"/>
      <c r="E18" s="283" t="s">
        <v>131</v>
      </c>
      <c r="F18" s="283"/>
      <c r="G18" s="282" t="s">
        <v>133</v>
      </c>
      <c r="H18" s="283"/>
    </row>
    <row r="19" spans="2:8">
      <c r="B19" s="71" t="s">
        <v>69</v>
      </c>
      <c r="C19" s="72">
        <v>1.45</v>
      </c>
      <c r="D19" s="73">
        <v>1.49</v>
      </c>
      <c r="E19" s="74">
        <v>8.26</v>
      </c>
      <c r="F19" s="74">
        <v>8.25</v>
      </c>
      <c r="G19" s="72">
        <v>0.64</v>
      </c>
      <c r="H19" s="74">
        <v>0.67</v>
      </c>
    </row>
    <row r="20" spans="2:8">
      <c r="B20" s="219" t="s">
        <v>73</v>
      </c>
      <c r="C20" s="46">
        <v>1.61</v>
      </c>
      <c r="D20" s="47">
        <v>1.52</v>
      </c>
      <c r="E20" s="24">
        <v>6.75</v>
      </c>
      <c r="F20" s="24">
        <v>8.19</v>
      </c>
      <c r="G20" s="46">
        <v>0.6</v>
      </c>
      <c r="H20" s="24">
        <v>0.72</v>
      </c>
    </row>
    <row r="21" spans="2:8">
      <c r="B21" s="219" t="s">
        <v>70</v>
      </c>
      <c r="C21" s="46">
        <v>1.7</v>
      </c>
      <c r="D21" s="47">
        <v>1.56</v>
      </c>
      <c r="E21" s="24">
        <v>6.65</v>
      </c>
      <c r="F21" s="24">
        <v>8.1999999999999993</v>
      </c>
      <c r="G21" s="46">
        <v>0.56000000000000005</v>
      </c>
      <c r="H21" s="24">
        <v>0.63</v>
      </c>
    </row>
    <row r="22" spans="2:8">
      <c r="B22" s="219" t="s">
        <v>74</v>
      </c>
      <c r="C22" s="46">
        <v>2.91</v>
      </c>
      <c r="D22" s="47">
        <v>2.9</v>
      </c>
      <c r="E22" s="24">
        <v>5.45</v>
      </c>
      <c r="F22" s="24">
        <v>4.97</v>
      </c>
      <c r="G22" s="46">
        <v>1.98</v>
      </c>
      <c r="H22" s="24">
        <v>1.62</v>
      </c>
    </row>
    <row r="23" spans="2:8">
      <c r="B23" s="219" t="s">
        <v>71</v>
      </c>
      <c r="C23" s="46">
        <v>3.39</v>
      </c>
      <c r="D23" s="47">
        <v>3.1</v>
      </c>
      <c r="E23" s="24">
        <v>4.9800000000000004</v>
      </c>
      <c r="F23" s="24">
        <v>5.41</v>
      </c>
      <c r="G23" s="46">
        <v>2.4</v>
      </c>
      <c r="H23" s="24">
        <v>2.25</v>
      </c>
    </row>
    <row r="24" spans="2:8">
      <c r="B24" s="219" t="s">
        <v>75</v>
      </c>
      <c r="C24" s="46">
        <v>3.28</v>
      </c>
      <c r="D24" s="47">
        <v>3.01</v>
      </c>
      <c r="E24" s="24">
        <v>5.12</v>
      </c>
      <c r="F24" s="24">
        <v>5.57</v>
      </c>
      <c r="G24" s="46">
        <v>1.71</v>
      </c>
      <c r="H24" s="24">
        <v>2.13</v>
      </c>
    </row>
    <row r="25" spans="2:8">
      <c r="B25" s="219" t="s">
        <v>72</v>
      </c>
      <c r="C25" s="46">
        <v>3.62</v>
      </c>
      <c r="D25" s="47">
        <v>3.13</v>
      </c>
      <c r="E25" s="24">
        <v>4.3</v>
      </c>
      <c r="F25" s="24">
        <v>4.8600000000000003</v>
      </c>
      <c r="G25" s="46">
        <v>2.2799999999999998</v>
      </c>
      <c r="H25" s="24">
        <v>2.5099999999999998</v>
      </c>
    </row>
    <row r="26" spans="2:8" ht="15" thickBot="1">
      <c r="B26" s="32" t="s">
        <v>76</v>
      </c>
      <c r="C26" s="45">
        <v>3.23</v>
      </c>
      <c r="D26" s="44">
        <v>3.15</v>
      </c>
      <c r="E26" s="30">
        <v>4.67</v>
      </c>
      <c r="F26" s="30">
        <v>4.75</v>
      </c>
      <c r="G26" s="45">
        <v>2.06</v>
      </c>
      <c r="H26" s="30">
        <v>2.23</v>
      </c>
    </row>
    <row r="27" spans="2:8">
      <c r="B27" s="1" t="s">
        <v>82</v>
      </c>
    </row>
  </sheetData>
  <mergeCells count="6">
    <mergeCell ref="G18:H18"/>
    <mergeCell ref="B6:B7"/>
    <mergeCell ref="C6:D6"/>
    <mergeCell ref="E6:F6"/>
    <mergeCell ref="C18:D18"/>
    <mergeCell ref="E18:F18"/>
  </mergeCells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CB59E-E27E-4533-AFA6-042724ABEE83}">
  <dimension ref="B2:AE53"/>
  <sheetViews>
    <sheetView zoomScale="84" zoomScaleNormal="84" workbookViewId="0">
      <selection activeCell="B11" sqref="B11"/>
    </sheetView>
  </sheetViews>
  <sheetFormatPr baseColWidth="10" defaultColWidth="9" defaultRowHeight="14"/>
  <cols>
    <col min="1" max="1" width="1.83203125" style="1" customWidth="1"/>
    <col min="2" max="14" width="9" style="1"/>
    <col min="15" max="15" width="1.5" style="1" customWidth="1"/>
    <col min="16" max="16384" width="9" style="1"/>
  </cols>
  <sheetData>
    <row r="2" spans="2:31">
      <c r="B2" s="1" t="s">
        <v>178</v>
      </c>
    </row>
    <row r="3" spans="2:31" ht="16">
      <c r="C3" s="1" t="s">
        <v>241</v>
      </c>
    </row>
    <row r="5" spans="2:31" ht="15" thickBot="1">
      <c r="B5" s="1" t="s">
        <v>96</v>
      </c>
      <c r="P5" s="1" t="s">
        <v>104</v>
      </c>
    </row>
    <row r="6" spans="2:31" ht="15">
      <c r="B6" s="49" t="s">
        <v>182</v>
      </c>
      <c r="C6" s="272" t="s">
        <v>12</v>
      </c>
      <c r="D6" s="273"/>
      <c r="E6" s="274"/>
      <c r="F6" s="272" t="s">
        <v>95</v>
      </c>
      <c r="G6" s="273"/>
      <c r="H6" s="274"/>
      <c r="I6" s="275" t="s">
        <v>100</v>
      </c>
      <c r="J6" s="273"/>
      <c r="K6" s="273"/>
      <c r="L6" s="272" t="s">
        <v>13</v>
      </c>
      <c r="M6" s="273"/>
      <c r="N6" s="273"/>
      <c r="P6" s="141" t="s">
        <v>182</v>
      </c>
      <c r="Q6" s="282" t="s">
        <v>14</v>
      </c>
      <c r="R6" s="302"/>
      <c r="S6" s="303"/>
      <c r="T6" s="283" t="s">
        <v>15</v>
      </c>
      <c r="U6" s="302"/>
      <c r="V6" s="302"/>
      <c r="W6" s="282" t="s">
        <v>95</v>
      </c>
      <c r="X6" s="302"/>
      <c r="Y6" s="303"/>
      <c r="Z6" s="283" t="s">
        <v>100</v>
      </c>
      <c r="AA6" s="302"/>
      <c r="AB6" s="302"/>
      <c r="AC6" s="282" t="s">
        <v>13</v>
      </c>
      <c r="AD6" s="302"/>
      <c r="AE6" s="302"/>
    </row>
    <row r="7" spans="2:31">
      <c r="B7" s="2">
        <v>0</v>
      </c>
      <c r="C7" s="154">
        <v>0</v>
      </c>
      <c r="D7" s="20">
        <v>0</v>
      </c>
      <c r="E7" s="155">
        <v>0</v>
      </c>
      <c r="F7" s="154">
        <v>20.303734903667813</v>
      </c>
      <c r="G7" s="20">
        <v>21.128881887557146</v>
      </c>
      <c r="H7" s="155">
        <v>20.572873687239309</v>
      </c>
      <c r="I7" s="20">
        <v>4.2217248990484002</v>
      </c>
      <c r="J7" s="20">
        <v>3.2000735874901332</v>
      </c>
      <c r="K7" s="20">
        <v>3.0879426176877329</v>
      </c>
      <c r="L7" s="154">
        <f>F7+I7</f>
        <v>24.525459802716213</v>
      </c>
      <c r="M7" s="20">
        <f>G7+J7</f>
        <v>24.32895547504728</v>
      </c>
      <c r="N7" s="20">
        <f>H7+K7</f>
        <v>23.660816304927042</v>
      </c>
      <c r="P7" s="24">
        <v>0</v>
      </c>
      <c r="Q7" s="40">
        <v>0</v>
      </c>
      <c r="R7" s="22">
        <v>0</v>
      </c>
      <c r="S7" s="41">
        <v>0</v>
      </c>
      <c r="T7" s="22">
        <v>0</v>
      </c>
      <c r="U7" s="22">
        <v>0</v>
      </c>
      <c r="V7" s="22">
        <v>0</v>
      </c>
      <c r="W7" s="40">
        <v>0</v>
      </c>
      <c r="X7" s="22">
        <v>0</v>
      </c>
      <c r="Y7" s="41">
        <v>0</v>
      </c>
      <c r="Z7" s="22">
        <v>25.208979452782401</v>
      </c>
      <c r="AA7" s="22">
        <v>25.081128281267599</v>
      </c>
      <c r="AB7" s="22">
        <v>25.200826253311</v>
      </c>
      <c r="AC7" s="40">
        <f t="shared" ref="AC7:AE14" si="0">W7+Z7</f>
        <v>25.208979452782401</v>
      </c>
      <c r="AD7" s="22">
        <f t="shared" si="0"/>
        <v>25.081128281267599</v>
      </c>
      <c r="AE7" s="22">
        <f t="shared" si="0"/>
        <v>25.200826253311</v>
      </c>
    </row>
    <row r="8" spans="2:31">
      <c r="B8" s="2">
        <v>8</v>
      </c>
      <c r="C8" s="154">
        <v>0.18977891508539066</v>
      </c>
      <c r="D8" s="20">
        <v>0.1961374869825816</v>
      </c>
      <c r="E8" s="155">
        <v>0.25556567817555842</v>
      </c>
      <c r="F8" s="154">
        <v>15.696134728215814</v>
      </c>
      <c r="G8" s="20">
        <v>15.296400660294321</v>
      </c>
      <c r="H8" s="155">
        <v>14.097198456529869</v>
      </c>
      <c r="I8" s="20">
        <v>2.0275284736023602</v>
      </c>
      <c r="J8" s="20">
        <v>1.6026046785496988</v>
      </c>
      <c r="K8" s="20">
        <v>1.7668270258175334</v>
      </c>
      <c r="L8" s="154">
        <f t="shared" ref="L8:N14" si="1">F8+I8</f>
        <v>17.723663201818173</v>
      </c>
      <c r="M8" s="20">
        <f t="shared" si="1"/>
        <v>16.89900533884402</v>
      </c>
      <c r="N8" s="20">
        <f t="shared" si="1"/>
        <v>15.864025482347403</v>
      </c>
      <c r="P8" s="24">
        <v>8</v>
      </c>
      <c r="Q8" s="40">
        <v>5.2685922327536903E-2</v>
      </c>
      <c r="R8" s="22">
        <v>7.8443484354332807E-2</v>
      </c>
      <c r="S8" s="41">
        <v>9.2024744332097605E-2</v>
      </c>
      <c r="T8" s="22">
        <v>0.91486177126083212</v>
      </c>
      <c r="U8" s="22">
        <v>0.93476534191789862</v>
      </c>
      <c r="V8" s="22">
        <v>0.98229975184007479</v>
      </c>
      <c r="W8" s="40">
        <v>0.87505462994669336</v>
      </c>
      <c r="X8" s="22">
        <v>0.77061942391077332</v>
      </c>
      <c r="Y8" s="41">
        <v>0.67133573028021332</v>
      </c>
      <c r="Z8" s="22">
        <v>20.977895153241654</v>
      </c>
      <c r="AA8" s="22">
        <v>20.968997086359682</v>
      </c>
      <c r="AB8" s="22">
        <v>21.174702299122345</v>
      </c>
      <c r="AC8" s="40">
        <f t="shared" si="0"/>
        <v>21.852949783188347</v>
      </c>
      <c r="AD8" s="22">
        <f t="shared" si="0"/>
        <v>21.739616510270455</v>
      </c>
      <c r="AE8" s="22">
        <f t="shared" si="0"/>
        <v>21.846038029402557</v>
      </c>
    </row>
    <row r="9" spans="2:31">
      <c r="B9" s="2">
        <v>12</v>
      </c>
      <c r="C9" s="154">
        <v>0.32202609434589602</v>
      </c>
      <c r="D9" s="20">
        <v>0.36611050100341863</v>
      </c>
      <c r="E9" s="155">
        <v>0.44476268050032802</v>
      </c>
      <c r="F9" s="154">
        <v>13.483670615319278</v>
      </c>
      <c r="G9" s="20">
        <v>12.864109763659465</v>
      </c>
      <c r="H9" s="155">
        <v>11.725102556554747</v>
      </c>
      <c r="I9" s="20">
        <v>0.81717095388339189</v>
      </c>
      <c r="J9" s="20">
        <v>0.79743793376050143</v>
      </c>
      <c r="K9" s="20">
        <v>0.63439560437633336</v>
      </c>
      <c r="L9" s="154">
        <f t="shared" si="1"/>
        <v>14.300841569202671</v>
      </c>
      <c r="M9" s="20">
        <f t="shared" si="1"/>
        <v>13.661547697419968</v>
      </c>
      <c r="N9" s="20">
        <f t="shared" si="1"/>
        <v>12.35949816093108</v>
      </c>
      <c r="P9" s="24">
        <v>12</v>
      </c>
      <c r="Q9" s="40">
        <v>5.1749283708380694E-2</v>
      </c>
      <c r="R9" s="22">
        <v>7.0247896436715737E-2</v>
      </c>
      <c r="S9" s="41">
        <v>7.6101887806442128E-2</v>
      </c>
      <c r="T9" s="22">
        <v>0.92937966985774934</v>
      </c>
      <c r="U9" s="22">
        <v>0.96028874428990396</v>
      </c>
      <c r="V9" s="22">
        <v>1.0384980689894507</v>
      </c>
      <c r="W9" s="40">
        <v>0.87763038614937061</v>
      </c>
      <c r="X9" s="22">
        <v>0.81721719521379199</v>
      </c>
      <c r="Y9" s="41">
        <v>0.6179473289883094</v>
      </c>
      <c r="Z9" s="22">
        <v>12.675062113731412</v>
      </c>
      <c r="AA9" s="22">
        <v>16.499825915055837</v>
      </c>
      <c r="AB9" s="22">
        <v>15.173311470675841</v>
      </c>
      <c r="AC9" s="40">
        <f t="shared" si="0"/>
        <v>13.552692499880783</v>
      </c>
      <c r="AD9" s="22">
        <f t="shared" si="0"/>
        <v>17.31704311026963</v>
      </c>
      <c r="AE9" s="22">
        <f t="shared" si="0"/>
        <v>15.791258799664151</v>
      </c>
    </row>
    <row r="10" spans="2:31">
      <c r="B10" s="2">
        <v>24</v>
      </c>
      <c r="C10" s="154">
        <v>0.53251164232339465</v>
      </c>
      <c r="D10" s="20">
        <v>0.50620094882620792</v>
      </c>
      <c r="E10" s="155">
        <v>0.6206804556384401</v>
      </c>
      <c r="F10" s="154">
        <v>8.9810432648670933</v>
      </c>
      <c r="G10" s="20">
        <v>8.5297029109924534</v>
      </c>
      <c r="H10" s="155">
        <v>7.26418045430552</v>
      </c>
      <c r="I10" s="20">
        <v>0.77700516115098406</v>
      </c>
      <c r="J10" s="20">
        <v>0.71332768486789599</v>
      </c>
      <c r="K10" s="20">
        <v>0.64139312924260805</v>
      </c>
      <c r="L10" s="154">
        <f t="shared" si="1"/>
        <v>9.7580484260180782</v>
      </c>
      <c r="M10" s="20">
        <f t="shared" si="1"/>
        <v>9.2430305958603487</v>
      </c>
      <c r="N10" s="20">
        <f t="shared" si="1"/>
        <v>7.9055735835481276</v>
      </c>
      <c r="P10" s="24">
        <v>24</v>
      </c>
      <c r="Q10" s="40">
        <v>0.12714869255045547</v>
      </c>
      <c r="R10" s="22">
        <v>0.10115697086887093</v>
      </c>
      <c r="S10" s="41">
        <v>0.19692826967759358</v>
      </c>
      <c r="T10" s="22">
        <v>1.364214148801024</v>
      </c>
      <c r="U10" s="22">
        <v>1.198897432519952</v>
      </c>
      <c r="V10" s="22">
        <v>1.7964728715416158</v>
      </c>
      <c r="W10" s="40">
        <v>0.76687286943414945</v>
      </c>
      <c r="X10" s="22">
        <v>0.55449006254047462</v>
      </c>
      <c r="Y10" s="41">
        <v>0.38987582522377334</v>
      </c>
      <c r="Z10" s="22">
        <v>12.045406802003679</v>
      </c>
      <c r="AA10" s="22">
        <v>9.3813724094686393</v>
      </c>
      <c r="AB10" s="22">
        <v>9.6464411386898146</v>
      </c>
      <c r="AC10" s="40">
        <f t="shared" si="0"/>
        <v>12.812279671437828</v>
      </c>
      <c r="AD10" s="22">
        <f t="shared" si="0"/>
        <v>9.9358624720091147</v>
      </c>
      <c r="AE10" s="22">
        <f t="shared" si="0"/>
        <v>10.036316963913588</v>
      </c>
    </row>
    <row r="11" spans="2:31">
      <c r="B11" s="2">
        <v>28</v>
      </c>
      <c r="C11" s="154">
        <v>0.50983966175666928</v>
      </c>
      <c r="D11" s="20">
        <v>0.65482837698585328</v>
      </c>
      <c r="E11" s="155">
        <v>0.79086026038620538</v>
      </c>
      <c r="F11" s="154">
        <v>5.2137449179713071</v>
      </c>
      <c r="G11" s="20">
        <v>4.9361939911664798</v>
      </c>
      <c r="H11" s="155">
        <v>4.4793955678961606</v>
      </c>
      <c r="I11" s="20">
        <v>0.59394991064927471</v>
      </c>
      <c r="J11" s="20">
        <v>0.59520946512520534</v>
      </c>
      <c r="K11" s="20">
        <v>0.67526114959537065</v>
      </c>
      <c r="L11" s="154">
        <f t="shared" si="1"/>
        <v>5.8076948286205816</v>
      </c>
      <c r="M11" s="20">
        <f t="shared" si="1"/>
        <v>5.5314034562916854</v>
      </c>
      <c r="N11" s="20">
        <f t="shared" si="1"/>
        <v>5.1546567174915312</v>
      </c>
      <c r="P11" s="24">
        <v>28</v>
      </c>
      <c r="Q11" s="40">
        <v>9.8815374320980295E-2</v>
      </c>
      <c r="R11" s="22">
        <v>0.14002747356385387</v>
      </c>
      <c r="S11" s="41">
        <v>0.23415965478905279</v>
      </c>
      <c r="T11" s="22">
        <v>1.4227540624982828</v>
      </c>
      <c r="U11" s="22">
        <v>1.5597374605498826</v>
      </c>
      <c r="V11" s="22">
        <v>2.0011284098272482</v>
      </c>
      <c r="W11" s="40">
        <v>0.6844486709483999</v>
      </c>
      <c r="X11" s="22">
        <v>0.4643385954466917</v>
      </c>
      <c r="Y11" s="41">
        <v>0.34187309599201704</v>
      </c>
      <c r="Z11" s="22">
        <v>10.90762503938368</v>
      </c>
      <c r="AA11" s="22">
        <v>7.8925853243198407</v>
      </c>
      <c r="AB11" s="22">
        <v>6.8716492294395204</v>
      </c>
      <c r="AC11" s="40">
        <f t="shared" si="0"/>
        <v>11.59207371033208</v>
      </c>
      <c r="AD11" s="22">
        <f t="shared" si="0"/>
        <v>8.3569239197665333</v>
      </c>
      <c r="AE11" s="22">
        <f t="shared" si="0"/>
        <v>7.213522325431537</v>
      </c>
    </row>
    <row r="12" spans="2:31">
      <c r="B12" s="2">
        <v>32</v>
      </c>
      <c r="C12" s="154">
        <v>0.59660897009845859</v>
      </c>
      <c r="D12" s="20">
        <v>0.6355152083549388</v>
      </c>
      <c r="E12" s="155">
        <v>0.7152869918304533</v>
      </c>
      <c r="F12" s="154">
        <v>5.3209179083141862</v>
      </c>
      <c r="G12" s="20">
        <v>4.3208316544264269</v>
      </c>
      <c r="H12" s="155">
        <v>2.8765425220276266</v>
      </c>
      <c r="I12" s="20">
        <v>0.62487897055820274</v>
      </c>
      <c r="J12" s="20">
        <v>0.69401451623698407</v>
      </c>
      <c r="K12" s="20">
        <v>0.67106263467560534</v>
      </c>
      <c r="L12" s="154">
        <f t="shared" si="1"/>
        <v>5.9457968788723887</v>
      </c>
      <c r="M12" s="20">
        <f t="shared" si="1"/>
        <v>5.0148461706634109</v>
      </c>
      <c r="N12" s="20">
        <f t="shared" si="1"/>
        <v>3.5476051567032321</v>
      </c>
      <c r="P12" s="24">
        <v>32</v>
      </c>
      <c r="Q12" s="40">
        <v>0.11028919740564373</v>
      </c>
      <c r="R12" s="22">
        <v>0.17702469902052373</v>
      </c>
      <c r="S12" s="41">
        <v>0.29527532468899576</v>
      </c>
      <c r="T12" s="22">
        <v>1.459985447609744</v>
      </c>
      <c r="U12" s="22">
        <v>1.7077263623765653</v>
      </c>
      <c r="V12" s="22">
        <v>2.1833046212531304</v>
      </c>
      <c r="W12" s="40">
        <v>0.50812645089224484</v>
      </c>
      <c r="X12" s="22">
        <v>0.28754805608095679</v>
      </c>
      <c r="Y12" s="41">
        <v>0.19505499243928104</v>
      </c>
      <c r="Z12" s="22">
        <v>7.5542246231496533</v>
      </c>
      <c r="AA12" s="22">
        <v>8.2567035875167996</v>
      </c>
      <c r="AB12" s="22">
        <v>5.1004656006151521</v>
      </c>
      <c r="AC12" s="40">
        <f t="shared" si="0"/>
        <v>8.0623510740418975</v>
      </c>
      <c r="AD12" s="22">
        <f t="shared" si="0"/>
        <v>8.5442516435977556</v>
      </c>
      <c r="AE12" s="22">
        <f t="shared" si="0"/>
        <v>5.2955205930544329</v>
      </c>
    </row>
    <row r="13" spans="2:31">
      <c r="B13" s="2">
        <v>36</v>
      </c>
      <c r="C13" s="154">
        <v>0.55616327637140006</v>
      </c>
      <c r="D13" s="20">
        <v>0.55658312786337605</v>
      </c>
      <c r="E13" s="155">
        <v>0.73194110101218401</v>
      </c>
      <c r="F13" s="154">
        <v>4.7422406138474136</v>
      </c>
      <c r="G13" s="20">
        <v>3.7762842693330398</v>
      </c>
      <c r="H13" s="155">
        <v>2.6867696476542928</v>
      </c>
      <c r="I13" s="20">
        <v>0.69961253613000263</v>
      </c>
      <c r="J13" s="20">
        <v>0.71150832840266665</v>
      </c>
      <c r="K13" s="20">
        <v>0.64069337675598126</v>
      </c>
      <c r="L13" s="154">
        <f t="shared" si="1"/>
        <v>5.4418531499774163</v>
      </c>
      <c r="M13" s="20">
        <f t="shared" si="1"/>
        <v>4.4877925977357069</v>
      </c>
      <c r="N13" s="20">
        <f t="shared" si="1"/>
        <v>3.3274630244102741</v>
      </c>
      <c r="P13" s="24">
        <v>36</v>
      </c>
      <c r="Q13" s="40">
        <v>0.1341734821941275</v>
      </c>
      <c r="R13" s="22">
        <v>0.20863625241704639</v>
      </c>
      <c r="S13" s="41">
        <v>0.41282347139310027</v>
      </c>
      <c r="T13" s="22">
        <v>1.5520101919418399</v>
      </c>
      <c r="U13" s="22">
        <v>1.8292552232120798</v>
      </c>
      <c r="V13" s="22">
        <v>2.5881666643834027</v>
      </c>
      <c r="W13" s="40">
        <v>0.51632203880986138</v>
      </c>
      <c r="X13" s="22">
        <v>0.28450398056869919</v>
      </c>
      <c r="Y13" s="41">
        <v>0.24774091476681814</v>
      </c>
      <c r="Z13" s="22">
        <v>8.5728191214820253</v>
      </c>
      <c r="AA13" s="22">
        <v>9.6377772314626142</v>
      </c>
      <c r="AB13" s="22">
        <v>6.6105612143497599</v>
      </c>
      <c r="AC13" s="40">
        <f t="shared" si="0"/>
        <v>9.0891411602918861</v>
      </c>
      <c r="AD13" s="22">
        <f t="shared" si="0"/>
        <v>9.9222812120313133</v>
      </c>
      <c r="AE13" s="22">
        <f t="shared" si="0"/>
        <v>6.858302129116578</v>
      </c>
    </row>
    <row r="14" spans="2:31" ht="15" thickBot="1">
      <c r="B14" s="15">
        <v>48</v>
      </c>
      <c r="C14" s="156">
        <v>0.65902689190561603</v>
      </c>
      <c r="D14" s="153">
        <v>0.67344179313013874</v>
      </c>
      <c r="E14" s="157">
        <v>0.83718387500093339</v>
      </c>
      <c r="F14" s="156">
        <v>3.9391866482198665</v>
      </c>
      <c r="G14" s="153">
        <v>3.0372056929572531</v>
      </c>
      <c r="H14" s="157">
        <v>2.2457856305817439</v>
      </c>
      <c r="I14" s="153">
        <v>0.65958669389491731</v>
      </c>
      <c r="J14" s="153">
        <v>0.64293258471318926</v>
      </c>
      <c r="K14" s="153">
        <v>0.69961253613000263</v>
      </c>
      <c r="L14" s="156">
        <f t="shared" si="1"/>
        <v>4.5987733421147841</v>
      </c>
      <c r="M14" s="153">
        <f t="shared" si="1"/>
        <v>3.6801382776704425</v>
      </c>
      <c r="N14" s="153">
        <f t="shared" si="1"/>
        <v>2.9453981667117466</v>
      </c>
      <c r="P14" s="30">
        <v>48</v>
      </c>
      <c r="Q14" s="42">
        <v>0.18381532900940639</v>
      </c>
      <c r="R14" s="36">
        <v>0.42218985758466238</v>
      </c>
      <c r="S14" s="43">
        <v>0.79380122973489065</v>
      </c>
      <c r="T14" s="36">
        <v>1.8011560646373972</v>
      </c>
      <c r="U14" s="36">
        <v>2.4139518812203469</v>
      </c>
      <c r="V14" s="36">
        <v>3.142422567269088</v>
      </c>
      <c r="W14" s="42">
        <v>0.31892544982269017</v>
      </c>
      <c r="X14" s="36">
        <v>0.23369133547947465</v>
      </c>
      <c r="Y14" s="43">
        <v>0.22619822652622507</v>
      </c>
      <c r="Z14" s="36">
        <v>7.8251473437405865</v>
      </c>
      <c r="AA14" s="36">
        <v>6.1855614409076258</v>
      </c>
      <c r="AB14" s="36">
        <v>7.0107400643842679</v>
      </c>
      <c r="AC14" s="42">
        <f t="shared" si="0"/>
        <v>8.1440727935632768</v>
      </c>
      <c r="AD14" s="36">
        <f t="shared" si="0"/>
        <v>6.4192527763871006</v>
      </c>
      <c r="AE14" s="36">
        <f t="shared" si="0"/>
        <v>7.2369382909104933</v>
      </c>
    </row>
    <row r="15" spans="2:31"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</row>
    <row r="16" spans="2:31" ht="15" thickBot="1">
      <c r="B16" s="23" t="s">
        <v>97</v>
      </c>
      <c r="P16" s="23" t="s">
        <v>105</v>
      </c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</row>
    <row r="17" spans="2:31" ht="15">
      <c r="B17" s="49" t="s">
        <v>182</v>
      </c>
      <c r="C17" s="272" t="s">
        <v>12</v>
      </c>
      <c r="D17" s="273"/>
      <c r="E17" s="274"/>
      <c r="F17" s="275" t="s">
        <v>95</v>
      </c>
      <c r="G17" s="273"/>
      <c r="H17" s="273"/>
      <c r="I17" s="272" t="s">
        <v>100</v>
      </c>
      <c r="J17" s="273"/>
      <c r="K17" s="274"/>
      <c r="L17" s="275" t="s">
        <v>13</v>
      </c>
      <c r="M17" s="273"/>
      <c r="N17" s="273"/>
      <c r="P17" s="141" t="s">
        <v>182</v>
      </c>
      <c r="Q17" s="282" t="s">
        <v>14</v>
      </c>
      <c r="R17" s="302"/>
      <c r="S17" s="303"/>
      <c r="T17" s="283" t="s">
        <v>15</v>
      </c>
      <c r="U17" s="302"/>
      <c r="V17" s="302"/>
      <c r="W17" s="282" t="s">
        <v>95</v>
      </c>
      <c r="X17" s="302"/>
      <c r="Y17" s="303"/>
      <c r="Z17" s="283" t="s">
        <v>100</v>
      </c>
      <c r="AA17" s="302"/>
      <c r="AB17" s="302"/>
      <c r="AC17" s="282" t="s">
        <v>13</v>
      </c>
      <c r="AD17" s="302"/>
      <c r="AE17" s="302"/>
    </row>
    <row r="18" spans="2:31">
      <c r="B18" s="2">
        <v>0</v>
      </c>
      <c r="C18" s="154">
        <v>0</v>
      </c>
      <c r="D18" s="22">
        <v>0</v>
      </c>
      <c r="E18" s="41">
        <v>0</v>
      </c>
      <c r="F18" s="20">
        <v>21.149812369512773</v>
      </c>
      <c r="G18" s="20">
        <v>20.506006964922186</v>
      </c>
      <c r="H18" s="20">
        <v>21.172556492068107</v>
      </c>
      <c r="I18" s="154">
        <v>3.3792141226706138</v>
      </c>
      <c r="J18" s="20">
        <v>3.1861336414078134</v>
      </c>
      <c r="K18" s="155">
        <v>3.1629003979373067</v>
      </c>
      <c r="L18" s="20">
        <f>F18+I18</f>
        <v>24.529026492183387</v>
      </c>
      <c r="M18" s="20">
        <f>G18+J18</f>
        <v>23.69214060633</v>
      </c>
      <c r="N18" s="20">
        <f>H18+K18</f>
        <v>24.335456890005414</v>
      </c>
      <c r="P18" s="24">
        <v>0</v>
      </c>
      <c r="Q18" s="40">
        <v>0</v>
      </c>
      <c r="R18" s="22">
        <v>0</v>
      </c>
      <c r="S18" s="41">
        <v>0</v>
      </c>
      <c r="T18" s="22">
        <v>0</v>
      </c>
      <c r="U18" s="22">
        <v>0</v>
      </c>
      <c r="V18" s="22">
        <v>0</v>
      </c>
      <c r="W18" s="40">
        <v>0</v>
      </c>
      <c r="X18" s="22">
        <v>0</v>
      </c>
      <c r="Y18" s="41">
        <v>0</v>
      </c>
      <c r="Z18" s="22">
        <v>25.467119277963999</v>
      </c>
      <c r="AA18" s="22">
        <v>24.9209630773919</v>
      </c>
      <c r="AB18" s="22">
        <v>25.421926464589699</v>
      </c>
      <c r="AC18" s="40">
        <f t="shared" ref="AC18:AE25" si="2">W18+Z18</f>
        <v>25.467119277963999</v>
      </c>
      <c r="AD18" s="22">
        <f t="shared" si="2"/>
        <v>24.9209630773919</v>
      </c>
      <c r="AE18" s="22">
        <f t="shared" si="2"/>
        <v>25.421926464589699</v>
      </c>
    </row>
    <row r="19" spans="2:31">
      <c r="B19" s="2">
        <v>8</v>
      </c>
      <c r="C19" s="154">
        <v>0.23942468797499677</v>
      </c>
      <c r="D19" s="22">
        <v>0.21105567489522187</v>
      </c>
      <c r="E19" s="41">
        <v>0.18684418959437948</v>
      </c>
      <c r="F19" s="20">
        <v>13.22717462867384</v>
      </c>
      <c r="G19" s="20">
        <v>14.074087493288159</v>
      </c>
      <c r="H19" s="20">
        <v>15.087790589974933</v>
      </c>
      <c r="I19" s="154">
        <v>1.4827700543334079</v>
      </c>
      <c r="J19" s="20">
        <v>1.2497039382555999</v>
      </c>
      <c r="K19" s="155">
        <v>1.8453309327020826</v>
      </c>
      <c r="L19" s="20">
        <f t="shared" ref="L19:N25" si="3">F19+I19</f>
        <v>14.709944683007247</v>
      </c>
      <c r="M19" s="20">
        <f t="shared" si="3"/>
        <v>15.323791431543759</v>
      </c>
      <c r="N19" s="20">
        <f t="shared" si="3"/>
        <v>16.933121522677016</v>
      </c>
      <c r="P19" s="24">
        <v>8</v>
      </c>
      <c r="Q19" s="40">
        <v>0.11216247464395626</v>
      </c>
      <c r="R19" s="22">
        <v>0.14190075080216588</v>
      </c>
      <c r="S19" s="41">
        <v>0.10139113052365972</v>
      </c>
      <c r="T19" s="22">
        <v>0.94085349294241605</v>
      </c>
      <c r="U19" s="22">
        <v>1.0991454195798134</v>
      </c>
      <c r="V19" s="22">
        <v>0.90736866230757873</v>
      </c>
      <c r="W19" s="40">
        <v>0.93499950157268819</v>
      </c>
      <c r="X19" s="22">
        <v>0.93991685432325867</v>
      </c>
      <c r="Y19" s="41">
        <v>0.95068819844355723</v>
      </c>
      <c r="Z19" s="22">
        <v>17.286836514801813</v>
      </c>
      <c r="AA19" s="22">
        <v>16.895321571994561</v>
      </c>
      <c r="AB19" s="22">
        <v>18.199825008824373</v>
      </c>
      <c r="AC19" s="40">
        <f t="shared" si="2"/>
        <v>18.2218360163745</v>
      </c>
      <c r="AD19" s="22">
        <f t="shared" si="2"/>
        <v>17.835238426317819</v>
      </c>
      <c r="AE19" s="22">
        <f t="shared" si="2"/>
        <v>19.150513207267931</v>
      </c>
    </row>
    <row r="20" spans="2:31">
      <c r="B20" s="2">
        <v>12</v>
      </c>
      <c r="C20" s="154">
        <v>0.35743357016923999</v>
      </c>
      <c r="D20" s="22">
        <v>0.39144154101932799</v>
      </c>
      <c r="E20" s="41">
        <v>0.34861668883773334</v>
      </c>
      <c r="F20" s="20">
        <v>11.378535234549627</v>
      </c>
      <c r="G20" s="20">
        <v>14.485436275174958</v>
      </c>
      <c r="H20" s="20">
        <v>15.206741138390425</v>
      </c>
      <c r="I20" s="154">
        <v>0.71850585326893868</v>
      </c>
      <c r="J20" s="20">
        <v>0.83592432052500532</v>
      </c>
      <c r="K20" s="155">
        <v>0.84264194439662665</v>
      </c>
      <c r="L20" s="20">
        <f t="shared" si="3"/>
        <v>12.097041087818566</v>
      </c>
      <c r="M20" s="20">
        <f t="shared" si="3"/>
        <v>15.321360595699964</v>
      </c>
      <c r="N20" s="20">
        <f t="shared" si="3"/>
        <v>16.049383082787053</v>
      </c>
      <c r="P20" s="24">
        <v>12</v>
      </c>
      <c r="Q20" s="40">
        <v>0.10513768500028479</v>
      </c>
      <c r="R20" s="22">
        <v>0.13066108737229173</v>
      </c>
      <c r="S20" s="41">
        <v>0.1037327270715504</v>
      </c>
      <c r="T20" s="22">
        <v>0.97340168495809054</v>
      </c>
      <c r="U20" s="22">
        <v>1.0480986148358027</v>
      </c>
      <c r="V20" s="22">
        <v>0.95654218981327988</v>
      </c>
      <c r="W20" s="40">
        <v>0.724489971917328</v>
      </c>
      <c r="X20" s="22">
        <v>0.87575710891105607</v>
      </c>
      <c r="Y20" s="41">
        <v>1.0605090765396215</v>
      </c>
      <c r="Z20" s="22">
        <v>14.927912152456909</v>
      </c>
      <c r="AA20" s="22">
        <v>16.795335399399629</v>
      </c>
      <c r="AB20" s="22">
        <v>20.752399405679789</v>
      </c>
      <c r="AC20" s="40">
        <f t="shared" si="2"/>
        <v>15.652402124374236</v>
      </c>
      <c r="AD20" s="22">
        <f t="shared" si="2"/>
        <v>17.671092508310686</v>
      </c>
      <c r="AE20" s="22">
        <f t="shared" si="2"/>
        <v>21.812908482219409</v>
      </c>
    </row>
    <row r="21" spans="2:31">
      <c r="B21" s="2">
        <v>24</v>
      </c>
      <c r="C21" s="154">
        <v>0.46967386902426134</v>
      </c>
      <c r="D21" s="22">
        <v>0.38060074713755898</v>
      </c>
      <c r="E21" s="41">
        <v>0.39088173903002399</v>
      </c>
      <c r="F21" s="20">
        <v>14.822157171740054</v>
      </c>
      <c r="G21" s="20">
        <v>15.089462621631681</v>
      </c>
      <c r="H21" s="20">
        <v>15.028444204797784</v>
      </c>
      <c r="I21" s="154">
        <v>0.94522565893619459</v>
      </c>
      <c r="J21" s="20">
        <v>1.026117046390312</v>
      </c>
      <c r="K21" s="155">
        <v>0.87943091321920808</v>
      </c>
      <c r="L21" s="20">
        <f t="shared" si="3"/>
        <v>15.767382830676249</v>
      </c>
      <c r="M21" s="20">
        <f t="shared" si="3"/>
        <v>16.115579668021994</v>
      </c>
      <c r="N21" s="20">
        <f t="shared" si="3"/>
        <v>15.907875118016992</v>
      </c>
      <c r="P21" s="24">
        <v>24</v>
      </c>
      <c r="Q21" s="40">
        <v>0.10256192879760534</v>
      </c>
      <c r="R21" s="22">
        <v>0.1341734821941275</v>
      </c>
      <c r="S21" s="41">
        <v>0.1065426429290192</v>
      </c>
      <c r="T21" s="22">
        <v>1.2719552448141334</v>
      </c>
      <c r="U21" s="22">
        <v>1.2550957496693227</v>
      </c>
      <c r="V21" s="22">
        <v>1.1021894950920748</v>
      </c>
      <c r="W21" s="40">
        <v>0.80738248971265603</v>
      </c>
      <c r="X21" s="22">
        <v>0.83290589208466126</v>
      </c>
      <c r="Y21" s="41">
        <v>0.86451744548118403</v>
      </c>
      <c r="Z21" s="22">
        <v>16.270115293707786</v>
      </c>
      <c r="AA21" s="22">
        <v>14.031548993924424</v>
      </c>
      <c r="AB21" s="22">
        <v>16.012305513785012</v>
      </c>
      <c r="AC21" s="40">
        <f t="shared" si="2"/>
        <v>17.077497783420441</v>
      </c>
      <c r="AD21" s="22">
        <f t="shared" si="2"/>
        <v>14.864454886009085</v>
      </c>
      <c r="AE21" s="22">
        <f t="shared" si="2"/>
        <v>16.876822959266196</v>
      </c>
    </row>
    <row r="22" spans="2:31">
      <c r="B22" s="2">
        <v>28</v>
      </c>
      <c r="C22" s="154">
        <v>0.59786852457438933</v>
      </c>
      <c r="D22" s="22">
        <v>0.64923035709283461</v>
      </c>
      <c r="E22" s="41">
        <v>0.55168486045698395</v>
      </c>
      <c r="F22" s="20">
        <v>15.589785649570212</v>
      </c>
      <c r="G22" s="20">
        <v>14.827615241135733</v>
      </c>
      <c r="H22" s="20">
        <v>16.159804025176825</v>
      </c>
      <c r="I22" s="154">
        <v>0.87259135082427752</v>
      </c>
      <c r="J22" s="20">
        <v>0.94186684700038126</v>
      </c>
      <c r="K22" s="155">
        <v>0.93486932213410945</v>
      </c>
      <c r="L22" s="20">
        <f t="shared" si="3"/>
        <v>16.46237700039449</v>
      </c>
      <c r="M22" s="20">
        <f t="shared" si="3"/>
        <v>15.769482088136115</v>
      </c>
      <c r="N22" s="20">
        <f t="shared" si="3"/>
        <v>17.094673347310934</v>
      </c>
      <c r="P22" s="24">
        <v>28</v>
      </c>
      <c r="Q22" s="40">
        <v>0.12363629772861974</v>
      </c>
      <c r="R22" s="22">
        <v>0.1170798273945264</v>
      </c>
      <c r="S22" s="41">
        <v>9.6942097082667739E-2</v>
      </c>
      <c r="T22" s="22">
        <v>0.85140450481299734</v>
      </c>
      <c r="U22" s="22">
        <v>1.1682225177425865</v>
      </c>
      <c r="V22" s="22">
        <v>1.1836770549586613</v>
      </c>
      <c r="W22" s="40">
        <v>0.6179473289883094</v>
      </c>
      <c r="X22" s="22">
        <v>0.71137703124914142</v>
      </c>
      <c r="Y22" s="41">
        <v>0.80714833005786668</v>
      </c>
      <c r="Z22" s="22">
        <v>12.727279716749386</v>
      </c>
      <c r="AA22" s="22">
        <v>11.182528474106027</v>
      </c>
      <c r="AB22" s="22">
        <v>16.041575470633656</v>
      </c>
      <c r="AC22" s="40">
        <f t="shared" si="2"/>
        <v>13.345227045737696</v>
      </c>
      <c r="AD22" s="22">
        <f t="shared" si="2"/>
        <v>11.893905505355168</v>
      </c>
      <c r="AE22" s="22">
        <f t="shared" si="2"/>
        <v>16.848723800691523</v>
      </c>
    </row>
    <row r="23" spans="2:31">
      <c r="B23" s="2">
        <v>32</v>
      </c>
      <c r="C23" s="154">
        <v>0.58639258379370129</v>
      </c>
      <c r="D23" s="22">
        <v>0.66798372373444537</v>
      </c>
      <c r="E23" s="41">
        <v>0.55224466244628534</v>
      </c>
      <c r="F23" s="20">
        <v>15.466629211923813</v>
      </c>
      <c r="G23" s="20">
        <v>14.761138754906133</v>
      </c>
      <c r="H23" s="20">
        <v>15.80852827688992</v>
      </c>
      <c r="I23" s="154">
        <v>0.97839392680232795</v>
      </c>
      <c r="J23" s="20">
        <v>0.95600184723025339</v>
      </c>
      <c r="K23" s="155">
        <v>0.84823996428964532</v>
      </c>
      <c r="L23" s="20">
        <f t="shared" si="3"/>
        <v>16.445023138726143</v>
      </c>
      <c r="M23" s="20">
        <f t="shared" si="3"/>
        <v>15.717140602136386</v>
      </c>
      <c r="N23" s="20">
        <f t="shared" si="3"/>
        <v>16.656768241179567</v>
      </c>
      <c r="P23" s="24">
        <v>32</v>
      </c>
      <c r="Q23" s="40">
        <v>0.12082638187115147</v>
      </c>
      <c r="R23" s="22">
        <v>0.13557844012286188</v>
      </c>
      <c r="S23" s="41">
        <v>9.0151467093785589E-2</v>
      </c>
      <c r="T23" s="22">
        <v>1.1319277712502827</v>
      </c>
      <c r="U23" s="22">
        <v>1.2473684810612855</v>
      </c>
      <c r="V23" s="22">
        <v>1.2622723386916532</v>
      </c>
      <c r="W23" s="40">
        <v>0.61982060622662405</v>
      </c>
      <c r="X23" s="22">
        <v>0.65611535271892796</v>
      </c>
      <c r="Y23" s="41">
        <v>0.64089497515763738</v>
      </c>
      <c r="Z23" s="22">
        <v>16.090280678829757</v>
      </c>
      <c r="AA23" s="22">
        <v>14.686259388714612</v>
      </c>
      <c r="AB23" s="22">
        <v>9.9297743209845848</v>
      </c>
      <c r="AC23" s="40">
        <f t="shared" si="2"/>
        <v>16.710101285056382</v>
      </c>
      <c r="AD23" s="22">
        <f t="shared" si="2"/>
        <v>15.34237474143354</v>
      </c>
      <c r="AE23" s="22">
        <f t="shared" si="2"/>
        <v>10.570669296142222</v>
      </c>
    </row>
    <row r="24" spans="2:31">
      <c r="B24" s="2">
        <v>36</v>
      </c>
      <c r="C24" s="154">
        <v>0.61774149519460542</v>
      </c>
      <c r="D24" s="22">
        <v>0.64713109963295201</v>
      </c>
      <c r="E24" s="41">
        <v>0.55364416741954126</v>
      </c>
      <c r="F24" s="20">
        <v>15.220176386133653</v>
      </c>
      <c r="G24" s="20">
        <v>15.547580211389601</v>
      </c>
      <c r="H24" s="20">
        <v>15.894737783242398</v>
      </c>
      <c r="I24" s="154">
        <v>0.91359684654063733</v>
      </c>
      <c r="J24" s="20">
        <v>0.81577144891013864</v>
      </c>
      <c r="K24" s="155">
        <v>0.87958887569054922</v>
      </c>
      <c r="L24" s="20">
        <f t="shared" si="3"/>
        <v>16.13377323267429</v>
      </c>
      <c r="M24" s="20">
        <f t="shared" si="3"/>
        <v>16.363351660299738</v>
      </c>
      <c r="N24" s="20">
        <f t="shared" si="3"/>
        <v>16.774326658932946</v>
      </c>
      <c r="P24" s="24">
        <v>36</v>
      </c>
      <c r="Q24" s="40">
        <v>0.10771344120296429</v>
      </c>
      <c r="R24" s="22">
        <v>0.12106054152594027</v>
      </c>
      <c r="S24" s="41">
        <v>0.11099167637001121</v>
      </c>
      <c r="T24" s="22">
        <v>1.07291953824344</v>
      </c>
      <c r="U24" s="22">
        <v>1.2279332297137919</v>
      </c>
      <c r="V24" s="22">
        <v>1.1052335706043306</v>
      </c>
      <c r="W24" s="40">
        <v>0.45520636890991889</v>
      </c>
      <c r="X24" s="22">
        <v>0.58750657386573346</v>
      </c>
      <c r="Y24" s="41">
        <v>0.69311257817559468</v>
      </c>
      <c r="Z24" s="22">
        <v>12.947858111560693</v>
      </c>
      <c r="AA24" s="22">
        <v>13.096549492351732</v>
      </c>
      <c r="AB24" s="22">
        <v>14.703353043514186</v>
      </c>
      <c r="AC24" s="40">
        <f t="shared" si="2"/>
        <v>13.403064480470611</v>
      </c>
      <c r="AD24" s="22">
        <f t="shared" si="2"/>
        <v>13.684056066217465</v>
      </c>
      <c r="AE24" s="22">
        <f t="shared" si="2"/>
        <v>15.396465621689781</v>
      </c>
    </row>
    <row r="25" spans="2:31" ht="15" thickBot="1">
      <c r="B25" s="15">
        <v>48</v>
      </c>
      <c r="C25" s="156">
        <v>0.49164609710435997</v>
      </c>
      <c r="D25" s="36">
        <v>0.52678889586226674</v>
      </c>
      <c r="E25" s="43">
        <v>0.57225758356382928</v>
      </c>
      <c r="F25" s="153">
        <v>15.335495595929839</v>
      </c>
      <c r="G25" s="153">
        <v>13.82417017531216</v>
      </c>
      <c r="H25" s="153">
        <v>15.448995449260801</v>
      </c>
      <c r="I25" s="156">
        <v>1.055786551823312</v>
      </c>
      <c r="J25" s="153">
        <v>0.82850694416675463</v>
      </c>
      <c r="K25" s="157">
        <v>0.86797298441253612</v>
      </c>
      <c r="L25" s="153">
        <f t="shared" si="3"/>
        <v>16.391282147753152</v>
      </c>
      <c r="M25" s="153">
        <f t="shared" si="3"/>
        <v>14.652677119478914</v>
      </c>
      <c r="N25" s="153">
        <f t="shared" si="3"/>
        <v>16.316968433673338</v>
      </c>
      <c r="P25" s="30">
        <v>48</v>
      </c>
      <c r="Q25" s="42">
        <v>0.13447943648373012</v>
      </c>
      <c r="R25" s="36">
        <v>0.1401488899611216</v>
      </c>
      <c r="S25" s="43">
        <v>0.12314052952894668</v>
      </c>
      <c r="T25" s="36">
        <v>1.6790653418643093</v>
      </c>
      <c r="U25" s="36">
        <v>1.6956201460182934</v>
      </c>
      <c r="V25" s="36">
        <v>1.7755751294797173</v>
      </c>
      <c r="W25" s="42">
        <v>0.70868168467395742</v>
      </c>
      <c r="X25" s="36">
        <v>0.72637037952341865</v>
      </c>
      <c r="Y25" s="43">
        <v>0.80733017518057071</v>
      </c>
      <c r="Z25" s="36">
        <v>18.822585544940267</v>
      </c>
      <c r="AA25" s="36">
        <v>15.270559552284851</v>
      </c>
      <c r="AB25" s="36">
        <v>15.205247448225334</v>
      </c>
      <c r="AC25" s="42">
        <f t="shared" si="2"/>
        <v>19.531267229614226</v>
      </c>
      <c r="AD25" s="36">
        <f t="shared" si="2"/>
        <v>15.996929931808269</v>
      </c>
      <c r="AE25" s="36">
        <f t="shared" si="2"/>
        <v>16.012577623405903</v>
      </c>
    </row>
    <row r="26" spans="2:31"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</row>
    <row r="27" spans="2:31" ht="15" thickBot="1">
      <c r="B27" s="1" t="s">
        <v>98</v>
      </c>
      <c r="P27" s="1" t="s">
        <v>106</v>
      </c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</row>
    <row r="28" spans="2:31" ht="15">
      <c r="B28" s="49" t="s">
        <v>182</v>
      </c>
      <c r="C28" s="272" t="s">
        <v>12</v>
      </c>
      <c r="D28" s="273"/>
      <c r="E28" s="274"/>
      <c r="F28" s="275" t="s">
        <v>95</v>
      </c>
      <c r="G28" s="273"/>
      <c r="H28" s="273"/>
      <c r="I28" s="272" t="s">
        <v>100</v>
      </c>
      <c r="J28" s="273"/>
      <c r="K28" s="274"/>
      <c r="L28" s="275" t="s">
        <v>13</v>
      </c>
      <c r="M28" s="273"/>
      <c r="N28" s="273"/>
      <c r="P28" s="141" t="s">
        <v>182</v>
      </c>
      <c r="Q28" s="282" t="s">
        <v>14</v>
      </c>
      <c r="R28" s="302"/>
      <c r="S28" s="303"/>
      <c r="T28" s="283" t="s">
        <v>15</v>
      </c>
      <c r="U28" s="302"/>
      <c r="V28" s="302"/>
      <c r="W28" s="282" t="s">
        <v>95</v>
      </c>
      <c r="X28" s="302"/>
      <c r="Y28" s="303"/>
      <c r="Z28" s="283" t="s">
        <v>100</v>
      </c>
      <c r="AA28" s="302"/>
      <c r="AB28" s="302"/>
      <c r="AC28" s="282" t="s">
        <v>13</v>
      </c>
      <c r="AD28" s="302"/>
      <c r="AE28" s="302"/>
    </row>
    <row r="29" spans="2:31">
      <c r="B29" s="2">
        <v>0</v>
      </c>
      <c r="C29" s="154">
        <v>0</v>
      </c>
      <c r="D29" s="20">
        <v>0</v>
      </c>
      <c r="E29" s="155">
        <v>0</v>
      </c>
      <c r="F29" s="20">
        <v>20.473500986895655</v>
      </c>
      <c r="G29" s="20">
        <v>20.795342549076533</v>
      </c>
      <c r="H29" s="20">
        <v>19.753637279996372</v>
      </c>
      <c r="I29" s="154">
        <v>2.4242379976298185</v>
      </c>
      <c r="J29" s="20">
        <v>2.7941032279002398</v>
      </c>
      <c r="K29" s="155">
        <v>2.4930493046140105</v>
      </c>
      <c r="L29" s="20">
        <f>F29+I29</f>
        <v>22.897738984525475</v>
      </c>
      <c r="M29" s="20">
        <f>G29+J29</f>
        <v>23.589445776976774</v>
      </c>
      <c r="N29" s="20">
        <f>H29+K29</f>
        <v>22.246686584610384</v>
      </c>
      <c r="P29" s="24">
        <v>0</v>
      </c>
      <c r="Q29" s="40">
        <v>0</v>
      </c>
      <c r="R29" s="22">
        <v>0</v>
      </c>
      <c r="S29" s="41">
        <v>0</v>
      </c>
      <c r="T29" s="22">
        <v>0</v>
      </c>
      <c r="U29" s="22">
        <v>0</v>
      </c>
      <c r="V29" s="22">
        <v>0</v>
      </c>
      <c r="W29" s="40">
        <v>0</v>
      </c>
      <c r="X29" s="22">
        <v>0</v>
      </c>
      <c r="Y29" s="41">
        <v>0</v>
      </c>
      <c r="Z29" s="22">
        <v>25.799061782850799</v>
      </c>
      <c r="AA29" s="22">
        <v>25.0717195066293</v>
      </c>
      <c r="AB29" s="22">
        <v>24.738222661052401</v>
      </c>
      <c r="AC29" s="40">
        <f t="shared" ref="AC29:AE36" si="4">W29+Z29</f>
        <v>25.799061782850799</v>
      </c>
      <c r="AD29" s="22">
        <f>X29+AA29</f>
        <v>25.0717195066293</v>
      </c>
      <c r="AE29" s="22">
        <f t="shared" si="4"/>
        <v>24.738222661052401</v>
      </c>
    </row>
    <row r="30" spans="2:31">
      <c r="B30" s="2">
        <v>8</v>
      </c>
      <c r="C30" s="154">
        <v>0.19858309155842427</v>
      </c>
      <c r="D30" s="20">
        <v>0.22047125251221625</v>
      </c>
      <c r="E30" s="155">
        <v>0.18904523371263787</v>
      </c>
      <c r="F30" s="20">
        <v>14.899112196948666</v>
      </c>
      <c r="G30" s="20">
        <v>14.935551705128722</v>
      </c>
      <c r="H30" s="20">
        <v>14.733789327621707</v>
      </c>
      <c r="I30" s="154">
        <v>1.585974567433968</v>
      </c>
      <c r="J30" s="20">
        <v>1.2687796539471734</v>
      </c>
      <c r="K30" s="155">
        <v>1.6460141597709042</v>
      </c>
      <c r="L30" s="20">
        <f t="shared" ref="L30:N36" si="5">F30+I30</f>
        <v>16.485086764382633</v>
      </c>
      <c r="M30" s="20">
        <f t="shared" si="5"/>
        <v>16.204331359075894</v>
      </c>
      <c r="N30" s="20">
        <f t="shared" si="5"/>
        <v>16.379803487392611</v>
      </c>
      <c r="P30" s="24">
        <v>8</v>
      </c>
      <c r="Q30" s="40">
        <v>0.21331944551282722</v>
      </c>
      <c r="R30" s="22">
        <v>0.22502742825227998</v>
      </c>
      <c r="S30" s="41">
        <v>0.21987591584692054</v>
      </c>
      <c r="T30" s="22">
        <v>1.0462253375974879</v>
      </c>
      <c r="U30" s="22">
        <v>1.0232776914281598</v>
      </c>
      <c r="V30" s="22">
        <v>1.1143657971411038</v>
      </c>
      <c r="W30" s="40">
        <v>1.0380297496798718</v>
      </c>
      <c r="X30" s="22">
        <v>1.3372857885002827</v>
      </c>
      <c r="Y30" s="41">
        <v>1.5201644788905335</v>
      </c>
      <c r="Z30" s="22">
        <v>15.396933940999361</v>
      </c>
      <c r="AA30" s="22">
        <v>14.95109395828101</v>
      </c>
      <c r="AB30" s="22">
        <v>15.482636374652159</v>
      </c>
      <c r="AC30" s="40">
        <f t="shared" si="4"/>
        <v>16.434963690679233</v>
      </c>
      <c r="AD30" s="22">
        <f t="shared" si="4"/>
        <v>16.288379746781292</v>
      </c>
      <c r="AE30" s="22">
        <f t="shared" si="4"/>
        <v>17.002800853542691</v>
      </c>
    </row>
    <row r="31" spans="2:31">
      <c r="B31" s="2">
        <v>12</v>
      </c>
      <c r="C31" s="154">
        <v>0.32510500528705599</v>
      </c>
      <c r="D31" s="20">
        <v>0.33840030253297604</v>
      </c>
      <c r="E31" s="155">
        <v>0.35743357016923999</v>
      </c>
      <c r="F31" s="20">
        <v>14.622447812056613</v>
      </c>
      <c r="G31" s="20">
        <v>15.00675187771232</v>
      </c>
      <c r="H31" s="20">
        <v>14.638682069746347</v>
      </c>
      <c r="I31" s="154">
        <v>0.9254926388133039</v>
      </c>
      <c r="J31" s="20">
        <v>0.802616102161544</v>
      </c>
      <c r="K31" s="155">
        <v>0.81171288448769874</v>
      </c>
      <c r="L31" s="20">
        <f t="shared" si="5"/>
        <v>15.547940450869918</v>
      </c>
      <c r="M31" s="20">
        <f t="shared" si="5"/>
        <v>15.809367979873864</v>
      </c>
      <c r="N31" s="20">
        <f t="shared" si="5"/>
        <v>15.450394954234046</v>
      </c>
      <c r="P31" s="24">
        <v>12</v>
      </c>
      <c r="Q31" s="40">
        <v>0.19458667312970293</v>
      </c>
      <c r="R31" s="22">
        <v>0.20442137863084323</v>
      </c>
      <c r="S31" s="41">
        <v>0.19411835382012479</v>
      </c>
      <c r="T31" s="22">
        <v>0.71793350158323732</v>
      </c>
      <c r="U31" s="22">
        <v>1.085564159602048</v>
      </c>
      <c r="V31" s="22">
        <v>0.94998571947918931</v>
      </c>
      <c r="W31" s="40">
        <v>1.1739941488361811</v>
      </c>
      <c r="X31" s="22">
        <v>1.2579056655267946</v>
      </c>
      <c r="Y31" s="41">
        <v>1.1850820128873973</v>
      </c>
      <c r="Z31" s="22">
        <v>8.0485356544093332</v>
      </c>
      <c r="AA31" s="22">
        <v>22.085938639703468</v>
      </c>
      <c r="AB31" s="22">
        <v>13.913766687565545</v>
      </c>
      <c r="AC31" s="40">
        <f t="shared" si="4"/>
        <v>9.2225298032455143</v>
      </c>
      <c r="AD31" s="22">
        <f t="shared" si="4"/>
        <v>23.343844305230263</v>
      </c>
      <c r="AE31" s="22">
        <f t="shared" si="4"/>
        <v>15.098848700452942</v>
      </c>
    </row>
    <row r="32" spans="2:31">
      <c r="B32" s="2">
        <v>24</v>
      </c>
      <c r="C32" s="154">
        <v>0.38388421416375196</v>
      </c>
      <c r="D32" s="20">
        <v>0.39675965991769335</v>
      </c>
      <c r="E32" s="155">
        <v>0.4733735512163787</v>
      </c>
      <c r="F32" s="20">
        <v>14.195738745711253</v>
      </c>
      <c r="G32" s="20">
        <v>13.907440721220798</v>
      </c>
      <c r="H32" s="20">
        <v>13.581735744701627</v>
      </c>
      <c r="I32" s="154">
        <v>0.94242664898968542</v>
      </c>
      <c r="J32" s="20">
        <v>0.94494575794154134</v>
      </c>
      <c r="K32" s="155">
        <v>0.7176661502849867</v>
      </c>
      <c r="L32" s="20">
        <f t="shared" si="5"/>
        <v>15.138165394700939</v>
      </c>
      <c r="M32" s="20">
        <f t="shared" si="5"/>
        <v>14.852386479162339</v>
      </c>
      <c r="N32" s="20">
        <f t="shared" si="5"/>
        <v>14.299401894986614</v>
      </c>
      <c r="P32" s="24">
        <v>24</v>
      </c>
      <c r="Q32" s="40">
        <v>0.20254810139253066</v>
      </c>
      <c r="R32" s="22">
        <v>0.21121200861972586</v>
      </c>
      <c r="S32" s="41">
        <v>0.21425608413198347</v>
      </c>
      <c r="T32" s="22">
        <v>0.99986172594925338</v>
      </c>
      <c r="U32" s="22">
        <v>1.1457431908828373</v>
      </c>
      <c r="V32" s="22">
        <v>0.95139067740792005</v>
      </c>
      <c r="W32" s="40">
        <v>0.90807114127194666</v>
      </c>
      <c r="X32" s="22">
        <v>1.0033741207710933</v>
      </c>
      <c r="Y32" s="41">
        <v>0.90971025885547208</v>
      </c>
      <c r="Z32" s="22">
        <v>14.537099688613974</v>
      </c>
      <c r="AA32" s="22">
        <v>14.278119110417281</v>
      </c>
      <c r="AB32" s="22">
        <v>12.437624223775307</v>
      </c>
      <c r="AC32" s="40">
        <f t="shared" si="4"/>
        <v>15.445170829885921</v>
      </c>
      <c r="AD32" s="22">
        <f t="shared" si="4"/>
        <v>15.281493231188374</v>
      </c>
      <c r="AE32" s="22">
        <f t="shared" si="4"/>
        <v>13.34733448263078</v>
      </c>
    </row>
    <row r="33" spans="2:31">
      <c r="B33" s="2">
        <v>28</v>
      </c>
      <c r="C33" s="154">
        <v>0.43664555165545332</v>
      </c>
      <c r="D33" s="20">
        <v>0.39186139251130397</v>
      </c>
      <c r="E33" s="155">
        <v>0.44196367055381869</v>
      </c>
      <c r="F33" s="20">
        <v>15.541642678490268</v>
      </c>
      <c r="G33" s="20">
        <v>14.610691970281254</v>
      </c>
      <c r="H33" s="20">
        <v>15.412748270453495</v>
      </c>
      <c r="I33" s="154">
        <v>0.91863506444435472</v>
      </c>
      <c r="J33" s="20">
        <v>0.92283357936412003</v>
      </c>
      <c r="K33" s="155">
        <v>0.99756714493591747</v>
      </c>
      <c r="L33" s="20">
        <f t="shared" si="5"/>
        <v>16.460277742934622</v>
      </c>
      <c r="M33" s="20">
        <f t="shared" si="5"/>
        <v>15.533525549645374</v>
      </c>
      <c r="N33" s="20">
        <f t="shared" si="5"/>
        <v>16.410315415389412</v>
      </c>
      <c r="P33" s="24">
        <v>28</v>
      </c>
      <c r="Q33" s="40">
        <v>0.22409078963312373</v>
      </c>
      <c r="R33" s="22">
        <v>0.23603293202736533</v>
      </c>
      <c r="S33" s="41">
        <v>0.18334700969982828</v>
      </c>
      <c r="T33" s="22">
        <v>0.97785071839908277</v>
      </c>
      <c r="U33" s="22">
        <v>0.89050916716276807</v>
      </c>
      <c r="V33" s="22">
        <v>0.9385118963945227</v>
      </c>
      <c r="W33" s="40">
        <v>0.97808487805387212</v>
      </c>
      <c r="X33" s="22">
        <v>0.87926950373289614</v>
      </c>
      <c r="Y33" s="41">
        <v>0.74767177774144533</v>
      </c>
      <c r="Z33" s="22">
        <v>15.862209175065226</v>
      </c>
      <c r="AA33" s="22">
        <v>12.640406484822666</v>
      </c>
      <c r="AB33" s="22">
        <v>11.412239095454078</v>
      </c>
      <c r="AC33" s="40">
        <f t="shared" si="4"/>
        <v>16.840294053119099</v>
      </c>
      <c r="AD33" s="22">
        <f t="shared" si="4"/>
        <v>13.519675988555562</v>
      </c>
      <c r="AE33" s="22">
        <f t="shared" si="4"/>
        <v>12.159910873195523</v>
      </c>
    </row>
    <row r="34" spans="2:31">
      <c r="B34" s="2">
        <v>32</v>
      </c>
      <c r="C34" s="154">
        <v>0.41509317506733062</v>
      </c>
      <c r="D34" s="20">
        <v>0.47499198792262937</v>
      </c>
      <c r="E34" s="155">
        <v>0.44840139343079205</v>
      </c>
      <c r="F34" s="20">
        <v>15.65388297734528</v>
      </c>
      <c r="G34" s="20">
        <v>15.71518129517384</v>
      </c>
      <c r="H34" s="20">
        <v>15.476005895244613</v>
      </c>
      <c r="I34" s="154">
        <v>0.98567135266325334</v>
      </c>
      <c r="J34" s="20">
        <v>0.85131887523080541</v>
      </c>
      <c r="K34" s="155">
        <v>0.93332986666352802</v>
      </c>
      <c r="L34" s="20">
        <f t="shared" si="5"/>
        <v>16.639554330008533</v>
      </c>
      <c r="M34" s="20">
        <f t="shared" si="5"/>
        <v>16.566500170404645</v>
      </c>
      <c r="N34" s="20">
        <f t="shared" si="5"/>
        <v>16.409335761908142</v>
      </c>
      <c r="P34" s="24">
        <v>32</v>
      </c>
      <c r="Q34" s="40">
        <v>0.20371889966647627</v>
      </c>
      <c r="R34" s="22">
        <v>0.22385662997833441</v>
      </c>
      <c r="S34" s="41">
        <v>0.21987591584692054</v>
      </c>
      <c r="T34" s="22">
        <v>0.93499950157268819</v>
      </c>
      <c r="U34" s="22">
        <v>0.86592240340991999</v>
      </c>
      <c r="V34" s="22">
        <v>0.95958626532554125</v>
      </c>
      <c r="W34" s="40">
        <v>0.74626681981270926</v>
      </c>
      <c r="X34" s="22">
        <v>0.62099140450057078</v>
      </c>
      <c r="Y34" s="41">
        <v>0.76242383599315733</v>
      </c>
      <c r="Z34" s="22">
        <v>14.082361639013655</v>
      </c>
      <c r="AA34" s="22">
        <v>10.98372692719008</v>
      </c>
      <c r="AB34" s="22">
        <v>13.902995343445225</v>
      </c>
      <c r="AC34" s="40">
        <f t="shared" si="4"/>
        <v>14.828628458826364</v>
      </c>
      <c r="AD34" s="22">
        <f t="shared" si="4"/>
        <v>11.60471833169065</v>
      </c>
      <c r="AE34" s="22">
        <f t="shared" si="4"/>
        <v>14.665419179438382</v>
      </c>
    </row>
    <row r="35" spans="2:31">
      <c r="B35" s="2">
        <v>36</v>
      </c>
      <c r="C35" s="154">
        <v>0.45315971033985603</v>
      </c>
      <c r="D35" s="20">
        <v>0.47499198792262937</v>
      </c>
      <c r="E35" s="155">
        <v>0.43552594767684799</v>
      </c>
      <c r="F35" s="20">
        <v>14.5097876617096</v>
      </c>
      <c r="G35" s="20">
        <v>15.630651194789252</v>
      </c>
      <c r="H35" s="20">
        <v>14.650437911521706</v>
      </c>
      <c r="I35" s="154">
        <v>1.0098827887005573</v>
      </c>
      <c r="J35" s="20">
        <v>1.1086878398123361</v>
      </c>
      <c r="K35" s="155">
        <v>1.0178599670481094</v>
      </c>
      <c r="L35" s="20">
        <f t="shared" si="5"/>
        <v>15.519670450410157</v>
      </c>
      <c r="M35" s="20">
        <f t="shared" si="5"/>
        <v>16.739339034601588</v>
      </c>
      <c r="N35" s="20">
        <f t="shared" si="5"/>
        <v>15.668297878569815</v>
      </c>
      <c r="P35" s="24">
        <v>36</v>
      </c>
      <c r="Q35" s="40">
        <v>0.16836079179332905</v>
      </c>
      <c r="R35" s="22">
        <v>0.22081255446607681</v>
      </c>
      <c r="S35" s="41">
        <v>0.22198335274002243</v>
      </c>
      <c r="T35" s="22">
        <v>0.76101887806442137</v>
      </c>
      <c r="U35" s="22">
        <v>1.0000958856040427</v>
      </c>
      <c r="V35" s="22">
        <v>1.0296000021074667</v>
      </c>
      <c r="W35" s="40">
        <v>0.67836051992388791</v>
      </c>
      <c r="X35" s="22">
        <v>0.71278198917787738</v>
      </c>
      <c r="Y35" s="41">
        <v>0.88044030200683743</v>
      </c>
      <c r="Z35" s="22">
        <v>12.079125792293279</v>
      </c>
      <c r="AA35" s="22">
        <v>8.1447752725276263</v>
      </c>
      <c r="AB35" s="22">
        <v>13.653615311094878</v>
      </c>
      <c r="AC35" s="40">
        <f t="shared" si="4"/>
        <v>12.757486312217168</v>
      </c>
      <c r="AD35" s="22">
        <f t="shared" si="4"/>
        <v>8.8575572617055034</v>
      </c>
      <c r="AE35" s="22">
        <f t="shared" si="4"/>
        <v>14.534055613101716</v>
      </c>
    </row>
    <row r="36" spans="2:31" ht="15" thickBot="1">
      <c r="B36" s="15">
        <v>48</v>
      </c>
      <c r="C36" s="156">
        <v>0.46239644316333861</v>
      </c>
      <c r="D36" s="153">
        <v>0.48156966129692536</v>
      </c>
      <c r="E36" s="157">
        <v>0.46379594813659197</v>
      </c>
      <c r="F36" s="153">
        <v>15.651223917896107</v>
      </c>
      <c r="G36" s="153">
        <v>15.947639071231439</v>
      </c>
      <c r="H36" s="153">
        <v>13.442665119602934</v>
      </c>
      <c r="I36" s="156">
        <v>1.0475011041370568</v>
      </c>
      <c r="J36" s="153">
        <v>0.89890204432146392</v>
      </c>
      <c r="K36" s="157">
        <v>0.94354625296828809</v>
      </c>
      <c r="L36" s="153">
        <f t="shared" si="5"/>
        <v>16.698725022033166</v>
      </c>
      <c r="M36" s="153">
        <f t="shared" si="5"/>
        <v>16.846541115552903</v>
      </c>
      <c r="N36" s="153">
        <f t="shared" si="5"/>
        <v>14.386211372571221</v>
      </c>
      <c r="P36" s="30">
        <v>48</v>
      </c>
      <c r="Q36" s="42">
        <v>0.22337646700923092</v>
      </c>
      <c r="R36" s="36">
        <v>0.24446683394512797</v>
      </c>
      <c r="S36" s="43">
        <v>0.25195051253528483</v>
      </c>
      <c r="T36" s="36">
        <v>1.1756178730719304</v>
      </c>
      <c r="U36" s="36">
        <v>1.2039651404588907</v>
      </c>
      <c r="V36" s="36">
        <v>1.3094169751383733</v>
      </c>
      <c r="W36" s="42">
        <v>0.84134689604492274</v>
      </c>
      <c r="X36" s="36">
        <v>0.94248994608158942</v>
      </c>
      <c r="Y36" s="43">
        <v>0.93886149585605871</v>
      </c>
      <c r="Z36" s="36">
        <v>15.147192244616798</v>
      </c>
      <c r="AA36" s="36">
        <v>17.248064925199092</v>
      </c>
      <c r="AB36" s="36">
        <v>16.549588256784428</v>
      </c>
      <c r="AC36" s="42">
        <f t="shared" si="4"/>
        <v>15.988539140661722</v>
      </c>
      <c r="AD36" s="36">
        <f t="shared" si="4"/>
        <v>18.190554871280682</v>
      </c>
      <c r="AE36" s="36">
        <f t="shared" si="4"/>
        <v>17.488449752640488</v>
      </c>
    </row>
    <row r="37" spans="2:31"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</row>
    <row r="38" spans="2:31" ht="15" thickBot="1">
      <c r="B38" s="1" t="s">
        <v>99</v>
      </c>
      <c r="P38" s="1" t="s">
        <v>107</v>
      </c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</row>
    <row r="39" spans="2:31" ht="15">
      <c r="B39" s="49" t="s">
        <v>182</v>
      </c>
      <c r="C39" s="272" t="s">
        <v>12</v>
      </c>
      <c r="D39" s="273"/>
      <c r="E39" s="274"/>
      <c r="F39" s="275" t="s">
        <v>95</v>
      </c>
      <c r="G39" s="273"/>
      <c r="H39" s="273"/>
      <c r="I39" s="272" t="s">
        <v>100</v>
      </c>
      <c r="J39" s="273"/>
      <c r="K39" s="274"/>
      <c r="L39" s="275" t="s">
        <v>13</v>
      </c>
      <c r="M39" s="273"/>
      <c r="N39" s="273"/>
      <c r="P39" s="141" t="s">
        <v>182</v>
      </c>
      <c r="Q39" s="282" t="s">
        <v>14</v>
      </c>
      <c r="R39" s="302"/>
      <c r="S39" s="303"/>
      <c r="T39" s="283" t="s">
        <v>15</v>
      </c>
      <c r="U39" s="302"/>
      <c r="V39" s="302"/>
      <c r="W39" s="282" t="s">
        <v>95</v>
      </c>
      <c r="X39" s="302"/>
      <c r="Y39" s="303"/>
      <c r="Z39" s="283" t="s">
        <v>100</v>
      </c>
      <c r="AA39" s="302"/>
      <c r="AB39" s="302"/>
      <c r="AC39" s="282" t="s">
        <v>13</v>
      </c>
      <c r="AD39" s="302"/>
      <c r="AE39" s="302"/>
    </row>
    <row r="40" spans="2:31">
      <c r="B40" s="2">
        <v>0</v>
      </c>
      <c r="C40" s="154">
        <v>0</v>
      </c>
      <c r="D40" s="20">
        <v>0</v>
      </c>
      <c r="E40" s="155">
        <v>0</v>
      </c>
      <c r="F40" s="20">
        <v>20.515809946057733</v>
      </c>
      <c r="G40" s="20">
        <v>22.070358494692105</v>
      </c>
      <c r="H40" s="20">
        <v>20.441585847180903</v>
      </c>
      <c r="I40" s="154">
        <v>2.9014652687797331</v>
      </c>
      <c r="J40" s="20">
        <v>2.4301972670148562</v>
      </c>
      <c r="K40" s="155">
        <v>2.4800876003620456</v>
      </c>
      <c r="L40" s="20">
        <f>F40+I40</f>
        <v>23.417275214837467</v>
      </c>
      <c r="M40" s="20">
        <f>G40+J40</f>
        <v>24.500555761706963</v>
      </c>
      <c r="N40" s="20">
        <f>H40+K40</f>
        <v>22.92167344754295</v>
      </c>
      <c r="P40" s="24">
        <v>0</v>
      </c>
      <c r="Q40" s="40">
        <v>0</v>
      </c>
      <c r="R40" s="22">
        <v>0</v>
      </c>
      <c r="S40" s="41">
        <v>0</v>
      </c>
      <c r="T40" s="22">
        <v>0</v>
      </c>
      <c r="U40" s="22">
        <v>0</v>
      </c>
      <c r="V40" s="22">
        <v>0</v>
      </c>
      <c r="W40" s="40">
        <v>0</v>
      </c>
      <c r="X40" s="22">
        <v>0</v>
      </c>
      <c r="Y40" s="41">
        <v>0</v>
      </c>
      <c r="Z40" s="22">
        <v>24.493802369899306</v>
      </c>
      <c r="AA40" s="22">
        <v>25.020715090332001</v>
      </c>
      <c r="AB40" s="22">
        <v>25.252767308227899</v>
      </c>
      <c r="AC40" s="40">
        <f t="shared" ref="AC40:AE47" si="6">W40+Z40</f>
        <v>24.493802369899306</v>
      </c>
      <c r="AD40" s="22">
        <f>X40+AA40</f>
        <v>25.020715090332001</v>
      </c>
      <c r="AE40" s="22">
        <f t="shared" si="6"/>
        <v>25.252767308227899</v>
      </c>
    </row>
    <row r="41" spans="2:31">
      <c r="B41" s="2">
        <v>8</v>
      </c>
      <c r="C41" s="154">
        <v>8.1438632375560788E-2</v>
      </c>
      <c r="D41" s="20">
        <v>6.2607477141572263E-2</v>
      </c>
      <c r="E41" s="155">
        <v>6.8843768809970923E-2</v>
      </c>
      <c r="F41" s="20">
        <v>16.612502762784054</v>
      </c>
      <c r="G41" s="20">
        <v>16.764863927859039</v>
      </c>
      <c r="H41" s="20">
        <v>16.812797777545573</v>
      </c>
      <c r="I41" s="154">
        <v>1.7077656753109334</v>
      </c>
      <c r="J41" s="20">
        <v>1.8614719229026426</v>
      </c>
      <c r="K41" s="155">
        <v>1.6730380903339652</v>
      </c>
      <c r="L41" s="20">
        <f t="shared" ref="L41:N47" si="7">F41+I41</f>
        <v>18.320268438094988</v>
      </c>
      <c r="M41" s="20">
        <f t="shared" si="7"/>
        <v>18.626335850761681</v>
      </c>
      <c r="N41" s="20">
        <f t="shared" si="7"/>
        <v>18.485835867879537</v>
      </c>
      <c r="P41" s="24">
        <v>8</v>
      </c>
      <c r="Q41" s="40">
        <v>0.15173545630330615</v>
      </c>
      <c r="R41" s="22">
        <v>0.13604675943243946</v>
      </c>
      <c r="S41" s="41">
        <v>0.15454537216077496</v>
      </c>
      <c r="T41" s="22">
        <v>0.52194187052479901</v>
      </c>
      <c r="U41" s="22">
        <v>0.5877407335205227</v>
      </c>
      <c r="V41" s="22">
        <v>0.71207951021350935</v>
      </c>
      <c r="W41" s="40">
        <v>1.2042831045801015</v>
      </c>
      <c r="X41" s="22">
        <v>1.21833268386744</v>
      </c>
      <c r="Y41" s="41">
        <v>1.56746472915792</v>
      </c>
      <c r="Z41" s="22">
        <v>21.242374439356372</v>
      </c>
      <c r="AA41" s="22">
        <v>18.857111159817226</v>
      </c>
      <c r="AB41" s="22">
        <v>21.956214190950348</v>
      </c>
      <c r="AC41" s="40">
        <f t="shared" si="6"/>
        <v>22.446657543936475</v>
      </c>
      <c r="AD41" s="22">
        <f t="shared" si="6"/>
        <v>20.075443843684667</v>
      </c>
      <c r="AE41" s="22">
        <f t="shared" si="6"/>
        <v>23.523678920108267</v>
      </c>
    </row>
    <row r="42" spans="2:31">
      <c r="B42" s="2">
        <v>12</v>
      </c>
      <c r="C42" s="154">
        <v>0.15100658661417707</v>
      </c>
      <c r="D42" s="20">
        <v>0.14079020030941813</v>
      </c>
      <c r="E42" s="155">
        <v>0.13729143787628162</v>
      </c>
      <c r="F42" s="20">
        <v>17.725430238756825</v>
      </c>
      <c r="G42" s="20">
        <v>18.856650108638561</v>
      </c>
      <c r="H42" s="20">
        <v>17.544754146709657</v>
      </c>
      <c r="I42" s="154">
        <v>0.93402961915015736</v>
      </c>
      <c r="J42" s="20">
        <v>0.85831640009707999</v>
      </c>
      <c r="K42" s="155">
        <v>0.87427075679218125</v>
      </c>
      <c r="L42" s="20">
        <f t="shared" si="7"/>
        <v>18.659459857906981</v>
      </c>
      <c r="M42" s="20">
        <f t="shared" si="7"/>
        <v>19.714966508735642</v>
      </c>
      <c r="N42" s="20">
        <f t="shared" si="7"/>
        <v>18.419024903501839</v>
      </c>
      <c r="P42" s="24">
        <v>12</v>
      </c>
      <c r="Q42" s="40">
        <v>0.14892554044583786</v>
      </c>
      <c r="R42" s="22">
        <v>0.1332368435749712</v>
      </c>
      <c r="S42" s="41">
        <v>0.13721755770638508</v>
      </c>
      <c r="T42" s="22">
        <v>0.57064707872092268</v>
      </c>
      <c r="U42" s="22">
        <v>0.61232749727337066</v>
      </c>
      <c r="V42" s="22">
        <v>0.63691426102622395</v>
      </c>
      <c r="W42" s="40">
        <v>1.0989112599250241</v>
      </c>
      <c r="X42" s="22">
        <v>1.3445447377987414</v>
      </c>
      <c r="Y42" s="41">
        <v>1.3946549039236</v>
      </c>
      <c r="Z42" s="22">
        <v>16.005046564486559</v>
      </c>
      <c r="AA42" s="22">
        <v>20.152716529765069</v>
      </c>
      <c r="AB42" s="22">
        <v>18.415720210539838</v>
      </c>
      <c r="AC42" s="40">
        <f t="shared" si="6"/>
        <v>17.103957824411584</v>
      </c>
      <c r="AD42" s="22">
        <f t="shared" si="6"/>
        <v>21.497261267563811</v>
      </c>
      <c r="AE42" s="22">
        <f t="shared" si="6"/>
        <v>19.81037511446344</v>
      </c>
    </row>
    <row r="43" spans="2:31">
      <c r="B43" s="2">
        <v>24</v>
      </c>
      <c r="C43" s="154">
        <v>0.15478525004196481</v>
      </c>
      <c r="D43" s="20">
        <v>0.15926366595637972</v>
      </c>
      <c r="E43" s="155">
        <v>0.1221767841651312</v>
      </c>
      <c r="F43" s="20">
        <v>14.713275684820825</v>
      </c>
      <c r="G43" s="20">
        <v>15.897396842691599</v>
      </c>
      <c r="H43" s="20">
        <v>16.311090512785679</v>
      </c>
      <c r="I43" s="154">
        <v>0.97979343177558409</v>
      </c>
      <c r="J43" s="20">
        <v>1.0049845212941679</v>
      </c>
      <c r="K43" s="155">
        <v>0.9263323417972561</v>
      </c>
      <c r="L43" s="20">
        <f t="shared" si="7"/>
        <v>15.693069116596408</v>
      </c>
      <c r="M43" s="20">
        <f t="shared" si="7"/>
        <v>16.902381363985768</v>
      </c>
      <c r="N43" s="20">
        <f t="shared" si="7"/>
        <v>17.237422854582935</v>
      </c>
      <c r="P43" s="24">
        <v>24</v>
      </c>
      <c r="Q43" s="40">
        <v>0.13206604530102559</v>
      </c>
      <c r="R43" s="22">
        <v>0.13674923839680692</v>
      </c>
      <c r="S43" s="41">
        <v>0.149393859755416</v>
      </c>
      <c r="T43" s="22">
        <v>0.5718178769948693</v>
      </c>
      <c r="U43" s="22">
        <v>0.59640464074771737</v>
      </c>
      <c r="V43" s="22">
        <v>0.64487568928905059</v>
      </c>
      <c r="W43" s="40">
        <v>1.0750269751365438</v>
      </c>
      <c r="X43" s="22">
        <v>1.2127128521525066</v>
      </c>
      <c r="Y43" s="41">
        <v>1.2007707097582614</v>
      </c>
      <c r="Z43" s="22">
        <v>15.9481457683728</v>
      </c>
      <c r="AA43" s="22">
        <v>17.584921755348265</v>
      </c>
      <c r="AB43" s="22">
        <v>16.615500784521601</v>
      </c>
      <c r="AC43" s="40">
        <f t="shared" si="6"/>
        <v>17.023172743509345</v>
      </c>
      <c r="AD43" s="22">
        <f t="shared" si="6"/>
        <v>18.797634607500772</v>
      </c>
      <c r="AE43" s="22">
        <f t="shared" si="6"/>
        <v>17.81627149427986</v>
      </c>
    </row>
    <row r="44" spans="2:31">
      <c r="B44" s="2">
        <v>28</v>
      </c>
      <c r="C44" s="154">
        <v>0.17843688408996827</v>
      </c>
      <c r="D44" s="20">
        <v>0.1771773296140392</v>
      </c>
      <c r="E44" s="155">
        <v>0.15506515103661572</v>
      </c>
      <c r="F44" s="20">
        <v>16.614643141484613</v>
      </c>
      <c r="G44" s="20">
        <v>17.66063315849512</v>
      </c>
      <c r="H44" s="20">
        <v>17.367716767592931</v>
      </c>
      <c r="I44" s="154">
        <v>1.0591453637591228</v>
      </c>
      <c r="J44" s="20">
        <v>1.1112069487641947</v>
      </c>
      <c r="K44" s="155">
        <v>0.99420833300010658</v>
      </c>
      <c r="L44" s="20">
        <f t="shared" si="7"/>
        <v>17.673788505243735</v>
      </c>
      <c r="M44" s="20">
        <f t="shared" si="7"/>
        <v>18.771840107259315</v>
      </c>
      <c r="N44" s="20">
        <f t="shared" si="7"/>
        <v>18.361925100593037</v>
      </c>
      <c r="P44" s="24">
        <v>28</v>
      </c>
      <c r="Q44" s="40">
        <v>0.14775474217189227</v>
      </c>
      <c r="R44" s="22">
        <v>0.15477953181556373</v>
      </c>
      <c r="S44" s="41">
        <v>0.14283738942132213</v>
      </c>
      <c r="T44" s="22">
        <v>0.60881510245153592</v>
      </c>
      <c r="U44" s="22">
        <v>0.59289224592588274</v>
      </c>
      <c r="V44" s="22">
        <v>0.58118426318642658</v>
      </c>
      <c r="W44" s="40">
        <v>1.0705779416955521</v>
      </c>
      <c r="X44" s="22">
        <v>1.1162390743794135</v>
      </c>
      <c r="Y44" s="41">
        <v>1.2061563818184107</v>
      </c>
      <c r="Z44" s="22">
        <v>15.991465304508798</v>
      </c>
      <c r="AA44" s="22">
        <v>15.31333894423968</v>
      </c>
      <c r="AB44" s="22">
        <v>17.017318752139627</v>
      </c>
      <c r="AC44" s="40">
        <f t="shared" si="6"/>
        <v>17.06204324620435</v>
      </c>
      <c r="AD44" s="22">
        <f t="shared" si="6"/>
        <v>16.429578018619093</v>
      </c>
      <c r="AE44" s="22">
        <f t="shared" si="6"/>
        <v>18.223475133958036</v>
      </c>
    </row>
    <row r="45" spans="2:31">
      <c r="B45" s="2">
        <v>32</v>
      </c>
      <c r="C45" s="154">
        <v>0.158144061977776</v>
      </c>
      <c r="D45" s="20">
        <v>0.17591777513811013</v>
      </c>
      <c r="E45" s="155">
        <v>0.16832705459086508</v>
      </c>
      <c r="F45" s="20">
        <v>16.494705565276664</v>
      </c>
      <c r="G45" s="20">
        <v>16.680839726719544</v>
      </c>
      <c r="H45" s="20">
        <v>15.841976445750721</v>
      </c>
      <c r="I45" s="154">
        <v>1.059285314256448</v>
      </c>
      <c r="J45" s="20">
        <v>1.1163851171652373</v>
      </c>
      <c r="K45" s="155">
        <v>1.1345786818175494</v>
      </c>
      <c r="L45" s="20">
        <f t="shared" si="7"/>
        <v>17.553990879533114</v>
      </c>
      <c r="M45" s="20">
        <f t="shared" si="7"/>
        <v>17.797224843884781</v>
      </c>
      <c r="N45" s="20">
        <f t="shared" si="7"/>
        <v>16.976555127568268</v>
      </c>
      <c r="P45" s="24">
        <v>32</v>
      </c>
      <c r="Q45" s="40">
        <v>0.14096411218300961</v>
      </c>
      <c r="R45" s="22">
        <v>0.10818176051254241</v>
      </c>
      <c r="S45" s="41">
        <v>0.1451789859692128</v>
      </c>
      <c r="T45" s="22">
        <v>0.51679035811943952</v>
      </c>
      <c r="U45" s="22">
        <v>0.46176283924401229</v>
      </c>
      <c r="V45" s="22">
        <v>0.64698312618215459</v>
      </c>
      <c r="W45" s="40">
        <v>0.94881492120524269</v>
      </c>
      <c r="X45" s="22">
        <v>0.88933836888882123</v>
      </c>
      <c r="Y45" s="41">
        <v>1.1717349125644214</v>
      </c>
      <c r="Z45" s="22">
        <v>15.891713291568641</v>
      </c>
      <c r="AA45" s="22">
        <v>15.523614314240268</v>
      </c>
      <c r="AB45" s="22">
        <v>17.922814137208906</v>
      </c>
      <c r="AC45" s="40">
        <f t="shared" si="6"/>
        <v>16.840528212773883</v>
      </c>
      <c r="AD45" s="22">
        <f t="shared" si="6"/>
        <v>16.412952683129088</v>
      </c>
      <c r="AE45" s="22">
        <f t="shared" si="6"/>
        <v>19.094549049773327</v>
      </c>
    </row>
    <row r="46" spans="2:31">
      <c r="B46" s="2">
        <v>36</v>
      </c>
      <c r="C46" s="154">
        <v>0.18165574552845412</v>
      </c>
      <c r="D46" s="20">
        <v>0.15492520053929013</v>
      </c>
      <c r="E46" s="155">
        <v>0.15324579457138451</v>
      </c>
      <c r="F46" s="20">
        <v>15.222835445582854</v>
      </c>
      <c r="G46" s="20">
        <v>15.670956938018987</v>
      </c>
      <c r="H46" s="20">
        <v>14.981140936701758</v>
      </c>
      <c r="I46" s="154">
        <v>0.96076016413931997</v>
      </c>
      <c r="J46" s="20">
        <v>0.96887729298419722</v>
      </c>
      <c r="K46" s="155">
        <v>0.97405546138524002</v>
      </c>
      <c r="L46" s="20">
        <f t="shared" si="7"/>
        <v>16.183595609722175</v>
      </c>
      <c r="M46" s="20">
        <f t="shared" si="7"/>
        <v>16.639834231003185</v>
      </c>
      <c r="N46" s="20">
        <f t="shared" si="7"/>
        <v>15.955196398086997</v>
      </c>
      <c r="P46" s="24">
        <v>36</v>
      </c>
      <c r="Q46" s="40">
        <v>0.14986217906499361</v>
      </c>
      <c r="R46" s="22">
        <v>0.14072995252822079</v>
      </c>
      <c r="S46" s="41">
        <v>0.13674923839680692</v>
      </c>
      <c r="T46" s="22">
        <v>0.52756170223973597</v>
      </c>
      <c r="U46" s="22">
        <v>0.55331926426653322</v>
      </c>
      <c r="V46" s="22">
        <v>0.52920081982325973</v>
      </c>
      <c r="W46" s="40">
        <v>0.84812626964595206</v>
      </c>
      <c r="X46" s="22">
        <v>0.78279572595980262</v>
      </c>
      <c r="Y46" s="41">
        <v>1.003842440080672</v>
      </c>
      <c r="Z46" s="22">
        <v>14.915033371443521</v>
      </c>
      <c r="AA46" s="22">
        <v>13.566273759858559</v>
      </c>
      <c r="AB46" s="22">
        <v>16.710335444711198</v>
      </c>
      <c r="AC46" s="40">
        <f t="shared" si="6"/>
        <v>15.763159641089473</v>
      </c>
      <c r="AD46" s="22">
        <f t="shared" si="6"/>
        <v>14.349069485818362</v>
      </c>
      <c r="AE46" s="22">
        <f t="shared" si="6"/>
        <v>17.714177884791869</v>
      </c>
    </row>
    <row r="47" spans="2:31" ht="15" thickBot="1">
      <c r="B47" s="15">
        <v>48</v>
      </c>
      <c r="C47" s="156">
        <v>0.18305525050170882</v>
      </c>
      <c r="D47" s="153">
        <v>0.18025624055519945</v>
      </c>
      <c r="E47" s="157">
        <v>0.16612124032532746</v>
      </c>
      <c r="F47" s="153">
        <v>16.490227149362266</v>
      </c>
      <c r="G47" s="153">
        <v>16.878589779440425</v>
      </c>
      <c r="H47" s="153">
        <v>16.725204034371732</v>
      </c>
      <c r="I47" s="156">
        <v>0.84124243942337329</v>
      </c>
      <c r="J47" s="153">
        <v>1.0094629372085813</v>
      </c>
      <c r="K47" s="157">
        <v>0.91541620300586923</v>
      </c>
      <c r="L47" s="153">
        <f t="shared" si="7"/>
        <v>17.331469588785637</v>
      </c>
      <c r="M47" s="153">
        <f t="shared" si="7"/>
        <v>17.888052716649007</v>
      </c>
      <c r="N47" s="153">
        <f t="shared" si="7"/>
        <v>17.6406202373776</v>
      </c>
      <c r="P47" s="30">
        <v>48</v>
      </c>
      <c r="Q47" s="42">
        <v>0.17847439546828905</v>
      </c>
      <c r="R47" s="36">
        <v>0.15534302528053121</v>
      </c>
      <c r="S47" s="43">
        <v>0.16894971362627145</v>
      </c>
      <c r="T47" s="36">
        <v>0.78782725521834129</v>
      </c>
      <c r="U47" s="36">
        <v>0.62930933599047456</v>
      </c>
      <c r="V47" s="36">
        <v>0.74768752459841059</v>
      </c>
      <c r="W47" s="42">
        <v>1.0186874008177333</v>
      </c>
      <c r="X47" s="36">
        <v>0.67103651358407457</v>
      </c>
      <c r="Y47" s="43">
        <v>1.0558790156294187</v>
      </c>
      <c r="Z47" s="36">
        <v>18.846170471406239</v>
      </c>
      <c r="AA47" s="36">
        <v>14.120114052652534</v>
      </c>
      <c r="AB47" s="36">
        <v>18.102338175172427</v>
      </c>
      <c r="AC47" s="42">
        <f t="shared" si="6"/>
        <v>19.864857872223972</v>
      </c>
      <c r="AD47" s="36">
        <f t="shared" si="6"/>
        <v>14.791150566236608</v>
      </c>
      <c r="AE47" s="36">
        <f t="shared" si="6"/>
        <v>19.158217190801846</v>
      </c>
    </row>
    <row r="50" spans="3:4">
      <c r="C50" s="236">
        <f>AVERAGE(C14:E14)</f>
        <v>0.72321752001222939</v>
      </c>
      <c r="D50" s="236">
        <f>STDEV(C14:E14)</f>
        <v>9.896057243360426E-2</v>
      </c>
    </row>
    <row r="51" spans="3:4">
      <c r="C51" s="236">
        <f>AVERAGE(C24:E24)</f>
        <v>0.60617225408236619</v>
      </c>
      <c r="D51" s="236">
        <f>STDEV(C25:E25)</f>
        <v>4.0415817066766821E-2</v>
      </c>
    </row>
    <row r="52" spans="3:4">
      <c r="C52" s="236">
        <f>AVERAGE(C35:E35)</f>
        <v>0.45455921531311111</v>
      </c>
      <c r="D52" s="236">
        <f>STDEV(C36:E36)</f>
        <v>1.0688590390957925E-2</v>
      </c>
    </row>
    <row r="53" spans="3:4">
      <c r="C53" s="236">
        <f>AVERAGE(C47:E47)</f>
        <v>0.17647757712741194</v>
      </c>
      <c r="D53" s="236">
        <f>STDEV(C47:E47)</f>
        <v>9.0773838818693307E-3</v>
      </c>
    </row>
  </sheetData>
  <mergeCells count="36">
    <mergeCell ref="W6:Y6"/>
    <mergeCell ref="Z6:AB6"/>
    <mergeCell ref="AC6:AE6"/>
    <mergeCell ref="C17:E17"/>
    <mergeCell ref="F17:H17"/>
    <mergeCell ref="I17:K17"/>
    <mergeCell ref="L17:N17"/>
    <mergeCell ref="Q17:S17"/>
    <mergeCell ref="T17:V17"/>
    <mergeCell ref="W17:Y17"/>
    <mergeCell ref="C6:E6"/>
    <mergeCell ref="F6:H6"/>
    <mergeCell ref="I6:K6"/>
    <mergeCell ref="L6:N6"/>
    <mergeCell ref="Q6:S6"/>
    <mergeCell ref="T6:V6"/>
    <mergeCell ref="Z17:AB17"/>
    <mergeCell ref="AC17:AE17"/>
    <mergeCell ref="C28:E28"/>
    <mergeCell ref="F28:H28"/>
    <mergeCell ref="I28:K28"/>
    <mergeCell ref="L28:N28"/>
    <mergeCell ref="Q28:S28"/>
    <mergeCell ref="T28:V28"/>
    <mergeCell ref="W28:Y28"/>
    <mergeCell ref="Z28:AB28"/>
    <mergeCell ref="AC28:AE28"/>
    <mergeCell ref="T39:V39"/>
    <mergeCell ref="W39:Y39"/>
    <mergeCell ref="Z39:AB39"/>
    <mergeCell ref="AC39:AE39"/>
    <mergeCell ref="C39:E39"/>
    <mergeCell ref="F39:H39"/>
    <mergeCell ref="I39:K39"/>
    <mergeCell ref="L39:N39"/>
    <mergeCell ref="Q39:S39"/>
  </mergeCells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FC9FA-C5A7-45D9-AEAF-16403BE9A2FF}">
  <dimension ref="B2:H48"/>
  <sheetViews>
    <sheetView workbookViewId="0">
      <selection activeCell="K18" sqref="K18"/>
    </sheetView>
  </sheetViews>
  <sheetFormatPr baseColWidth="10" defaultColWidth="9" defaultRowHeight="14"/>
  <cols>
    <col min="1" max="1" width="2" style="1" customWidth="1"/>
    <col min="2" max="2" width="9" style="1"/>
    <col min="3" max="5" width="9.1640625" style="1" bestFit="1" customWidth="1"/>
    <col min="6" max="6" width="9.6640625" style="1" bestFit="1" customWidth="1"/>
    <col min="7" max="7" width="9.1640625" style="1" bestFit="1" customWidth="1"/>
    <col min="8" max="8" width="9.6640625" style="1" bestFit="1" customWidth="1"/>
    <col min="9" max="16384" width="9" style="1"/>
  </cols>
  <sheetData>
    <row r="2" spans="2:8">
      <c r="B2" s="1" t="s">
        <v>179</v>
      </c>
    </row>
    <row r="3" spans="2:8">
      <c r="B3" s="1" t="s">
        <v>242</v>
      </c>
    </row>
    <row r="5" spans="2:8" ht="15" thickBot="1">
      <c r="B5" s="1" t="s">
        <v>24</v>
      </c>
    </row>
    <row r="6" spans="2:8" ht="15">
      <c r="B6" s="104" t="s">
        <v>182</v>
      </c>
      <c r="C6" s="272" t="s">
        <v>19</v>
      </c>
      <c r="D6" s="273"/>
      <c r="E6" s="274"/>
      <c r="F6" s="275" t="s">
        <v>1</v>
      </c>
      <c r="G6" s="273"/>
      <c r="H6" s="273"/>
    </row>
    <row r="7" spans="2:8">
      <c r="B7" s="2">
        <v>0</v>
      </c>
      <c r="C7" s="235">
        <v>0</v>
      </c>
      <c r="D7" s="236">
        <v>0</v>
      </c>
      <c r="E7" s="237">
        <v>0</v>
      </c>
      <c r="F7" s="236">
        <v>0</v>
      </c>
      <c r="G7" s="236">
        <v>0</v>
      </c>
      <c r="H7" s="236">
        <v>0</v>
      </c>
    </row>
    <row r="8" spans="2:8">
      <c r="B8" s="2">
        <v>8</v>
      </c>
      <c r="C8" s="235">
        <v>42.528152463218589</v>
      </c>
      <c r="D8" s="236">
        <v>48.979775710688564</v>
      </c>
      <c r="E8" s="237">
        <v>59.497787801767316</v>
      </c>
      <c r="F8" s="236">
        <v>283.24649955815283</v>
      </c>
      <c r="G8" s="236">
        <v>302.22517520676752</v>
      </c>
      <c r="H8" s="236">
        <v>328.45972729117221</v>
      </c>
    </row>
    <row r="9" spans="2:8">
      <c r="B9" s="2">
        <v>12</v>
      </c>
      <c r="C9" s="235">
        <v>75.285966255330109</v>
      </c>
      <c r="D9" s="236">
        <v>66.777921842196974</v>
      </c>
      <c r="E9" s="237">
        <v>65.68812765806517</v>
      </c>
      <c r="F9" s="236">
        <v>493.18853292013716</v>
      </c>
      <c r="G9" s="236">
        <v>479.62076513910642</v>
      </c>
      <c r="H9" s="236">
        <v>467.82681189797921</v>
      </c>
    </row>
    <row r="10" spans="2:8">
      <c r="B10" s="2">
        <v>24</v>
      </c>
      <c r="C10" s="235">
        <v>141.66772817637383</v>
      </c>
      <c r="D10" s="236">
        <v>115.53256933197817</v>
      </c>
      <c r="E10" s="237">
        <v>165.87464318639823</v>
      </c>
      <c r="F10" s="236">
        <v>1124.384634618018</v>
      </c>
      <c r="G10" s="236">
        <v>1170.8952751238</v>
      </c>
      <c r="H10" s="236">
        <v>1440.6806655741468</v>
      </c>
    </row>
    <row r="11" spans="2:8">
      <c r="B11" s="2">
        <v>28</v>
      </c>
      <c r="C11" s="235">
        <v>177.03007198853251</v>
      </c>
      <c r="D11" s="236">
        <v>147.74203785766005</v>
      </c>
      <c r="E11" s="237">
        <v>182.4096223687464</v>
      </c>
      <c r="F11" s="236">
        <v>1590.2188227984691</v>
      </c>
      <c r="G11" s="236">
        <v>1984.0824977245086</v>
      </c>
      <c r="H11" s="236">
        <v>1851.5071020846613</v>
      </c>
    </row>
    <row r="12" spans="2:8">
      <c r="B12" s="2">
        <v>32</v>
      </c>
      <c r="C12" s="235">
        <v>178.56161485922752</v>
      </c>
      <c r="D12" s="236">
        <v>178.38006546734181</v>
      </c>
      <c r="E12" s="237">
        <v>174.49308005436217</v>
      </c>
      <c r="F12" s="236">
        <v>2067.26809895512</v>
      </c>
      <c r="G12" s="236">
        <v>2472.5236287509806</v>
      </c>
      <c r="H12" s="236">
        <v>2005.7702533014476</v>
      </c>
    </row>
    <row r="13" spans="2:8">
      <c r="B13" s="2">
        <v>36</v>
      </c>
      <c r="C13" s="235">
        <v>141.68412714389203</v>
      </c>
      <c r="D13" s="236">
        <v>157.28579113102919</v>
      </c>
      <c r="E13" s="237">
        <v>147.86172076558736</v>
      </c>
      <c r="F13" s="236">
        <v>2209.2350749445432</v>
      </c>
      <c r="G13" s="236">
        <v>2402.5171659808134</v>
      </c>
      <c r="H13" s="236">
        <v>1802.351364434438</v>
      </c>
    </row>
    <row r="14" spans="2:8" ht="15" thickBot="1">
      <c r="B14" s="15">
        <v>48</v>
      </c>
      <c r="C14" s="238">
        <v>169.41766011966001</v>
      </c>
      <c r="D14" s="239">
        <v>139.93528709900352</v>
      </c>
      <c r="E14" s="240">
        <v>149.44604149774497</v>
      </c>
      <c r="F14" s="239">
        <v>2624.861963009364</v>
      </c>
      <c r="G14" s="239">
        <v>2095.4447831434541</v>
      </c>
      <c r="H14" s="239">
        <v>2060.1290947397733</v>
      </c>
    </row>
    <row r="15" spans="2:8" ht="7" customHeight="1"/>
    <row r="16" spans="2:8" ht="15" thickBot="1">
      <c r="B16" s="1" t="s">
        <v>25</v>
      </c>
    </row>
    <row r="17" spans="2:8" ht="15">
      <c r="B17" s="106" t="s">
        <v>182</v>
      </c>
      <c r="C17" s="269" t="s">
        <v>19</v>
      </c>
      <c r="D17" s="308"/>
      <c r="E17" s="309"/>
      <c r="F17" s="270" t="s">
        <v>1</v>
      </c>
      <c r="G17" s="308"/>
      <c r="H17" s="308"/>
    </row>
    <row r="18" spans="2:8">
      <c r="B18" s="14">
        <v>0</v>
      </c>
      <c r="C18" s="241">
        <v>0</v>
      </c>
      <c r="D18" s="242">
        <v>0</v>
      </c>
      <c r="E18" s="243">
        <v>0</v>
      </c>
      <c r="F18" s="242">
        <v>0</v>
      </c>
      <c r="G18" s="242">
        <v>0</v>
      </c>
      <c r="H18" s="242">
        <v>0</v>
      </c>
    </row>
    <row r="19" spans="2:8">
      <c r="B19" s="14">
        <v>8</v>
      </c>
      <c r="C19" s="241">
        <v>94.983019771096394</v>
      </c>
      <c r="D19" s="242">
        <v>95.642642280759986</v>
      </c>
      <c r="E19" s="243">
        <v>95.099066088271044</v>
      </c>
      <c r="F19" s="242">
        <v>516.88819261523975</v>
      </c>
      <c r="G19" s="242">
        <v>519.42029805467519</v>
      </c>
      <c r="H19" s="242">
        <v>525.64539374980029</v>
      </c>
    </row>
    <row r="20" spans="2:8">
      <c r="B20" s="14">
        <v>12</v>
      </c>
      <c r="C20" s="241">
        <v>102.06086025955685</v>
      </c>
      <c r="D20" s="242">
        <v>91.94364141544095</v>
      </c>
      <c r="E20" s="243">
        <v>99.676141168327902</v>
      </c>
      <c r="F20" s="242">
        <v>629.41693153618905</v>
      </c>
      <c r="G20" s="242">
        <v>590.80877775609315</v>
      </c>
      <c r="H20" s="242">
        <v>617.61670683542297</v>
      </c>
    </row>
    <row r="21" spans="2:8">
      <c r="B21" s="14">
        <v>24</v>
      </c>
      <c r="C21" s="241">
        <v>181.7206494964428</v>
      </c>
      <c r="D21" s="242">
        <v>166.68284048342113</v>
      </c>
      <c r="E21" s="243">
        <v>159.59725434140671</v>
      </c>
      <c r="F21" s="242">
        <v>767.10949825928515</v>
      </c>
      <c r="G21" s="242">
        <v>706.6988102419507</v>
      </c>
      <c r="H21" s="242">
        <v>588.54116413872975</v>
      </c>
    </row>
    <row r="22" spans="2:8">
      <c r="B22" s="14">
        <v>28</v>
      </c>
      <c r="C22" s="241">
        <v>234.14284412242904</v>
      </c>
      <c r="D22" s="242">
        <v>190.98120405659304</v>
      </c>
      <c r="E22" s="243">
        <v>218.26372119302169</v>
      </c>
      <c r="F22" s="242">
        <v>757.60631273976833</v>
      </c>
      <c r="G22" s="242">
        <v>756.80503375711737</v>
      </c>
      <c r="H22" s="242">
        <v>659.46994646220469</v>
      </c>
    </row>
    <row r="23" spans="2:8">
      <c r="B23" s="14">
        <v>32</v>
      </c>
      <c r="C23" s="241">
        <v>191.18015744821358</v>
      </c>
      <c r="D23" s="242">
        <v>211.86921771244252</v>
      </c>
      <c r="E23" s="243">
        <v>227.71067299854249</v>
      </c>
      <c r="F23" s="242">
        <v>951.39665445616572</v>
      </c>
      <c r="G23" s="242">
        <v>813.6276923688165</v>
      </c>
      <c r="H23" s="242">
        <v>725.69326396190581</v>
      </c>
    </row>
    <row r="24" spans="2:8">
      <c r="B24" s="14">
        <v>36</v>
      </c>
      <c r="C24" s="241">
        <v>171.92581647245154</v>
      </c>
      <c r="D24" s="242">
        <v>114.5182637754569</v>
      </c>
      <c r="E24" s="243">
        <v>211.86164661722725</v>
      </c>
      <c r="F24" s="242">
        <v>745.56425575898299</v>
      </c>
      <c r="G24" s="242">
        <v>708.37130940704992</v>
      </c>
      <c r="H24" s="242">
        <v>690.47242406961243</v>
      </c>
    </row>
    <row r="25" spans="2:8" ht="15" thickBot="1">
      <c r="B25" s="108">
        <v>48</v>
      </c>
      <c r="C25" s="244">
        <v>202.59220177310598</v>
      </c>
      <c r="D25" s="245">
        <v>189.80565220512219</v>
      </c>
      <c r="E25" s="246">
        <v>231.30666146232682</v>
      </c>
      <c r="F25" s="245">
        <v>1326.1068359770711</v>
      </c>
      <c r="G25" s="245">
        <v>1489.2740806286185</v>
      </c>
      <c r="H25" s="245">
        <v>989.5778632629515</v>
      </c>
    </row>
    <row r="26" spans="2:8" ht="7" customHeight="1"/>
    <row r="27" spans="2:8" ht="15" thickBot="1">
      <c r="B27" s="1" t="s">
        <v>26</v>
      </c>
    </row>
    <row r="28" spans="2:8" ht="16" thickTop="1">
      <c r="B28" s="48" t="s">
        <v>182</v>
      </c>
      <c r="C28" s="304" t="s">
        <v>19</v>
      </c>
      <c r="D28" s="305"/>
      <c r="E28" s="306"/>
      <c r="F28" s="307" t="s">
        <v>1</v>
      </c>
      <c r="G28" s="305"/>
      <c r="H28" s="305"/>
    </row>
    <row r="29" spans="2:8">
      <c r="B29" s="2">
        <v>0</v>
      </c>
      <c r="C29" s="235">
        <v>0</v>
      </c>
      <c r="D29" s="236">
        <v>0</v>
      </c>
      <c r="E29" s="237">
        <v>0</v>
      </c>
      <c r="F29" s="236">
        <v>0</v>
      </c>
      <c r="G29" s="236">
        <v>0</v>
      </c>
      <c r="H29" s="236">
        <v>0</v>
      </c>
    </row>
    <row r="30" spans="2:8">
      <c r="B30" s="2">
        <v>8</v>
      </c>
      <c r="C30" s="235">
        <v>158.10745363775456</v>
      </c>
      <c r="D30" s="236">
        <v>188.25861215291783</v>
      </c>
      <c r="E30" s="237">
        <v>179.56305472278609</v>
      </c>
      <c r="F30" s="236">
        <v>765.08189136463</v>
      </c>
      <c r="G30" s="236">
        <v>984.52162907976196</v>
      </c>
      <c r="H30" s="236">
        <v>960.13589007080816</v>
      </c>
    </row>
    <row r="31" spans="2:8">
      <c r="B31" s="2">
        <v>12</v>
      </c>
      <c r="C31" s="235">
        <v>168.65924816048067</v>
      </c>
      <c r="D31" s="236">
        <v>170.71077811951116</v>
      </c>
      <c r="E31" s="237">
        <v>189.59072512463229</v>
      </c>
      <c r="F31" s="236">
        <v>925.99477192756092</v>
      </c>
      <c r="G31" s="236">
        <v>1099.1434399692064</v>
      </c>
      <c r="H31" s="236">
        <v>1101.7455674132013</v>
      </c>
    </row>
    <row r="32" spans="2:8">
      <c r="B32" s="2">
        <v>24</v>
      </c>
      <c r="C32" s="235">
        <v>232.20832433247696</v>
      </c>
      <c r="D32" s="236">
        <v>201.12641777416826</v>
      </c>
      <c r="E32" s="237">
        <v>238.98106712550774</v>
      </c>
      <c r="F32" s="236">
        <v>1456.9964050117458</v>
      </c>
      <c r="G32" s="236">
        <v>1467.2611225978328</v>
      </c>
      <c r="H32" s="236">
        <v>1388.0897610096986</v>
      </c>
    </row>
    <row r="33" spans="2:8">
      <c r="B33" s="2">
        <v>28</v>
      </c>
      <c r="C33" s="235">
        <v>223.76438526584201</v>
      </c>
      <c r="D33" s="236">
        <v>261.69509567628461</v>
      </c>
      <c r="E33" s="237">
        <v>283.86518681724357</v>
      </c>
      <c r="F33" s="236">
        <v>1872.0916572319888</v>
      </c>
      <c r="G33" s="236">
        <v>1992.8701428101117</v>
      </c>
      <c r="H33" s="236">
        <v>1703.5211967020828</v>
      </c>
    </row>
    <row r="34" spans="2:8">
      <c r="B34" s="2">
        <v>32</v>
      </c>
      <c r="C34" s="235">
        <v>118.16610905193164</v>
      </c>
      <c r="D34" s="236">
        <v>133.69401802590576</v>
      </c>
      <c r="E34" s="237">
        <v>229.09341329062161</v>
      </c>
      <c r="F34" s="236">
        <v>1511.8542606377741</v>
      </c>
      <c r="G34" s="236">
        <v>1882.0890641060623</v>
      </c>
      <c r="H34" s="236">
        <v>2305.8481926064901</v>
      </c>
    </row>
    <row r="35" spans="2:8">
      <c r="B35" s="2">
        <v>36</v>
      </c>
      <c r="C35" s="235">
        <v>154.08381687816475</v>
      </c>
      <c r="D35" s="236">
        <v>118.05555555555557</v>
      </c>
      <c r="E35" s="237">
        <v>183.22457636746691</v>
      </c>
      <c r="F35" s="236">
        <v>2303.0546396307118</v>
      </c>
      <c r="G35" s="236">
        <v>1777.3061716685088</v>
      </c>
      <c r="H35" s="236">
        <v>2004.2818663471166</v>
      </c>
    </row>
    <row r="36" spans="2:8" ht="15" thickBot="1">
      <c r="B36" s="21">
        <v>48</v>
      </c>
      <c r="C36" s="247">
        <v>336.96320715723414</v>
      </c>
      <c r="D36" s="248">
        <v>238.29136886876114</v>
      </c>
      <c r="E36" s="249">
        <v>383.86467372515847</v>
      </c>
      <c r="F36" s="248">
        <v>2794.5481980239992</v>
      </c>
      <c r="G36" s="248">
        <v>3199.9607762362275</v>
      </c>
      <c r="H36" s="248">
        <v>2735.9685168315818</v>
      </c>
    </row>
    <row r="37" spans="2:8" ht="6" customHeight="1" thickTop="1"/>
    <row r="38" spans="2:8" ht="15" thickBot="1">
      <c r="B38" s="1" t="s">
        <v>27</v>
      </c>
    </row>
    <row r="39" spans="2:8" ht="16" thickTop="1">
      <c r="B39" s="48" t="s">
        <v>182</v>
      </c>
      <c r="C39" s="304" t="s">
        <v>19</v>
      </c>
      <c r="D39" s="305"/>
      <c r="E39" s="306"/>
      <c r="F39" s="307" t="s">
        <v>1</v>
      </c>
      <c r="G39" s="305"/>
      <c r="H39" s="305"/>
    </row>
    <row r="40" spans="2:8">
      <c r="B40" s="2">
        <v>0</v>
      </c>
      <c r="C40" s="235">
        <v>0</v>
      </c>
      <c r="D40" s="236">
        <v>0</v>
      </c>
      <c r="E40" s="237">
        <v>0</v>
      </c>
      <c r="F40" s="236">
        <v>0</v>
      </c>
      <c r="G40" s="236">
        <v>0</v>
      </c>
      <c r="H40" s="236">
        <v>0</v>
      </c>
    </row>
    <row r="41" spans="2:8">
      <c r="B41" s="2">
        <v>8</v>
      </c>
      <c r="C41" s="235">
        <v>703.38235809705304</v>
      </c>
      <c r="D41" s="236">
        <v>774.2630145675621</v>
      </c>
      <c r="E41" s="237">
        <v>728.25467830517823</v>
      </c>
      <c r="F41" s="236">
        <v>3609.8770279164419</v>
      </c>
      <c r="G41" s="236">
        <v>3794.1475648529531</v>
      </c>
      <c r="H41" s="236">
        <v>3844.9378354586993</v>
      </c>
    </row>
    <row r="42" spans="2:8">
      <c r="B42" s="2">
        <v>12</v>
      </c>
      <c r="C42" s="235">
        <v>1233.662757843588</v>
      </c>
      <c r="D42" s="236">
        <v>1641.0913430656583</v>
      </c>
      <c r="E42" s="237">
        <v>1209.7767020778499</v>
      </c>
      <c r="F42" s="236">
        <v>5705.6902550265922</v>
      </c>
      <c r="G42" s="236">
        <v>7692.6156706202564</v>
      </c>
      <c r="H42" s="236">
        <v>8139.1679678724204</v>
      </c>
    </row>
    <row r="43" spans="2:8">
      <c r="B43" s="2">
        <v>24</v>
      </c>
      <c r="C43" s="235">
        <v>5962.4708888122377</v>
      </c>
      <c r="D43" s="236">
        <v>9507.6408351686605</v>
      </c>
      <c r="E43" s="237">
        <v>6820.9220712084143</v>
      </c>
      <c r="F43" s="236">
        <v>37261.450054790315</v>
      </c>
      <c r="G43" s="236">
        <v>51135.59027978767</v>
      </c>
      <c r="H43" s="236">
        <v>53532.706825192647</v>
      </c>
    </row>
    <row r="44" spans="2:8">
      <c r="B44" s="2">
        <v>28</v>
      </c>
      <c r="C44" s="235">
        <v>10960.232908492906</v>
      </c>
      <c r="D44" s="236">
        <v>13176.163774980008</v>
      </c>
      <c r="E44" s="237">
        <v>9334.4060535238023</v>
      </c>
      <c r="F44" s="236">
        <v>73789.170949308929</v>
      </c>
      <c r="G44" s="236">
        <v>81894.347222437718</v>
      </c>
      <c r="H44" s="236">
        <v>67644.496385901366</v>
      </c>
    </row>
    <row r="45" spans="2:8">
      <c r="B45" s="2">
        <v>32</v>
      </c>
      <c r="C45" s="235">
        <v>10275.254488497112</v>
      </c>
      <c r="D45" s="236">
        <v>7237.4773234072973</v>
      </c>
      <c r="E45" s="237">
        <v>6086.9772290377741</v>
      </c>
      <c r="F45" s="236">
        <v>69870.659625012297</v>
      </c>
      <c r="G45" s="236">
        <v>58169.327607192783</v>
      </c>
      <c r="H45" s="236">
        <v>85909.480518625802</v>
      </c>
    </row>
    <row r="46" spans="2:8">
      <c r="B46" s="2">
        <v>36</v>
      </c>
      <c r="C46" s="235">
        <v>10010.207538429007</v>
      </c>
      <c r="D46" s="236">
        <v>7684.7552068217783</v>
      </c>
      <c r="E46" s="237">
        <v>7567.6704935258103</v>
      </c>
      <c r="F46" s="236">
        <v>100147.58849692821</v>
      </c>
      <c r="G46" s="236">
        <v>82204.177701512512</v>
      </c>
      <c r="H46" s="236">
        <v>82046.309669637529</v>
      </c>
    </row>
    <row r="47" spans="2:8" ht="15" thickBot="1">
      <c r="B47" s="21">
        <v>48</v>
      </c>
      <c r="C47" s="247">
        <v>15246.892733713121</v>
      </c>
      <c r="D47" s="248">
        <v>15440.189600328404</v>
      </c>
      <c r="E47" s="249">
        <v>14063.551805126455</v>
      </c>
      <c r="F47" s="248">
        <v>125155.70527052197</v>
      </c>
      <c r="G47" s="248">
        <v>81981.431173778648</v>
      </c>
      <c r="H47" s="248">
        <v>141176.32091908003</v>
      </c>
    </row>
    <row r="48" spans="2:8" ht="15" thickTop="1"/>
  </sheetData>
  <mergeCells count="8">
    <mergeCell ref="C39:E39"/>
    <mergeCell ref="F39:H39"/>
    <mergeCell ref="C6:E6"/>
    <mergeCell ref="F6:H6"/>
    <mergeCell ref="C17:E17"/>
    <mergeCell ref="F17:H17"/>
    <mergeCell ref="C28:E28"/>
    <mergeCell ref="F28:H28"/>
  </mergeCells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F7EF8-06E0-4CD3-8E53-26184DAC64EC}">
  <dimension ref="B2:H24"/>
  <sheetViews>
    <sheetView workbookViewId="0">
      <selection activeCell="W15" sqref="W15"/>
    </sheetView>
  </sheetViews>
  <sheetFormatPr baseColWidth="10" defaultColWidth="8.83203125" defaultRowHeight="14"/>
  <cols>
    <col min="1" max="1" width="1.6640625" style="1" customWidth="1"/>
    <col min="2" max="16384" width="8.83203125" style="1"/>
  </cols>
  <sheetData>
    <row r="2" spans="2:8">
      <c r="B2" s="1" t="s">
        <v>243</v>
      </c>
    </row>
    <row r="4" spans="2:8" ht="15" thickBot="1">
      <c r="B4" s="1" t="s">
        <v>203</v>
      </c>
    </row>
    <row r="5" spans="2:8">
      <c r="B5" s="49" t="s">
        <v>182</v>
      </c>
      <c r="C5" s="310" t="s">
        <v>12</v>
      </c>
      <c r="D5" s="311"/>
      <c r="E5" s="312" t="s">
        <v>15</v>
      </c>
      <c r="F5" s="313"/>
      <c r="G5" s="310" t="s">
        <v>40</v>
      </c>
      <c r="H5" s="313"/>
    </row>
    <row r="6" spans="2:8">
      <c r="B6" s="2">
        <v>0</v>
      </c>
      <c r="C6" s="211">
        <v>2.4718619966714881</v>
      </c>
      <c r="D6" s="212">
        <v>2.5952023990952213</v>
      </c>
      <c r="E6" s="25">
        <v>0.42377957291294988</v>
      </c>
      <c r="F6" s="25">
        <v>0.54724030743660801</v>
      </c>
      <c r="G6" s="211">
        <v>0.10841922203295733</v>
      </c>
      <c r="H6" s="25">
        <v>9.0850735443821329E-2</v>
      </c>
    </row>
    <row r="7" spans="2:8" ht="15" thickBot="1">
      <c r="B7" s="15">
        <v>24</v>
      </c>
      <c r="C7" s="213">
        <v>0.97411843192263992</v>
      </c>
      <c r="D7" s="214">
        <v>0.57025382154737603</v>
      </c>
      <c r="E7" s="26">
        <v>0.11139872649624052</v>
      </c>
      <c r="F7" s="26">
        <v>0.10929162975741813</v>
      </c>
      <c r="G7" s="213">
        <v>0.18350645238652638</v>
      </c>
      <c r="H7" s="26">
        <v>0.13447112166684802</v>
      </c>
    </row>
    <row r="8" spans="2:8" ht="6" customHeight="1"/>
    <row r="9" spans="2:8" ht="15" thickBot="1">
      <c r="B9" s="1" t="s">
        <v>204</v>
      </c>
    </row>
    <row r="10" spans="2:8">
      <c r="B10" s="49" t="s">
        <v>182</v>
      </c>
      <c r="C10" s="272" t="s">
        <v>12</v>
      </c>
      <c r="D10" s="288"/>
      <c r="E10" s="275" t="s">
        <v>15</v>
      </c>
      <c r="F10" s="275"/>
      <c r="G10" s="272" t="s">
        <v>40</v>
      </c>
      <c r="H10" s="275"/>
    </row>
    <row r="11" spans="2:8">
      <c r="B11" s="2">
        <v>0</v>
      </c>
      <c r="C11" s="211">
        <v>2.536871413656288</v>
      </c>
      <c r="D11" s="212">
        <v>1.2107214234013333</v>
      </c>
      <c r="E11" s="25">
        <v>0.40798598479771625</v>
      </c>
      <c r="F11" s="25">
        <v>0.16392240312363626</v>
      </c>
      <c r="G11" s="211">
        <v>0.15965061357627786</v>
      </c>
      <c r="H11" s="25">
        <v>9.7649499089617064E-2</v>
      </c>
    </row>
    <row r="12" spans="2:8" ht="15" thickBot="1">
      <c r="B12" s="15">
        <v>24</v>
      </c>
      <c r="C12" s="213">
        <v>0.43584286593049065</v>
      </c>
      <c r="D12" s="214">
        <v>0.41725155649198664</v>
      </c>
      <c r="E12" s="26">
        <v>0.100898465787608</v>
      </c>
      <c r="F12" s="26">
        <v>0.10850947110790188</v>
      </c>
      <c r="G12" s="213">
        <v>0.1007480506627008</v>
      </c>
      <c r="H12" s="26">
        <v>8.7270855471034678E-2</v>
      </c>
    </row>
    <row r="13" spans="2:8" ht="5" customHeight="1"/>
    <row r="14" spans="2:8" ht="15" thickBot="1">
      <c r="B14" s="1" t="s">
        <v>205</v>
      </c>
    </row>
    <row r="15" spans="2:8">
      <c r="B15" s="49" t="s">
        <v>182</v>
      </c>
      <c r="C15" s="272" t="s">
        <v>12</v>
      </c>
      <c r="D15" s="288"/>
      <c r="E15" s="272" t="s">
        <v>15</v>
      </c>
      <c r="F15" s="288"/>
      <c r="G15" s="275" t="s">
        <v>40</v>
      </c>
      <c r="H15" s="275"/>
    </row>
    <row r="16" spans="2:8">
      <c r="B16" s="2">
        <v>0</v>
      </c>
      <c r="C16" s="211">
        <v>1.0458363634782932</v>
      </c>
      <c r="D16" s="212">
        <v>1.0870801907277867</v>
      </c>
      <c r="E16" s="211">
        <v>1.0514618891498133</v>
      </c>
      <c r="F16" s="212">
        <v>0.90646170873947729</v>
      </c>
      <c r="G16" s="25">
        <v>0.53677141474307732</v>
      </c>
      <c r="H16" s="25">
        <v>0.75036089211100265</v>
      </c>
    </row>
    <row r="17" spans="2:8">
      <c r="B17" s="2">
        <v>6</v>
      </c>
      <c r="C17" s="211">
        <v>0.93197211392370127</v>
      </c>
      <c r="D17" s="212">
        <v>0.94914952118808005</v>
      </c>
      <c r="E17" s="211">
        <v>0.17935499493909332</v>
      </c>
      <c r="F17" s="212">
        <v>0.19905937630190879</v>
      </c>
      <c r="G17" s="27">
        <f>1.49926275751041*4/75</f>
        <v>7.9960680400555206E-2</v>
      </c>
      <c r="H17" s="27">
        <f>1.94712379192097*4/75</f>
        <v>0.10384660223578507</v>
      </c>
    </row>
    <row r="18" spans="2:8" ht="15" thickBot="1">
      <c r="B18" s="15">
        <v>24</v>
      </c>
      <c r="C18" s="213">
        <v>0.31878981572787202</v>
      </c>
      <c r="D18" s="214">
        <v>0.41240818946998187</v>
      </c>
      <c r="E18" s="213">
        <v>7.4635984978848005E-2</v>
      </c>
      <c r="F18" s="214">
        <v>5.4690939416181333E-2</v>
      </c>
      <c r="G18" s="26">
        <v>0.13206447966833601</v>
      </c>
      <c r="H18" s="26">
        <v>0.1711122460941904</v>
      </c>
    </row>
    <row r="19" spans="2:8" ht="5" customHeight="1"/>
    <row r="20" spans="2:8" ht="15" thickBot="1">
      <c r="B20" s="1" t="s">
        <v>206</v>
      </c>
    </row>
    <row r="21" spans="2:8">
      <c r="B21" s="49" t="s">
        <v>182</v>
      </c>
      <c r="C21" s="272" t="s">
        <v>12</v>
      </c>
      <c r="D21" s="288"/>
      <c r="E21" s="275" t="s">
        <v>15</v>
      </c>
      <c r="F21" s="275"/>
      <c r="G21" s="272" t="s">
        <v>40</v>
      </c>
      <c r="H21" s="275"/>
    </row>
    <row r="22" spans="2:8">
      <c r="B22" s="2">
        <v>0</v>
      </c>
      <c r="C22" s="211">
        <v>1.5937084144395093</v>
      </c>
      <c r="D22" s="212">
        <v>1.6269501570439522</v>
      </c>
      <c r="E22" s="25">
        <v>0.90369407044118932</v>
      </c>
      <c r="F22" s="25">
        <v>1.0330510778612001</v>
      </c>
      <c r="G22" s="211">
        <v>0.48226097347678715</v>
      </c>
      <c r="H22" s="25">
        <v>0.29294849726885119</v>
      </c>
    </row>
    <row r="23" spans="2:8">
      <c r="B23" s="2">
        <v>6</v>
      </c>
      <c r="C23" s="211">
        <v>0.51523196885639888</v>
      </c>
      <c r="D23" s="212">
        <v>0.39823908470374347</v>
      </c>
      <c r="E23" s="25">
        <v>0.11961010732603733</v>
      </c>
      <c r="F23" s="25">
        <v>0.12866509784543786</v>
      </c>
      <c r="G23" s="211">
        <v>4.9967904494101656E-2</v>
      </c>
      <c r="H23" s="25">
        <v>7.4545735903903468E-2</v>
      </c>
    </row>
    <row r="24" spans="2:8" ht="15" thickBot="1">
      <c r="B24" s="15">
        <v>24</v>
      </c>
      <c r="C24" s="213">
        <v>0.24108536220092161</v>
      </c>
      <c r="D24" s="214">
        <v>0.26166215128819736</v>
      </c>
      <c r="E24" s="26">
        <v>3.4836142928458561E-2</v>
      </c>
      <c r="F24" s="26">
        <v>3.3482406804295678E-2</v>
      </c>
      <c r="G24" s="213">
        <v>0.11699288415265599</v>
      </c>
      <c r="H24" s="26">
        <v>0.2186735085897803</v>
      </c>
    </row>
  </sheetData>
  <mergeCells count="12">
    <mergeCell ref="C5:D5"/>
    <mergeCell ref="E5:F5"/>
    <mergeCell ref="G5:H5"/>
    <mergeCell ref="C10:D10"/>
    <mergeCell ref="E10:F10"/>
    <mergeCell ref="G10:H10"/>
    <mergeCell ref="C15:D15"/>
    <mergeCell ref="E15:F15"/>
    <mergeCell ref="G15:H15"/>
    <mergeCell ref="C21:D21"/>
    <mergeCell ref="E21:F21"/>
    <mergeCell ref="G21:H2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C2CE7-FC46-4465-B1CC-7F37CE8C3CB4}">
  <dimension ref="B2:N7"/>
  <sheetViews>
    <sheetView workbookViewId="0">
      <selection activeCell="S22" sqref="S22"/>
    </sheetView>
  </sheetViews>
  <sheetFormatPr baseColWidth="10" defaultColWidth="8.83203125" defaultRowHeight="14"/>
  <cols>
    <col min="1" max="1" width="1.6640625" style="1" customWidth="1"/>
    <col min="2" max="16384" width="8.83203125" style="1"/>
  </cols>
  <sheetData>
    <row r="2" spans="2:14">
      <c r="B2" s="1" t="s">
        <v>244</v>
      </c>
    </row>
    <row r="3" spans="2:14" ht="17" thickBot="1">
      <c r="C3" s="314" t="s">
        <v>201</v>
      </c>
      <c r="D3" s="315"/>
      <c r="E3" s="315"/>
      <c r="F3" s="315"/>
      <c r="G3" s="315"/>
      <c r="H3" s="315"/>
      <c r="I3" s="315"/>
      <c r="J3" s="315"/>
      <c r="K3" s="315"/>
      <c r="L3" s="316" t="s">
        <v>202</v>
      </c>
      <c r="M3" s="317"/>
      <c r="N3" s="317"/>
    </row>
    <row r="4" spans="2:14">
      <c r="B4" s="49" t="s">
        <v>182</v>
      </c>
      <c r="C4" s="272" t="s">
        <v>12</v>
      </c>
      <c r="D4" s="275"/>
      <c r="E4" s="288"/>
      <c r="F4" s="275" t="s">
        <v>15</v>
      </c>
      <c r="G4" s="275"/>
      <c r="H4" s="275"/>
      <c r="I4" s="272" t="s">
        <v>40</v>
      </c>
      <c r="J4" s="275"/>
      <c r="K4" s="288"/>
      <c r="L4" s="272" t="s">
        <v>15</v>
      </c>
      <c r="M4" s="275"/>
      <c r="N4" s="275"/>
    </row>
    <row r="5" spans="2:14">
      <c r="B5" s="2">
        <v>0</v>
      </c>
      <c r="C5" s="211">
        <v>1.1479724412402825</v>
      </c>
      <c r="D5" s="25">
        <v>1.1482859938887999</v>
      </c>
      <c r="E5" s="212">
        <v>1.165692657904384</v>
      </c>
      <c r="F5" s="25">
        <v>2.1005209070090456</v>
      </c>
      <c r="G5" s="25">
        <v>2.1007598562326613</v>
      </c>
      <c r="H5" s="25">
        <v>1.9740240718774882</v>
      </c>
      <c r="I5" s="211">
        <v>0.2827506612060619</v>
      </c>
      <c r="J5" s="25">
        <v>0.29378292706430348</v>
      </c>
      <c r="K5" s="212">
        <v>0.27030554386188693</v>
      </c>
      <c r="L5" s="216">
        <v>3.8559999999999999</v>
      </c>
      <c r="M5" s="216">
        <v>3.903</v>
      </c>
      <c r="N5" s="216">
        <v>3.7749999999999999</v>
      </c>
    </row>
    <row r="6" spans="2:14">
      <c r="B6" s="2">
        <v>6</v>
      </c>
      <c r="C6" s="211">
        <v>0.612155482117824</v>
      </c>
      <c r="D6" s="25">
        <v>0.57536122214373864</v>
      </c>
      <c r="E6" s="212">
        <v>0.62532205553991993</v>
      </c>
      <c r="F6" s="25">
        <v>1.0208002289214828</v>
      </c>
      <c r="G6" s="25">
        <v>1.2219662319823945</v>
      </c>
      <c r="H6" s="25">
        <v>1.2184190729326081</v>
      </c>
      <c r="I6" s="211">
        <v>0.20820019982066559</v>
      </c>
      <c r="J6" s="25">
        <v>0.25933339934347144</v>
      </c>
      <c r="K6" s="212">
        <v>0.27355209621254079</v>
      </c>
      <c r="L6" s="216">
        <v>4.0659999999999998</v>
      </c>
      <c r="M6" s="216">
        <v>3.91</v>
      </c>
      <c r="N6" s="216">
        <v>4</v>
      </c>
    </row>
    <row r="7" spans="2:14" ht="15" thickBot="1">
      <c r="B7" s="15">
        <v>24</v>
      </c>
      <c r="C7" s="213">
        <v>0.41342439331989866</v>
      </c>
      <c r="D7" s="26">
        <v>0.35062765387066774</v>
      </c>
      <c r="E7" s="214">
        <v>0.42208186625497657</v>
      </c>
      <c r="F7" s="26">
        <v>1.0206799862418239</v>
      </c>
      <c r="G7" s="26">
        <v>1.0454499782505227</v>
      </c>
      <c r="H7" s="26">
        <v>1.0941182028404213</v>
      </c>
      <c r="I7" s="213">
        <v>0.26417316719953976</v>
      </c>
      <c r="J7" s="26">
        <v>0.25151762516597065</v>
      </c>
      <c r="K7" s="214">
        <v>0.28350217795389815</v>
      </c>
      <c r="L7" s="105">
        <v>4.1609999999999996</v>
      </c>
      <c r="M7" s="105">
        <v>3.9489999999999998</v>
      </c>
      <c r="N7" s="105">
        <v>4.05</v>
      </c>
    </row>
  </sheetData>
  <mergeCells count="6">
    <mergeCell ref="C4:E4"/>
    <mergeCell ref="F4:H4"/>
    <mergeCell ref="I4:K4"/>
    <mergeCell ref="L4:N4"/>
    <mergeCell ref="C3:K3"/>
    <mergeCell ref="L3:N3"/>
  </mergeCells>
  <phoneticPr fontId="2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7FFD9-C141-45DD-B30C-45E86AF7F24E}">
  <dimension ref="B2:J9"/>
  <sheetViews>
    <sheetView zoomScaleNormal="100" workbookViewId="0">
      <selection activeCell="S16" sqref="S16"/>
    </sheetView>
  </sheetViews>
  <sheetFormatPr baseColWidth="10" defaultColWidth="8.83203125" defaultRowHeight="15"/>
  <cols>
    <col min="1" max="1" width="2.6640625" customWidth="1"/>
    <col min="10" max="10" width="12.83203125" customWidth="1"/>
  </cols>
  <sheetData>
    <row r="2" spans="2:10">
      <c r="B2" s="1" t="s">
        <v>180</v>
      </c>
    </row>
    <row r="3" spans="2:10" ht="16">
      <c r="C3" s="1" t="s">
        <v>245</v>
      </c>
    </row>
    <row r="4" spans="2:10" ht="17" thickBot="1">
      <c r="B4" s="1"/>
      <c r="C4" s="314" t="s">
        <v>201</v>
      </c>
      <c r="D4" s="315"/>
      <c r="E4" s="315"/>
      <c r="F4" s="315"/>
      <c r="G4" s="315"/>
      <c r="H4" s="315"/>
      <c r="I4" s="316" t="s">
        <v>202</v>
      </c>
      <c r="J4" s="316"/>
    </row>
    <row r="5" spans="2:10">
      <c r="B5" s="49" t="s">
        <v>182</v>
      </c>
      <c r="C5" s="272" t="s">
        <v>16</v>
      </c>
      <c r="D5" s="288"/>
      <c r="E5" s="272" t="s">
        <v>15</v>
      </c>
      <c r="F5" s="288"/>
      <c r="G5" s="275" t="s">
        <v>40</v>
      </c>
      <c r="H5" s="275"/>
      <c r="I5" s="272" t="s">
        <v>15</v>
      </c>
      <c r="J5" s="275"/>
    </row>
    <row r="6" spans="2:10">
      <c r="B6" s="2">
        <v>0</v>
      </c>
      <c r="C6" s="211">
        <v>2.5809768651007361</v>
      </c>
      <c r="D6" s="212">
        <v>2.5075709021715946</v>
      </c>
      <c r="E6" s="211">
        <v>0.61367606996994661</v>
      </c>
      <c r="F6" s="212">
        <v>0.59447980820870405</v>
      </c>
      <c r="G6" s="25">
        <v>0.1092685164362576</v>
      </c>
      <c r="H6" s="25">
        <v>0.11056314394172799</v>
      </c>
      <c r="I6" s="215" t="s">
        <v>181</v>
      </c>
      <c r="J6" s="210" t="s">
        <v>181</v>
      </c>
    </row>
    <row r="7" spans="2:10">
      <c r="B7" s="2">
        <v>0.1</v>
      </c>
      <c r="C7" s="211">
        <v>0.35279355824012804</v>
      </c>
      <c r="D7" s="212">
        <v>0.35742136527111146</v>
      </c>
      <c r="E7" s="211">
        <v>1.1024388638636906</v>
      </c>
      <c r="F7" s="212">
        <v>1.0508308381650346</v>
      </c>
      <c r="G7" s="25">
        <v>0.72997202468692268</v>
      </c>
      <c r="H7" s="25">
        <v>0.71625558202815465</v>
      </c>
      <c r="I7" s="211">
        <v>3.5299538160566399</v>
      </c>
      <c r="J7" s="25">
        <v>3.6088736051213384</v>
      </c>
    </row>
    <row r="8" spans="2:10" ht="16" thickBot="1">
      <c r="B8" s="15">
        <v>24</v>
      </c>
      <c r="C8" s="213">
        <v>0.37970926762636797</v>
      </c>
      <c r="D8" s="214">
        <v>0.36436538002112218</v>
      </c>
      <c r="E8" s="213">
        <v>1.140968305150448</v>
      </c>
      <c r="F8" s="214">
        <v>1.1706526684401068</v>
      </c>
      <c r="G8" s="26">
        <v>0.55707446115835202</v>
      </c>
      <c r="H8" s="26">
        <v>0.54433861079304535</v>
      </c>
      <c r="I8" s="213">
        <v>3.5881958157641067</v>
      </c>
      <c r="J8" s="26">
        <v>3.5215717147857921</v>
      </c>
    </row>
    <row r="9" spans="2:10" ht="6" customHeight="1">
      <c r="B9" s="2"/>
      <c r="C9" s="25"/>
      <c r="D9" s="25"/>
      <c r="E9" s="25"/>
      <c r="F9" s="25"/>
      <c r="G9" s="25"/>
      <c r="H9" s="25"/>
    </row>
  </sheetData>
  <mergeCells count="6">
    <mergeCell ref="I5:J5"/>
    <mergeCell ref="C4:H4"/>
    <mergeCell ref="I4:J4"/>
    <mergeCell ref="C5:D5"/>
    <mergeCell ref="E5:F5"/>
    <mergeCell ref="G5:H5"/>
  </mergeCells>
  <phoneticPr fontId="2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BA49E-EE1B-4500-9371-6F6E6BE2FA41}">
  <dimension ref="A2:M49"/>
  <sheetViews>
    <sheetView workbookViewId="0">
      <selection activeCell="L23" sqref="L23"/>
    </sheetView>
  </sheetViews>
  <sheetFormatPr baseColWidth="10" defaultColWidth="9" defaultRowHeight="16"/>
  <cols>
    <col min="1" max="1" width="10.5" style="3" customWidth="1"/>
    <col min="2" max="2" width="36.6640625" style="3" customWidth="1"/>
    <col min="3" max="3" width="20.33203125" style="3" customWidth="1"/>
    <col min="4" max="4" width="22.1640625" style="3" customWidth="1"/>
    <col min="5" max="5" width="17.1640625" style="3" customWidth="1"/>
    <col min="6" max="6" width="14.83203125" style="3" customWidth="1"/>
    <col min="7" max="7" width="20.1640625" style="3" customWidth="1"/>
    <col min="8" max="8" width="17.83203125" style="3" customWidth="1"/>
    <col min="9" max="9" width="19" style="3" customWidth="1"/>
    <col min="10" max="10" width="17.1640625" style="3" customWidth="1"/>
    <col min="11" max="11" width="13.5" style="3" customWidth="1"/>
    <col min="12" max="12" width="13.83203125" style="3" customWidth="1"/>
    <col min="13" max="13" width="14.5" style="3" customWidth="1"/>
    <col min="14" max="16384" width="9" style="3"/>
  </cols>
  <sheetData>
    <row r="2" spans="1:13">
      <c r="A2" s="3" t="s">
        <v>246</v>
      </c>
    </row>
    <row r="3" spans="1:13">
      <c r="A3" s="3" t="s">
        <v>134</v>
      </c>
    </row>
    <row r="4" spans="1:13" ht="6" customHeight="1"/>
    <row r="5" spans="1:13" ht="17" thickBot="1">
      <c r="A5" s="3" t="s">
        <v>55</v>
      </c>
    </row>
    <row r="6" spans="1:13">
      <c r="A6" s="10" t="s">
        <v>28</v>
      </c>
      <c r="B6" s="318" t="s">
        <v>194</v>
      </c>
      <c r="C6" s="318"/>
      <c r="D6" s="318"/>
      <c r="E6" s="319" t="s">
        <v>195</v>
      </c>
      <c r="F6" s="318"/>
      <c r="G6" s="320"/>
      <c r="H6" s="318" t="s">
        <v>196</v>
      </c>
      <c r="I6" s="318"/>
      <c r="J6" s="318"/>
      <c r="K6" s="319" t="s">
        <v>197</v>
      </c>
      <c r="L6" s="318"/>
      <c r="M6" s="318"/>
    </row>
    <row r="7" spans="1:13">
      <c r="B7" s="61">
        <v>556000</v>
      </c>
      <c r="C7" s="61">
        <v>419000</v>
      </c>
      <c r="D7" s="61">
        <v>752000</v>
      </c>
      <c r="E7" s="167">
        <v>938000</v>
      </c>
      <c r="F7" s="61">
        <v>1670000</v>
      </c>
      <c r="G7" s="168">
        <v>1450000</v>
      </c>
      <c r="H7" s="61">
        <v>363000</v>
      </c>
      <c r="I7" s="61">
        <v>979000</v>
      </c>
      <c r="J7" s="61">
        <v>528000</v>
      </c>
      <c r="K7" s="167">
        <v>291000</v>
      </c>
      <c r="L7" s="61">
        <v>428000</v>
      </c>
      <c r="M7" s="61">
        <v>166000</v>
      </c>
    </row>
    <row r="8" spans="1:13">
      <c r="B8" s="5">
        <v>567000</v>
      </c>
      <c r="C8" s="5">
        <v>387000</v>
      </c>
      <c r="D8" s="5">
        <v>685000</v>
      </c>
      <c r="E8" s="169">
        <v>952000</v>
      </c>
      <c r="F8" s="5">
        <v>1530000</v>
      </c>
      <c r="G8" s="170">
        <v>1250000</v>
      </c>
      <c r="H8" s="5">
        <v>339000</v>
      </c>
      <c r="I8" s="5">
        <v>1010000</v>
      </c>
      <c r="J8" s="5">
        <v>527000</v>
      </c>
      <c r="K8" s="169">
        <v>277000</v>
      </c>
      <c r="L8" s="5">
        <v>463000</v>
      </c>
      <c r="M8" s="5">
        <v>164000</v>
      </c>
    </row>
    <row r="9" spans="1:13">
      <c r="B9" s="5">
        <v>558000</v>
      </c>
      <c r="C9" s="5">
        <v>402000</v>
      </c>
      <c r="D9" s="5">
        <v>671000</v>
      </c>
      <c r="E9" s="169">
        <v>874000</v>
      </c>
      <c r="F9" s="5">
        <v>1480000</v>
      </c>
      <c r="G9" s="170">
        <v>1340000</v>
      </c>
      <c r="H9" s="5">
        <v>364000</v>
      </c>
      <c r="I9" s="5">
        <v>942000</v>
      </c>
      <c r="J9" s="5">
        <v>508000</v>
      </c>
      <c r="K9" s="169">
        <v>264000</v>
      </c>
      <c r="L9" s="5">
        <v>458000</v>
      </c>
      <c r="M9" s="5">
        <v>159000</v>
      </c>
    </row>
    <row r="10" spans="1:13">
      <c r="B10" s="5">
        <v>523000</v>
      </c>
      <c r="C10" s="5">
        <v>401000</v>
      </c>
      <c r="D10" s="5">
        <v>684000</v>
      </c>
      <c r="E10" s="169">
        <v>892000</v>
      </c>
      <c r="F10" s="5">
        <v>1510000</v>
      </c>
      <c r="G10" s="170">
        <v>1280000</v>
      </c>
      <c r="H10" s="5">
        <v>398000</v>
      </c>
      <c r="I10" s="5">
        <v>952000</v>
      </c>
      <c r="J10" s="5">
        <v>519000</v>
      </c>
      <c r="K10" s="169">
        <v>273000</v>
      </c>
      <c r="L10" s="5">
        <v>475000</v>
      </c>
      <c r="M10" s="5">
        <v>167000</v>
      </c>
    </row>
    <row r="11" spans="1:13" ht="17" thickBot="1">
      <c r="A11" s="10" t="s">
        <v>30</v>
      </c>
      <c r="B11" s="166">
        <f>AVERAGE(B7:B10)</f>
        <v>551000</v>
      </c>
      <c r="C11" s="166">
        <f t="shared" ref="C11:M11" si="0">AVERAGE(C7:C10)</f>
        <v>402250</v>
      </c>
      <c r="D11" s="166">
        <f t="shared" si="0"/>
        <v>698000</v>
      </c>
      <c r="E11" s="171">
        <f t="shared" si="0"/>
        <v>914000</v>
      </c>
      <c r="F11" s="166">
        <f t="shared" si="0"/>
        <v>1547500</v>
      </c>
      <c r="G11" s="172">
        <f t="shared" si="0"/>
        <v>1330000</v>
      </c>
      <c r="H11" s="166">
        <f t="shared" si="0"/>
        <v>366000</v>
      </c>
      <c r="I11" s="166">
        <f t="shared" si="0"/>
        <v>970750</v>
      </c>
      <c r="J11" s="166">
        <f t="shared" si="0"/>
        <v>520500</v>
      </c>
      <c r="K11" s="171">
        <f t="shared" si="0"/>
        <v>276250</v>
      </c>
      <c r="L11" s="166">
        <f t="shared" si="0"/>
        <v>456000</v>
      </c>
      <c r="M11" s="166">
        <f t="shared" si="0"/>
        <v>164000</v>
      </c>
    </row>
    <row r="12" spans="1:13" ht="17" thickBot="1">
      <c r="A12" s="10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>
      <c r="A13" s="10" t="s">
        <v>29</v>
      </c>
      <c r="B13" s="321" t="s">
        <v>194</v>
      </c>
      <c r="C13" s="321"/>
      <c r="D13" s="321"/>
      <c r="E13" s="322" t="s">
        <v>195</v>
      </c>
      <c r="F13" s="321"/>
      <c r="G13" s="323"/>
      <c r="H13" s="321" t="s">
        <v>196</v>
      </c>
      <c r="I13" s="321"/>
      <c r="J13" s="321"/>
      <c r="K13" s="322" t="s">
        <v>197</v>
      </c>
      <c r="L13" s="321"/>
      <c r="M13" s="321"/>
    </row>
    <row r="14" spans="1:13">
      <c r="B14" s="61">
        <v>472000</v>
      </c>
      <c r="C14" s="61">
        <v>428000</v>
      </c>
      <c r="D14" s="61">
        <v>242000</v>
      </c>
      <c r="E14" s="167">
        <v>239000</v>
      </c>
      <c r="F14" s="61">
        <v>215000</v>
      </c>
      <c r="G14" s="168">
        <v>253000</v>
      </c>
      <c r="H14" s="61">
        <v>114</v>
      </c>
      <c r="I14" s="61">
        <v>11200</v>
      </c>
      <c r="J14" s="61">
        <v>13900</v>
      </c>
      <c r="K14" s="167">
        <v>164</v>
      </c>
      <c r="L14" s="61">
        <v>2160</v>
      </c>
      <c r="M14" s="61">
        <v>12800</v>
      </c>
    </row>
    <row r="15" spans="1:13">
      <c r="B15" s="5">
        <v>430000</v>
      </c>
      <c r="C15" s="5">
        <v>421000</v>
      </c>
      <c r="D15" s="5">
        <v>230000</v>
      </c>
      <c r="E15" s="169">
        <v>233000</v>
      </c>
      <c r="F15" s="5">
        <v>227000</v>
      </c>
      <c r="G15" s="170">
        <v>249000</v>
      </c>
      <c r="H15" s="5">
        <v>11100</v>
      </c>
      <c r="I15" s="5">
        <v>10900</v>
      </c>
      <c r="J15" s="5">
        <v>7260</v>
      </c>
      <c r="K15" s="169">
        <v>2080</v>
      </c>
      <c r="L15" s="5">
        <v>9700</v>
      </c>
      <c r="M15" s="5">
        <v>3170</v>
      </c>
    </row>
    <row r="16" spans="1:13">
      <c r="B16" s="5">
        <v>428000</v>
      </c>
      <c r="C16" s="5">
        <v>449000</v>
      </c>
      <c r="D16" s="5">
        <v>192000</v>
      </c>
      <c r="E16" s="169">
        <v>233000</v>
      </c>
      <c r="F16" s="5">
        <v>227000</v>
      </c>
      <c r="G16" s="170">
        <v>258000</v>
      </c>
      <c r="H16" s="5">
        <v>10600</v>
      </c>
      <c r="I16" s="5">
        <v>9260</v>
      </c>
      <c r="J16" s="5">
        <v>6670</v>
      </c>
      <c r="K16" s="169">
        <v>2110</v>
      </c>
      <c r="L16" s="5">
        <v>9100</v>
      </c>
      <c r="M16" s="5">
        <v>3350</v>
      </c>
    </row>
    <row r="17" spans="1:13">
      <c r="B17" s="5">
        <v>458000</v>
      </c>
      <c r="C17" s="5">
        <v>452000</v>
      </c>
      <c r="D17" s="5">
        <v>219000</v>
      </c>
      <c r="E17" s="169">
        <v>252000</v>
      </c>
      <c r="F17" s="5">
        <v>226000</v>
      </c>
      <c r="G17" s="170">
        <v>252000</v>
      </c>
      <c r="H17" s="5">
        <v>11000</v>
      </c>
      <c r="I17" s="5">
        <v>10800</v>
      </c>
      <c r="J17" s="5">
        <v>7010</v>
      </c>
      <c r="K17" s="169">
        <v>2320</v>
      </c>
      <c r="L17" s="5">
        <v>31000</v>
      </c>
      <c r="M17" s="5">
        <v>3790</v>
      </c>
    </row>
    <row r="18" spans="1:13" ht="17" thickBot="1">
      <c r="A18" s="10" t="s">
        <v>30</v>
      </c>
      <c r="B18" s="166">
        <f>AVERAGE(B14:B17)</f>
        <v>447000</v>
      </c>
      <c r="C18" s="166">
        <f t="shared" ref="C18" si="1">AVERAGE(C14:C17)</f>
        <v>437500</v>
      </c>
      <c r="D18" s="166">
        <f>AVERAGE(D14:D17)</f>
        <v>220750</v>
      </c>
      <c r="E18" s="171">
        <f t="shared" ref="E18" si="2">AVERAGE(E14:E17)</f>
        <v>239250</v>
      </c>
      <c r="F18" s="166">
        <f t="shared" ref="F18" si="3">AVERAGE(F14:F17)</f>
        <v>223750</v>
      </c>
      <c r="G18" s="172">
        <f t="shared" ref="G18" si="4">AVERAGE(G14:G17)</f>
        <v>253000</v>
      </c>
      <c r="H18" s="166">
        <f>AVERAGE(H15:H17)</f>
        <v>10900</v>
      </c>
      <c r="I18" s="166">
        <f t="shared" ref="I18" si="5">AVERAGE(I14:I17)</f>
        <v>10540</v>
      </c>
      <c r="J18" s="166">
        <f t="shared" ref="J18" si="6">AVERAGE(J14:J17)</f>
        <v>8710</v>
      </c>
      <c r="K18" s="171">
        <f>AVERAGE(K15:K17)</f>
        <v>2170</v>
      </c>
      <c r="L18" s="166">
        <f t="shared" ref="L18" si="7">AVERAGE(L14:L17)</f>
        <v>12990</v>
      </c>
      <c r="M18" s="166">
        <f t="shared" ref="M18" si="8">AVERAGE(M14:M17)</f>
        <v>5777.5</v>
      </c>
    </row>
    <row r="20" spans="1:13" ht="17" thickBot="1">
      <c r="A20" s="3" t="s">
        <v>53</v>
      </c>
    </row>
    <row r="21" spans="1:13" ht="51">
      <c r="A21" s="177" t="s">
        <v>3</v>
      </c>
      <c r="B21" s="178" t="s">
        <v>0</v>
      </c>
      <c r="C21" s="173" t="s">
        <v>51</v>
      </c>
      <c r="D21" s="184" t="s">
        <v>49</v>
      </c>
      <c r="E21" s="174" t="s">
        <v>43</v>
      </c>
      <c r="F21" s="184" t="s">
        <v>44</v>
      </c>
      <c r="G21" s="184" t="s">
        <v>48</v>
      </c>
      <c r="H21" s="173" t="s">
        <v>45</v>
      </c>
      <c r="I21" s="184" t="s">
        <v>47</v>
      </c>
      <c r="J21" s="173" t="s">
        <v>31</v>
      </c>
    </row>
    <row r="22" spans="1:13">
      <c r="A22" s="175">
        <v>1</v>
      </c>
      <c r="B22" s="179" t="s">
        <v>120</v>
      </c>
      <c r="C22" s="176">
        <v>65.5</v>
      </c>
      <c r="D22" s="185">
        <v>50</v>
      </c>
      <c r="E22" s="176">
        <v>1.5</v>
      </c>
      <c r="F22" s="185">
        <v>3275</v>
      </c>
      <c r="G22" s="189">
        <v>5331.1764705882351</v>
      </c>
      <c r="H22" s="4">
        <f>E22*G22/1000</f>
        <v>7.9967647058823532</v>
      </c>
      <c r="I22" s="193">
        <v>1804525000</v>
      </c>
      <c r="J22" s="5">
        <v>225656883.29839301</v>
      </c>
    </row>
    <row r="23" spans="1:13" ht="16.25" customHeight="1">
      <c r="A23" s="175">
        <v>2</v>
      </c>
      <c r="B23" s="180" t="s">
        <v>120</v>
      </c>
      <c r="C23" s="176">
        <v>41.8</v>
      </c>
      <c r="D23" s="185">
        <v>50</v>
      </c>
      <c r="E23" s="176">
        <v>1.5</v>
      </c>
      <c r="F23" s="185">
        <v>2090</v>
      </c>
      <c r="G23" s="189">
        <v>5484.7058823529424</v>
      </c>
      <c r="H23" s="4">
        <f t="shared" ref="H23:H24" si="9">E23*G23/1000</f>
        <v>8.2270588235294131</v>
      </c>
      <c r="I23" s="193">
        <v>840702500</v>
      </c>
      <c r="J23" s="5">
        <v>102187491.06249104</v>
      </c>
    </row>
    <row r="24" spans="1:13" ht="14.75" customHeight="1">
      <c r="A24" s="175">
        <v>3</v>
      </c>
      <c r="B24" s="180" t="s">
        <v>120</v>
      </c>
      <c r="C24" s="176">
        <v>39.9</v>
      </c>
      <c r="D24" s="185">
        <v>50</v>
      </c>
      <c r="E24" s="176">
        <v>1.5</v>
      </c>
      <c r="F24" s="185">
        <v>1995</v>
      </c>
      <c r="G24" s="189">
        <v>4838.8235294117649</v>
      </c>
      <c r="H24" s="4">
        <f t="shared" si="9"/>
        <v>7.2582352941176467</v>
      </c>
      <c r="I24" s="193">
        <v>1392510000</v>
      </c>
      <c r="J24" s="5">
        <v>191852419.1587649</v>
      </c>
    </row>
    <row r="25" spans="1:13" ht="15.75" customHeight="1">
      <c r="A25" s="62">
        <v>7</v>
      </c>
      <c r="B25" s="181" t="s">
        <v>121</v>
      </c>
      <c r="C25" s="63">
        <v>40.799999999999997</v>
      </c>
      <c r="D25" s="186">
        <v>50</v>
      </c>
      <c r="E25" s="63">
        <v>1.5</v>
      </c>
      <c r="F25" s="186">
        <v>2039.9999999999998</v>
      </c>
      <c r="G25" s="190">
        <v>2827.0588235294122</v>
      </c>
      <c r="H25" s="64">
        <f>E25*G25/1000</f>
        <v>4.2405882352941182</v>
      </c>
      <c r="I25" s="194">
        <v>1864559999.9999998</v>
      </c>
      <c r="J25" s="61">
        <v>439693716.18809807</v>
      </c>
    </row>
    <row r="26" spans="1:13" ht="14.25" customHeight="1">
      <c r="A26" s="175">
        <v>8</v>
      </c>
      <c r="B26" s="180" t="s">
        <v>121</v>
      </c>
      <c r="C26" s="176">
        <v>35.4</v>
      </c>
      <c r="D26" s="185">
        <v>50</v>
      </c>
      <c r="E26" s="176">
        <v>1.5</v>
      </c>
      <c r="F26" s="185">
        <v>1770</v>
      </c>
      <c r="G26" s="189">
        <v>2885.294117647059</v>
      </c>
      <c r="H26" s="4">
        <f t="shared" ref="H26:H27" si="10">E26*G26/1000</f>
        <v>4.3279411764705884</v>
      </c>
      <c r="I26" s="193">
        <v>1617780000</v>
      </c>
      <c r="J26" s="5">
        <v>373798980.63200814</v>
      </c>
    </row>
    <row r="27" spans="1:13" ht="17" customHeight="1">
      <c r="A27" s="175">
        <v>9</v>
      </c>
      <c r="B27" s="180" t="s">
        <v>121</v>
      </c>
      <c r="C27" s="176">
        <v>42.3</v>
      </c>
      <c r="D27" s="185">
        <v>50</v>
      </c>
      <c r="E27" s="176">
        <v>1.5</v>
      </c>
      <c r="F27" s="185">
        <v>2115</v>
      </c>
      <c r="G27" s="189">
        <v>2768.8235294117649</v>
      </c>
      <c r="H27" s="4">
        <f t="shared" si="10"/>
        <v>4.1532352941176471</v>
      </c>
      <c r="I27" s="193">
        <v>1933110000</v>
      </c>
      <c r="J27" s="5">
        <v>465446781.38942003</v>
      </c>
    </row>
    <row r="28" spans="1:13" ht="16.5" customHeight="1">
      <c r="A28" s="62">
        <v>13</v>
      </c>
      <c r="B28" s="181" t="s">
        <v>122</v>
      </c>
      <c r="C28" s="63">
        <v>44.6</v>
      </c>
      <c r="D28" s="186">
        <v>50</v>
      </c>
      <c r="E28" s="63">
        <v>3</v>
      </c>
      <c r="F28" s="186">
        <v>2230</v>
      </c>
      <c r="G28" s="190">
        <v>1524.7058823529414</v>
      </c>
      <c r="H28" s="64">
        <f>E28*G28/1000</f>
        <v>4.5741176470588245</v>
      </c>
      <c r="I28" s="194">
        <v>2164772500</v>
      </c>
      <c r="J28" s="61">
        <v>473265592.84979415</v>
      </c>
    </row>
    <row r="29" spans="1:13" ht="15" customHeight="1">
      <c r="A29" s="175">
        <v>14</v>
      </c>
      <c r="B29" s="180" t="s">
        <v>122</v>
      </c>
      <c r="C29" s="176">
        <v>56.2</v>
      </c>
      <c r="D29" s="185">
        <v>50</v>
      </c>
      <c r="E29" s="176">
        <v>3</v>
      </c>
      <c r="F29" s="185">
        <v>2810</v>
      </c>
      <c r="G29" s="189">
        <v>1461.1764705882356</v>
      </c>
      <c r="H29" s="4">
        <f t="shared" ref="H29:H30" si="11">E29*G29/1000</f>
        <v>4.3835294117647061</v>
      </c>
      <c r="I29" s="193">
        <v>2727807500</v>
      </c>
      <c r="J29" s="5">
        <v>622285661.56736445</v>
      </c>
    </row>
    <row r="30" spans="1:13" ht="16.25" customHeight="1">
      <c r="A30" s="65">
        <v>15</v>
      </c>
      <c r="B30" s="182" t="s">
        <v>122</v>
      </c>
      <c r="C30" s="66">
        <v>41.3</v>
      </c>
      <c r="D30" s="187">
        <v>50</v>
      </c>
      <c r="E30" s="66">
        <v>3</v>
      </c>
      <c r="F30" s="187">
        <v>2065</v>
      </c>
      <c r="G30" s="191">
        <v>1440.0000000000002</v>
      </c>
      <c r="H30" s="67">
        <f t="shared" si="11"/>
        <v>4.3200000000000012</v>
      </c>
      <c r="I30" s="195">
        <v>1397880000.0000002</v>
      </c>
      <c r="J30" s="68">
        <v>323583333.33333331</v>
      </c>
    </row>
    <row r="31" spans="1:13" ht="15.75" customHeight="1">
      <c r="A31" s="175">
        <v>19</v>
      </c>
      <c r="B31" s="180" t="s">
        <v>123</v>
      </c>
      <c r="C31" s="176">
        <v>12.1</v>
      </c>
      <c r="D31" s="185">
        <v>50</v>
      </c>
      <c r="E31" s="176">
        <v>3</v>
      </c>
      <c r="F31" s="185">
        <v>605</v>
      </c>
      <c r="G31" s="189">
        <v>285.88235294117646</v>
      </c>
      <c r="H31" s="4">
        <f>E31*G31/1000</f>
        <v>0.85764705882352943</v>
      </c>
      <c r="I31" s="193">
        <v>275880000</v>
      </c>
      <c r="J31" s="5">
        <v>321670781.89300412</v>
      </c>
    </row>
    <row r="32" spans="1:13" ht="16.5" customHeight="1">
      <c r="A32" s="175">
        <v>20</v>
      </c>
      <c r="B32" s="180" t="s">
        <v>123</v>
      </c>
      <c r="C32" s="176">
        <v>22.7</v>
      </c>
      <c r="D32" s="185">
        <v>50</v>
      </c>
      <c r="E32" s="176">
        <v>3</v>
      </c>
      <c r="F32" s="185">
        <v>1135</v>
      </c>
      <c r="G32" s="189">
        <v>248.82352941176464</v>
      </c>
      <c r="H32" s="4">
        <f t="shared" ref="H32:H33" si="12">E32*G32/1000</f>
        <v>0.74647058823529389</v>
      </c>
      <c r="I32" s="193">
        <v>517560000</v>
      </c>
      <c r="J32" s="5">
        <v>693342789.59810901</v>
      </c>
    </row>
    <row r="33" spans="1:10" ht="17.75" customHeight="1" thickBot="1">
      <c r="A33" s="6">
        <v>21</v>
      </c>
      <c r="B33" s="183" t="s">
        <v>123</v>
      </c>
      <c r="C33" s="7">
        <v>16.399999999999999</v>
      </c>
      <c r="D33" s="188">
        <v>50</v>
      </c>
      <c r="E33" s="7">
        <v>3</v>
      </c>
      <c r="F33" s="188">
        <v>819.99999999999989</v>
      </c>
      <c r="G33" s="192">
        <v>227.64705882352933</v>
      </c>
      <c r="H33" s="8">
        <f t="shared" si="12"/>
        <v>0.68294117647058805</v>
      </c>
      <c r="I33" s="196">
        <v>373919999.99999994</v>
      </c>
      <c r="J33" s="9">
        <v>547514211.88630497</v>
      </c>
    </row>
    <row r="34" spans="1:10">
      <c r="H34" s="4"/>
      <c r="I34" s="5"/>
      <c r="J34" s="5"/>
    </row>
    <row r="35" spans="1:10" ht="17" thickBot="1">
      <c r="A35" s="3" t="s">
        <v>54</v>
      </c>
    </row>
    <row r="36" spans="1:10" ht="51">
      <c r="A36" s="177" t="s">
        <v>3</v>
      </c>
      <c r="B36" s="178" t="s">
        <v>0</v>
      </c>
      <c r="C36" s="184" t="s">
        <v>51</v>
      </c>
      <c r="D36" s="173" t="s">
        <v>56</v>
      </c>
      <c r="E36" s="204" t="s">
        <v>46</v>
      </c>
      <c r="F36" s="184" t="s">
        <v>44</v>
      </c>
      <c r="G36" s="173" t="s">
        <v>48</v>
      </c>
      <c r="H36" s="205" t="s">
        <v>45</v>
      </c>
      <c r="I36" s="184" t="s">
        <v>47</v>
      </c>
      <c r="J36" s="173" t="s">
        <v>31</v>
      </c>
    </row>
    <row r="37" spans="1:10" ht="15.75" customHeight="1">
      <c r="A37" s="175">
        <v>1</v>
      </c>
      <c r="B37" s="179" t="s">
        <v>120</v>
      </c>
      <c r="C37" s="197">
        <v>28.2</v>
      </c>
      <c r="D37" s="175">
        <v>50</v>
      </c>
      <c r="E37" s="197">
        <v>1.5</v>
      </c>
      <c r="F37" s="185">
        <v>1410</v>
      </c>
      <c r="G37" s="4">
        <v>4939.4117647058829</v>
      </c>
      <c r="H37" s="206">
        <v>7.4091176470588245</v>
      </c>
      <c r="I37" s="193">
        <v>630270000</v>
      </c>
      <c r="J37" s="5">
        <v>85066809.574848145</v>
      </c>
    </row>
    <row r="38" spans="1:10" ht="15.75" customHeight="1">
      <c r="A38" s="175">
        <v>2</v>
      </c>
      <c r="B38" s="179" t="s">
        <v>120</v>
      </c>
      <c r="C38" s="197">
        <v>17.7</v>
      </c>
      <c r="D38" s="175">
        <v>50</v>
      </c>
      <c r="E38" s="197">
        <v>1.5</v>
      </c>
      <c r="F38" s="185">
        <v>885</v>
      </c>
      <c r="G38" s="4">
        <v>5786.4705882352946</v>
      </c>
      <c r="H38" s="206">
        <v>8.6797058823529429</v>
      </c>
      <c r="I38" s="193">
        <v>387187500</v>
      </c>
      <c r="J38" s="5">
        <v>44608366.371861331</v>
      </c>
    </row>
    <row r="39" spans="1:10" ht="17" customHeight="1">
      <c r="A39" s="175">
        <v>3</v>
      </c>
      <c r="B39" s="179" t="s">
        <v>120</v>
      </c>
      <c r="C39" s="197">
        <v>19.899999999999999</v>
      </c>
      <c r="D39" s="175">
        <v>50</v>
      </c>
      <c r="E39" s="197">
        <v>1.5</v>
      </c>
      <c r="F39" s="185">
        <v>994.99999999999989</v>
      </c>
      <c r="G39" s="4">
        <v>5066.4705882352946</v>
      </c>
      <c r="H39" s="206">
        <v>7.599705882352942</v>
      </c>
      <c r="I39" s="193">
        <v>219646249.99999997</v>
      </c>
      <c r="J39" s="5">
        <v>28901940.864584535</v>
      </c>
    </row>
    <row r="40" spans="1:10" ht="16.5" customHeight="1">
      <c r="A40" s="62">
        <v>7</v>
      </c>
      <c r="B40" s="201" t="s">
        <v>121</v>
      </c>
      <c r="C40" s="198">
        <v>11.1</v>
      </c>
      <c r="D40" s="62">
        <v>50</v>
      </c>
      <c r="E40" s="198">
        <v>1.5</v>
      </c>
      <c r="F40" s="186">
        <v>555</v>
      </c>
      <c r="G40" s="64">
        <v>3012.3529411764703</v>
      </c>
      <c r="H40" s="207">
        <v>4.518529411764705</v>
      </c>
      <c r="I40" s="194">
        <v>132783750</v>
      </c>
      <c r="J40" s="61">
        <v>29386496.77797306</v>
      </c>
    </row>
    <row r="41" spans="1:10" ht="15" customHeight="1">
      <c r="A41" s="175">
        <v>8</v>
      </c>
      <c r="B41" s="179" t="s">
        <v>121</v>
      </c>
      <c r="C41" s="197">
        <v>23</v>
      </c>
      <c r="D41" s="175">
        <v>50</v>
      </c>
      <c r="E41" s="197">
        <v>1.5</v>
      </c>
      <c r="F41" s="185">
        <v>1150</v>
      </c>
      <c r="G41" s="4">
        <v>3213.5294117647059</v>
      </c>
      <c r="H41" s="206">
        <v>4.8202941176470588</v>
      </c>
      <c r="I41" s="193">
        <v>257312500</v>
      </c>
      <c r="J41" s="5">
        <v>53381078.772347309</v>
      </c>
    </row>
    <row r="42" spans="1:10" ht="14.75" customHeight="1">
      <c r="A42" s="65">
        <v>9</v>
      </c>
      <c r="B42" s="202" t="s">
        <v>121</v>
      </c>
      <c r="C42" s="199">
        <v>8.6999999999999993</v>
      </c>
      <c r="D42" s="65">
        <v>50</v>
      </c>
      <c r="E42" s="199">
        <v>1.5</v>
      </c>
      <c r="F42" s="187">
        <v>434.99999999999994</v>
      </c>
      <c r="G42" s="67">
        <v>3218.8235294117649</v>
      </c>
      <c r="H42" s="208">
        <v>4.828235294117647</v>
      </c>
      <c r="I42" s="195">
        <v>110054999.99999999</v>
      </c>
      <c r="J42" s="68">
        <v>22794042.397660818</v>
      </c>
    </row>
    <row r="43" spans="1:10" ht="15" customHeight="1">
      <c r="A43" s="175">
        <v>13</v>
      </c>
      <c r="B43" s="179" t="s">
        <v>122</v>
      </c>
      <c r="C43" s="197">
        <v>213.5</v>
      </c>
      <c r="D43" s="175">
        <v>50</v>
      </c>
      <c r="E43" s="197">
        <v>2.5</v>
      </c>
      <c r="F43" s="185">
        <v>10675</v>
      </c>
      <c r="G43" s="4">
        <v>1148.8235294117646</v>
      </c>
      <c r="H43" s="206">
        <v>2.8720588235294118</v>
      </c>
      <c r="I43" s="193">
        <v>87572362.5</v>
      </c>
      <c r="J43" s="5">
        <v>30491145.161290321</v>
      </c>
    </row>
    <row r="44" spans="1:10" ht="15" customHeight="1">
      <c r="A44" s="175">
        <v>14</v>
      </c>
      <c r="B44" s="179" t="s">
        <v>122</v>
      </c>
      <c r="C44" s="197">
        <v>174.2</v>
      </c>
      <c r="D44" s="175">
        <v>50</v>
      </c>
      <c r="E44" s="197">
        <v>2.5</v>
      </c>
      <c r="F44" s="185">
        <v>8710</v>
      </c>
      <c r="G44" s="4">
        <v>1260</v>
      </c>
      <c r="H44" s="206">
        <v>3.15</v>
      </c>
      <c r="I44" s="193">
        <v>91803400</v>
      </c>
      <c r="J44" s="5">
        <v>29143936.507936507</v>
      </c>
    </row>
    <row r="45" spans="1:10" ht="16.25" customHeight="1">
      <c r="A45" s="175">
        <v>15</v>
      </c>
      <c r="B45" s="179" t="s">
        <v>122</v>
      </c>
      <c r="C45" s="197">
        <v>209</v>
      </c>
      <c r="D45" s="175">
        <v>50</v>
      </c>
      <c r="E45" s="197">
        <v>2.5</v>
      </c>
      <c r="F45" s="185">
        <v>10450</v>
      </c>
      <c r="G45" s="4">
        <v>1270.5882352941178</v>
      </c>
      <c r="H45" s="206">
        <v>3.1764705882352944</v>
      </c>
      <c r="I45" s="193">
        <v>91019500</v>
      </c>
      <c r="J45" s="5">
        <v>28654287.037037034</v>
      </c>
    </row>
    <row r="46" spans="1:10" ht="17.25" customHeight="1">
      <c r="A46" s="62">
        <v>19</v>
      </c>
      <c r="B46" s="201" t="s">
        <v>123</v>
      </c>
      <c r="C46" s="198">
        <v>65</v>
      </c>
      <c r="D46" s="62">
        <v>50</v>
      </c>
      <c r="E46" s="198">
        <v>3</v>
      </c>
      <c r="F46" s="186">
        <v>3250</v>
      </c>
      <c r="G46" s="64">
        <v>47.647058823529456</v>
      </c>
      <c r="H46" s="207">
        <v>0.14294117647058838</v>
      </c>
      <c r="I46" s="194">
        <v>5422625</v>
      </c>
      <c r="J46" s="61">
        <v>37936059.670781858</v>
      </c>
    </row>
    <row r="47" spans="1:10" ht="15.75" customHeight="1">
      <c r="A47" s="175">
        <v>20</v>
      </c>
      <c r="B47" s="179" t="s">
        <v>123</v>
      </c>
      <c r="C47" s="197">
        <v>66.5</v>
      </c>
      <c r="D47" s="175">
        <v>50</v>
      </c>
      <c r="E47" s="197">
        <v>3</v>
      </c>
      <c r="F47" s="185">
        <v>3325</v>
      </c>
      <c r="G47" s="4">
        <v>31.76470588235297</v>
      </c>
      <c r="H47" s="206">
        <v>9.5294117647058918E-2</v>
      </c>
      <c r="I47" s="193">
        <v>43191750</v>
      </c>
      <c r="J47" s="5">
        <v>453246759.25925881</v>
      </c>
    </row>
    <row r="48" spans="1:10" ht="17" customHeight="1" thickBot="1">
      <c r="A48" s="6">
        <v>21</v>
      </c>
      <c r="B48" s="203" t="s">
        <v>123</v>
      </c>
      <c r="C48" s="200">
        <v>60.7</v>
      </c>
      <c r="D48" s="6">
        <v>50</v>
      </c>
      <c r="E48" s="200">
        <v>3</v>
      </c>
      <c r="F48" s="188">
        <v>3035</v>
      </c>
      <c r="G48" s="8">
        <v>37.058823529411804</v>
      </c>
      <c r="H48" s="209">
        <v>0.11117647058823542</v>
      </c>
      <c r="I48" s="196">
        <v>17534712.5</v>
      </c>
      <c r="J48" s="9">
        <v>157719636.24338606</v>
      </c>
    </row>
    <row r="49" spans="9:10">
      <c r="I49" s="11"/>
      <c r="J49" s="11"/>
    </row>
  </sheetData>
  <mergeCells count="8">
    <mergeCell ref="B6:D6"/>
    <mergeCell ref="E6:G6"/>
    <mergeCell ref="H6:J6"/>
    <mergeCell ref="K6:M6"/>
    <mergeCell ref="B13:D13"/>
    <mergeCell ref="E13:G13"/>
    <mergeCell ref="H13:J13"/>
    <mergeCell ref="K13:M13"/>
  </mergeCells>
  <phoneticPr fontId="2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8414D-E097-41D4-BC6C-51C19817239C}">
  <dimension ref="B2:AC16"/>
  <sheetViews>
    <sheetView workbookViewId="0">
      <selection activeCell="AA24" sqref="AA24"/>
    </sheetView>
  </sheetViews>
  <sheetFormatPr baseColWidth="10" defaultColWidth="9" defaultRowHeight="14"/>
  <cols>
    <col min="1" max="1" width="2.33203125" style="1" customWidth="1"/>
    <col min="2" max="2" width="9" style="1"/>
    <col min="3" max="3" width="6.83203125" style="1" customWidth="1"/>
    <col min="4" max="4" width="6" style="1" customWidth="1"/>
    <col min="5" max="5" width="6.83203125" style="1" customWidth="1"/>
    <col min="6" max="6" width="8.5" style="1" customWidth="1"/>
    <col min="7" max="7" width="7.6640625" style="1" customWidth="1"/>
    <col min="8" max="8" width="7.33203125" style="1" customWidth="1"/>
    <col min="9" max="10" width="6.5" style="1" customWidth="1"/>
    <col min="11" max="11" width="6.33203125" style="1" customWidth="1"/>
    <col min="12" max="12" width="7.6640625" style="1" customWidth="1"/>
    <col min="13" max="13" width="6.83203125" style="1" customWidth="1"/>
    <col min="14" max="14" width="6.33203125" style="1" customWidth="1"/>
    <col min="15" max="15" width="6" style="1" customWidth="1"/>
    <col min="16" max="16" width="7.1640625" style="1" customWidth="1"/>
    <col min="17" max="17" width="6.5" style="1" customWidth="1"/>
    <col min="18" max="18" width="7.5" style="1" customWidth="1"/>
    <col min="19" max="20" width="6.83203125" style="1" customWidth="1"/>
    <col min="21" max="21" width="7.33203125" style="1" customWidth="1"/>
    <col min="22" max="22" width="7.5" style="1" customWidth="1"/>
    <col min="23" max="23" width="6.6640625" style="1" customWidth="1"/>
    <col min="24" max="24" width="7.83203125" style="1" customWidth="1"/>
    <col min="25" max="25" width="7.6640625" style="1" customWidth="1"/>
    <col min="26" max="26" width="7.33203125" style="1" customWidth="1"/>
    <col min="27" max="27" width="7.5" style="1" customWidth="1"/>
    <col min="28" max="28" width="7.1640625" style="1" customWidth="1"/>
    <col min="29" max="29" width="7" style="1" customWidth="1"/>
    <col min="30" max="16384" width="9" style="1"/>
  </cols>
  <sheetData>
    <row r="2" spans="2:29" ht="15" thickBot="1">
      <c r="B2" s="29" t="s">
        <v>247</v>
      </c>
    </row>
    <row r="3" spans="2:29" ht="15">
      <c r="B3" s="144"/>
      <c r="C3" s="275" t="s">
        <v>139</v>
      </c>
      <c r="D3" s="273"/>
      <c r="E3" s="273"/>
      <c r="F3" s="273"/>
      <c r="G3" s="273"/>
      <c r="H3" s="273"/>
      <c r="I3" s="273"/>
      <c r="J3" s="273"/>
      <c r="K3" s="273"/>
      <c r="L3" s="272" t="s">
        <v>140</v>
      </c>
      <c r="M3" s="273"/>
      <c r="N3" s="273"/>
      <c r="O3" s="273"/>
      <c r="P3" s="273"/>
      <c r="Q3" s="273"/>
      <c r="R3" s="273"/>
      <c r="S3" s="273"/>
      <c r="T3" s="274"/>
      <c r="U3" s="275" t="s">
        <v>141</v>
      </c>
      <c r="V3" s="273"/>
      <c r="W3" s="273"/>
      <c r="X3" s="273"/>
      <c r="Y3" s="273"/>
      <c r="Z3" s="273"/>
      <c r="AA3" s="273"/>
      <c r="AB3" s="273"/>
      <c r="AC3" s="273"/>
    </row>
    <row r="4" spans="2:29" ht="15" thickBot="1">
      <c r="B4" s="30" t="s">
        <v>182</v>
      </c>
      <c r="C4" s="327" t="s">
        <v>12</v>
      </c>
      <c r="D4" s="327"/>
      <c r="E4" s="327"/>
      <c r="F4" s="324" t="s">
        <v>95</v>
      </c>
      <c r="G4" s="325"/>
      <c r="H4" s="326"/>
      <c r="I4" s="327" t="s">
        <v>40</v>
      </c>
      <c r="J4" s="327"/>
      <c r="K4" s="327"/>
      <c r="L4" s="329" t="s">
        <v>12</v>
      </c>
      <c r="M4" s="327"/>
      <c r="N4" s="327"/>
      <c r="O4" s="324" t="s">
        <v>95</v>
      </c>
      <c r="P4" s="325"/>
      <c r="Q4" s="326"/>
      <c r="R4" s="327" t="s">
        <v>40</v>
      </c>
      <c r="S4" s="327"/>
      <c r="T4" s="328"/>
      <c r="U4" s="327" t="s">
        <v>12</v>
      </c>
      <c r="V4" s="327"/>
      <c r="W4" s="327"/>
      <c r="X4" s="324" t="s">
        <v>95</v>
      </c>
      <c r="Y4" s="325"/>
      <c r="Z4" s="326"/>
      <c r="AA4" s="327" t="s">
        <v>40</v>
      </c>
      <c r="AB4" s="327"/>
      <c r="AC4" s="327"/>
    </row>
    <row r="5" spans="2:29">
      <c r="B5" s="24">
        <v>0</v>
      </c>
      <c r="C5" s="22">
        <v>0</v>
      </c>
      <c r="D5" s="22">
        <v>0</v>
      </c>
      <c r="E5" s="22">
        <v>0</v>
      </c>
      <c r="F5" s="40">
        <v>20.83</v>
      </c>
      <c r="G5" s="22">
        <v>20.94</v>
      </c>
      <c r="H5" s="41">
        <v>19.32</v>
      </c>
      <c r="I5" s="22">
        <v>0</v>
      </c>
      <c r="J5" s="22">
        <v>0</v>
      </c>
      <c r="K5" s="22">
        <v>0</v>
      </c>
      <c r="L5" s="40">
        <v>0</v>
      </c>
      <c r="M5" s="22">
        <v>0</v>
      </c>
      <c r="N5" s="22">
        <v>0</v>
      </c>
      <c r="O5" s="40">
        <v>21.27</v>
      </c>
      <c r="P5" s="22">
        <v>19.010000000000002</v>
      </c>
      <c r="Q5" s="41">
        <v>19.37</v>
      </c>
      <c r="R5" s="22">
        <v>0</v>
      </c>
      <c r="S5" s="22">
        <v>0</v>
      </c>
      <c r="T5" s="41">
        <v>0</v>
      </c>
      <c r="U5" s="22">
        <v>0</v>
      </c>
      <c r="V5" s="22">
        <v>0</v>
      </c>
      <c r="W5" s="22">
        <v>0</v>
      </c>
      <c r="X5" s="40">
        <v>19.36</v>
      </c>
      <c r="Y5" s="22">
        <v>22</v>
      </c>
      <c r="Z5" s="41">
        <v>22.96</v>
      </c>
      <c r="AA5" s="22">
        <v>0</v>
      </c>
      <c r="AB5" s="22">
        <v>0</v>
      </c>
      <c r="AC5" s="22">
        <v>0</v>
      </c>
    </row>
    <row r="6" spans="2:29">
      <c r="B6" s="24">
        <v>2</v>
      </c>
      <c r="C6" s="22">
        <v>0.19</v>
      </c>
      <c r="D6" s="22">
        <v>0.17</v>
      </c>
      <c r="E6" s="22">
        <v>0.16</v>
      </c>
      <c r="F6" s="40">
        <v>17.690000000000001</v>
      </c>
      <c r="G6" s="22">
        <v>18.309999999999999</v>
      </c>
      <c r="H6" s="41">
        <v>18.64</v>
      </c>
      <c r="I6" s="22">
        <v>0.65</v>
      </c>
      <c r="J6" s="22">
        <v>0.67</v>
      </c>
      <c r="K6" s="22">
        <v>0.68</v>
      </c>
      <c r="L6" s="40">
        <v>0.28000000000000003</v>
      </c>
      <c r="M6" s="22">
        <v>0.36</v>
      </c>
      <c r="N6" s="22">
        <v>0.28000000000000003</v>
      </c>
      <c r="O6" s="40">
        <v>15.53</v>
      </c>
      <c r="P6" s="22">
        <v>16.55</v>
      </c>
      <c r="Q6" s="41">
        <v>17.559999999999999</v>
      </c>
      <c r="R6" s="22">
        <v>0.74</v>
      </c>
      <c r="S6" s="22">
        <v>0.73</v>
      </c>
      <c r="T6" s="41">
        <v>0.74</v>
      </c>
      <c r="U6" s="22">
        <v>0.18</v>
      </c>
      <c r="V6" s="22">
        <v>0.16</v>
      </c>
      <c r="W6" s="22">
        <v>0.18</v>
      </c>
      <c r="X6" s="40">
        <v>18.04</v>
      </c>
      <c r="Y6" s="22">
        <v>18.059999999999999</v>
      </c>
      <c r="Z6" s="41">
        <v>16.62</v>
      </c>
      <c r="AA6" s="22">
        <v>0.68</v>
      </c>
      <c r="AB6" s="22">
        <v>0.7</v>
      </c>
      <c r="AC6" s="22">
        <v>0.7</v>
      </c>
    </row>
    <row r="7" spans="2:29">
      <c r="B7" s="24">
        <v>4</v>
      </c>
      <c r="C7" s="22">
        <v>0.54</v>
      </c>
      <c r="D7" s="22">
        <v>0.51</v>
      </c>
      <c r="E7" s="22">
        <v>0.51</v>
      </c>
      <c r="F7" s="40">
        <v>15.6</v>
      </c>
      <c r="G7" s="22">
        <v>15.46</v>
      </c>
      <c r="H7" s="41">
        <v>16.899999999999999</v>
      </c>
      <c r="I7" s="22">
        <v>0.71</v>
      </c>
      <c r="J7" s="22">
        <v>0.69</v>
      </c>
      <c r="K7" s="22">
        <v>0.86</v>
      </c>
      <c r="L7" s="40">
        <v>0.61</v>
      </c>
      <c r="M7" s="22">
        <v>0.57999999999999996</v>
      </c>
      <c r="N7" s="22">
        <v>0.66</v>
      </c>
      <c r="O7" s="40">
        <v>14.91</v>
      </c>
      <c r="P7" s="22">
        <v>15.15</v>
      </c>
      <c r="Q7" s="41">
        <v>12.63</v>
      </c>
      <c r="R7" s="22">
        <v>0.85</v>
      </c>
      <c r="S7" s="22">
        <v>0.67</v>
      </c>
      <c r="T7" s="41">
        <v>0.57999999999999996</v>
      </c>
      <c r="U7" s="22">
        <v>0.48</v>
      </c>
      <c r="V7" s="22">
        <v>0.45</v>
      </c>
      <c r="W7" s="22">
        <v>0.53</v>
      </c>
      <c r="X7" s="40">
        <v>16.39</v>
      </c>
      <c r="Y7" s="22">
        <v>15.78</v>
      </c>
      <c r="Z7" s="41">
        <v>16.57</v>
      </c>
      <c r="AA7" s="22">
        <v>0.59</v>
      </c>
      <c r="AB7" s="22">
        <v>0.81</v>
      </c>
      <c r="AC7" s="22">
        <v>0.6</v>
      </c>
    </row>
    <row r="8" spans="2:29">
      <c r="B8" s="24">
        <v>6</v>
      </c>
      <c r="C8" s="22">
        <v>0.87</v>
      </c>
      <c r="D8" s="22">
        <v>0.72</v>
      </c>
      <c r="E8" s="22">
        <v>0.83</v>
      </c>
      <c r="F8" s="40">
        <v>14.75</v>
      </c>
      <c r="G8" s="22">
        <v>15.94</v>
      </c>
      <c r="H8" s="41">
        <v>13.78</v>
      </c>
      <c r="I8" s="22">
        <v>0.61</v>
      </c>
      <c r="J8" s="22">
        <v>0.76</v>
      </c>
      <c r="K8" s="22">
        <v>0.59</v>
      </c>
      <c r="L8" s="40">
        <v>0.95</v>
      </c>
      <c r="M8" s="22">
        <v>1.05</v>
      </c>
      <c r="N8" s="22">
        <v>0.93</v>
      </c>
      <c r="O8" s="40">
        <v>12.8</v>
      </c>
      <c r="P8" s="22">
        <v>13.84</v>
      </c>
      <c r="Q8" s="41">
        <v>13.01</v>
      </c>
      <c r="R8" s="22">
        <v>0.76</v>
      </c>
      <c r="S8" s="22">
        <v>0.86</v>
      </c>
      <c r="T8" s="41">
        <v>0.93</v>
      </c>
      <c r="U8" s="22">
        <v>0.83</v>
      </c>
      <c r="V8" s="22">
        <v>0.76</v>
      </c>
      <c r="W8" s="22">
        <v>0.8</v>
      </c>
      <c r="X8" s="40">
        <v>14.19</v>
      </c>
      <c r="Y8" s="22">
        <v>15.34</v>
      </c>
      <c r="Z8" s="41">
        <v>14.5</v>
      </c>
      <c r="AA8" s="22">
        <v>0.65</v>
      </c>
      <c r="AB8" s="22">
        <v>0.62</v>
      </c>
      <c r="AC8" s="22">
        <v>0.66</v>
      </c>
    </row>
    <row r="9" spans="2:29">
      <c r="B9" s="24">
        <v>8</v>
      </c>
      <c r="C9" s="22">
        <v>1.21</v>
      </c>
      <c r="D9" s="22">
        <v>1.1599999999999999</v>
      </c>
      <c r="E9" s="22">
        <v>1.08</v>
      </c>
      <c r="F9" s="40">
        <v>11.97</v>
      </c>
      <c r="G9" s="22">
        <v>11.43</v>
      </c>
      <c r="H9" s="41">
        <v>11.85</v>
      </c>
      <c r="I9" s="22">
        <v>0.65</v>
      </c>
      <c r="J9" s="22">
        <v>0.56000000000000005</v>
      </c>
      <c r="K9" s="22">
        <v>0.79</v>
      </c>
      <c r="L9" s="40">
        <v>1.26</v>
      </c>
      <c r="M9" s="22">
        <v>1.26</v>
      </c>
      <c r="N9" s="22">
        <v>1.21</v>
      </c>
      <c r="O9" s="40">
        <v>10.25</v>
      </c>
      <c r="P9" s="22">
        <v>10.87</v>
      </c>
      <c r="Q9" s="41">
        <v>10.9</v>
      </c>
      <c r="R9" s="22">
        <v>0.79</v>
      </c>
      <c r="S9" s="22">
        <v>0.73</v>
      </c>
      <c r="T9" s="41">
        <v>0.79</v>
      </c>
      <c r="U9" s="22">
        <v>1.17</v>
      </c>
      <c r="V9" s="22">
        <v>1.07</v>
      </c>
      <c r="W9" s="22">
        <v>1.17</v>
      </c>
      <c r="X9" s="40">
        <v>12.71</v>
      </c>
      <c r="Y9" s="22">
        <v>11.94</v>
      </c>
      <c r="Z9" s="41">
        <v>11.56</v>
      </c>
      <c r="AA9" s="22">
        <v>0.72</v>
      </c>
      <c r="AB9" s="22">
        <v>0.67</v>
      </c>
      <c r="AC9" s="22">
        <v>0.7</v>
      </c>
    </row>
    <row r="10" spans="2:29">
      <c r="B10" s="24">
        <v>10</v>
      </c>
      <c r="C10" s="22">
        <v>1.3</v>
      </c>
      <c r="D10" s="22">
        <v>1.32</v>
      </c>
      <c r="E10" s="22">
        <v>1.24</v>
      </c>
      <c r="F10" s="40">
        <v>9.98</v>
      </c>
      <c r="G10" s="22">
        <v>9.1199999999999992</v>
      </c>
      <c r="H10" s="41">
        <v>11.16</v>
      </c>
      <c r="I10" s="22">
        <v>0.57999999999999996</v>
      </c>
      <c r="J10" s="22">
        <v>0.65</v>
      </c>
      <c r="K10" s="22">
        <v>0.63</v>
      </c>
      <c r="L10" s="40">
        <v>1.37</v>
      </c>
      <c r="M10" s="22">
        <v>1.38</v>
      </c>
      <c r="N10" s="22">
        <v>1.4</v>
      </c>
      <c r="O10" s="40">
        <v>9.59</v>
      </c>
      <c r="P10" s="22">
        <v>9.19</v>
      </c>
      <c r="Q10" s="41">
        <v>9.64</v>
      </c>
      <c r="R10" s="22">
        <v>0.62</v>
      </c>
      <c r="S10" s="22">
        <v>0.65</v>
      </c>
      <c r="T10" s="41">
        <v>0.55000000000000004</v>
      </c>
      <c r="U10" s="22">
        <v>1.26</v>
      </c>
      <c r="V10" s="22">
        <v>1.1599999999999999</v>
      </c>
      <c r="W10" s="22">
        <v>1.29</v>
      </c>
      <c r="X10" s="40">
        <v>10.26</v>
      </c>
      <c r="Y10" s="22">
        <v>10.4</v>
      </c>
      <c r="Z10" s="41">
        <v>10.73</v>
      </c>
      <c r="AA10" s="22">
        <v>0.61</v>
      </c>
      <c r="AB10" s="22">
        <v>0.67</v>
      </c>
      <c r="AC10" s="22">
        <v>0.7</v>
      </c>
    </row>
    <row r="11" spans="2:29" ht="15" thickBot="1">
      <c r="B11" s="30">
        <v>12</v>
      </c>
      <c r="C11" s="36">
        <v>1.32</v>
      </c>
      <c r="D11" s="36">
        <v>1.3</v>
      </c>
      <c r="E11" s="36">
        <v>1.33</v>
      </c>
      <c r="F11" s="42">
        <v>9.06</v>
      </c>
      <c r="G11" s="36">
        <v>6.08</v>
      </c>
      <c r="H11" s="43">
        <v>7.94</v>
      </c>
      <c r="I11" s="36">
        <v>0.54</v>
      </c>
      <c r="J11" s="36">
        <v>0.47</v>
      </c>
      <c r="K11" s="36">
        <v>0.63</v>
      </c>
      <c r="L11" s="42">
        <v>1.4</v>
      </c>
      <c r="M11" s="36">
        <v>1.68</v>
      </c>
      <c r="N11" s="36">
        <v>1.58</v>
      </c>
      <c r="O11" s="42">
        <v>6.13</v>
      </c>
      <c r="P11" s="36">
        <v>6.05</v>
      </c>
      <c r="Q11" s="43">
        <v>6.69</v>
      </c>
      <c r="R11" s="36">
        <v>0.5</v>
      </c>
      <c r="S11" s="36">
        <v>0.6</v>
      </c>
      <c r="T11" s="43">
        <v>0.6</v>
      </c>
      <c r="U11" s="36">
        <v>1.33</v>
      </c>
      <c r="V11" s="36">
        <v>1.21</v>
      </c>
      <c r="W11" s="36">
        <v>1.35</v>
      </c>
      <c r="X11" s="42">
        <v>8.85</v>
      </c>
      <c r="Y11" s="36">
        <v>10.199999999999999</v>
      </c>
      <c r="Z11" s="43">
        <v>9.8699999999999992</v>
      </c>
      <c r="AA11" s="36">
        <v>0.56000000000000005</v>
      </c>
      <c r="AB11" s="36">
        <v>0.68</v>
      </c>
      <c r="AC11" s="36">
        <v>0.65</v>
      </c>
    </row>
    <row r="12" spans="2:29">
      <c r="B12" s="24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</row>
    <row r="13" spans="2:29">
      <c r="C13" s="37"/>
    </row>
    <row r="14" spans="2:29">
      <c r="M14" s="37"/>
    </row>
    <row r="15" spans="2:29">
      <c r="M15" s="37"/>
    </row>
    <row r="16" spans="2:29">
      <c r="K16" s="38"/>
    </row>
  </sheetData>
  <mergeCells count="12">
    <mergeCell ref="X4:Z4"/>
    <mergeCell ref="I4:K4"/>
    <mergeCell ref="R4:T4"/>
    <mergeCell ref="AA4:AC4"/>
    <mergeCell ref="C3:K3"/>
    <mergeCell ref="L3:T3"/>
    <mergeCell ref="U3:AC3"/>
    <mergeCell ref="C4:E4"/>
    <mergeCell ref="L4:N4"/>
    <mergeCell ref="U4:W4"/>
    <mergeCell ref="F4:H4"/>
    <mergeCell ref="O4:Q4"/>
  </mergeCells>
  <phoneticPr fontId="2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8D3A2-02AB-5E41-AAEB-F321D0B18670}">
  <dimension ref="B1:AB59"/>
  <sheetViews>
    <sheetView zoomScale="80" zoomScaleNormal="80" workbookViewId="0">
      <selection activeCell="W2" sqref="W2"/>
    </sheetView>
  </sheetViews>
  <sheetFormatPr baseColWidth="10" defaultColWidth="10.6640625" defaultRowHeight="15"/>
  <cols>
    <col min="1" max="1" width="2.83203125" customWidth="1"/>
    <col min="15" max="15" width="1.83203125" customWidth="1"/>
  </cols>
  <sheetData>
    <row r="1" spans="2:28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2:28">
      <c r="B2" s="1" t="s">
        <v>183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2:28" ht="16">
      <c r="B3" s="1"/>
      <c r="C3" s="1" t="s">
        <v>248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2:28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2:28">
      <c r="B5" s="1" t="s">
        <v>142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 t="s">
        <v>143</v>
      </c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2:28" ht="16" thickBot="1">
      <c r="B6" s="1" t="s">
        <v>144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 t="s">
        <v>145</v>
      </c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2:28">
      <c r="B7" s="104" t="s">
        <v>146</v>
      </c>
      <c r="C7" s="272" t="s">
        <v>147</v>
      </c>
      <c r="D7" s="275"/>
      <c r="E7" s="288"/>
      <c r="F7" s="275" t="s">
        <v>148</v>
      </c>
      <c r="G7" s="275"/>
      <c r="H7" s="275"/>
      <c r="I7" s="272" t="s">
        <v>149</v>
      </c>
      <c r="J7" s="275"/>
      <c r="K7" s="288"/>
      <c r="L7" s="275" t="s">
        <v>150</v>
      </c>
      <c r="M7" s="275"/>
      <c r="N7" s="275"/>
      <c r="O7" s="1"/>
      <c r="P7" s="141" t="s">
        <v>151</v>
      </c>
      <c r="Q7" s="282" t="s">
        <v>147</v>
      </c>
      <c r="R7" s="283"/>
      <c r="S7" s="284"/>
      <c r="T7" s="283" t="s">
        <v>148</v>
      </c>
      <c r="U7" s="283"/>
      <c r="V7" s="283"/>
      <c r="W7" s="282" t="s">
        <v>149</v>
      </c>
      <c r="X7" s="283"/>
      <c r="Y7" s="284"/>
      <c r="Z7" s="283" t="s">
        <v>150</v>
      </c>
      <c r="AA7" s="283"/>
      <c r="AB7" s="283"/>
    </row>
    <row r="8" spans="2:28">
      <c r="B8" s="2">
        <v>0</v>
      </c>
      <c r="C8" s="154">
        <v>25.314453587038642</v>
      </c>
      <c r="D8" s="20">
        <v>23.950594510601118</v>
      </c>
      <c r="E8" s="155">
        <v>22.725139075144028</v>
      </c>
      <c r="F8" s="20">
        <v>25.330458643540453</v>
      </c>
      <c r="G8" s="20">
        <v>23.557592233112771</v>
      </c>
      <c r="H8" s="20">
        <v>24.580244964147465</v>
      </c>
      <c r="I8" s="154">
        <v>23.707489440191011</v>
      </c>
      <c r="J8" s="20">
        <v>24.427633210456666</v>
      </c>
      <c r="K8" s="155">
        <v>23.39684233509141</v>
      </c>
      <c r="L8" s="20">
        <v>24.085092107698426</v>
      </c>
      <c r="M8" s="20">
        <v>24.340073181432505</v>
      </c>
      <c r="N8" s="20">
        <v>24.495025857159092</v>
      </c>
      <c r="O8" s="1"/>
      <c r="P8" s="24">
        <v>0</v>
      </c>
      <c r="Q8" s="159">
        <v>23.4095049046722</v>
      </c>
      <c r="R8" s="158">
        <v>22.110511565836479</v>
      </c>
      <c r="S8" s="160">
        <v>20.655363325021867</v>
      </c>
      <c r="T8" s="158">
        <v>23.318520651222933</v>
      </c>
      <c r="U8" s="158">
        <v>22.356513561642505</v>
      </c>
      <c r="V8" s="158">
        <v>24.292007698818615</v>
      </c>
      <c r="W8" s="159">
        <v>21.758106486271789</v>
      </c>
      <c r="X8" s="158">
        <v>22.545602340077707</v>
      </c>
      <c r="Y8" s="160">
        <v>20.956198976834241</v>
      </c>
      <c r="Z8" s="158">
        <v>22.272538457302186</v>
      </c>
      <c r="AA8" s="158">
        <v>22.964491481627253</v>
      </c>
      <c r="AB8" s="158">
        <v>23.550728751054454</v>
      </c>
    </row>
    <row r="9" spans="2:28">
      <c r="B9" s="2">
        <v>8</v>
      </c>
      <c r="C9" s="154">
        <v>20.859789767396588</v>
      </c>
      <c r="D9" s="20">
        <v>16.273309895040853</v>
      </c>
      <c r="E9" s="155">
        <v>13.706474316481598</v>
      </c>
      <c r="F9" s="20">
        <v>15.266956791929227</v>
      </c>
      <c r="G9" s="20">
        <v>13.890014566307601</v>
      </c>
      <c r="H9" s="20">
        <v>16.004361238504348</v>
      </c>
      <c r="I9" s="154">
        <v>14.221911555051014</v>
      </c>
      <c r="J9" s="20">
        <v>14.366282350048079</v>
      </c>
      <c r="K9" s="155">
        <v>12.23181169134296</v>
      </c>
      <c r="L9" s="20">
        <v>17.622906649662745</v>
      </c>
      <c r="M9" s="20">
        <v>19.254356004452028</v>
      </c>
      <c r="N9" s="20">
        <v>19.464586664284507</v>
      </c>
      <c r="O9" s="1"/>
      <c r="P9" s="24">
        <v>8</v>
      </c>
      <c r="Q9" s="154">
        <v>21.59</v>
      </c>
      <c r="R9" s="20">
        <v>18.73</v>
      </c>
      <c r="S9" s="155">
        <v>19.059999999999999</v>
      </c>
      <c r="T9" s="20">
        <v>15.95</v>
      </c>
      <c r="U9" s="20">
        <v>14.9</v>
      </c>
      <c r="V9" s="20">
        <v>16.61</v>
      </c>
      <c r="W9" s="154">
        <v>13.91</v>
      </c>
      <c r="X9" s="20">
        <v>14.82</v>
      </c>
      <c r="Y9" s="155">
        <v>15.31</v>
      </c>
      <c r="Z9" s="20">
        <v>18.899999999999999</v>
      </c>
      <c r="AA9" s="20">
        <v>19.559999999999999</v>
      </c>
      <c r="AB9" s="20">
        <v>19.86</v>
      </c>
    </row>
    <row r="10" spans="2:28">
      <c r="B10" s="2">
        <v>12</v>
      </c>
      <c r="C10" s="154">
        <v>14.738898873341787</v>
      </c>
      <c r="D10" s="20">
        <v>12.544121456188746</v>
      </c>
      <c r="E10" s="155">
        <v>9.8131135679602934</v>
      </c>
      <c r="F10" s="20">
        <v>11.698966705066587</v>
      </c>
      <c r="G10" s="20">
        <v>10.66632809921512</v>
      </c>
      <c r="H10" s="20">
        <v>14.132617903469761</v>
      </c>
      <c r="I10" s="154">
        <v>12.459082804761467</v>
      </c>
      <c r="J10" s="20">
        <v>12.924853555143413</v>
      </c>
      <c r="K10" s="155">
        <v>12.783830919984455</v>
      </c>
      <c r="L10" s="20">
        <v>16.261737382070159</v>
      </c>
      <c r="M10" s="20">
        <v>16.552288727427467</v>
      </c>
      <c r="N10" s="20">
        <v>17.096811516560425</v>
      </c>
      <c r="O10" s="1"/>
      <c r="P10" s="24">
        <v>12</v>
      </c>
      <c r="Q10" s="154">
        <v>15.78</v>
      </c>
      <c r="R10" s="20">
        <v>14.44</v>
      </c>
      <c r="S10" s="155">
        <v>15.13</v>
      </c>
      <c r="T10" s="20">
        <v>12.98</v>
      </c>
      <c r="U10" s="20">
        <v>13.8</v>
      </c>
      <c r="V10" s="20">
        <v>13.9</v>
      </c>
      <c r="W10" s="154">
        <v>12.9</v>
      </c>
      <c r="X10" s="20">
        <v>12.85</v>
      </c>
      <c r="Y10" s="155">
        <v>13.01</v>
      </c>
      <c r="Z10" s="20">
        <v>17.13</v>
      </c>
      <c r="AA10" s="20">
        <v>16.88</v>
      </c>
      <c r="AB10" s="20">
        <v>16.98</v>
      </c>
    </row>
    <row r="11" spans="2:28">
      <c r="B11" s="2">
        <v>24</v>
      </c>
      <c r="C11" s="154">
        <v>9.9039855585929857</v>
      </c>
      <c r="D11" s="20">
        <v>10.688810479698908</v>
      </c>
      <c r="E11" s="155">
        <v>7.2807386183682929</v>
      </c>
      <c r="F11" s="20">
        <v>13.280097798369386</v>
      </c>
      <c r="G11" s="20">
        <v>13.4509819858428</v>
      </c>
      <c r="H11" s="20">
        <v>16.352423073167174</v>
      </c>
      <c r="I11" s="154">
        <v>13.172577462102907</v>
      </c>
      <c r="J11" s="20">
        <v>14.077296919064587</v>
      </c>
      <c r="K11" s="155">
        <v>13.619097549286639</v>
      </c>
      <c r="L11" s="20">
        <v>15.186257508889922</v>
      </c>
      <c r="M11" s="20">
        <v>16.323582974135547</v>
      </c>
      <c r="N11" s="20">
        <v>17.357500767584934</v>
      </c>
      <c r="O11" s="1"/>
      <c r="P11" s="24">
        <v>24</v>
      </c>
      <c r="Q11" s="154">
        <v>10.029999999999999</v>
      </c>
      <c r="R11" s="20">
        <v>11.88</v>
      </c>
      <c r="S11" s="155">
        <v>10.87</v>
      </c>
      <c r="T11" s="20">
        <v>14.8</v>
      </c>
      <c r="U11" s="20">
        <v>13.45</v>
      </c>
      <c r="V11" s="20">
        <v>16.309999999999999</v>
      </c>
      <c r="W11" s="154">
        <v>12.72</v>
      </c>
      <c r="X11" s="20">
        <v>13.77</v>
      </c>
      <c r="Y11" s="155">
        <v>13.619097549286639</v>
      </c>
      <c r="Z11" s="20">
        <v>15.86</v>
      </c>
      <c r="AA11" s="20">
        <v>16.323582974135547</v>
      </c>
      <c r="AB11" s="20">
        <v>17.357500767584934</v>
      </c>
    </row>
    <row r="12" spans="2:28">
      <c r="B12" s="2">
        <v>28</v>
      </c>
      <c r="C12" s="154">
        <v>8.1304100839271989</v>
      </c>
      <c r="D12" s="20">
        <v>8.8498958146419469</v>
      </c>
      <c r="E12" s="155">
        <v>6.5491413388399735</v>
      </c>
      <c r="F12" s="20">
        <v>14.131833808113868</v>
      </c>
      <c r="G12" s="20">
        <v>14.906785948609334</v>
      </c>
      <c r="H12" s="20">
        <v>13.34854400075664</v>
      </c>
      <c r="I12" s="154">
        <v>11.339016921662772</v>
      </c>
      <c r="J12" s="20">
        <v>12.936130345767387</v>
      </c>
      <c r="K12" s="155">
        <v>14.309703491577947</v>
      </c>
      <c r="L12" s="20">
        <v>13.836407667554667</v>
      </c>
      <c r="M12" s="20">
        <v>14.669059562294505</v>
      </c>
      <c r="N12" s="20">
        <v>15.262221273298508</v>
      </c>
      <c r="O12" s="1"/>
      <c r="P12" s="24">
        <v>28</v>
      </c>
      <c r="Q12" s="154">
        <v>9.3000000000000007</v>
      </c>
      <c r="R12" s="20">
        <v>8.94</v>
      </c>
      <c r="S12" s="155">
        <v>8.49</v>
      </c>
      <c r="T12" s="20">
        <v>14.83</v>
      </c>
      <c r="U12" s="20">
        <v>15.06</v>
      </c>
      <c r="V12" s="20">
        <v>13.34854400075664</v>
      </c>
      <c r="W12" s="154">
        <v>13.39</v>
      </c>
      <c r="X12" s="20">
        <v>13.13</v>
      </c>
      <c r="Y12" s="155">
        <v>14.97</v>
      </c>
      <c r="Z12" s="20">
        <v>14.4</v>
      </c>
      <c r="AA12" s="20">
        <v>14.95</v>
      </c>
      <c r="AB12" s="20">
        <v>15.262221273298508</v>
      </c>
    </row>
    <row r="13" spans="2:28">
      <c r="B13" s="2">
        <v>32</v>
      </c>
      <c r="C13" s="154">
        <v>8.2751574676491462</v>
      </c>
      <c r="D13" s="20">
        <v>6.5914913553444539</v>
      </c>
      <c r="E13" s="155">
        <v>5.6936006133486936</v>
      </c>
      <c r="F13" s="20">
        <v>14.918683641470695</v>
      </c>
      <c r="G13" s="20">
        <v>14.880194564437867</v>
      </c>
      <c r="H13" s="20">
        <v>16.507903316701892</v>
      </c>
      <c r="I13" s="154">
        <v>13.057059969536212</v>
      </c>
      <c r="J13" s="20">
        <v>11.931559396358267</v>
      </c>
      <c r="K13" s="155">
        <v>13.370124071976345</v>
      </c>
      <c r="L13" s="20">
        <v>13.776257440964851</v>
      </c>
      <c r="M13" s="20">
        <v>14.409883252654987</v>
      </c>
      <c r="N13" s="20">
        <v>13.740788134648001</v>
      </c>
      <c r="O13" s="1"/>
      <c r="P13" s="24">
        <v>32</v>
      </c>
      <c r="Q13" s="154">
        <v>8.75</v>
      </c>
      <c r="R13" s="20">
        <v>7.91</v>
      </c>
      <c r="S13" s="155">
        <v>7.93</v>
      </c>
      <c r="T13" s="20">
        <v>14.918683641470695</v>
      </c>
      <c r="U13" s="20">
        <v>14.01</v>
      </c>
      <c r="V13" s="20">
        <v>15.79</v>
      </c>
      <c r="W13" s="154">
        <v>13.99</v>
      </c>
      <c r="X13" s="20">
        <v>12.31</v>
      </c>
      <c r="Y13" s="155">
        <v>13.97</v>
      </c>
      <c r="Z13" s="20">
        <v>13.62</v>
      </c>
      <c r="AA13" s="20">
        <v>15.05</v>
      </c>
      <c r="AB13" s="20">
        <v>13.740788134648001</v>
      </c>
    </row>
    <row r="14" spans="2:28">
      <c r="B14" s="2">
        <v>36</v>
      </c>
      <c r="C14" s="154">
        <v>7.6921144624005864</v>
      </c>
      <c r="D14" s="20">
        <v>7.0034833552990134</v>
      </c>
      <c r="E14" s="155">
        <v>6.4193049193481064</v>
      </c>
      <c r="F14" s="20">
        <v>16.290790234380481</v>
      </c>
      <c r="G14" s="20">
        <v>14.5156811345212</v>
      </c>
      <c r="H14" s="20">
        <v>14.284429090952163</v>
      </c>
      <c r="I14" s="154">
        <v>13.548946479716106</v>
      </c>
      <c r="J14" s="20">
        <v>13.354476573070722</v>
      </c>
      <c r="K14" s="155">
        <v>13.5636781223056</v>
      </c>
      <c r="L14" s="20">
        <v>14.487788031877548</v>
      </c>
      <c r="M14" s="20">
        <v>14.896470987743575</v>
      </c>
      <c r="N14" s="20">
        <v>13.075647899962746</v>
      </c>
      <c r="O14" s="1"/>
      <c r="P14" s="24">
        <v>36</v>
      </c>
      <c r="Q14" s="154">
        <v>8.19</v>
      </c>
      <c r="R14" s="20">
        <v>8.34</v>
      </c>
      <c r="S14" s="155">
        <v>7.49</v>
      </c>
      <c r="T14" s="20">
        <v>15.9</v>
      </c>
      <c r="U14" s="20">
        <v>14.5156811345212</v>
      </c>
      <c r="V14" s="20">
        <v>14.284429090952163</v>
      </c>
      <c r="W14" s="154">
        <v>13.548946479716106</v>
      </c>
      <c r="X14" s="20">
        <v>13.76</v>
      </c>
      <c r="Y14" s="155">
        <v>13.78</v>
      </c>
      <c r="Z14" s="20">
        <v>14.87</v>
      </c>
      <c r="AA14" s="20">
        <v>14.96</v>
      </c>
      <c r="AB14" s="20">
        <v>15.07</v>
      </c>
    </row>
    <row r="15" spans="2:28" ht="16" thickBot="1">
      <c r="B15" s="15">
        <v>48</v>
      </c>
      <c r="C15" s="156">
        <v>7.5168049587120001</v>
      </c>
      <c r="D15" s="153">
        <v>6.7442664071786131</v>
      </c>
      <c r="E15" s="157">
        <v>6.1522135300426406</v>
      </c>
      <c r="F15" s="153">
        <v>15.904342607382375</v>
      </c>
      <c r="G15" s="153">
        <v>12.13963164283024</v>
      </c>
      <c r="H15" s="153">
        <v>16.090474839386001</v>
      </c>
      <c r="I15" s="156">
        <v>13.466782543823333</v>
      </c>
      <c r="J15" s="153">
        <v>14.501578232646962</v>
      </c>
      <c r="K15" s="157">
        <v>14.089412640914691</v>
      </c>
      <c r="L15" s="153">
        <v>13.545092695951066</v>
      </c>
      <c r="M15" s="153">
        <v>14.170326249014026</v>
      </c>
      <c r="N15" s="153">
        <v>14.12952395043448</v>
      </c>
      <c r="O15" s="1"/>
      <c r="P15" s="30">
        <v>48</v>
      </c>
      <c r="Q15" s="156">
        <v>7.8</v>
      </c>
      <c r="R15" s="153">
        <v>7.74</v>
      </c>
      <c r="S15" s="157">
        <v>7.52</v>
      </c>
      <c r="T15" s="153">
        <v>16.04</v>
      </c>
      <c r="U15" s="153">
        <v>14.396000000000001</v>
      </c>
      <c r="V15" s="153">
        <v>16.090474839386001</v>
      </c>
      <c r="W15" s="156">
        <v>14.66</v>
      </c>
      <c r="X15" s="153">
        <v>15.01</v>
      </c>
      <c r="Y15" s="157">
        <v>15.04</v>
      </c>
      <c r="Z15" s="153">
        <v>13.95</v>
      </c>
      <c r="AA15" s="153">
        <v>14.170326249014026</v>
      </c>
      <c r="AB15" s="153">
        <v>14.12952395043448</v>
      </c>
    </row>
    <row r="16" spans="2:28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</row>
    <row r="17" spans="2:28" ht="16" thickBot="1">
      <c r="B17" s="1" t="s">
        <v>152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 t="s">
        <v>153</v>
      </c>
      <c r="Q17" s="1"/>
      <c r="R17" s="1"/>
      <c r="S17" s="1"/>
      <c r="T17" s="1"/>
      <c r="U17" s="23"/>
      <c r="V17" s="23"/>
      <c r="W17" s="23"/>
      <c r="X17" s="23"/>
      <c r="Y17" s="23"/>
      <c r="Z17" s="23"/>
      <c r="AA17" s="23"/>
      <c r="AB17" s="23"/>
    </row>
    <row r="18" spans="2:28">
      <c r="B18" s="104" t="s">
        <v>146</v>
      </c>
      <c r="C18" s="272" t="s">
        <v>147</v>
      </c>
      <c r="D18" s="275"/>
      <c r="E18" s="288"/>
      <c r="F18" s="272" t="s">
        <v>148</v>
      </c>
      <c r="G18" s="275"/>
      <c r="H18" s="288"/>
      <c r="I18" s="275" t="s">
        <v>154</v>
      </c>
      <c r="J18" s="275"/>
      <c r="K18" s="275"/>
      <c r="L18" s="272" t="s">
        <v>150</v>
      </c>
      <c r="M18" s="275"/>
      <c r="N18" s="275"/>
      <c r="O18" s="1"/>
      <c r="P18" s="141" t="s">
        <v>151</v>
      </c>
      <c r="Q18" s="282" t="s">
        <v>155</v>
      </c>
      <c r="R18" s="283"/>
      <c r="S18" s="284"/>
      <c r="T18" s="282" t="s">
        <v>148</v>
      </c>
      <c r="U18" s="283"/>
      <c r="V18" s="284"/>
      <c r="W18" s="282" t="s">
        <v>154</v>
      </c>
      <c r="X18" s="283"/>
      <c r="Y18" s="284"/>
      <c r="Z18" s="283" t="s">
        <v>150</v>
      </c>
      <c r="AA18" s="283"/>
      <c r="AB18" s="283"/>
    </row>
    <row r="19" spans="2:28">
      <c r="B19" s="2">
        <v>0</v>
      </c>
      <c r="C19" s="154">
        <v>0</v>
      </c>
      <c r="D19" s="20">
        <v>0</v>
      </c>
      <c r="E19" s="155">
        <v>0</v>
      </c>
      <c r="F19" s="154">
        <v>0</v>
      </c>
      <c r="G19" s="20">
        <v>0</v>
      </c>
      <c r="H19" s="155">
        <v>0</v>
      </c>
      <c r="I19" s="20">
        <v>0</v>
      </c>
      <c r="J19" s="20">
        <v>0</v>
      </c>
      <c r="K19" s="20">
        <v>0</v>
      </c>
      <c r="L19" s="154">
        <v>0</v>
      </c>
      <c r="M19" s="20">
        <v>0</v>
      </c>
      <c r="N19" s="20">
        <v>0</v>
      </c>
      <c r="O19" s="1"/>
      <c r="P19" s="24">
        <v>0</v>
      </c>
      <c r="Q19" s="40">
        <v>0</v>
      </c>
      <c r="R19" s="22">
        <v>0</v>
      </c>
      <c r="S19" s="41">
        <v>0</v>
      </c>
      <c r="T19" s="40">
        <v>0</v>
      </c>
      <c r="U19" s="22">
        <v>0</v>
      </c>
      <c r="V19" s="41">
        <v>0</v>
      </c>
      <c r="W19" s="40">
        <v>0</v>
      </c>
      <c r="X19" s="22">
        <v>0</v>
      </c>
      <c r="Y19" s="41">
        <v>0</v>
      </c>
      <c r="Z19" s="22">
        <v>0</v>
      </c>
      <c r="AA19" s="22">
        <v>0</v>
      </c>
      <c r="AB19" s="22">
        <v>0</v>
      </c>
    </row>
    <row r="20" spans="2:28">
      <c r="B20" s="2">
        <v>8</v>
      </c>
      <c r="C20" s="154">
        <v>3.0566683519002136</v>
      </c>
      <c r="D20" s="20">
        <v>3.2758876880997203</v>
      </c>
      <c r="E20" s="155">
        <v>2.9279237295406668</v>
      </c>
      <c r="F20" s="154">
        <v>2.44540306758508</v>
      </c>
      <c r="G20" s="20">
        <v>2.3274936392584702</v>
      </c>
      <c r="H20" s="155">
        <v>2.3889163431685065</v>
      </c>
      <c r="I20" s="20">
        <v>1.9648584032320131</v>
      </c>
      <c r="J20" s="20">
        <v>1.9515278814063202</v>
      </c>
      <c r="K20" s="20">
        <v>2.0445863038088534</v>
      </c>
      <c r="L20" s="154">
        <v>1.1608279314583934</v>
      </c>
      <c r="M20" s="20">
        <v>1.1013489174690001</v>
      </c>
      <c r="N20" s="20">
        <v>1.1621577966638172</v>
      </c>
      <c r="O20" s="1"/>
      <c r="P20" s="24">
        <v>8</v>
      </c>
      <c r="Q20" s="40">
        <v>2.9690332443899465</v>
      </c>
      <c r="R20" s="22">
        <v>3.1601680027671737</v>
      </c>
      <c r="S20" s="41">
        <v>2.9012807255663198</v>
      </c>
      <c r="T20" s="40">
        <v>2.4552800366047469</v>
      </c>
      <c r="U20" s="22">
        <v>2.4107721788729255</v>
      </c>
      <c r="V20" s="41">
        <v>2.4096132235853283</v>
      </c>
      <c r="W20" s="40">
        <v>2.0425601087750347</v>
      </c>
      <c r="X20" s="22">
        <v>2.0203806945914828</v>
      </c>
      <c r="Y20" s="41">
        <v>2.0689101396279521</v>
      </c>
      <c r="Z20" s="22">
        <v>1.1561848697119681</v>
      </c>
      <c r="AA20" s="22">
        <v>1.0844602777716241</v>
      </c>
      <c r="AB20" s="22">
        <v>1.180902548710496</v>
      </c>
    </row>
    <row r="21" spans="2:28">
      <c r="B21" s="2">
        <v>12</v>
      </c>
      <c r="C21" s="154">
        <v>3.0082177453029733</v>
      </c>
      <c r="D21" s="20">
        <v>3.4210171837993872</v>
      </c>
      <c r="E21" s="155">
        <v>3.4228681390962299</v>
      </c>
      <c r="F21" s="154">
        <v>2.3651619721045867</v>
      </c>
      <c r="G21" s="20">
        <v>2.6367958186937202</v>
      </c>
      <c r="H21" s="155">
        <v>2.4862660486726802</v>
      </c>
      <c r="I21" s="20">
        <v>2.0694936150891867</v>
      </c>
      <c r="J21" s="20">
        <v>2.1697331501130264</v>
      </c>
      <c r="K21" s="20">
        <v>2.2129973783057464</v>
      </c>
      <c r="L21" s="154">
        <v>1.3007165301704426</v>
      </c>
      <c r="M21" s="20">
        <v>1.3407440945996401</v>
      </c>
      <c r="N21" s="20">
        <v>1.3968588673771201</v>
      </c>
      <c r="O21" s="1"/>
      <c r="P21" s="24">
        <v>12</v>
      </c>
      <c r="Q21" s="40">
        <v>2.9649313129477068</v>
      </c>
      <c r="R21" s="22">
        <v>3.6165535851013062</v>
      </c>
      <c r="S21" s="41">
        <v>3.5615961534878937</v>
      </c>
      <c r="T21" s="40">
        <v>2.4631816971236002</v>
      </c>
      <c r="U21" s="22">
        <v>2.6998507523518933</v>
      </c>
      <c r="V21" s="41">
        <v>2.5218404572788882</v>
      </c>
      <c r="W21" s="40">
        <v>1.9715179440044934</v>
      </c>
      <c r="X21" s="22">
        <v>2.1517387562817705</v>
      </c>
      <c r="Y21" s="41">
        <v>2.3573281106839388</v>
      </c>
      <c r="Z21" s="22">
        <v>1.3294144458973789</v>
      </c>
      <c r="AA21" s="22">
        <v>1.3688720085556774</v>
      </c>
      <c r="AB21" s="22">
        <v>1.4691711117106214</v>
      </c>
    </row>
    <row r="22" spans="2:28">
      <c r="B22" s="2">
        <v>24</v>
      </c>
      <c r="C22" s="154">
        <v>7.5382712346048404</v>
      </c>
      <c r="D22" s="20">
        <v>10.804479670634507</v>
      </c>
      <c r="E22" s="155">
        <v>9.2512643505130541</v>
      </c>
      <c r="F22" s="154">
        <v>2.8051160369440402</v>
      </c>
      <c r="G22" s="20">
        <v>2.7864448370792934</v>
      </c>
      <c r="H22" s="155">
        <v>2.5878446635998666</v>
      </c>
      <c r="I22" s="20">
        <v>2.3863206852921199</v>
      </c>
      <c r="J22" s="20">
        <v>2.7317649544850799</v>
      </c>
      <c r="K22" s="20">
        <v>2.7831354161829864</v>
      </c>
      <c r="L22" s="154">
        <v>2.0031341018651068</v>
      </c>
      <c r="M22" s="20">
        <v>2.1866000627969737</v>
      </c>
      <c r="N22" s="20">
        <v>2.3033563197593465</v>
      </c>
      <c r="O22" s="1"/>
      <c r="P22" s="24">
        <v>24</v>
      </c>
      <c r="Q22" s="40">
        <v>7.8944164404911197</v>
      </c>
      <c r="R22" s="22">
        <v>10.993445282302533</v>
      </c>
      <c r="S22" s="41">
        <v>9.6588095442417874</v>
      </c>
      <c r="T22" s="40">
        <v>2.8750116177969067</v>
      </c>
      <c r="U22" s="22">
        <v>2.8893971036026134</v>
      </c>
      <c r="V22" s="41">
        <v>2.6843903744122901</v>
      </c>
      <c r="W22" s="40">
        <v>2.4895751936096002</v>
      </c>
      <c r="X22" s="22">
        <v>2.8304698847904266</v>
      </c>
      <c r="Y22" s="41">
        <v>2.8188878132158135</v>
      </c>
      <c r="Z22" s="22">
        <v>2.0278584223982694</v>
      </c>
      <c r="AA22" s="22">
        <v>2.2185319310509892</v>
      </c>
      <c r="AB22" s="22">
        <v>2.3311185889839816</v>
      </c>
    </row>
    <row r="23" spans="2:28">
      <c r="B23" s="2">
        <v>28</v>
      </c>
      <c r="C23" s="154">
        <v>10.566173385774613</v>
      </c>
      <c r="D23" s="20">
        <v>12.211544500202265</v>
      </c>
      <c r="E23" s="155">
        <v>12.130664214085748</v>
      </c>
      <c r="F23" s="154">
        <v>2.4593507123588267</v>
      </c>
      <c r="G23" s="20">
        <v>2.5681011823642668</v>
      </c>
      <c r="H23" s="155">
        <v>2.2938291209392001</v>
      </c>
      <c r="I23" s="20">
        <v>2.8812005941859602</v>
      </c>
      <c r="J23" s="20">
        <v>2.9447329203890003</v>
      </c>
      <c r="K23" s="20">
        <v>2.8147952881810934</v>
      </c>
      <c r="L23" s="154">
        <v>2.1684420071973198</v>
      </c>
      <c r="M23" s="20">
        <v>2.4521909439839069</v>
      </c>
      <c r="N23" s="20">
        <v>2.6105018197141869</v>
      </c>
      <c r="O23" s="1"/>
      <c r="P23" s="24">
        <v>28</v>
      </c>
      <c r="Q23" s="40">
        <v>11.67054642489536</v>
      </c>
      <c r="R23" s="22">
        <v>12.616856498990613</v>
      </c>
      <c r="S23" s="41">
        <v>12.69431396821944</v>
      </c>
      <c r="T23" s="40">
        <v>2.492631188956997</v>
      </c>
      <c r="U23" s="22">
        <v>2.6514756416945975</v>
      </c>
      <c r="V23" s="41">
        <v>2.3856820907466001</v>
      </c>
      <c r="W23" s="40">
        <v>3.0126855162601864</v>
      </c>
      <c r="X23" s="22">
        <v>3.05795829846384</v>
      </c>
      <c r="Y23" s="41">
        <v>2.9535182002036802</v>
      </c>
      <c r="Z23" s="22">
        <v>2.2127640228783205</v>
      </c>
      <c r="AA23" s="22">
        <v>2.5115819338248322</v>
      </c>
      <c r="AB23" s="22">
        <v>2.6109233642725811</v>
      </c>
    </row>
    <row r="24" spans="2:28">
      <c r="B24" s="2">
        <v>32</v>
      </c>
      <c r="C24" s="154">
        <v>13.183383647719932</v>
      </c>
      <c r="D24" s="20">
        <v>13.962885359434134</v>
      </c>
      <c r="E24" s="155">
        <v>13.326685366968826</v>
      </c>
      <c r="F24" s="154">
        <v>2.6226249458164266</v>
      </c>
      <c r="G24" s="20">
        <v>2.3815038119468266</v>
      </c>
      <c r="H24" s="155">
        <v>2.4696462895895466</v>
      </c>
      <c r="I24" s="20">
        <v>2.93653277469984</v>
      </c>
      <c r="J24" s="20">
        <v>3.4438686529284936</v>
      </c>
      <c r="K24" s="20">
        <v>3.7506896296389201</v>
      </c>
      <c r="L24" s="154">
        <v>2.3978359838458001</v>
      </c>
      <c r="M24" s="20">
        <v>2.5037075511468401</v>
      </c>
      <c r="N24" s="20">
        <v>2.8213320897412535</v>
      </c>
      <c r="O24" s="1"/>
      <c r="P24" s="24">
        <v>32</v>
      </c>
      <c r="Q24" s="40">
        <v>13.585424781529598</v>
      </c>
      <c r="R24" s="22">
        <v>14.454392602526987</v>
      </c>
      <c r="S24" s="41">
        <v>12.477251255940399</v>
      </c>
      <c r="T24" s="40">
        <v>2.6295189136209998</v>
      </c>
      <c r="U24" s="22">
        <v>2.4971773235118877</v>
      </c>
      <c r="V24" s="41">
        <v>2.1877227492050721</v>
      </c>
      <c r="W24" s="40">
        <v>3.1137553439841064</v>
      </c>
      <c r="X24" s="22">
        <v>3.5892119581908801</v>
      </c>
      <c r="Y24" s="41">
        <v>3.8339096909758399</v>
      </c>
      <c r="Z24" s="22">
        <v>2.4649920068664906</v>
      </c>
      <c r="AA24" s="22">
        <v>2.5706236217732776</v>
      </c>
      <c r="AB24" s="22">
        <v>2.9490499376191734</v>
      </c>
    </row>
    <row r="25" spans="2:28">
      <c r="B25" s="2">
        <v>36</v>
      </c>
      <c r="C25" s="154">
        <v>14.405529352766935</v>
      </c>
      <c r="D25" s="20">
        <v>14.3031324900376</v>
      </c>
      <c r="E25" s="155">
        <v>12.99198175901488</v>
      </c>
      <c r="F25" s="154">
        <v>2.8375760541732804</v>
      </c>
      <c r="G25" s="20">
        <v>2.6639240792671335</v>
      </c>
      <c r="H25" s="155">
        <v>2.3484681353128267</v>
      </c>
      <c r="I25" s="20">
        <v>3.2786323737238265</v>
      </c>
      <c r="J25" s="20">
        <v>3.5798937877114669</v>
      </c>
      <c r="K25" s="20">
        <v>3.134607077324413</v>
      </c>
      <c r="L25" s="154">
        <v>2.52416073976684</v>
      </c>
      <c r="M25" s="20">
        <v>3.0210243307066</v>
      </c>
      <c r="N25" s="20">
        <v>2.8591666449757471</v>
      </c>
      <c r="O25" s="1"/>
      <c r="P25" s="24">
        <v>36</v>
      </c>
      <c r="Q25" s="40">
        <v>14.969520411640211</v>
      </c>
      <c r="R25" s="22">
        <v>14.785210346998186</v>
      </c>
      <c r="S25" s="41">
        <v>13.337240679904507</v>
      </c>
      <c r="T25" s="40">
        <v>2.8872407285322401</v>
      </c>
      <c r="U25" s="22">
        <v>2.6362709585283919</v>
      </c>
      <c r="V25" s="41">
        <v>2.4191071591512427</v>
      </c>
      <c r="W25" s="40">
        <v>3.4243332586802664</v>
      </c>
      <c r="X25" s="22">
        <v>3.6914681884160534</v>
      </c>
      <c r="Y25" s="41">
        <v>3.2821232192710932</v>
      </c>
      <c r="Z25" s="22">
        <v>2.6060019943891999</v>
      </c>
      <c r="AA25" s="22">
        <v>3.1761530885880802</v>
      </c>
      <c r="AB25" s="22">
        <v>2.9432131527747472</v>
      </c>
    </row>
    <row r="26" spans="2:28" ht="16" thickBot="1">
      <c r="B26" s="15">
        <v>48</v>
      </c>
      <c r="C26" s="156">
        <v>15.628863474140132</v>
      </c>
      <c r="D26" s="153">
        <v>14.352921636744268</v>
      </c>
      <c r="E26" s="157">
        <v>12.709112697584773</v>
      </c>
      <c r="F26" s="156">
        <v>3.5895445932082271</v>
      </c>
      <c r="G26" s="153">
        <v>4.6324339077580268</v>
      </c>
      <c r="H26" s="157">
        <v>3.1632575248195733</v>
      </c>
      <c r="I26" s="153">
        <v>3.9337944563660798</v>
      </c>
      <c r="J26" s="153">
        <v>4.260078622248507</v>
      </c>
      <c r="K26" s="153">
        <v>3.7872951434798665</v>
      </c>
      <c r="L26" s="156">
        <v>3.6342384337757463</v>
      </c>
      <c r="M26" s="153">
        <v>3.7746783592511064</v>
      </c>
      <c r="N26" s="153">
        <v>4.0307699624475735</v>
      </c>
      <c r="O26" s="1"/>
      <c r="P26" s="30">
        <v>48</v>
      </c>
      <c r="Q26" s="42">
        <v>16.500459865397229</v>
      </c>
      <c r="R26" s="36">
        <v>15.389886372085094</v>
      </c>
      <c r="S26" s="43">
        <v>13.290506453272908</v>
      </c>
      <c r="T26" s="42">
        <v>3.4229229856253065</v>
      </c>
      <c r="U26" s="36">
        <v>4.8585605063051203</v>
      </c>
      <c r="V26" s="43">
        <v>3.3049566140925331</v>
      </c>
      <c r="W26" s="42">
        <v>4.1414235665238666</v>
      </c>
      <c r="X26" s="36">
        <v>4.4672184926744531</v>
      </c>
      <c r="Y26" s="43">
        <v>4.0296887659109064</v>
      </c>
      <c r="Z26" s="36">
        <v>3.7668238345795193</v>
      </c>
      <c r="AA26" s="36">
        <v>4.0208385600641865</v>
      </c>
      <c r="AB26" s="36">
        <v>4.2438570398853335</v>
      </c>
    </row>
    <row r="27" spans="2:28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</row>
    <row r="28" spans="2:28" ht="16" thickBot="1">
      <c r="B28" s="1" t="s">
        <v>156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 t="s">
        <v>157</v>
      </c>
      <c r="Q28" s="164"/>
      <c r="R28" s="23"/>
      <c r="S28" s="165"/>
      <c r="T28" s="23"/>
      <c r="U28" s="23"/>
      <c r="V28" s="23"/>
      <c r="W28" s="23"/>
      <c r="X28" s="23"/>
      <c r="Y28" s="23"/>
      <c r="Z28" s="23"/>
      <c r="AA28" s="23"/>
      <c r="AB28" s="23"/>
    </row>
    <row r="29" spans="2:28">
      <c r="B29" s="104" t="s">
        <v>146</v>
      </c>
      <c r="C29" s="272" t="s">
        <v>155</v>
      </c>
      <c r="D29" s="275"/>
      <c r="E29" s="288"/>
      <c r="F29" s="272" t="s">
        <v>148</v>
      </c>
      <c r="G29" s="275"/>
      <c r="H29" s="288"/>
      <c r="I29" s="275" t="s">
        <v>149</v>
      </c>
      <c r="J29" s="275"/>
      <c r="K29" s="275"/>
      <c r="L29" s="272" t="s">
        <v>150</v>
      </c>
      <c r="M29" s="275"/>
      <c r="N29" s="275"/>
      <c r="O29" s="1"/>
      <c r="P29" s="141" t="s">
        <v>151</v>
      </c>
      <c r="Q29" s="282" t="s">
        <v>147</v>
      </c>
      <c r="R29" s="283"/>
      <c r="S29" s="284"/>
      <c r="T29" s="283" t="s">
        <v>148</v>
      </c>
      <c r="U29" s="283"/>
      <c r="V29" s="283"/>
      <c r="W29" s="282" t="s">
        <v>149</v>
      </c>
      <c r="X29" s="283"/>
      <c r="Y29" s="284"/>
      <c r="Z29" s="283" t="s">
        <v>150</v>
      </c>
      <c r="AA29" s="283"/>
      <c r="AB29" s="283"/>
    </row>
    <row r="30" spans="2:28">
      <c r="B30" s="2">
        <v>0</v>
      </c>
      <c r="C30" s="154">
        <f t="shared" ref="C30:N37" si="0">C8+C19</f>
        <v>25.314453587038642</v>
      </c>
      <c r="D30" s="20">
        <f t="shared" si="0"/>
        <v>23.950594510601118</v>
      </c>
      <c r="E30" s="155">
        <f t="shared" si="0"/>
        <v>22.725139075144028</v>
      </c>
      <c r="F30" s="154">
        <f t="shared" si="0"/>
        <v>25.330458643540453</v>
      </c>
      <c r="G30" s="20">
        <f t="shared" si="0"/>
        <v>23.557592233112771</v>
      </c>
      <c r="H30" s="155">
        <f t="shared" si="0"/>
        <v>24.580244964147465</v>
      </c>
      <c r="I30" s="20">
        <f t="shared" si="0"/>
        <v>23.707489440191011</v>
      </c>
      <c r="J30" s="20">
        <f t="shared" si="0"/>
        <v>24.427633210456666</v>
      </c>
      <c r="K30" s="20">
        <f t="shared" si="0"/>
        <v>23.39684233509141</v>
      </c>
      <c r="L30" s="154">
        <f t="shared" si="0"/>
        <v>24.085092107698426</v>
      </c>
      <c r="M30" s="20">
        <f t="shared" si="0"/>
        <v>24.340073181432505</v>
      </c>
      <c r="N30" s="20">
        <f t="shared" si="0"/>
        <v>24.495025857159092</v>
      </c>
      <c r="O30" s="1"/>
      <c r="P30" s="24">
        <v>0</v>
      </c>
      <c r="Q30" s="159">
        <f t="shared" ref="Q30:AB37" si="1">Q8+Q19</f>
        <v>23.4095049046722</v>
      </c>
      <c r="R30" s="158">
        <f t="shared" si="1"/>
        <v>22.110511565836479</v>
      </c>
      <c r="S30" s="160">
        <f t="shared" si="1"/>
        <v>20.655363325021867</v>
      </c>
      <c r="T30" s="158">
        <f t="shared" si="1"/>
        <v>23.318520651222933</v>
      </c>
      <c r="U30" s="158">
        <f t="shared" si="1"/>
        <v>22.356513561642505</v>
      </c>
      <c r="V30" s="158">
        <f t="shared" si="1"/>
        <v>24.292007698818615</v>
      </c>
      <c r="W30" s="159">
        <f t="shared" si="1"/>
        <v>21.758106486271789</v>
      </c>
      <c r="X30" s="158">
        <f t="shared" si="1"/>
        <v>22.545602340077707</v>
      </c>
      <c r="Y30" s="160">
        <f t="shared" si="1"/>
        <v>20.956198976834241</v>
      </c>
      <c r="Z30" s="158">
        <f t="shared" si="1"/>
        <v>22.272538457302186</v>
      </c>
      <c r="AA30" s="158">
        <f t="shared" si="1"/>
        <v>22.964491481627253</v>
      </c>
      <c r="AB30" s="158">
        <f t="shared" si="1"/>
        <v>23.550728751054454</v>
      </c>
    </row>
    <row r="31" spans="2:28">
      <c r="B31" s="2">
        <v>8</v>
      </c>
      <c r="C31" s="154">
        <f t="shared" si="0"/>
        <v>23.916458119296802</v>
      </c>
      <c r="D31" s="20">
        <f t="shared" si="0"/>
        <v>19.549197583140575</v>
      </c>
      <c r="E31" s="155">
        <f t="shared" si="0"/>
        <v>16.634398046022266</v>
      </c>
      <c r="F31" s="154">
        <f t="shared" si="0"/>
        <v>17.712359859514308</v>
      </c>
      <c r="G31" s="20">
        <f t="shared" si="0"/>
        <v>16.21750820556607</v>
      </c>
      <c r="H31" s="155">
        <f t="shared" si="0"/>
        <v>18.393277581672855</v>
      </c>
      <c r="I31" s="20">
        <f t="shared" si="0"/>
        <v>16.186769958283026</v>
      </c>
      <c r="J31" s="20">
        <f t="shared" si="0"/>
        <v>16.317810231454398</v>
      </c>
      <c r="K31" s="20">
        <f t="shared" si="0"/>
        <v>14.276397995151815</v>
      </c>
      <c r="L31" s="154">
        <f t="shared" si="0"/>
        <v>18.783734581121138</v>
      </c>
      <c r="M31" s="20">
        <f t="shared" si="0"/>
        <v>20.355704921921028</v>
      </c>
      <c r="N31" s="20">
        <f t="shared" si="0"/>
        <v>20.626744460948323</v>
      </c>
      <c r="O31" s="1"/>
      <c r="P31" s="24">
        <v>8</v>
      </c>
      <c r="Q31" s="159">
        <f t="shared" si="1"/>
        <v>24.559033244389948</v>
      </c>
      <c r="R31" s="158">
        <f t="shared" si="1"/>
        <v>21.890168002767176</v>
      </c>
      <c r="S31" s="160">
        <f t="shared" si="1"/>
        <v>21.961280725566318</v>
      </c>
      <c r="T31" s="158">
        <f t="shared" si="1"/>
        <v>18.405280036604747</v>
      </c>
      <c r="U31" s="158">
        <f t="shared" si="1"/>
        <v>17.310772178872927</v>
      </c>
      <c r="V31" s="158">
        <f t="shared" si="1"/>
        <v>19.019613223585328</v>
      </c>
      <c r="W31" s="159">
        <f t="shared" si="1"/>
        <v>15.952560108775035</v>
      </c>
      <c r="X31" s="158">
        <f t="shared" si="1"/>
        <v>16.840380694591484</v>
      </c>
      <c r="Y31" s="160">
        <f t="shared" si="1"/>
        <v>17.378910139627951</v>
      </c>
      <c r="Z31" s="158">
        <f t="shared" si="1"/>
        <v>20.056184869711966</v>
      </c>
      <c r="AA31" s="158">
        <f t="shared" si="1"/>
        <v>20.644460277771621</v>
      </c>
      <c r="AB31" s="158">
        <f t="shared" si="1"/>
        <v>21.040902548710495</v>
      </c>
    </row>
    <row r="32" spans="2:28">
      <c r="B32" s="2">
        <v>12</v>
      </c>
      <c r="C32" s="154">
        <f t="shared" si="0"/>
        <v>17.74711661864476</v>
      </c>
      <c r="D32" s="20">
        <f t="shared" si="0"/>
        <v>15.965138639988133</v>
      </c>
      <c r="E32" s="155">
        <f t="shared" si="0"/>
        <v>13.235981707056524</v>
      </c>
      <c r="F32" s="154">
        <f t="shared" si="0"/>
        <v>14.064128677171173</v>
      </c>
      <c r="G32" s="20">
        <f t="shared" si="0"/>
        <v>13.30312391790884</v>
      </c>
      <c r="H32" s="155">
        <f t="shared" si="0"/>
        <v>16.61888395214244</v>
      </c>
      <c r="I32" s="20">
        <f t="shared" si="0"/>
        <v>14.528576419850653</v>
      </c>
      <c r="J32" s="20">
        <f t="shared" si="0"/>
        <v>15.09458670525644</v>
      </c>
      <c r="K32" s="20">
        <f t="shared" si="0"/>
        <v>14.9968282982902</v>
      </c>
      <c r="L32" s="154">
        <f t="shared" si="0"/>
        <v>17.562453912240603</v>
      </c>
      <c r="M32" s="20">
        <f t="shared" si="0"/>
        <v>17.893032822027106</v>
      </c>
      <c r="N32" s="20">
        <f t="shared" si="0"/>
        <v>18.493670383937545</v>
      </c>
      <c r="O32" s="1"/>
      <c r="P32" s="24">
        <v>12</v>
      </c>
      <c r="Q32" s="159">
        <f>Q10+Q21</f>
        <v>18.744931312947706</v>
      </c>
      <c r="R32" s="158">
        <f t="shared" si="1"/>
        <v>18.056553585101305</v>
      </c>
      <c r="S32" s="160">
        <f>S10+S21</f>
        <v>18.691596153487893</v>
      </c>
      <c r="T32" s="158">
        <f t="shared" si="1"/>
        <v>15.443181697123601</v>
      </c>
      <c r="U32" s="158">
        <f t="shared" si="1"/>
        <v>16.499850752351893</v>
      </c>
      <c r="V32" s="158">
        <f>V10+V21</f>
        <v>16.42184045727889</v>
      </c>
      <c r="W32" s="159">
        <f t="shared" si="1"/>
        <v>14.871517944004493</v>
      </c>
      <c r="X32" s="158">
        <f t="shared" si="1"/>
        <v>15.001738756281771</v>
      </c>
      <c r="Y32" s="160">
        <f t="shared" si="1"/>
        <v>15.367328110683939</v>
      </c>
      <c r="Z32" s="158">
        <f t="shared" si="1"/>
        <v>18.459414445897377</v>
      </c>
      <c r="AA32" s="158">
        <f t="shared" si="1"/>
        <v>18.248872008555676</v>
      </c>
      <c r="AB32" s="158">
        <f t="shared" si="1"/>
        <v>18.449171111710623</v>
      </c>
    </row>
    <row r="33" spans="2:28">
      <c r="B33" s="2">
        <v>24</v>
      </c>
      <c r="C33" s="154">
        <f t="shared" si="0"/>
        <v>17.442256793197828</v>
      </c>
      <c r="D33" s="20">
        <f t="shared" si="0"/>
        <v>21.493290150333415</v>
      </c>
      <c r="E33" s="155">
        <f t="shared" si="0"/>
        <v>16.532002968881347</v>
      </c>
      <c r="F33" s="154">
        <f t="shared" si="0"/>
        <v>16.085213835313425</v>
      </c>
      <c r="G33" s="20">
        <f t="shared" si="0"/>
        <v>16.237426822922092</v>
      </c>
      <c r="H33" s="155">
        <f>H11+H22</f>
        <v>18.940267736767041</v>
      </c>
      <c r="I33" s="20">
        <f t="shared" si="0"/>
        <v>15.558898147395027</v>
      </c>
      <c r="J33" s="20">
        <f t="shared" si="0"/>
        <v>16.809061873549666</v>
      </c>
      <c r="K33" s="20">
        <f>K11+K22</f>
        <v>16.402232965469626</v>
      </c>
      <c r="L33" s="154">
        <f t="shared" si="0"/>
        <v>17.189391610755028</v>
      </c>
      <c r="M33" s="20">
        <f t="shared" si="0"/>
        <v>18.510183036932521</v>
      </c>
      <c r="N33" s="20">
        <f t="shared" si="0"/>
        <v>19.660857087344279</v>
      </c>
      <c r="O33" s="1"/>
      <c r="P33" s="24">
        <v>24</v>
      </c>
      <c r="Q33" s="159">
        <f t="shared" si="1"/>
        <v>17.924416440491118</v>
      </c>
      <c r="R33" s="158">
        <f t="shared" si="1"/>
        <v>22.873445282302534</v>
      </c>
      <c r="S33" s="160">
        <f t="shared" si="1"/>
        <v>20.528809544241788</v>
      </c>
      <c r="T33" s="158">
        <f t="shared" si="1"/>
        <v>17.675011617796908</v>
      </c>
      <c r="U33" s="158">
        <f t="shared" si="1"/>
        <v>16.339397103602614</v>
      </c>
      <c r="V33" s="158">
        <f t="shared" si="1"/>
        <v>18.994390374412291</v>
      </c>
      <c r="W33" s="159">
        <f t="shared" si="1"/>
        <v>15.2095751936096</v>
      </c>
      <c r="X33" s="158">
        <f t="shared" si="1"/>
        <v>16.600469884790428</v>
      </c>
      <c r="Y33" s="160">
        <f t="shared" si="1"/>
        <v>16.437985362502452</v>
      </c>
      <c r="Z33" s="158">
        <f t="shared" si="1"/>
        <v>17.887858422398267</v>
      </c>
      <c r="AA33" s="158">
        <f t="shared" si="1"/>
        <v>18.542114905186537</v>
      </c>
      <c r="AB33" s="158">
        <f t="shared" si="1"/>
        <v>19.688619356568914</v>
      </c>
    </row>
    <row r="34" spans="2:28">
      <c r="B34" s="2">
        <v>28</v>
      </c>
      <c r="C34" s="154">
        <f t="shared" si="0"/>
        <v>18.696583469701814</v>
      </c>
      <c r="D34" s="20">
        <f t="shared" si="0"/>
        <v>21.061440314844212</v>
      </c>
      <c r="E34" s="155">
        <f t="shared" si="0"/>
        <v>18.679805552925721</v>
      </c>
      <c r="F34" s="154">
        <f t="shared" si="0"/>
        <v>16.591184520472694</v>
      </c>
      <c r="G34" s="20">
        <f t="shared" si="0"/>
        <v>17.474887130973602</v>
      </c>
      <c r="H34" s="155">
        <f t="shared" si="0"/>
        <v>15.64237312169584</v>
      </c>
      <c r="I34" s="20">
        <f t="shared" si="0"/>
        <v>14.220217515848733</v>
      </c>
      <c r="J34" s="20">
        <f t="shared" si="0"/>
        <v>15.880863266156387</v>
      </c>
      <c r="K34" s="20">
        <f t="shared" si="0"/>
        <v>17.12449877975904</v>
      </c>
      <c r="L34" s="154">
        <f t="shared" si="0"/>
        <v>16.004849674751988</v>
      </c>
      <c r="M34" s="20">
        <f t="shared" si="0"/>
        <v>17.121250506278411</v>
      </c>
      <c r="N34" s="20">
        <f t="shared" si="0"/>
        <v>17.872723093012695</v>
      </c>
      <c r="O34" s="1"/>
      <c r="P34" s="24">
        <v>28</v>
      </c>
      <c r="Q34" s="159">
        <f t="shared" si="1"/>
        <v>20.97054642489536</v>
      </c>
      <c r="R34" s="158">
        <f t="shared" si="1"/>
        <v>21.556856498990612</v>
      </c>
      <c r="S34" s="160">
        <f t="shared" si="1"/>
        <v>21.184313968219442</v>
      </c>
      <c r="T34" s="158">
        <f t="shared" si="1"/>
        <v>17.322631188956997</v>
      </c>
      <c r="U34" s="158">
        <f t="shared" si="1"/>
        <v>17.711475641694598</v>
      </c>
      <c r="V34" s="158">
        <f t="shared" si="1"/>
        <v>15.73422609150324</v>
      </c>
      <c r="W34" s="159">
        <f t="shared" si="1"/>
        <v>16.402685516260188</v>
      </c>
      <c r="X34" s="158">
        <f t="shared" si="1"/>
        <v>16.18795829846384</v>
      </c>
      <c r="Y34" s="160">
        <f t="shared" si="1"/>
        <v>17.923518200203681</v>
      </c>
      <c r="Z34" s="158">
        <f t="shared" si="1"/>
        <v>16.61276402287832</v>
      </c>
      <c r="AA34" s="158">
        <f t="shared" si="1"/>
        <v>17.461581933824831</v>
      </c>
      <c r="AB34" s="158">
        <f t="shared" si="1"/>
        <v>17.873144637571087</v>
      </c>
    </row>
    <row r="35" spans="2:28">
      <c r="B35" s="2">
        <v>32</v>
      </c>
      <c r="C35" s="154">
        <f t="shared" si="0"/>
        <v>21.45854111536908</v>
      </c>
      <c r="D35" s="20">
        <f t="shared" si="0"/>
        <v>20.554376714778588</v>
      </c>
      <c r="E35" s="155">
        <f t="shared" si="0"/>
        <v>19.020285980317521</v>
      </c>
      <c r="F35" s="154">
        <f t="shared" si="0"/>
        <v>17.541308587287123</v>
      </c>
      <c r="G35" s="20">
        <f t="shared" si="0"/>
        <v>17.261698376384693</v>
      </c>
      <c r="H35" s="155">
        <f t="shared" si="0"/>
        <v>18.97754960629144</v>
      </c>
      <c r="I35" s="20">
        <f t="shared" si="0"/>
        <v>15.993592744236052</v>
      </c>
      <c r="J35" s="20">
        <f t="shared" si="0"/>
        <v>15.375428049286761</v>
      </c>
      <c r="K35" s="20">
        <f t="shared" si="0"/>
        <v>17.120813701615266</v>
      </c>
      <c r="L35" s="154">
        <f t="shared" si="0"/>
        <v>16.17409342481065</v>
      </c>
      <c r="M35" s="20">
        <f t="shared" si="0"/>
        <v>16.913590803801828</v>
      </c>
      <c r="N35" s="20">
        <f t="shared" si="0"/>
        <v>16.562120224389254</v>
      </c>
      <c r="O35" s="1"/>
      <c r="P35" s="24">
        <v>32</v>
      </c>
      <c r="Q35" s="159">
        <f t="shared" si="1"/>
        <v>22.335424781529596</v>
      </c>
      <c r="R35" s="158">
        <f t="shared" si="1"/>
        <v>22.364392602526987</v>
      </c>
      <c r="S35" s="160">
        <f t="shared" si="1"/>
        <v>20.407251255940398</v>
      </c>
      <c r="T35" s="158">
        <f t="shared" si="1"/>
        <v>17.548202555091695</v>
      </c>
      <c r="U35" s="158">
        <f t="shared" si="1"/>
        <v>16.507177323511886</v>
      </c>
      <c r="V35" s="158">
        <f t="shared" si="1"/>
        <v>17.977722749205071</v>
      </c>
      <c r="W35" s="159">
        <f t="shared" si="1"/>
        <v>17.103755343984105</v>
      </c>
      <c r="X35" s="158">
        <f t="shared" si="1"/>
        <v>15.899211958190881</v>
      </c>
      <c r="Y35" s="160">
        <f t="shared" si="1"/>
        <v>17.803909690975839</v>
      </c>
      <c r="Z35" s="158">
        <f t="shared" si="1"/>
        <v>16.084992006866489</v>
      </c>
      <c r="AA35" s="158">
        <f t="shared" si="1"/>
        <v>17.620623621773277</v>
      </c>
      <c r="AB35" s="158">
        <f t="shared" si="1"/>
        <v>16.689838072267175</v>
      </c>
    </row>
    <row r="36" spans="2:28">
      <c r="B36" s="2">
        <v>36</v>
      </c>
      <c r="C36" s="154">
        <f t="shared" si="0"/>
        <v>22.097643815167523</v>
      </c>
      <c r="D36" s="20">
        <f t="shared" si="0"/>
        <v>21.306615845336612</v>
      </c>
      <c r="E36" s="155">
        <f t="shared" si="0"/>
        <v>19.411286678362988</v>
      </c>
      <c r="F36" s="154">
        <f t="shared" si="0"/>
        <v>19.12836628855376</v>
      </c>
      <c r="G36" s="20">
        <f t="shared" si="0"/>
        <v>17.179605213788335</v>
      </c>
      <c r="H36" s="155">
        <f t="shared" si="0"/>
        <v>16.632897226264991</v>
      </c>
      <c r="I36" s="20">
        <f t="shared" si="0"/>
        <v>16.827578853439931</v>
      </c>
      <c r="J36" s="20">
        <f t="shared" si="0"/>
        <v>16.934370360782189</v>
      </c>
      <c r="K36" s="20">
        <f t="shared" si="0"/>
        <v>16.698285199630014</v>
      </c>
      <c r="L36" s="154">
        <f t="shared" si="0"/>
        <v>17.011948771644388</v>
      </c>
      <c r="M36" s="20">
        <f t="shared" si="0"/>
        <v>17.917495318450175</v>
      </c>
      <c r="N36" s="20">
        <f t="shared" si="0"/>
        <v>15.934814544938494</v>
      </c>
      <c r="O36" s="1"/>
      <c r="P36" s="24">
        <v>36</v>
      </c>
      <c r="Q36" s="159">
        <f t="shared" si="1"/>
        <v>23.159520411640209</v>
      </c>
      <c r="R36" s="158">
        <f t="shared" si="1"/>
        <v>23.125210346998188</v>
      </c>
      <c r="S36" s="160">
        <f t="shared" si="1"/>
        <v>20.827240679904506</v>
      </c>
      <c r="T36" s="158">
        <f t="shared" si="1"/>
        <v>18.78724072853224</v>
      </c>
      <c r="U36" s="158">
        <f t="shared" si="1"/>
        <v>17.151952093049591</v>
      </c>
      <c r="V36" s="158">
        <f t="shared" si="1"/>
        <v>16.703536250103404</v>
      </c>
      <c r="W36" s="159">
        <f t="shared" si="1"/>
        <v>16.973279738396371</v>
      </c>
      <c r="X36" s="158">
        <f t="shared" si="1"/>
        <v>17.451468188416055</v>
      </c>
      <c r="Y36" s="160">
        <f t="shared" si="1"/>
        <v>17.062123219271093</v>
      </c>
      <c r="Z36" s="158">
        <f t="shared" si="1"/>
        <v>17.4760019943892</v>
      </c>
      <c r="AA36" s="158">
        <f t="shared" si="1"/>
        <v>18.136153088588081</v>
      </c>
      <c r="AB36" s="158">
        <f t="shared" si="1"/>
        <v>18.013213152774746</v>
      </c>
    </row>
    <row r="37" spans="2:28" ht="16" thickBot="1">
      <c r="B37" s="15">
        <v>48</v>
      </c>
      <c r="C37" s="156">
        <f>C15+C26</f>
        <v>23.145668432852133</v>
      </c>
      <c r="D37" s="153">
        <f t="shared" si="0"/>
        <v>21.09718804392288</v>
      </c>
      <c r="E37" s="157">
        <f t="shared" si="0"/>
        <v>18.861326227627416</v>
      </c>
      <c r="F37" s="156">
        <f t="shared" si="0"/>
        <v>19.493887200590603</v>
      </c>
      <c r="G37" s="153">
        <f t="shared" si="0"/>
        <v>16.772065550588266</v>
      </c>
      <c r="H37" s="157">
        <f t="shared" si="0"/>
        <v>19.253732364205575</v>
      </c>
      <c r="I37" s="153">
        <f t="shared" si="0"/>
        <v>17.400577000189415</v>
      </c>
      <c r="J37" s="153">
        <f t="shared" si="0"/>
        <v>18.76165685489547</v>
      </c>
      <c r="K37" s="153">
        <f t="shared" si="0"/>
        <v>17.876707784394558</v>
      </c>
      <c r="L37" s="156">
        <f t="shared" si="0"/>
        <v>17.179331129726812</v>
      </c>
      <c r="M37" s="153">
        <f t="shared" si="0"/>
        <v>17.945004608265133</v>
      </c>
      <c r="N37" s="153">
        <f t="shared" si="0"/>
        <v>18.160293912882054</v>
      </c>
      <c r="O37" s="1"/>
      <c r="P37" s="30">
        <v>48</v>
      </c>
      <c r="Q37" s="162">
        <f t="shared" si="1"/>
        <v>24.300459865397229</v>
      </c>
      <c r="R37" s="161">
        <f t="shared" si="1"/>
        <v>23.129886372085096</v>
      </c>
      <c r="S37" s="163">
        <f t="shared" si="1"/>
        <v>20.810506453272907</v>
      </c>
      <c r="T37" s="161">
        <f t="shared" si="1"/>
        <v>19.462922985625305</v>
      </c>
      <c r="U37" s="161">
        <f t="shared" si="1"/>
        <v>19.254560506305122</v>
      </c>
      <c r="V37" s="161">
        <f t="shared" si="1"/>
        <v>19.395431453478533</v>
      </c>
      <c r="W37" s="162">
        <f t="shared" si="1"/>
        <v>18.801423566523866</v>
      </c>
      <c r="X37" s="161">
        <f t="shared" si="1"/>
        <v>19.477218492674453</v>
      </c>
      <c r="Y37" s="163">
        <f t="shared" si="1"/>
        <v>19.069688765910904</v>
      </c>
      <c r="Z37" s="161">
        <f t="shared" si="1"/>
        <v>17.716823834579518</v>
      </c>
      <c r="AA37" s="161">
        <f t="shared" si="1"/>
        <v>18.191164809078213</v>
      </c>
      <c r="AB37" s="161">
        <f t="shared" si="1"/>
        <v>18.373380990319813</v>
      </c>
    </row>
    <row r="38" spans="2:28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2:28" ht="16" thickBot="1">
      <c r="B39" s="1" t="s">
        <v>158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 t="s">
        <v>159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2:28">
      <c r="B40" s="104" t="s">
        <v>146</v>
      </c>
      <c r="C40" s="272" t="s">
        <v>155</v>
      </c>
      <c r="D40" s="275"/>
      <c r="E40" s="288"/>
      <c r="F40" s="275" t="s">
        <v>148</v>
      </c>
      <c r="G40" s="275"/>
      <c r="H40" s="275"/>
      <c r="I40" s="272" t="s">
        <v>149</v>
      </c>
      <c r="J40" s="275"/>
      <c r="K40" s="288"/>
      <c r="L40" s="275" t="s">
        <v>150</v>
      </c>
      <c r="M40" s="275"/>
      <c r="N40" s="275"/>
      <c r="O40" s="1"/>
      <c r="P40" s="104" t="s">
        <v>146</v>
      </c>
      <c r="Q40" s="272" t="s">
        <v>155</v>
      </c>
      <c r="R40" s="275"/>
      <c r="S40" s="288"/>
      <c r="T40" s="275" t="s">
        <v>148</v>
      </c>
      <c r="U40" s="275"/>
      <c r="V40" s="275"/>
      <c r="W40" s="272" t="s">
        <v>149</v>
      </c>
      <c r="X40" s="275"/>
      <c r="Y40" s="288"/>
      <c r="Z40" s="275" t="s">
        <v>150</v>
      </c>
      <c r="AA40" s="275"/>
      <c r="AB40" s="275"/>
    </row>
    <row r="41" spans="2:28">
      <c r="B41" s="2">
        <v>0</v>
      </c>
      <c r="C41" s="154">
        <v>24.525459802716199</v>
      </c>
      <c r="D41" s="20">
        <v>24.32895547504728</v>
      </c>
      <c r="E41" s="155">
        <v>23.660816304927042</v>
      </c>
      <c r="F41" s="20">
        <v>24.529026492183387</v>
      </c>
      <c r="G41" s="20">
        <v>23.69214060633</v>
      </c>
      <c r="H41" s="20">
        <v>24.335456890005414</v>
      </c>
      <c r="I41" s="154">
        <v>22.897738984525475</v>
      </c>
      <c r="J41" s="20">
        <v>23.589445776976774</v>
      </c>
      <c r="K41" s="155">
        <v>22.246686584610384</v>
      </c>
      <c r="L41" s="20">
        <v>23.417275214837467</v>
      </c>
      <c r="M41" s="20">
        <v>24.500555761706963</v>
      </c>
      <c r="N41" s="20">
        <v>22.92167344754295</v>
      </c>
      <c r="O41" s="1"/>
      <c r="P41" s="2">
        <v>0</v>
      </c>
      <c r="Q41" s="154">
        <v>25.208979452782401</v>
      </c>
      <c r="R41" s="20">
        <v>25.081128281267599</v>
      </c>
      <c r="S41" s="155">
        <v>25.200826253311</v>
      </c>
      <c r="T41" s="20">
        <v>25.467119277963999</v>
      </c>
      <c r="U41" s="20">
        <v>24.9209630773919</v>
      </c>
      <c r="V41" s="20">
        <v>25.421926464589699</v>
      </c>
      <c r="W41" s="154">
        <v>25.799061782850799</v>
      </c>
      <c r="X41" s="20">
        <v>25.0717195066293</v>
      </c>
      <c r="Y41" s="155">
        <v>24.738222661052401</v>
      </c>
      <c r="Z41" s="20">
        <v>24.493802369899306</v>
      </c>
      <c r="AA41" s="20">
        <v>25.020715090332001</v>
      </c>
      <c r="AB41" s="20">
        <v>25.252767308227899</v>
      </c>
    </row>
    <row r="42" spans="2:28">
      <c r="B42" s="2">
        <v>8</v>
      </c>
      <c r="C42" s="154">
        <v>19.650204276473971</v>
      </c>
      <c r="D42" s="20">
        <v>19.021398686035049</v>
      </c>
      <c r="E42" s="155">
        <v>17.9968491129668</v>
      </c>
      <c r="F42" s="20">
        <v>16.679165280822676</v>
      </c>
      <c r="G42" s="20">
        <v>17.309484590171515</v>
      </c>
      <c r="H42" s="20">
        <v>18.838697578423044</v>
      </c>
      <c r="I42" s="154">
        <v>18.091262080791754</v>
      </c>
      <c r="J42" s="20">
        <v>18.138441505248096</v>
      </c>
      <c r="K42" s="155">
        <v>18.210015201608023</v>
      </c>
      <c r="L42" s="20">
        <v>19.634791812589704</v>
      </c>
      <c r="M42" s="20">
        <v>19.825671372076709</v>
      </c>
      <c r="N42" s="20">
        <v>19.595753461881635</v>
      </c>
      <c r="O42" s="1"/>
      <c r="P42" s="2">
        <v>8</v>
      </c>
      <c r="Q42" s="154">
        <v>24.557259636347119</v>
      </c>
      <c r="R42" s="20">
        <v>24.679081196751135</v>
      </c>
      <c r="S42" s="155">
        <v>24.797620478018565</v>
      </c>
      <c r="T42" s="20">
        <v>21.004647893801302</v>
      </c>
      <c r="U42" s="20">
        <v>20.85092208043233</v>
      </c>
      <c r="V42" s="20">
        <v>21.878004866250819</v>
      </c>
      <c r="W42" s="154">
        <v>19.102100698640243</v>
      </c>
      <c r="X42" s="20">
        <v>19.250323760121717</v>
      </c>
      <c r="Y42" s="155">
        <v>19.978209047033491</v>
      </c>
      <c r="Z42" s="20">
        <v>24.353419612883734</v>
      </c>
      <c r="AA42" s="20">
        <v>21.935959380811084</v>
      </c>
      <c r="AB42" s="20">
        <v>25.431377627674681</v>
      </c>
    </row>
    <row r="43" spans="2:28">
      <c r="B43" s="2">
        <v>12</v>
      </c>
      <c r="C43" s="154">
        <v>17.012466940670855</v>
      </c>
      <c r="D43" s="20">
        <v>16.688941215014676</v>
      </c>
      <c r="E43" s="155">
        <v>15.560963917349229</v>
      </c>
      <c r="F43" s="20">
        <v>14.340396517658839</v>
      </c>
      <c r="G43" s="20">
        <v>17.686358247195127</v>
      </c>
      <c r="H43" s="20">
        <v>18.254944374015672</v>
      </c>
      <c r="I43" s="154">
        <v>17.385599746266863</v>
      </c>
      <c r="J43" s="20">
        <v>18.003249386955297</v>
      </c>
      <c r="K43" s="155">
        <v>17.448585225510179</v>
      </c>
      <c r="L43" s="20">
        <v>20.169763240571609</v>
      </c>
      <c r="M43" s="20">
        <v>21.288755256440368</v>
      </c>
      <c r="N43" s="20">
        <v>19.892665491259248</v>
      </c>
      <c r="O43" s="1"/>
      <c r="P43" s="2">
        <v>12</v>
      </c>
      <c r="Q43" s="154">
        <v>16.923420730569198</v>
      </c>
      <c r="R43" s="20">
        <v>21.008862767587537</v>
      </c>
      <c r="S43" s="155">
        <v>19.662561832377865</v>
      </c>
      <c r="T43" s="20">
        <v>18.616863354003645</v>
      </c>
      <c r="U43" s="20">
        <v>20.823408320994613</v>
      </c>
      <c r="V43" s="20">
        <v>20.7301280014951</v>
      </c>
      <c r="W43" s="154">
        <v>11.647604268068342</v>
      </c>
      <c r="X43" s="20">
        <v>16.4893109480116</v>
      </c>
      <c r="Y43" s="155">
        <v>17.883709474859153</v>
      </c>
      <c r="Z43" s="20">
        <v>19.182827239628796</v>
      </c>
      <c r="AA43" s="20">
        <v>23.675824155807462</v>
      </c>
      <c r="AB43" s="20">
        <v>21.920856083077176</v>
      </c>
    </row>
    <row r="44" spans="2:28">
      <c r="B44" s="2">
        <v>24</v>
      </c>
      <c r="C44" s="154">
        <v>16.544114003861772</v>
      </c>
      <c r="D44" s="20">
        <v>17.193108430516844</v>
      </c>
      <c r="E44" s="155">
        <v>16.665819259395143</v>
      </c>
      <c r="F44" s="20">
        <v>19.095267985969382</v>
      </c>
      <c r="G44" s="20">
        <v>19.302818037461147</v>
      </c>
      <c r="H44" s="20">
        <v>18.706882401707784</v>
      </c>
      <c r="I44" s="154">
        <v>17.462647747928965</v>
      </c>
      <c r="J44" s="20">
        <v>17.351314439948755</v>
      </c>
      <c r="K44" s="155">
        <v>16.840112498421842</v>
      </c>
      <c r="L44" s="20">
        <v>17.907347070421789</v>
      </c>
      <c r="M44" s="20">
        <v>18.987959430064294</v>
      </c>
      <c r="N44" s="20">
        <v>19.596234121379403</v>
      </c>
      <c r="O44" s="1"/>
      <c r="P44" s="2">
        <v>24</v>
      </c>
      <c r="Q44" s="154">
        <v>20.557196448309607</v>
      </c>
      <c r="R44" s="20">
        <v>18.679793761228225</v>
      </c>
      <c r="S44" s="155">
        <v>20.169283325341372</v>
      </c>
      <c r="T44" s="20">
        <v>21.310226243301052</v>
      </c>
      <c r="U44" s="20">
        <v>19.06036174017413</v>
      </c>
      <c r="V44" s="20">
        <v>20.493680641948057</v>
      </c>
      <c r="W44" s="154">
        <v>18.588178796291981</v>
      </c>
      <c r="X44" s="20">
        <v>18.740616731559658</v>
      </c>
      <c r="Y44" s="155">
        <v>16.580318296389535</v>
      </c>
      <c r="Z44" s="20">
        <v>19.786549369588656</v>
      </c>
      <c r="AA44" s="20">
        <v>21.457102886767441</v>
      </c>
      <c r="AB44" s="20">
        <v>20.847175525955663</v>
      </c>
    </row>
    <row r="45" spans="2:28">
      <c r="B45" s="2">
        <v>28</v>
      </c>
      <c r="C45" s="154">
        <v>14.326290658282584</v>
      </c>
      <c r="D45" s="20">
        <v>16.309890348427452</v>
      </c>
      <c r="E45" s="155">
        <v>16.422580952018027</v>
      </c>
      <c r="F45" s="20">
        <v>19.70121519150721</v>
      </c>
      <c r="G45" s="20">
        <v>19.208549112299423</v>
      </c>
      <c r="H45" s="20">
        <v>20.072001014029244</v>
      </c>
      <c r="I45" s="154">
        <v>19.337979155852253</v>
      </c>
      <c r="J45" s="20">
        <v>18.288701798028889</v>
      </c>
      <c r="K45" s="155">
        <v>18.96709200817056</v>
      </c>
      <c r="L45" s="20">
        <v>20.095591962040224</v>
      </c>
      <c r="M45" s="20">
        <v>21.465589786805005</v>
      </c>
      <c r="N45" s="20">
        <v>20.962202446764337</v>
      </c>
      <c r="O45" s="1"/>
      <c r="P45" s="2">
        <v>28</v>
      </c>
      <c r="Q45" s="154">
        <v>21.122399315056676</v>
      </c>
      <c r="R45" s="20">
        <v>20.18034736903018</v>
      </c>
      <c r="S45" s="155">
        <v>19.925874364188129</v>
      </c>
      <c r="T45" s="20">
        <v>16.961237514817647</v>
      </c>
      <c r="U45" s="20">
        <v>15.969044517562756</v>
      </c>
      <c r="V45" s="20">
        <v>20.554985758994178</v>
      </c>
      <c r="W45" s="154">
        <v>15.483291422413499</v>
      </c>
      <c r="X45" s="20">
        <v>17.009532943617906</v>
      </c>
      <c r="Y45" s="155">
        <v>15.396582701517204</v>
      </c>
      <c r="Z45" s="20">
        <v>20.061979663534299</v>
      </c>
      <c r="AA45" s="20">
        <v>19.693822146292185</v>
      </c>
      <c r="AB45" s="20">
        <v>21.392708981700469</v>
      </c>
    </row>
    <row r="46" spans="2:28">
      <c r="B46" s="2">
        <v>32</v>
      </c>
      <c r="C46" s="154">
        <v>16.434625200171929</v>
      </c>
      <c r="D46" s="20">
        <v>17.45312023874687</v>
      </c>
      <c r="E46" s="155">
        <v>15.251419348646966</v>
      </c>
      <c r="F46" s="20">
        <v>20.164764603165853</v>
      </c>
      <c r="G46" s="20">
        <v>19.224544299842883</v>
      </c>
      <c r="H46" s="20">
        <v>19.520737037832301</v>
      </c>
      <c r="I46" s="154">
        <v>18.815069504340745</v>
      </c>
      <c r="J46" s="20">
        <v>19.42130194999719</v>
      </c>
      <c r="K46" s="155">
        <v>19.42101046153725</v>
      </c>
      <c r="L46" s="20">
        <v>19.409342534502855</v>
      </c>
      <c r="M46" s="20">
        <v>20.050770540347838</v>
      </c>
      <c r="N46" s="20">
        <v>19.580082534303173</v>
      </c>
      <c r="O46" s="1"/>
      <c r="P46" s="2">
        <v>32</v>
      </c>
      <c r="Q46" s="154">
        <v>19.524845070258365</v>
      </c>
      <c r="R46" s="20">
        <v>22.231761564723364</v>
      </c>
      <c r="S46" s="155">
        <v>18.762627739109838</v>
      </c>
      <c r="T46" s="20">
        <v>21.096204318823826</v>
      </c>
      <c r="U46" s="20">
        <v>19.564741636589737</v>
      </c>
      <c r="V46" s="20">
        <v>14.234817236134113</v>
      </c>
      <c r="W46" s="154">
        <v>17.727768859330411</v>
      </c>
      <c r="X46" s="20">
        <v>15.074307156748821</v>
      </c>
      <c r="Y46" s="155">
        <v>18.408154666809157</v>
      </c>
      <c r="Z46" s="20">
        <v>19.195490276068298</v>
      </c>
      <c r="AA46" s="20">
        <v>19.060525204210588</v>
      </c>
      <c r="AB46" s="20">
        <v>22.321911514068731</v>
      </c>
    </row>
    <row r="47" spans="2:28">
      <c r="B47" s="2">
        <v>36</v>
      </c>
      <c r="C47" s="154">
        <v>17.747080862197841</v>
      </c>
      <c r="D47" s="20">
        <v>16.549937134594138</v>
      </c>
      <c r="E47" s="155">
        <v>13.702634239652699</v>
      </c>
      <c r="F47" s="20">
        <v>19.20930872136416</v>
      </c>
      <c r="G47" s="20">
        <v>19.698427348098843</v>
      </c>
      <c r="H47" s="20">
        <v>19.726056315389631</v>
      </c>
      <c r="I47" s="154">
        <v>18.41840561275767</v>
      </c>
      <c r="J47" s="20">
        <v>19.462007047279343</v>
      </c>
      <c r="K47" s="155">
        <v>18.431588034994125</v>
      </c>
      <c r="L47" s="20">
        <v>18.698004683058194</v>
      </c>
      <c r="M47" s="20">
        <v>19.174172361468973</v>
      </c>
      <c r="N47" s="20">
        <v>18.385691570922283</v>
      </c>
      <c r="O47" s="1"/>
      <c r="P47" s="2">
        <v>36</v>
      </c>
      <c r="Q47" s="154">
        <v>22.524389270276878</v>
      </c>
      <c r="R47" s="20">
        <v>23.465734096655495</v>
      </c>
      <c r="S47" s="155">
        <v>19.502522379123324</v>
      </c>
      <c r="T47" s="20">
        <v>17.041491453412281</v>
      </c>
      <c r="U47" s="20">
        <v>17.720994425623349</v>
      </c>
      <c r="V47" s="20">
        <v>19.010776357701268</v>
      </c>
      <c r="W47" s="154">
        <v>16.132441434082576</v>
      </c>
      <c r="X47" s="20">
        <v>12.32614172653075</v>
      </c>
      <c r="Y47" s="155">
        <v>18.113403176696664</v>
      </c>
      <c r="Z47" s="20">
        <v>18.773336850201769</v>
      </c>
      <c r="AA47" s="20">
        <v>17.422531632539616</v>
      </c>
      <c r="AB47" s="20">
        <v>20.657377321275838</v>
      </c>
    </row>
    <row r="48" spans="2:28" ht="16" thickBot="1">
      <c r="B48" s="15">
        <v>48</v>
      </c>
      <c r="C48" s="156">
        <v>17.225535490492415</v>
      </c>
      <c r="D48" s="153">
        <v>16.258951339021291</v>
      </c>
      <c r="E48" s="157">
        <v>14.755072218252167</v>
      </c>
      <c r="F48" s="153">
        <v>20.435804655534543</v>
      </c>
      <c r="G48" s="153">
        <v>19.366300713860138</v>
      </c>
      <c r="H48" s="153">
        <v>19.687924248327995</v>
      </c>
      <c r="I48" s="156">
        <v>20.045796089028158</v>
      </c>
      <c r="J48" s="153">
        <v>20.222310082523499</v>
      </c>
      <c r="K48" s="157">
        <v>17.410105732958787</v>
      </c>
      <c r="L48" s="153">
        <v>20.487756326435857</v>
      </c>
      <c r="M48" s="153">
        <v>20.64711656593057</v>
      </c>
      <c r="N48" s="153">
        <v>21.094174076568482</v>
      </c>
      <c r="O48" s="1"/>
      <c r="P48" s="15">
        <v>48</v>
      </c>
      <c r="Q48" s="156">
        <v>22.096779443682095</v>
      </c>
      <c r="R48" s="153">
        <v>21.16076578341282</v>
      </c>
      <c r="S48" s="157">
        <v>22.145652264453958</v>
      </c>
      <c r="T48" s="153">
        <v>24.897688418639294</v>
      </c>
      <c r="U48" s="153">
        <v>22.019533666306643</v>
      </c>
      <c r="V48" s="153">
        <v>20.709991513505397</v>
      </c>
      <c r="W48" s="156">
        <v>20.272208104574535</v>
      </c>
      <c r="X48" s="153">
        <v>22.533186151358372</v>
      </c>
      <c r="Y48" s="157">
        <v>21.609915652565117</v>
      </c>
      <c r="Z48" s="153">
        <v>23.804391010059113</v>
      </c>
      <c r="AA48" s="153">
        <v>18.154610536233978</v>
      </c>
      <c r="AB48" s="153">
        <v>23.36228702789208</v>
      </c>
    </row>
    <row r="49" spans="2:28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2:28" ht="16" thickBot="1">
      <c r="B50" s="1" t="s">
        <v>160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 t="s">
        <v>161</v>
      </c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2:28">
      <c r="B51" s="104" t="s">
        <v>146</v>
      </c>
      <c r="C51" s="272" t="s">
        <v>155</v>
      </c>
      <c r="D51" s="275"/>
      <c r="E51" s="288"/>
      <c r="F51" s="275" t="s">
        <v>148</v>
      </c>
      <c r="G51" s="275"/>
      <c r="H51" s="275"/>
      <c r="I51" s="272" t="s">
        <v>149</v>
      </c>
      <c r="J51" s="275"/>
      <c r="K51" s="288"/>
      <c r="L51" s="275" t="s">
        <v>150</v>
      </c>
      <c r="M51" s="275"/>
      <c r="N51" s="275"/>
      <c r="O51" s="1"/>
      <c r="P51" s="104" t="s">
        <v>146</v>
      </c>
      <c r="Q51" s="272" t="s">
        <v>155</v>
      </c>
      <c r="R51" s="275"/>
      <c r="S51" s="288"/>
      <c r="T51" s="275" t="s">
        <v>148</v>
      </c>
      <c r="U51" s="275"/>
      <c r="V51" s="275"/>
      <c r="W51" s="272" t="s">
        <v>149</v>
      </c>
      <c r="X51" s="275"/>
      <c r="Y51" s="288"/>
      <c r="Z51" s="275" t="s">
        <v>150</v>
      </c>
      <c r="AA51" s="275"/>
      <c r="AB51" s="275"/>
    </row>
    <row r="52" spans="2:28">
      <c r="B52" s="2">
        <v>0</v>
      </c>
      <c r="C52" s="154">
        <f t="shared" ref="C52:N59" si="2">(C41/C30)*100</f>
        <v>96.883228067279248</v>
      </c>
      <c r="D52" s="20">
        <f t="shared" si="2"/>
        <v>101.57975604437999</v>
      </c>
      <c r="E52" s="155">
        <f t="shared" si="2"/>
        <v>104.11736635225448</v>
      </c>
      <c r="F52" s="20">
        <f t="shared" si="2"/>
        <v>96.83609301104606</v>
      </c>
      <c r="G52" s="20">
        <f t="shared" si="2"/>
        <v>100.57114654114822</v>
      </c>
      <c r="H52" s="20">
        <f t="shared" si="2"/>
        <v>99.004126791660966</v>
      </c>
      <c r="I52" s="154">
        <f t="shared" si="2"/>
        <v>96.584410771505915</v>
      </c>
      <c r="J52" s="20">
        <f t="shared" si="2"/>
        <v>96.568691586866095</v>
      </c>
      <c r="K52" s="155">
        <f t="shared" si="2"/>
        <v>95.084141124650898</v>
      </c>
      <c r="L52" s="20">
        <f t="shared" si="2"/>
        <v>97.227260373866287</v>
      </c>
      <c r="M52" s="20">
        <f t="shared" si="2"/>
        <v>100.65933483058251</v>
      </c>
      <c r="N52" s="20">
        <f t="shared" si="2"/>
        <v>93.576849362025456</v>
      </c>
      <c r="O52" s="1"/>
      <c r="P52" s="2">
        <v>0</v>
      </c>
      <c r="Q52" s="154">
        <f t="shared" ref="Q52:AB52" si="3">(Q41/Q30)*100</f>
        <v>107.68693979406225</v>
      </c>
      <c r="R52" s="20">
        <f t="shared" si="3"/>
        <v>113.43531426935004</v>
      </c>
      <c r="S52" s="155">
        <f t="shared" si="3"/>
        <v>122.00621144621924</v>
      </c>
      <c r="T52" s="20">
        <f t="shared" si="3"/>
        <v>109.21412922748333</v>
      </c>
      <c r="U52" s="20">
        <f t="shared" si="3"/>
        <v>111.47070409113016</v>
      </c>
      <c r="V52" s="20">
        <f t="shared" si="3"/>
        <v>104.65140131593995</v>
      </c>
      <c r="W52" s="154">
        <f t="shared" si="3"/>
        <v>118.57218273625345</v>
      </c>
      <c r="X52" s="20">
        <f t="shared" si="3"/>
        <v>111.20447849850122</v>
      </c>
      <c r="Y52" s="155">
        <f t="shared" si="3"/>
        <v>118.04727893831772</v>
      </c>
      <c r="Z52" s="20">
        <f t="shared" si="3"/>
        <v>109.97310619467744</v>
      </c>
      <c r="AA52" s="20">
        <f t="shared" si="3"/>
        <v>108.95392615312136</v>
      </c>
      <c r="AB52" s="20">
        <f t="shared" si="3"/>
        <v>107.22711630355488</v>
      </c>
    </row>
    <row r="53" spans="2:28">
      <c r="B53" s="2">
        <v>8</v>
      </c>
      <c r="C53" s="154">
        <f t="shared" si="2"/>
        <v>82.161849294145114</v>
      </c>
      <c r="D53" s="20">
        <f t="shared" si="2"/>
        <v>97.300150582340493</v>
      </c>
      <c r="E53" s="155">
        <f t="shared" si="2"/>
        <v>108.19056429439196</v>
      </c>
      <c r="F53" s="20">
        <f t="shared" si="2"/>
        <v>94.166815789164062</v>
      </c>
      <c r="G53" s="20">
        <f t="shared" si="2"/>
        <v>106.73331791027346</v>
      </c>
      <c r="H53" s="20">
        <f t="shared" si="2"/>
        <v>102.42164559726979</v>
      </c>
      <c r="I53" s="154">
        <f t="shared" si="2"/>
        <v>111.76573292520395</v>
      </c>
      <c r="J53" s="20">
        <f t="shared" si="2"/>
        <v>111.15732593999792</v>
      </c>
      <c r="K53" s="155">
        <f t="shared" si="2"/>
        <v>127.55328905646959</v>
      </c>
      <c r="L53" s="20">
        <f t="shared" si="2"/>
        <v>104.53082015076987</v>
      </c>
      <c r="M53" s="20">
        <f t="shared" si="2"/>
        <v>97.396142497263625</v>
      </c>
      <c r="N53" s="20">
        <f t="shared" si="2"/>
        <v>95.001678519755671</v>
      </c>
      <c r="O53" s="1"/>
      <c r="P53" s="2">
        <v>8</v>
      </c>
      <c r="Q53" s="154">
        <f t="shared" ref="Q53:AB53" si="4">(Q42/Q31)*100</f>
        <v>99.992778184608582</v>
      </c>
      <c r="R53" s="20">
        <f t="shared" si="4"/>
        <v>112.74048327829831</v>
      </c>
      <c r="S53" s="155">
        <f t="shared" si="4"/>
        <v>112.91518371763405</v>
      </c>
      <c r="T53" s="20">
        <f t="shared" si="4"/>
        <v>114.122946524187</v>
      </c>
      <c r="U53" s="20">
        <f t="shared" si="4"/>
        <v>120.45056029262524</v>
      </c>
      <c r="V53" s="20">
        <f t="shared" si="4"/>
        <v>115.02865283885444</v>
      </c>
      <c r="W53" s="154">
        <f t="shared" si="4"/>
        <v>119.74316704271646</v>
      </c>
      <c r="X53" s="20">
        <f t="shared" si="4"/>
        <v>114.31050229347971</v>
      </c>
      <c r="Y53" s="155">
        <f t="shared" si="4"/>
        <v>114.95662781222704</v>
      </c>
      <c r="Z53" s="20">
        <f t="shared" si="4"/>
        <v>121.42598291293811</v>
      </c>
      <c r="AA53" s="20">
        <f t="shared" si="4"/>
        <v>106.2559112016605</v>
      </c>
      <c r="AB53" s="20">
        <f t="shared" si="4"/>
        <v>120.86638189022581</v>
      </c>
    </row>
    <row r="54" spans="2:28">
      <c r="B54" s="2">
        <v>12</v>
      </c>
      <c r="C54" s="154">
        <f t="shared" si="2"/>
        <v>95.860456130647748</v>
      </c>
      <c r="D54" s="20">
        <f t="shared" si="2"/>
        <v>104.53364415648494</v>
      </c>
      <c r="E54" s="155">
        <f t="shared" si="2"/>
        <v>117.56561970052574</v>
      </c>
      <c r="F54" s="20">
        <f t="shared" si="2"/>
        <v>101.96434380564294</v>
      </c>
      <c r="G54" s="20">
        <f t="shared" si="2"/>
        <v>132.94891001793584</v>
      </c>
      <c r="H54" s="20">
        <f t="shared" si="2"/>
        <v>109.84458659549348</v>
      </c>
      <c r="I54" s="154">
        <f t="shared" si="2"/>
        <v>119.66485389795388</v>
      </c>
      <c r="J54" s="20">
        <f t="shared" si="2"/>
        <v>119.26957483828267</v>
      </c>
      <c r="K54" s="155">
        <f t="shared" si="2"/>
        <v>116.34850301979856</v>
      </c>
      <c r="L54" s="20">
        <f t="shared" si="2"/>
        <v>114.84592837287832</v>
      </c>
      <c r="M54" s="20">
        <f t="shared" si="2"/>
        <v>118.9779031212248</v>
      </c>
      <c r="N54" s="20">
        <f t="shared" si="2"/>
        <v>107.56472392055167</v>
      </c>
      <c r="O54" s="1"/>
      <c r="P54" s="2">
        <v>12</v>
      </c>
      <c r="Q54" s="154">
        <f t="shared" ref="Q54:AB54" si="5">(Q43/Q32)*100</f>
        <v>90.282650002988632</v>
      </c>
      <c r="R54" s="20">
        <f t="shared" si="5"/>
        <v>116.35034708352219</v>
      </c>
      <c r="S54" s="155">
        <f t="shared" si="5"/>
        <v>105.19466433426439</v>
      </c>
      <c r="T54" s="20">
        <f t="shared" si="5"/>
        <v>120.55069816002467</v>
      </c>
      <c r="U54" s="20">
        <f t="shared" si="5"/>
        <v>126.20361622377972</v>
      </c>
      <c r="V54" s="20">
        <f t="shared" si="5"/>
        <v>126.23510778480731</v>
      </c>
      <c r="W54" s="154">
        <f t="shared" si="5"/>
        <v>78.321556090809935</v>
      </c>
      <c r="X54" s="20">
        <f t="shared" si="5"/>
        <v>109.91599851121876</v>
      </c>
      <c r="Y54" s="155">
        <f t="shared" si="5"/>
        <v>116.3748788732228</v>
      </c>
      <c r="Z54" s="20">
        <f t="shared" si="5"/>
        <v>103.91893684304921</v>
      </c>
      <c r="AA54" s="20">
        <f t="shared" si="5"/>
        <v>129.7385621681573</v>
      </c>
      <c r="AB54" s="20">
        <f t="shared" si="5"/>
        <v>118.81756611364995</v>
      </c>
    </row>
    <row r="55" spans="2:28">
      <c r="B55" s="2">
        <v>24</v>
      </c>
      <c r="C55" s="154">
        <f t="shared" si="2"/>
        <v>94.850765012894911</v>
      </c>
      <c r="D55" s="20">
        <f t="shared" si="2"/>
        <v>79.992910858508722</v>
      </c>
      <c r="E55" s="155">
        <f t="shared" si="2"/>
        <v>100.80943785677805</v>
      </c>
      <c r="F55" s="20">
        <f t="shared" si="2"/>
        <v>118.71317460541118</v>
      </c>
      <c r="G55" s="20">
        <f t="shared" si="2"/>
        <v>118.87855291339449</v>
      </c>
      <c r="H55" s="20">
        <f t="shared" si="2"/>
        <v>98.767782281101518</v>
      </c>
      <c r="I55" s="154">
        <f t="shared" si="2"/>
        <v>112.23576105774995</v>
      </c>
      <c r="J55" s="20">
        <f t="shared" si="2"/>
        <v>103.22595377706571</v>
      </c>
      <c r="K55" s="155">
        <f t="shared" si="2"/>
        <v>102.66963366435564</v>
      </c>
      <c r="L55" s="20">
        <f t="shared" si="2"/>
        <v>104.17673572121977</v>
      </c>
      <c r="M55" s="20">
        <f t="shared" si="2"/>
        <v>102.58115434179385</v>
      </c>
      <c r="N55" s="20">
        <f t="shared" si="2"/>
        <v>99.671311552300153</v>
      </c>
      <c r="O55" s="1"/>
      <c r="P55" s="2">
        <v>24</v>
      </c>
      <c r="Q55" s="154">
        <f t="shared" ref="Q55:AB55" si="6">(Q44/Q33)*100</f>
        <v>114.68823276093418</v>
      </c>
      <c r="R55" s="20">
        <f t="shared" si="6"/>
        <v>81.665851080514813</v>
      </c>
      <c r="S55" s="155">
        <f t="shared" si="6"/>
        <v>98.248674780066523</v>
      </c>
      <c r="T55" s="20">
        <f t="shared" si="6"/>
        <v>120.56697163267411</v>
      </c>
      <c r="U55" s="20">
        <f t="shared" si="6"/>
        <v>116.65278479566166</v>
      </c>
      <c r="V55" s="20">
        <f t="shared" si="6"/>
        <v>107.89333186262976</v>
      </c>
      <c r="W55" s="154">
        <f t="shared" si="6"/>
        <v>122.21366185231737</v>
      </c>
      <c r="X55" s="20">
        <f t="shared" si="6"/>
        <v>112.89208595673585</v>
      </c>
      <c r="Y55" s="155">
        <f t="shared" si="6"/>
        <v>100.86587821286035</v>
      </c>
      <c r="Z55" s="20">
        <f t="shared" si="6"/>
        <v>110.61441175547849</v>
      </c>
      <c r="AA55" s="20">
        <f t="shared" si="6"/>
        <v>115.72090344864345</v>
      </c>
      <c r="AB55" s="20">
        <f t="shared" si="6"/>
        <v>105.88439518487725</v>
      </c>
    </row>
    <row r="56" spans="2:28">
      <c r="B56" s="2">
        <v>28</v>
      </c>
      <c r="C56" s="154">
        <f t="shared" si="2"/>
        <v>76.625179576250517</v>
      </c>
      <c r="D56" s="20">
        <f t="shared" si="2"/>
        <v>77.439577277780742</v>
      </c>
      <c r="E56" s="155">
        <f t="shared" si="2"/>
        <v>87.916230741737266</v>
      </c>
      <c r="F56" s="20">
        <f t="shared" si="2"/>
        <v>118.74507915451662</v>
      </c>
      <c r="G56" s="20">
        <f t="shared" si="2"/>
        <v>109.92087656035825</v>
      </c>
      <c r="H56" s="20">
        <f t="shared" si="2"/>
        <v>128.31813215214478</v>
      </c>
      <c r="I56" s="154">
        <f t="shared" si="2"/>
        <v>135.989334440909</v>
      </c>
      <c r="J56" s="20">
        <f t="shared" si="2"/>
        <v>115.16188692968494</v>
      </c>
      <c r="K56" s="155">
        <f t="shared" si="2"/>
        <v>110.7599834138763</v>
      </c>
      <c r="L56" s="20">
        <f t="shared" si="2"/>
        <v>125.55939212438511</v>
      </c>
      <c r="M56" s="20">
        <f t="shared" si="2"/>
        <v>125.37396014930984</v>
      </c>
      <c r="N56" s="20">
        <f t="shared" si="2"/>
        <v>117.286002461256</v>
      </c>
      <c r="O56" s="1"/>
      <c r="P56" s="2">
        <v>28</v>
      </c>
      <c r="Q56" s="154">
        <f t="shared" ref="Q56:AB56" si="7">(Q45/Q34)*100</f>
        <v>100.72412462262328</v>
      </c>
      <c r="R56" s="20">
        <f t="shared" si="7"/>
        <v>93.614518285516795</v>
      </c>
      <c r="S56" s="155">
        <f t="shared" si="7"/>
        <v>94.059568764326201</v>
      </c>
      <c r="T56" s="20">
        <f t="shared" si="7"/>
        <v>97.913748378077031</v>
      </c>
      <c r="U56" s="20">
        <f t="shared" si="7"/>
        <v>90.162134655624143</v>
      </c>
      <c r="V56" s="20">
        <f t="shared" si="7"/>
        <v>130.63868308142739</v>
      </c>
      <c r="W56" s="154">
        <f t="shared" si="7"/>
        <v>94.394856299992568</v>
      </c>
      <c r="X56" s="20">
        <f t="shared" si="7"/>
        <v>105.07522091425223</v>
      </c>
      <c r="Y56" s="155">
        <f t="shared" si="7"/>
        <v>85.901565359764248</v>
      </c>
      <c r="Z56" s="20">
        <f t="shared" si="7"/>
        <v>120.76244287769259</v>
      </c>
      <c r="AA56" s="20">
        <f t="shared" si="7"/>
        <v>112.78372269435269</v>
      </c>
      <c r="AB56" s="20">
        <f t="shared" si="7"/>
        <v>119.69191440845231</v>
      </c>
    </row>
    <row r="57" spans="2:28">
      <c r="B57" s="2">
        <v>32</v>
      </c>
      <c r="C57" s="154">
        <f t="shared" si="2"/>
        <v>76.587803018915807</v>
      </c>
      <c r="D57" s="20">
        <f t="shared" si="2"/>
        <v>84.911941047563289</v>
      </c>
      <c r="E57" s="155">
        <f t="shared" si="2"/>
        <v>80.185015958379196</v>
      </c>
      <c r="F57" s="20">
        <f t="shared" si="2"/>
        <v>114.95587403199812</v>
      </c>
      <c r="G57" s="20">
        <f t="shared" si="2"/>
        <v>111.37110544199702</v>
      </c>
      <c r="H57" s="20">
        <f t="shared" si="2"/>
        <v>102.86226326796577</v>
      </c>
      <c r="I57" s="154">
        <f t="shared" si="2"/>
        <v>117.64129426842838</v>
      </c>
      <c r="J57" s="20">
        <f t="shared" si="2"/>
        <v>126.31389440177641</v>
      </c>
      <c r="K57" s="155">
        <f t="shared" si="2"/>
        <v>113.43509017743108</v>
      </c>
      <c r="L57" s="20">
        <f t="shared" si="2"/>
        <v>120.00266119849053</v>
      </c>
      <c r="M57" s="20">
        <f t="shared" si="2"/>
        <v>118.54827737608997</v>
      </c>
      <c r="N57" s="20">
        <f t="shared" si="2"/>
        <v>118.22207705912973</v>
      </c>
      <c r="O57" s="1"/>
      <c r="P57" s="2">
        <v>32</v>
      </c>
      <c r="Q57" s="154">
        <f t="shared" ref="Q57:AB57" si="8">(Q46/Q35)*100</f>
        <v>87.416493132490331</v>
      </c>
      <c r="R57" s="20">
        <f t="shared" si="8"/>
        <v>99.4069544379728</v>
      </c>
      <c r="S57" s="155">
        <f t="shared" si="8"/>
        <v>91.940984622552619</v>
      </c>
      <c r="T57" s="20">
        <f t="shared" si="8"/>
        <v>120.21860502574755</v>
      </c>
      <c r="U57" s="20">
        <f t="shared" si="8"/>
        <v>118.52263565814387</v>
      </c>
      <c r="V57" s="20">
        <f t="shared" si="8"/>
        <v>79.180313517536803</v>
      </c>
      <c r="W57" s="154">
        <f t="shared" si="8"/>
        <v>103.6484006161009</v>
      </c>
      <c r="X57" s="20">
        <f t="shared" si="8"/>
        <v>94.811662341433916</v>
      </c>
      <c r="Y57" s="155">
        <f t="shared" si="8"/>
        <v>103.39388924298795</v>
      </c>
      <c r="Z57" s="20">
        <f t="shared" si="8"/>
        <v>119.33789129564984</v>
      </c>
      <c r="AA57" s="20">
        <f t="shared" si="8"/>
        <v>108.17168343950136</v>
      </c>
      <c r="AB57" s="20">
        <f t="shared" si="8"/>
        <v>133.74552477630169</v>
      </c>
    </row>
    <row r="58" spans="2:28">
      <c r="B58" s="2">
        <v>36</v>
      </c>
      <c r="C58" s="154">
        <f t="shared" si="2"/>
        <v>80.312095762972177</v>
      </c>
      <c r="D58" s="20">
        <f t="shared" si="2"/>
        <v>77.675109246485192</v>
      </c>
      <c r="E58" s="155">
        <f t="shared" si="2"/>
        <v>70.591066252844001</v>
      </c>
      <c r="F58" s="20">
        <f t="shared" si="2"/>
        <v>100.42315392537644</v>
      </c>
      <c r="G58" s="20">
        <f t="shared" si="2"/>
        <v>114.66169974784346</v>
      </c>
      <c r="H58" s="20">
        <f t="shared" si="2"/>
        <v>118.59663441099266</v>
      </c>
      <c r="I58" s="154">
        <f t="shared" si="2"/>
        <v>109.45368774184968</v>
      </c>
      <c r="J58" s="20">
        <f t="shared" si="2"/>
        <v>114.92607420675547</v>
      </c>
      <c r="K58" s="155">
        <f t="shared" si="2"/>
        <v>110.38012475318433</v>
      </c>
      <c r="L58" s="20">
        <f t="shared" si="2"/>
        <v>109.91100980873006</v>
      </c>
      <c r="M58" s="20">
        <f t="shared" si="2"/>
        <v>107.0136870175418</v>
      </c>
      <c r="N58" s="20">
        <f t="shared" si="2"/>
        <v>115.38064355296989</v>
      </c>
      <c r="O58" s="1"/>
      <c r="P58" s="2">
        <v>36</v>
      </c>
      <c r="Q58" s="154">
        <f t="shared" ref="Q58:AB58" si="9">(Q47/Q36)*100</f>
        <v>97.257580769919102</v>
      </c>
      <c r="R58" s="20">
        <f t="shared" si="9"/>
        <v>101.47252173946823</v>
      </c>
      <c r="S58" s="155">
        <f t="shared" si="9"/>
        <v>93.639492042460731</v>
      </c>
      <c r="T58" s="20">
        <f t="shared" si="9"/>
        <v>90.707793122229575</v>
      </c>
      <c r="U58" s="20">
        <f t="shared" si="9"/>
        <v>103.31765346292185</v>
      </c>
      <c r="V58" s="20">
        <f t="shared" si="9"/>
        <v>113.81288412855439</v>
      </c>
      <c r="W58" s="154">
        <f t="shared" si="9"/>
        <v>95.046105895422912</v>
      </c>
      <c r="X58" s="20">
        <f t="shared" si="9"/>
        <v>70.630972669179798</v>
      </c>
      <c r="Y58" s="155">
        <f t="shared" si="9"/>
        <v>106.16148379609747</v>
      </c>
      <c r="Z58" s="20">
        <f t="shared" si="9"/>
        <v>107.42352201738754</v>
      </c>
      <c r="AA58" s="20">
        <f t="shared" si="9"/>
        <v>96.065199424802501</v>
      </c>
      <c r="AB58" s="20">
        <f t="shared" si="9"/>
        <v>114.67902559124377</v>
      </c>
    </row>
    <row r="59" spans="2:28" ht="16" thickBot="1">
      <c r="B59" s="15">
        <v>48</v>
      </c>
      <c r="C59" s="156">
        <f t="shared" si="2"/>
        <v>74.422285709593538</v>
      </c>
      <c r="D59" s="153">
        <f t="shared" si="2"/>
        <v>77.066911975052236</v>
      </c>
      <c r="E59" s="157">
        <f t="shared" si="2"/>
        <v>78.229240299335103</v>
      </c>
      <c r="F59" s="153">
        <f t="shared" si="2"/>
        <v>104.83186059943654</v>
      </c>
      <c r="G59" s="153">
        <f t="shared" si="2"/>
        <v>115.46759494498208</v>
      </c>
      <c r="H59" s="153">
        <f t="shared" si="2"/>
        <v>102.2551050150132</v>
      </c>
      <c r="I59" s="156">
        <f t="shared" si="2"/>
        <v>115.20190444724878</v>
      </c>
      <c r="J59" s="153">
        <f t="shared" si="2"/>
        <v>107.78531042820401</v>
      </c>
      <c r="K59" s="157">
        <f t="shared" si="2"/>
        <v>97.389888244170493</v>
      </c>
      <c r="L59" s="153">
        <f t="shared" si="2"/>
        <v>119.25817234516309</v>
      </c>
      <c r="M59" s="153">
        <f t="shared" si="2"/>
        <v>115.05773900119756</v>
      </c>
      <c r="N59" s="153">
        <f t="shared" si="2"/>
        <v>116.15546630335795</v>
      </c>
      <c r="O59" s="1"/>
      <c r="P59" s="15">
        <v>48</v>
      </c>
      <c r="Q59" s="156">
        <f t="shared" ref="Q59:AB59" si="10">(Q48/Q37)*100</f>
        <v>90.93152790555591</v>
      </c>
      <c r="R59" s="153">
        <f t="shared" si="10"/>
        <v>91.486682826731226</v>
      </c>
      <c r="S59" s="157">
        <f t="shared" si="10"/>
        <v>106.41572954593362</v>
      </c>
      <c r="T59" s="153">
        <f t="shared" si="10"/>
        <v>127.92368565106041</v>
      </c>
      <c r="U59" s="153">
        <f t="shared" si="10"/>
        <v>114.3600948933428</v>
      </c>
      <c r="V59" s="153">
        <f t="shared" si="10"/>
        <v>106.7776788733983</v>
      </c>
      <c r="W59" s="156">
        <f t="shared" si="10"/>
        <v>107.82272966111681</v>
      </c>
      <c r="X59" s="153">
        <f t="shared" si="10"/>
        <v>115.68995932264812</v>
      </c>
      <c r="Y59" s="157">
        <f t="shared" si="10"/>
        <v>113.3207569239155</v>
      </c>
      <c r="Z59" s="153">
        <f t="shared" si="10"/>
        <v>134.36037538284907</v>
      </c>
      <c r="AA59" s="153">
        <f t="shared" si="10"/>
        <v>99.799054798151289</v>
      </c>
      <c r="AB59" s="153">
        <f t="shared" si="10"/>
        <v>127.1529014730643</v>
      </c>
    </row>
  </sheetData>
  <mergeCells count="40">
    <mergeCell ref="W7:Y7"/>
    <mergeCell ref="Z7:AB7"/>
    <mergeCell ref="C18:E18"/>
    <mergeCell ref="F18:H18"/>
    <mergeCell ref="I18:K18"/>
    <mergeCell ref="L18:N18"/>
    <mergeCell ref="Q18:S18"/>
    <mergeCell ref="T18:V18"/>
    <mergeCell ref="W18:Y18"/>
    <mergeCell ref="Z18:AB18"/>
    <mergeCell ref="C7:E7"/>
    <mergeCell ref="F7:H7"/>
    <mergeCell ref="I7:K7"/>
    <mergeCell ref="L7:N7"/>
    <mergeCell ref="Q7:S7"/>
    <mergeCell ref="T7:V7"/>
    <mergeCell ref="W29:Y29"/>
    <mergeCell ref="Z29:AB29"/>
    <mergeCell ref="C40:E40"/>
    <mergeCell ref="F40:H40"/>
    <mergeCell ref="I40:K40"/>
    <mergeCell ref="L40:N40"/>
    <mergeCell ref="Q40:S40"/>
    <mergeCell ref="T40:V40"/>
    <mergeCell ref="W40:Y40"/>
    <mergeCell ref="Z40:AB40"/>
    <mergeCell ref="C29:E29"/>
    <mergeCell ref="F29:H29"/>
    <mergeCell ref="I29:K29"/>
    <mergeCell ref="L29:N29"/>
    <mergeCell ref="Q29:S29"/>
    <mergeCell ref="T29:V29"/>
    <mergeCell ref="W51:Y51"/>
    <mergeCell ref="Z51:AB51"/>
    <mergeCell ref="C51:E51"/>
    <mergeCell ref="F51:H51"/>
    <mergeCell ref="I51:K51"/>
    <mergeCell ref="L51:N51"/>
    <mergeCell ref="Q51:S51"/>
    <mergeCell ref="T51:V51"/>
  </mergeCells>
  <phoneticPr fontId="2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73454-7498-D34B-BAED-4FE8362B75F2}">
  <dimension ref="A2:W19"/>
  <sheetViews>
    <sheetView workbookViewId="0">
      <selection activeCell="T16" sqref="T16"/>
    </sheetView>
  </sheetViews>
  <sheetFormatPr baseColWidth="10" defaultRowHeight="15"/>
  <cols>
    <col min="4" max="4" width="13.5" customWidth="1"/>
    <col min="10" max="10" width="13.1640625" customWidth="1"/>
    <col min="13" max="13" width="12.83203125" customWidth="1"/>
  </cols>
  <sheetData>
    <row r="2" spans="1:23" ht="16" thickBot="1">
      <c r="A2" s="1" t="s">
        <v>249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>
      <c r="A3" s="262" t="s">
        <v>10</v>
      </c>
      <c r="B3" s="269" t="s">
        <v>194</v>
      </c>
      <c r="C3" s="270"/>
      <c r="D3" s="271"/>
      <c r="E3" s="270" t="s">
        <v>195</v>
      </c>
      <c r="F3" s="270"/>
      <c r="G3" s="270"/>
      <c r="H3" s="269" t="s">
        <v>196</v>
      </c>
      <c r="I3" s="270"/>
      <c r="J3" s="271"/>
      <c r="K3" s="270" t="s">
        <v>197</v>
      </c>
      <c r="L3" s="270"/>
      <c r="M3" s="270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>
      <c r="A4" s="263"/>
      <c r="B4" s="91">
        <v>1</v>
      </c>
      <c r="C4" s="13">
        <v>2</v>
      </c>
      <c r="D4" s="92">
        <v>3</v>
      </c>
      <c r="E4" s="13">
        <v>7</v>
      </c>
      <c r="F4" s="13">
        <v>8</v>
      </c>
      <c r="G4" s="13">
        <v>9</v>
      </c>
      <c r="H4" s="91">
        <v>13</v>
      </c>
      <c r="I4" s="13">
        <v>14</v>
      </c>
      <c r="J4" s="92">
        <v>15</v>
      </c>
      <c r="K4" s="13">
        <v>19</v>
      </c>
      <c r="L4" s="13">
        <v>20</v>
      </c>
      <c r="M4" s="13">
        <v>21</v>
      </c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>
      <c r="A5" s="14">
        <v>0</v>
      </c>
      <c r="B5" s="93">
        <v>0</v>
      </c>
      <c r="C5" s="107">
        <v>0</v>
      </c>
      <c r="D5" s="94">
        <v>0</v>
      </c>
      <c r="E5" s="107">
        <v>0</v>
      </c>
      <c r="F5" s="107">
        <v>0</v>
      </c>
      <c r="G5" s="107">
        <v>0</v>
      </c>
      <c r="H5" s="93">
        <v>0</v>
      </c>
      <c r="I5" s="107">
        <v>0</v>
      </c>
      <c r="J5" s="94">
        <v>0</v>
      </c>
      <c r="K5" s="107">
        <v>0</v>
      </c>
      <c r="L5" s="107">
        <v>0</v>
      </c>
      <c r="M5" s="107">
        <v>0</v>
      </c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>
      <c r="A6" s="14">
        <v>8</v>
      </c>
      <c r="B6" s="93">
        <v>5331.1764705882351</v>
      </c>
      <c r="C6" s="107">
        <v>5484.7058823529424</v>
      </c>
      <c r="D6" s="94">
        <v>4838.8235294117649</v>
      </c>
      <c r="E6" s="107">
        <v>2827.0588235294122</v>
      </c>
      <c r="F6" s="107">
        <v>2885.294117647059</v>
      </c>
      <c r="G6" s="107">
        <v>2768.8235294117649</v>
      </c>
      <c r="H6" s="93">
        <v>1524.7058823529414</v>
      </c>
      <c r="I6" s="107">
        <v>1461.1764705882356</v>
      </c>
      <c r="J6" s="94">
        <v>1440.0000000000002</v>
      </c>
      <c r="K6" s="19">
        <v>285.88235294117646</v>
      </c>
      <c r="L6" s="19">
        <v>248.82352941176464</v>
      </c>
      <c r="M6" s="19">
        <v>227.64705882352933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>
      <c r="A7" s="14">
        <v>12</v>
      </c>
      <c r="B7" s="93">
        <v>4203.5294117647063</v>
      </c>
      <c r="C7" s="107">
        <v>4870.5882352941171</v>
      </c>
      <c r="D7" s="94">
        <v>5167.0588235294117</v>
      </c>
      <c r="E7" s="107">
        <v>2578.2352941176473</v>
      </c>
      <c r="F7" s="107">
        <v>2890.588235294118</v>
      </c>
      <c r="G7" s="107">
        <v>2588.8235294117649</v>
      </c>
      <c r="H7" s="93">
        <v>1381.7647058823529</v>
      </c>
      <c r="I7" s="107">
        <v>1461.1764705882356</v>
      </c>
      <c r="J7" s="94">
        <v>1270.5882352941178</v>
      </c>
      <c r="K7" s="19">
        <v>195.88235294117635</v>
      </c>
      <c r="L7" s="19">
        <v>153.52941176470571</v>
      </c>
      <c r="M7" s="19">
        <v>142.94117647058809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>
      <c r="A8" s="14">
        <v>24</v>
      </c>
      <c r="B8" s="93">
        <v>4939.4117647058829</v>
      </c>
      <c r="C8" s="107">
        <v>5786.4705882352946</v>
      </c>
      <c r="D8" s="94">
        <v>5066.4705882352946</v>
      </c>
      <c r="E8" s="107">
        <v>3012.3529411764703</v>
      </c>
      <c r="F8" s="107">
        <v>3213.5294117647059</v>
      </c>
      <c r="G8" s="107">
        <v>3218.8235294117649</v>
      </c>
      <c r="H8" s="93">
        <v>1148.8235294117646</v>
      </c>
      <c r="I8" s="107">
        <v>1260</v>
      </c>
      <c r="J8" s="94">
        <v>1270.5882352941178</v>
      </c>
      <c r="K8" s="19">
        <v>47.647058823529456</v>
      </c>
      <c r="L8" s="19">
        <v>31.76470588235297</v>
      </c>
      <c r="M8" s="19">
        <v>37.058823529411804</v>
      </c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>
      <c r="A9" s="14">
        <v>28</v>
      </c>
      <c r="B9" s="93">
        <v>4531.7647058823541</v>
      </c>
      <c r="C9" s="107">
        <v>4748.8235294117658</v>
      </c>
      <c r="D9" s="94">
        <v>5151.176470588236</v>
      </c>
      <c r="E9" s="107">
        <v>2662.9411764705883</v>
      </c>
      <c r="F9" s="107">
        <v>2943.5294117647059</v>
      </c>
      <c r="G9" s="107">
        <v>2763.5294117647059</v>
      </c>
      <c r="H9" s="93">
        <v>1164.7058823529412</v>
      </c>
      <c r="I9" s="107">
        <v>1048.2352941176471</v>
      </c>
      <c r="J9" s="94">
        <v>1064.1176470588236</v>
      </c>
      <c r="K9" s="19">
        <v>26.470588235294144</v>
      </c>
      <c r="L9" s="19">
        <v>26.470588235294144</v>
      </c>
      <c r="M9" s="19">
        <v>31.76470588235297</v>
      </c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>
      <c r="A10" s="14">
        <v>32</v>
      </c>
      <c r="B10" s="93">
        <v>4404.7058823529424</v>
      </c>
      <c r="C10" s="107">
        <v>4452.3529411764703</v>
      </c>
      <c r="D10" s="94">
        <v>5040</v>
      </c>
      <c r="E10" s="107">
        <v>2742.3529411764712</v>
      </c>
      <c r="F10" s="107">
        <v>2768.8235294117649</v>
      </c>
      <c r="G10" s="107">
        <v>2424.705882352941</v>
      </c>
      <c r="H10" s="93">
        <v>1079.9999999999998</v>
      </c>
      <c r="I10" s="107">
        <v>1180.5882352941176</v>
      </c>
      <c r="J10" s="94">
        <v>1011.1764705882354</v>
      </c>
      <c r="K10" s="19">
        <v>21.176470588235315</v>
      </c>
      <c r="L10" s="19">
        <v>31.76470588235297</v>
      </c>
      <c r="M10" s="19">
        <v>26.470588235294144</v>
      </c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>
      <c r="A11" s="14">
        <v>36</v>
      </c>
      <c r="B11" s="93">
        <v>4997.6470588235288</v>
      </c>
      <c r="C11" s="107">
        <v>4494.7058823529414</v>
      </c>
      <c r="D11" s="94">
        <v>4944.7058823529405</v>
      </c>
      <c r="E11" s="107">
        <v>2678.8235294117649</v>
      </c>
      <c r="F11" s="107">
        <v>3266.4705882352941</v>
      </c>
      <c r="G11" s="107">
        <v>2657.6470588235297</v>
      </c>
      <c r="H11" s="93">
        <v>995.2941176470589</v>
      </c>
      <c r="I11" s="107">
        <v>1185.8823529411764</v>
      </c>
      <c r="J11" s="94">
        <v>1064.1176470588236</v>
      </c>
      <c r="K11" s="19">
        <v>21.176470588235315</v>
      </c>
      <c r="L11" s="19">
        <v>26.470588235294144</v>
      </c>
      <c r="M11" s="19">
        <v>25.411764705882199</v>
      </c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6" thickBot="1">
      <c r="A12" s="108">
        <v>48</v>
      </c>
      <c r="B12" s="109">
        <v>4282.9411764705883</v>
      </c>
      <c r="C12" s="110">
        <v>5325.8823529411766</v>
      </c>
      <c r="D12" s="111">
        <v>4965.8823529411766</v>
      </c>
      <c r="E12" s="110">
        <v>2324.117647058823</v>
      </c>
      <c r="F12" s="110">
        <v>2493.5294117647059</v>
      </c>
      <c r="G12" s="110">
        <v>2292.3529411764703</v>
      </c>
      <c r="H12" s="109">
        <v>921.17647058823525</v>
      </c>
      <c r="I12" s="110">
        <v>841.76470588235281</v>
      </c>
      <c r="J12" s="111">
        <v>820.58823529411745</v>
      </c>
      <c r="K12" s="112">
        <v>21.176470588235315</v>
      </c>
      <c r="L12" s="112">
        <v>26.470588235294144</v>
      </c>
      <c r="M12" s="112">
        <v>21.176470588235315</v>
      </c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</sheetData>
  <mergeCells count="5">
    <mergeCell ref="A3:A4"/>
    <mergeCell ref="B3:D3"/>
    <mergeCell ref="E3:G3"/>
    <mergeCell ref="H3:J3"/>
    <mergeCell ref="K3:M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BD94A-BDA4-5D48-BB84-8DE30E9AFE65}">
  <dimension ref="A2:AK19"/>
  <sheetViews>
    <sheetView workbookViewId="0">
      <selection activeCell="N37" sqref="N37"/>
    </sheetView>
  </sheetViews>
  <sheetFormatPr baseColWidth="10" defaultRowHeight="15"/>
  <sheetData>
    <row r="2" spans="1:37">
      <c r="A2" s="29" t="s">
        <v>224</v>
      </c>
    </row>
    <row r="3" spans="1:37" ht="12" customHeight="1"/>
    <row r="4" spans="1:37" ht="16" thickBot="1">
      <c r="A4" s="29" t="s">
        <v>250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37">
      <c r="A5" s="144"/>
      <c r="B5" s="275" t="s">
        <v>187</v>
      </c>
      <c r="C5" s="273"/>
      <c r="D5" s="273"/>
      <c r="E5" s="273"/>
      <c r="F5" s="273"/>
      <c r="G5" s="273"/>
      <c r="H5" s="273"/>
      <c r="I5" s="273"/>
      <c r="J5" s="273"/>
      <c r="K5" s="272" t="s">
        <v>188</v>
      </c>
      <c r="L5" s="273"/>
      <c r="M5" s="273"/>
      <c r="N5" s="273"/>
      <c r="O5" s="273"/>
      <c r="P5" s="273"/>
      <c r="Q5" s="273"/>
      <c r="R5" s="273"/>
      <c r="S5" s="274"/>
      <c r="T5" s="275" t="s">
        <v>141</v>
      </c>
      <c r="U5" s="273"/>
      <c r="V5" s="273"/>
      <c r="W5" s="273"/>
      <c r="X5" s="273"/>
      <c r="Y5" s="273"/>
      <c r="Z5" s="273"/>
      <c r="AA5" s="273"/>
      <c r="AB5" s="273"/>
    </row>
    <row r="6" spans="1:37" ht="16" thickBot="1">
      <c r="A6" s="30" t="s">
        <v>182</v>
      </c>
      <c r="B6" s="324" t="s">
        <v>12</v>
      </c>
      <c r="C6" s="325"/>
      <c r="D6" s="326"/>
      <c r="E6" s="324" t="s">
        <v>95</v>
      </c>
      <c r="F6" s="325"/>
      <c r="G6" s="326"/>
      <c r="H6" s="327" t="s">
        <v>40</v>
      </c>
      <c r="I6" s="327"/>
      <c r="J6" s="327"/>
      <c r="K6" s="329" t="s">
        <v>12</v>
      </c>
      <c r="L6" s="327"/>
      <c r="M6" s="327"/>
      <c r="N6" s="324" t="s">
        <v>95</v>
      </c>
      <c r="O6" s="325"/>
      <c r="P6" s="326"/>
      <c r="Q6" s="327" t="s">
        <v>40</v>
      </c>
      <c r="R6" s="327"/>
      <c r="S6" s="328"/>
      <c r="T6" s="327" t="s">
        <v>12</v>
      </c>
      <c r="U6" s="327"/>
      <c r="V6" s="327"/>
      <c r="W6" s="324" t="s">
        <v>95</v>
      </c>
      <c r="X6" s="325"/>
      <c r="Y6" s="326"/>
      <c r="Z6" s="327" t="s">
        <v>40</v>
      </c>
      <c r="AA6" s="327"/>
      <c r="AB6" s="327"/>
    </row>
    <row r="7" spans="1:37">
      <c r="A7" s="145">
        <v>0</v>
      </c>
      <c r="B7" s="147">
        <v>0</v>
      </c>
      <c r="C7" s="146">
        <v>0</v>
      </c>
      <c r="D7" s="148">
        <v>0</v>
      </c>
      <c r="E7" s="147">
        <v>20.83</v>
      </c>
      <c r="F7" s="146">
        <v>20.94</v>
      </c>
      <c r="G7" s="148">
        <v>19.32</v>
      </c>
      <c r="H7" s="146">
        <v>0</v>
      </c>
      <c r="I7" s="146">
        <v>0</v>
      </c>
      <c r="J7" s="146">
        <v>0</v>
      </c>
      <c r="K7" s="147">
        <v>0</v>
      </c>
      <c r="L7" s="146">
        <v>0</v>
      </c>
      <c r="M7" s="146">
        <v>0</v>
      </c>
      <c r="N7" s="147">
        <v>21.27</v>
      </c>
      <c r="O7" s="146">
        <v>19.010000000000002</v>
      </c>
      <c r="P7" s="148">
        <v>19.37</v>
      </c>
      <c r="Q7" s="146">
        <v>0</v>
      </c>
      <c r="R7" s="146">
        <v>0</v>
      </c>
      <c r="S7" s="148">
        <v>0</v>
      </c>
      <c r="T7" s="146">
        <v>0</v>
      </c>
      <c r="U7" s="146">
        <v>0</v>
      </c>
      <c r="V7" s="146">
        <v>0</v>
      </c>
      <c r="W7" s="147">
        <v>19.36</v>
      </c>
      <c r="X7" s="146">
        <v>22</v>
      </c>
      <c r="Y7" s="148">
        <v>22.96</v>
      </c>
      <c r="Z7" s="146">
        <v>0</v>
      </c>
      <c r="AA7" s="146">
        <v>0</v>
      </c>
      <c r="AB7" s="146">
        <v>0</v>
      </c>
    </row>
    <row r="8" spans="1:37">
      <c r="A8" s="24">
        <v>2</v>
      </c>
      <c r="B8" s="40">
        <v>0.19</v>
      </c>
      <c r="C8" s="22">
        <v>0.17</v>
      </c>
      <c r="D8" s="41">
        <v>0.16</v>
      </c>
      <c r="E8" s="40">
        <v>17.690000000000001</v>
      </c>
      <c r="F8" s="22">
        <v>18.309999999999999</v>
      </c>
      <c r="G8" s="41">
        <v>18.64</v>
      </c>
      <c r="H8" s="22">
        <v>0.65</v>
      </c>
      <c r="I8" s="22">
        <v>0.67</v>
      </c>
      <c r="J8" s="22">
        <v>0.68</v>
      </c>
      <c r="K8" s="40">
        <v>0.28000000000000003</v>
      </c>
      <c r="L8" s="22">
        <v>0.36</v>
      </c>
      <c r="M8" s="22">
        <v>0.28000000000000003</v>
      </c>
      <c r="N8" s="40">
        <v>15.53</v>
      </c>
      <c r="O8" s="22">
        <v>16.55</v>
      </c>
      <c r="P8" s="41">
        <v>17.559999999999999</v>
      </c>
      <c r="Q8" s="22">
        <v>0.74</v>
      </c>
      <c r="R8" s="22">
        <v>0.73</v>
      </c>
      <c r="S8" s="41">
        <v>0.74</v>
      </c>
      <c r="T8" s="22">
        <v>0.18</v>
      </c>
      <c r="U8" s="22">
        <v>0.16</v>
      </c>
      <c r="V8" s="22">
        <v>0.18</v>
      </c>
      <c r="W8" s="40">
        <v>18.04</v>
      </c>
      <c r="X8" s="22">
        <v>18.059999999999999</v>
      </c>
      <c r="Y8" s="41">
        <v>16.62</v>
      </c>
      <c r="Z8" s="22">
        <v>0.68</v>
      </c>
      <c r="AA8" s="22">
        <v>0.7</v>
      </c>
      <c r="AB8" s="22">
        <v>0.7</v>
      </c>
    </row>
    <row r="9" spans="1:37">
      <c r="A9" s="24">
        <v>4</v>
      </c>
      <c r="B9" s="40">
        <v>0.54</v>
      </c>
      <c r="C9" s="22">
        <v>0.51</v>
      </c>
      <c r="D9" s="41">
        <v>0.51</v>
      </c>
      <c r="E9" s="40">
        <v>15.6</v>
      </c>
      <c r="F9" s="22">
        <v>15.46</v>
      </c>
      <c r="G9" s="41">
        <v>16.899999999999999</v>
      </c>
      <c r="H9" s="22">
        <v>0.71</v>
      </c>
      <c r="I9" s="22">
        <v>0.69</v>
      </c>
      <c r="J9" s="22">
        <v>0.86</v>
      </c>
      <c r="K9" s="40">
        <v>0.61</v>
      </c>
      <c r="L9" s="22">
        <v>0.57999999999999996</v>
      </c>
      <c r="M9" s="22">
        <v>0.66</v>
      </c>
      <c r="N9" s="40">
        <v>14.91</v>
      </c>
      <c r="O9" s="22">
        <v>15.15</v>
      </c>
      <c r="P9" s="41">
        <v>12.63</v>
      </c>
      <c r="Q9" s="22">
        <v>0.85</v>
      </c>
      <c r="R9" s="22">
        <v>0.67</v>
      </c>
      <c r="S9" s="41">
        <v>0.57999999999999996</v>
      </c>
      <c r="T9" s="22">
        <v>0.48</v>
      </c>
      <c r="U9" s="22">
        <v>0.45</v>
      </c>
      <c r="V9" s="22">
        <v>0.53</v>
      </c>
      <c r="W9" s="40">
        <v>16.39</v>
      </c>
      <c r="X9" s="22">
        <v>15.78</v>
      </c>
      <c r="Y9" s="41">
        <v>16.57</v>
      </c>
      <c r="Z9" s="22">
        <v>0.59</v>
      </c>
      <c r="AA9" s="22">
        <v>0.81</v>
      </c>
      <c r="AB9" s="22">
        <v>0.6</v>
      </c>
    </row>
    <row r="10" spans="1:37">
      <c r="A10" s="24">
        <v>6</v>
      </c>
      <c r="B10" s="40">
        <v>0.87</v>
      </c>
      <c r="C10" s="22">
        <v>0.72</v>
      </c>
      <c r="D10" s="41">
        <v>0.83</v>
      </c>
      <c r="E10" s="40">
        <v>14.75</v>
      </c>
      <c r="F10" s="22">
        <v>15.94</v>
      </c>
      <c r="G10" s="41">
        <v>13.78</v>
      </c>
      <c r="H10" s="22">
        <v>0.61</v>
      </c>
      <c r="I10" s="22">
        <v>0.76</v>
      </c>
      <c r="J10" s="22">
        <v>0.59</v>
      </c>
      <c r="K10" s="40">
        <v>0.95</v>
      </c>
      <c r="L10" s="22">
        <v>1.05</v>
      </c>
      <c r="M10" s="22">
        <v>0.93</v>
      </c>
      <c r="N10" s="40">
        <v>12.8</v>
      </c>
      <c r="O10" s="22">
        <v>13.84</v>
      </c>
      <c r="P10" s="41">
        <v>13.01</v>
      </c>
      <c r="Q10" s="22">
        <v>0.76</v>
      </c>
      <c r="R10" s="22">
        <v>0.86</v>
      </c>
      <c r="S10" s="41">
        <v>0.93</v>
      </c>
      <c r="T10" s="22">
        <v>0.83</v>
      </c>
      <c r="U10" s="22">
        <v>0.76</v>
      </c>
      <c r="V10" s="22">
        <v>0.8</v>
      </c>
      <c r="W10" s="40">
        <v>14.19</v>
      </c>
      <c r="X10" s="22">
        <v>15.34</v>
      </c>
      <c r="Y10" s="41">
        <v>14.5</v>
      </c>
      <c r="Z10" s="22">
        <v>0.65</v>
      </c>
      <c r="AA10" s="22">
        <v>0.62</v>
      </c>
      <c r="AB10" s="22">
        <v>0.66</v>
      </c>
    </row>
    <row r="11" spans="1:37">
      <c r="A11" s="24">
        <v>8</v>
      </c>
      <c r="B11" s="40">
        <v>1.21</v>
      </c>
      <c r="C11" s="22">
        <v>1.1599999999999999</v>
      </c>
      <c r="D11" s="41">
        <v>1.08</v>
      </c>
      <c r="E11" s="40">
        <v>11.97</v>
      </c>
      <c r="F11" s="22">
        <v>11.43</v>
      </c>
      <c r="G11" s="41">
        <v>11.85</v>
      </c>
      <c r="H11" s="22">
        <v>0.65</v>
      </c>
      <c r="I11" s="22">
        <v>0.56000000000000005</v>
      </c>
      <c r="J11" s="22">
        <v>0.79</v>
      </c>
      <c r="K11" s="40">
        <v>1.26</v>
      </c>
      <c r="L11" s="22">
        <v>1.26</v>
      </c>
      <c r="M11" s="22">
        <v>1.21</v>
      </c>
      <c r="N11" s="40">
        <v>10.25</v>
      </c>
      <c r="O11" s="22">
        <v>10.87</v>
      </c>
      <c r="P11" s="41">
        <v>10.9</v>
      </c>
      <c r="Q11" s="22">
        <v>0.79</v>
      </c>
      <c r="R11" s="22">
        <v>0.73</v>
      </c>
      <c r="S11" s="41">
        <v>0.79</v>
      </c>
      <c r="T11" s="22">
        <v>1.17</v>
      </c>
      <c r="U11" s="22">
        <v>1.07</v>
      </c>
      <c r="V11" s="22">
        <v>1.17</v>
      </c>
      <c r="W11" s="40">
        <v>12.71</v>
      </c>
      <c r="X11" s="22">
        <v>11.94</v>
      </c>
      <c r="Y11" s="41">
        <v>11.56</v>
      </c>
      <c r="Z11" s="22">
        <v>0.72</v>
      </c>
      <c r="AA11" s="22">
        <v>0.67</v>
      </c>
      <c r="AB11" s="22">
        <v>0.7</v>
      </c>
    </row>
    <row r="12" spans="1:37">
      <c r="A12" s="24">
        <v>10</v>
      </c>
      <c r="B12" s="40">
        <v>1.3</v>
      </c>
      <c r="C12" s="22">
        <v>1.32</v>
      </c>
      <c r="D12" s="41">
        <v>1.24</v>
      </c>
      <c r="E12" s="40">
        <v>9.98</v>
      </c>
      <c r="F12" s="22">
        <v>9.1199999999999992</v>
      </c>
      <c r="G12" s="41">
        <v>11.16</v>
      </c>
      <c r="H12" s="22">
        <v>0.57999999999999996</v>
      </c>
      <c r="I12" s="22">
        <v>0.65</v>
      </c>
      <c r="J12" s="22">
        <v>0.63</v>
      </c>
      <c r="K12" s="40">
        <v>1.37</v>
      </c>
      <c r="L12" s="22">
        <v>1.38</v>
      </c>
      <c r="M12" s="22">
        <v>1.4</v>
      </c>
      <c r="N12" s="40">
        <v>9.59</v>
      </c>
      <c r="O12" s="22">
        <v>9.19</v>
      </c>
      <c r="P12" s="41">
        <v>9.64</v>
      </c>
      <c r="Q12" s="22">
        <v>0.62</v>
      </c>
      <c r="R12" s="22">
        <v>0.65</v>
      </c>
      <c r="S12" s="41">
        <v>0.55000000000000004</v>
      </c>
      <c r="T12" s="22">
        <v>1.26</v>
      </c>
      <c r="U12" s="22">
        <v>1.1599999999999999</v>
      </c>
      <c r="V12" s="22">
        <v>1.29</v>
      </c>
      <c r="W12" s="40">
        <v>10.26</v>
      </c>
      <c r="X12" s="22">
        <v>10.4</v>
      </c>
      <c r="Y12" s="41">
        <v>10.73</v>
      </c>
      <c r="Z12" s="22">
        <v>0.61</v>
      </c>
      <c r="AA12" s="22">
        <v>0.67</v>
      </c>
      <c r="AB12" s="22">
        <v>0.7</v>
      </c>
    </row>
    <row r="13" spans="1:37" ht="16" thickBot="1">
      <c r="A13" s="30">
        <v>12</v>
      </c>
      <c r="B13" s="42">
        <v>1.32</v>
      </c>
      <c r="C13" s="36">
        <v>1.3</v>
      </c>
      <c r="D13" s="43">
        <v>1.33</v>
      </c>
      <c r="E13" s="42">
        <v>9.06</v>
      </c>
      <c r="F13" s="36">
        <v>6.08</v>
      </c>
      <c r="G13" s="43">
        <v>7.94</v>
      </c>
      <c r="H13" s="36">
        <v>0.54</v>
      </c>
      <c r="I13" s="36">
        <v>0.47</v>
      </c>
      <c r="J13" s="36">
        <v>0.63</v>
      </c>
      <c r="K13" s="42">
        <v>1.4</v>
      </c>
      <c r="L13" s="36">
        <v>1.68</v>
      </c>
      <c r="M13" s="36">
        <v>1.58</v>
      </c>
      <c r="N13" s="42">
        <v>6.13</v>
      </c>
      <c r="O13" s="36">
        <v>6.05</v>
      </c>
      <c r="P13" s="43">
        <v>6.69</v>
      </c>
      <c r="Q13" s="36">
        <v>0.5</v>
      </c>
      <c r="R13" s="36">
        <v>0.6</v>
      </c>
      <c r="S13" s="43">
        <v>0.6</v>
      </c>
      <c r="T13" s="36">
        <v>1.33</v>
      </c>
      <c r="U13" s="36">
        <v>1.21</v>
      </c>
      <c r="V13" s="36">
        <v>1.35</v>
      </c>
      <c r="W13" s="42">
        <v>8.85</v>
      </c>
      <c r="X13" s="36">
        <v>10.199999999999999</v>
      </c>
      <c r="Y13" s="43">
        <v>9.8699999999999992</v>
      </c>
      <c r="Z13" s="36">
        <v>0.56000000000000005</v>
      </c>
      <c r="AA13" s="36">
        <v>0.68</v>
      </c>
      <c r="AB13" s="36">
        <v>0.65</v>
      </c>
    </row>
    <row r="15" spans="1:37" ht="16" thickBot="1">
      <c r="A15" s="29" t="s">
        <v>251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>
      <c r="A16" s="141" t="s">
        <v>182</v>
      </c>
      <c r="B16" s="282" t="s">
        <v>184</v>
      </c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4"/>
      <c r="N16" s="282" t="s">
        <v>185</v>
      </c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4"/>
      <c r="Z16" s="283" t="s">
        <v>60</v>
      </c>
      <c r="AA16" s="283"/>
      <c r="AB16" s="283"/>
      <c r="AC16" s="283"/>
      <c r="AD16" s="283"/>
      <c r="AE16" s="283"/>
      <c r="AF16" s="283"/>
      <c r="AG16" s="283"/>
      <c r="AH16" s="283"/>
      <c r="AI16" s="283"/>
      <c r="AJ16" s="283"/>
      <c r="AK16" s="283"/>
    </row>
    <row r="17" spans="1:37">
      <c r="A17" s="24">
        <v>0</v>
      </c>
      <c r="B17" s="77">
        <v>309000</v>
      </c>
      <c r="C17" s="143">
        <v>327000</v>
      </c>
      <c r="D17" s="143">
        <v>502000</v>
      </c>
      <c r="E17" s="143">
        <v>400000</v>
      </c>
      <c r="F17" s="143">
        <v>220000</v>
      </c>
      <c r="G17" s="143">
        <v>235000</v>
      </c>
      <c r="H17" s="143">
        <v>205000</v>
      </c>
      <c r="I17" s="143">
        <v>216000</v>
      </c>
      <c r="J17" s="143">
        <v>331000</v>
      </c>
      <c r="K17" s="143">
        <v>321000</v>
      </c>
      <c r="L17" s="143">
        <v>279000</v>
      </c>
      <c r="M17" s="75">
        <v>353000</v>
      </c>
      <c r="N17" s="77">
        <v>353000</v>
      </c>
      <c r="O17" s="143">
        <v>360000</v>
      </c>
      <c r="P17" s="143">
        <v>344000</v>
      </c>
      <c r="Q17" s="143">
        <v>312000</v>
      </c>
      <c r="R17" s="143">
        <v>357000</v>
      </c>
      <c r="S17" s="143">
        <v>320000</v>
      </c>
      <c r="T17" s="143">
        <v>363000</v>
      </c>
      <c r="U17" s="143">
        <v>346000</v>
      </c>
      <c r="V17" s="143">
        <v>238000</v>
      </c>
      <c r="W17" s="143">
        <v>168000</v>
      </c>
      <c r="X17" s="143">
        <v>166000</v>
      </c>
      <c r="Y17" s="75">
        <v>150000</v>
      </c>
      <c r="Z17" s="143">
        <v>356000</v>
      </c>
      <c r="AA17" s="143">
        <v>339000</v>
      </c>
      <c r="AB17" s="143">
        <v>352000</v>
      </c>
      <c r="AC17" s="143">
        <v>328000</v>
      </c>
      <c r="AD17" s="143">
        <v>332000</v>
      </c>
      <c r="AE17" s="143">
        <v>345000</v>
      </c>
      <c r="AF17" s="143">
        <v>347000</v>
      </c>
      <c r="AG17" s="143">
        <v>348000</v>
      </c>
      <c r="AH17" s="143">
        <v>348000</v>
      </c>
      <c r="AI17" s="143">
        <v>330000</v>
      </c>
      <c r="AJ17" s="143">
        <v>341000</v>
      </c>
      <c r="AK17" s="143">
        <v>328000</v>
      </c>
    </row>
    <row r="18" spans="1:37">
      <c r="A18" s="24">
        <v>4</v>
      </c>
      <c r="B18" s="77">
        <v>17400000</v>
      </c>
      <c r="C18" s="143">
        <v>14900000</v>
      </c>
      <c r="D18" s="143">
        <v>12900000</v>
      </c>
      <c r="E18" s="143">
        <v>13500000</v>
      </c>
      <c r="F18" s="143">
        <v>10900000</v>
      </c>
      <c r="G18" s="143">
        <v>11300000</v>
      </c>
      <c r="H18" s="143">
        <v>12900000</v>
      </c>
      <c r="I18" s="143">
        <v>16500000</v>
      </c>
      <c r="J18" s="143">
        <v>8640000</v>
      </c>
      <c r="K18" s="143">
        <v>6250000</v>
      </c>
      <c r="L18" s="143">
        <v>8910000</v>
      </c>
      <c r="M18" s="75">
        <v>5610000</v>
      </c>
      <c r="N18" s="77">
        <v>33900000</v>
      </c>
      <c r="O18" s="143">
        <v>22500000</v>
      </c>
      <c r="P18" s="143">
        <v>26700000</v>
      </c>
      <c r="Q18" s="143">
        <v>25100000</v>
      </c>
      <c r="R18" s="143">
        <v>16900000</v>
      </c>
      <c r="S18" s="143">
        <v>14100000</v>
      </c>
      <c r="T18" s="143">
        <v>14500000</v>
      </c>
      <c r="U18" s="143">
        <v>12600000</v>
      </c>
      <c r="V18" s="143">
        <v>24600000</v>
      </c>
      <c r="W18" s="143">
        <v>25700000</v>
      </c>
      <c r="X18" s="143">
        <v>26900000</v>
      </c>
      <c r="Y18" s="75">
        <v>30200000</v>
      </c>
      <c r="Z18" s="143">
        <v>17900000</v>
      </c>
      <c r="AA18" s="143">
        <v>16800000</v>
      </c>
      <c r="AB18" s="143">
        <v>14800000</v>
      </c>
      <c r="AC18" s="143">
        <v>15600000</v>
      </c>
      <c r="AD18" s="143">
        <v>14900000</v>
      </c>
      <c r="AE18" s="143">
        <v>22900000</v>
      </c>
      <c r="AF18" s="143">
        <v>23000000</v>
      </c>
      <c r="AG18" s="143">
        <v>25500000</v>
      </c>
      <c r="AH18" s="143">
        <v>24200000</v>
      </c>
      <c r="AI18" s="143">
        <v>21800000</v>
      </c>
      <c r="AJ18" s="143">
        <v>21500000</v>
      </c>
      <c r="AK18" s="143">
        <v>23100000</v>
      </c>
    </row>
    <row r="19" spans="1:37" ht="16" thickBot="1">
      <c r="A19" s="30">
        <v>6</v>
      </c>
      <c r="B19" s="78">
        <v>20100000</v>
      </c>
      <c r="C19" s="33">
        <v>19400000</v>
      </c>
      <c r="D19" s="33">
        <v>16000000</v>
      </c>
      <c r="E19" s="33">
        <v>19300000</v>
      </c>
      <c r="F19" s="33">
        <v>27400000</v>
      </c>
      <c r="G19" s="33">
        <v>28900000</v>
      </c>
      <c r="H19" s="33">
        <v>25400000</v>
      </c>
      <c r="I19" s="33">
        <v>25700000</v>
      </c>
      <c r="J19" s="33">
        <v>27200000</v>
      </c>
      <c r="K19" s="33">
        <v>23300000</v>
      </c>
      <c r="L19" s="33">
        <v>20200000</v>
      </c>
      <c r="M19" s="76">
        <v>21700000</v>
      </c>
      <c r="N19" s="78">
        <v>25100000</v>
      </c>
      <c r="O19" s="33">
        <v>23100000</v>
      </c>
      <c r="P19" s="33">
        <v>22700000</v>
      </c>
      <c r="Q19" s="33">
        <v>18700000</v>
      </c>
      <c r="R19" s="33">
        <v>27400000</v>
      </c>
      <c r="S19" s="33">
        <v>28300000</v>
      </c>
      <c r="T19" s="33">
        <v>23900000</v>
      </c>
      <c r="U19" s="33">
        <v>27500000</v>
      </c>
      <c r="V19" s="33">
        <v>25600000</v>
      </c>
      <c r="W19" s="33">
        <v>25600000</v>
      </c>
      <c r="X19" s="33">
        <v>25400000</v>
      </c>
      <c r="Y19" s="76">
        <v>32600000</v>
      </c>
      <c r="Z19" s="33">
        <v>31900000</v>
      </c>
      <c r="AA19" s="33">
        <v>31300000</v>
      </c>
      <c r="AB19" s="33">
        <v>29900000</v>
      </c>
      <c r="AC19" s="33">
        <v>29800000</v>
      </c>
      <c r="AD19" s="33">
        <v>26000000</v>
      </c>
      <c r="AE19" s="33">
        <v>26300000</v>
      </c>
      <c r="AF19" s="33">
        <v>24900000</v>
      </c>
      <c r="AG19" s="33">
        <v>24700000</v>
      </c>
      <c r="AH19" s="33">
        <v>26300000</v>
      </c>
      <c r="AI19" s="33">
        <v>24700000</v>
      </c>
      <c r="AJ19" s="33">
        <v>25200000</v>
      </c>
      <c r="AK19" s="33">
        <v>41100000</v>
      </c>
    </row>
  </sheetData>
  <mergeCells count="15">
    <mergeCell ref="B16:M16"/>
    <mergeCell ref="N16:Y16"/>
    <mergeCell ref="Z16:AK16"/>
    <mergeCell ref="B5:J5"/>
    <mergeCell ref="K5:S5"/>
    <mergeCell ref="T5:AB5"/>
    <mergeCell ref="T6:V6"/>
    <mergeCell ref="W6:Y6"/>
    <mergeCell ref="Z6:AB6"/>
    <mergeCell ref="B6:D6"/>
    <mergeCell ref="E6:G6"/>
    <mergeCell ref="H6:J6"/>
    <mergeCell ref="K6:M6"/>
    <mergeCell ref="N6:P6"/>
    <mergeCell ref="Q6:S6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EA699-4554-44A5-8FAA-51EB3E11C354}">
  <dimension ref="B2:N48"/>
  <sheetViews>
    <sheetView zoomScale="96" zoomScaleNormal="96" workbookViewId="0">
      <selection activeCell="U12" sqref="U12"/>
    </sheetView>
  </sheetViews>
  <sheetFormatPr baseColWidth="10" defaultColWidth="9" defaultRowHeight="14"/>
  <cols>
    <col min="1" max="1" width="2.33203125" style="1" customWidth="1"/>
    <col min="2" max="16384" width="9" style="1"/>
  </cols>
  <sheetData>
    <row r="2" spans="2:14">
      <c r="B2" s="1" t="s">
        <v>200</v>
      </c>
    </row>
    <row r="3" spans="2:14">
      <c r="C3" s="29" t="s">
        <v>186</v>
      </c>
    </row>
    <row r="5" spans="2:14" ht="15" thickBot="1">
      <c r="B5" s="1" t="s">
        <v>20</v>
      </c>
    </row>
    <row r="6" spans="2:14" ht="15">
      <c r="B6" s="141" t="s">
        <v>182</v>
      </c>
      <c r="C6" s="282" t="s">
        <v>15</v>
      </c>
      <c r="D6" s="330"/>
      <c r="E6" s="330"/>
      <c r="F6" s="282" t="s">
        <v>198</v>
      </c>
      <c r="G6" s="330"/>
      <c r="H6" s="331"/>
      <c r="I6" s="283" t="s">
        <v>199</v>
      </c>
      <c r="J6" s="330"/>
      <c r="K6" s="331"/>
      <c r="L6" s="283" t="s">
        <v>13</v>
      </c>
      <c r="M6" s="330"/>
      <c r="N6" s="330"/>
    </row>
    <row r="7" spans="2:14">
      <c r="B7" s="24">
        <v>0</v>
      </c>
      <c r="C7" s="40">
        <v>0</v>
      </c>
      <c r="D7" s="22">
        <v>0</v>
      </c>
      <c r="E7" s="22">
        <v>0</v>
      </c>
      <c r="F7" s="40">
        <v>0</v>
      </c>
      <c r="G7" s="22">
        <v>0</v>
      </c>
      <c r="H7" s="41">
        <v>0</v>
      </c>
      <c r="I7" s="22">
        <v>0</v>
      </c>
      <c r="J7" s="22">
        <v>0</v>
      </c>
      <c r="K7" s="41">
        <v>0</v>
      </c>
      <c r="L7" s="22">
        <f>F7+I7</f>
        <v>0</v>
      </c>
      <c r="M7" s="22">
        <f>G7+J7</f>
        <v>0</v>
      </c>
      <c r="N7" s="22">
        <f>H7+K7</f>
        <v>0</v>
      </c>
    </row>
    <row r="8" spans="2:14">
      <c r="B8" s="24">
        <v>8</v>
      </c>
      <c r="C8" s="40">
        <v>0.22672508574950001</v>
      </c>
      <c r="D8" s="22">
        <v>0.26863966395674133</v>
      </c>
      <c r="E8" s="22">
        <v>0.28789929556313998</v>
      </c>
      <c r="F8" s="40">
        <v>1.0287219034020068</v>
      </c>
      <c r="G8" s="22">
        <v>1.1928678214091333</v>
      </c>
      <c r="H8" s="41">
        <v>1.0715731202284027</v>
      </c>
      <c r="I8" s="22">
        <v>0.48131517041889871</v>
      </c>
      <c r="J8" s="22">
        <v>0.46474837484257336</v>
      </c>
      <c r="K8" s="41">
        <v>0.51778553665229332</v>
      </c>
      <c r="L8" s="22">
        <f t="shared" ref="L8:N14" si="0">F8+I8</f>
        <v>1.5100370738209055</v>
      </c>
      <c r="M8" s="22">
        <f t="shared" si="0"/>
        <v>1.6576161962517066</v>
      </c>
      <c r="N8" s="22">
        <f t="shared" si="0"/>
        <v>1.5893586568806959</v>
      </c>
    </row>
    <row r="9" spans="2:14">
      <c r="B9" s="24">
        <v>12</v>
      </c>
      <c r="C9" s="40">
        <v>0.31646677344740531</v>
      </c>
      <c r="D9" s="22">
        <v>0.32524776050199466</v>
      </c>
      <c r="E9" s="22">
        <v>0.33941441961673202</v>
      </c>
      <c r="F9" s="40">
        <v>1.4834014130886533</v>
      </c>
      <c r="G9" s="22">
        <v>1.7288592712212798</v>
      </c>
      <c r="H9" s="41">
        <v>1.8119859486713865</v>
      </c>
      <c r="I9" s="22">
        <v>0.5897310905862293</v>
      </c>
      <c r="J9" s="22">
        <v>0.60717598486801461</v>
      </c>
      <c r="K9" s="41">
        <v>0.60530270762970129</v>
      </c>
      <c r="L9" s="22">
        <f t="shared" si="0"/>
        <v>2.0731325036748824</v>
      </c>
      <c r="M9" s="22">
        <f t="shared" si="0"/>
        <v>2.3360352560892945</v>
      </c>
      <c r="N9" s="22">
        <f t="shared" si="0"/>
        <v>2.4172886563010878</v>
      </c>
    </row>
    <row r="10" spans="2:14">
      <c r="B10" s="24">
        <v>24</v>
      </c>
      <c r="C10" s="149">
        <v>0.699755243233536</v>
      </c>
      <c r="D10" s="19">
        <v>0.66852581442274672</v>
      </c>
      <c r="E10" s="19">
        <v>0.84039900103791065</v>
      </c>
      <c r="F10" s="149">
        <v>4.5509514307389471</v>
      </c>
      <c r="G10" s="19">
        <v>5.6715224587319462</v>
      </c>
      <c r="H10" s="150">
        <v>5.980027803916534</v>
      </c>
      <c r="I10" s="19">
        <v>1.0028472615478161</v>
      </c>
      <c r="J10" s="19">
        <v>1.1038286126755961</v>
      </c>
      <c r="K10" s="150">
        <v>1.3191384152541294</v>
      </c>
      <c r="L10" s="22">
        <f t="shared" si="0"/>
        <v>5.5537986922867635</v>
      </c>
      <c r="M10" s="22">
        <f t="shared" si="0"/>
        <v>6.7753510714075418</v>
      </c>
      <c r="N10" s="22">
        <f t="shared" si="0"/>
        <v>7.2991662191706634</v>
      </c>
    </row>
    <row r="11" spans="2:14">
      <c r="B11" s="24">
        <v>28</v>
      </c>
      <c r="C11" s="149">
        <v>0.80225863211744397</v>
      </c>
      <c r="D11" s="19">
        <v>0.70160086566169999</v>
      </c>
      <c r="E11" s="19">
        <v>0.93962415475477201</v>
      </c>
      <c r="F11" s="149">
        <v>5.9994045153503199</v>
      </c>
      <c r="G11" s="19">
        <v>7.988649322697027</v>
      </c>
      <c r="H11" s="150">
        <v>8.0625852336966659</v>
      </c>
      <c r="I11" s="19">
        <v>1.2070930204375678</v>
      </c>
      <c r="J11" s="19">
        <v>1.4334083267911866</v>
      </c>
      <c r="K11" s="150">
        <v>1.4748545856888533</v>
      </c>
      <c r="L11" s="22">
        <f t="shared" si="0"/>
        <v>7.2064975357878875</v>
      </c>
      <c r="M11" s="22">
        <f t="shared" si="0"/>
        <v>9.4220576494882131</v>
      </c>
      <c r="N11" s="22">
        <f t="shared" si="0"/>
        <v>9.5374398193855185</v>
      </c>
    </row>
    <row r="12" spans="2:14">
      <c r="B12" s="24">
        <v>32</v>
      </c>
      <c r="C12" s="149">
        <v>0.78651139533287995</v>
      </c>
      <c r="D12" s="19">
        <v>0.7942110091307707</v>
      </c>
      <c r="E12" s="19">
        <v>0.87944512347398529</v>
      </c>
      <c r="F12" s="149">
        <v>7.7646756128912937</v>
      </c>
      <c r="G12" s="19">
        <v>9.4458833943629994</v>
      </c>
      <c r="H12" s="150">
        <v>8.6261489828602276</v>
      </c>
      <c r="I12" s="19">
        <v>1.3410323429769067</v>
      </c>
      <c r="J12" s="19">
        <v>1.5626644562347467</v>
      </c>
      <c r="K12" s="150">
        <v>1.4829330937790666</v>
      </c>
      <c r="L12" s="22">
        <f t="shared" si="0"/>
        <v>9.1057079558682013</v>
      </c>
      <c r="M12" s="22">
        <f t="shared" si="0"/>
        <v>11.008547850597747</v>
      </c>
      <c r="N12" s="22">
        <f t="shared" si="0"/>
        <v>10.109082076639295</v>
      </c>
    </row>
    <row r="13" spans="2:14">
      <c r="B13" s="24">
        <v>36</v>
      </c>
      <c r="C13" s="149">
        <v>0.70808726130265098</v>
      </c>
      <c r="D13" s="19">
        <v>0.706953370607173</v>
      </c>
      <c r="E13" s="19">
        <v>0.7311327204444279</v>
      </c>
      <c r="F13" s="149">
        <v>9.6418694453956668</v>
      </c>
      <c r="G13" s="19">
        <v>9.3464909192235606</v>
      </c>
      <c r="H13" s="150">
        <v>7.5011405068673476</v>
      </c>
      <c r="I13" s="19">
        <v>1.3991077291507066</v>
      </c>
      <c r="J13" s="19">
        <v>1.4521171191643201</v>
      </c>
      <c r="K13" s="150">
        <v>1.4109568869184665</v>
      </c>
      <c r="L13" s="22">
        <f t="shared" si="0"/>
        <v>11.040977174546374</v>
      </c>
      <c r="M13" s="22">
        <f t="shared" si="0"/>
        <v>10.798608038387881</v>
      </c>
      <c r="N13" s="22">
        <f t="shared" si="0"/>
        <v>8.9120973937858139</v>
      </c>
    </row>
    <row r="14" spans="2:14" ht="15" thickBot="1">
      <c r="B14" s="30">
        <v>48</v>
      </c>
      <c r="C14" s="151">
        <v>0.72560587254779096</v>
      </c>
      <c r="D14" s="112">
        <v>0.74527887611433996</v>
      </c>
      <c r="E14" s="112">
        <v>0.74213146019056653</v>
      </c>
      <c r="F14" s="151">
        <v>9.9486435730573195</v>
      </c>
      <c r="G14" s="112">
        <v>9.8539070054501074</v>
      </c>
      <c r="H14" s="152">
        <v>8.6283412472423606</v>
      </c>
      <c r="I14" s="112">
        <v>1.2934858108669054</v>
      </c>
      <c r="J14" s="112">
        <v>1.3061853866562627</v>
      </c>
      <c r="K14" s="152">
        <v>1.6020174691065601</v>
      </c>
      <c r="L14" s="36">
        <f t="shared" si="0"/>
        <v>11.242129383924224</v>
      </c>
      <c r="M14" s="36">
        <f t="shared" si="0"/>
        <v>11.160092392106371</v>
      </c>
      <c r="N14" s="36">
        <f t="shared" si="0"/>
        <v>10.23035871634892</v>
      </c>
    </row>
    <row r="15" spans="2:14" ht="4" customHeight="1">
      <c r="B15" s="24"/>
      <c r="C15" s="19"/>
      <c r="D15" s="19"/>
      <c r="E15" s="19"/>
      <c r="F15" s="19"/>
      <c r="G15" s="19"/>
      <c r="H15" s="19"/>
      <c r="I15" s="19"/>
      <c r="J15" s="19"/>
      <c r="K15" s="19"/>
      <c r="L15" s="22"/>
      <c r="M15" s="22"/>
      <c r="N15" s="22"/>
    </row>
    <row r="16" spans="2:14" ht="15" thickBot="1">
      <c r="B16" s="1" t="s">
        <v>21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</row>
    <row r="17" spans="2:14" ht="15">
      <c r="B17" s="142" t="s">
        <v>182</v>
      </c>
      <c r="C17" s="283" t="s">
        <v>15</v>
      </c>
      <c r="D17" s="330"/>
      <c r="E17" s="330"/>
      <c r="F17" s="282" t="s">
        <v>198</v>
      </c>
      <c r="G17" s="330"/>
      <c r="H17" s="331"/>
      <c r="I17" s="282" t="s">
        <v>199</v>
      </c>
      <c r="J17" s="330"/>
      <c r="K17" s="331"/>
      <c r="L17" s="283" t="s">
        <v>13</v>
      </c>
      <c r="M17" s="330"/>
      <c r="N17" s="330"/>
    </row>
    <row r="18" spans="2:14">
      <c r="B18" s="47">
        <v>0</v>
      </c>
      <c r="C18" s="22">
        <v>0</v>
      </c>
      <c r="D18" s="22">
        <v>0</v>
      </c>
      <c r="E18" s="22">
        <v>0</v>
      </c>
      <c r="F18" s="40">
        <v>0</v>
      </c>
      <c r="G18" s="22">
        <v>0</v>
      </c>
      <c r="H18" s="41">
        <v>0</v>
      </c>
      <c r="I18" s="40">
        <v>0</v>
      </c>
      <c r="J18" s="22">
        <v>0</v>
      </c>
      <c r="K18" s="41">
        <v>0</v>
      </c>
      <c r="L18" s="22">
        <f>F18+I18</f>
        <v>0</v>
      </c>
      <c r="M18" s="22">
        <f>G18+J18</f>
        <v>0</v>
      </c>
      <c r="N18" s="22">
        <f>H18+K18</f>
        <v>0</v>
      </c>
    </row>
    <row r="19" spans="2:14">
      <c r="B19" s="47">
        <v>8</v>
      </c>
      <c r="C19" s="22">
        <v>0.26852258412934665</v>
      </c>
      <c r="D19" s="22">
        <v>0.27595715316889868</v>
      </c>
      <c r="E19" s="22">
        <v>0.2633125318102893</v>
      </c>
      <c r="F19" s="40">
        <v>0.96063998377208937</v>
      </c>
      <c r="G19" s="22">
        <v>1.0019691628423575</v>
      </c>
      <c r="H19" s="41">
        <v>0.94015101397804812</v>
      </c>
      <c r="I19" s="40">
        <v>0.50063334193899467</v>
      </c>
      <c r="J19" s="22">
        <v>0.49671116772127866</v>
      </c>
      <c r="K19" s="41">
        <v>0.51526832036331072</v>
      </c>
      <c r="L19" s="22">
        <f t="shared" ref="L19:N25" si="1">F19+I19</f>
        <v>1.4612733257110841</v>
      </c>
      <c r="M19" s="22">
        <f t="shared" si="1"/>
        <v>1.4986803305636363</v>
      </c>
      <c r="N19" s="22">
        <f t="shared" si="1"/>
        <v>1.4554193343413588</v>
      </c>
    </row>
    <row r="20" spans="2:14">
      <c r="B20" s="47">
        <v>12</v>
      </c>
      <c r="C20" s="22">
        <v>0.26313691206919865</v>
      </c>
      <c r="D20" s="22">
        <v>0.26577120818557465</v>
      </c>
      <c r="E20" s="22">
        <v>0.25804393957753596</v>
      </c>
      <c r="F20" s="40">
        <v>1.0821688446076081</v>
      </c>
      <c r="G20" s="22">
        <v>1.1388354810665589</v>
      </c>
      <c r="H20" s="41">
        <v>1.0276096450417587</v>
      </c>
      <c r="I20" s="40">
        <v>0.54061610299422536</v>
      </c>
      <c r="J20" s="22">
        <v>0.56894942122370129</v>
      </c>
      <c r="K20" s="41">
        <v>0.57129101777159208</v>
      </c>
      <c r="L20" s="22">
        <f t="shared" si="1"/>
        <v>1.6227849476018334</v>
      </c>
      <c r="M20" s="22">
        <f t="shared" si="1"/>
        <v>1.70778490229026</v>
      </c>
      <c r="N20" s="22">
        <f t="shared" si="1"/>
        <v>1.5989006628133509</v>
      </c>
    </row>
    <row r="21" spans="2:14">
      <c r="B21" s="47">
        <v>24</v>
      </c>
      <c r="C21" s="19">
        <v>0.54740673298310794</v>
      </c>
      <c r="D21" s="19">
        <v>0.53564021032995868</v>
      </c>
      <c r="E21" s="19">
        <v>0.51371539750363304</v>
      </c>
      <c r="F21" s="149">
        <v>1.4920653203158398</v>
      </c>
      <c r="G21" s="19">
        <v>1.3894448516045468</v>
      </c>
      <c r="H21" s="150">
        <v>1.3395103052207733</v>
      </c>
      <c r="I21" s="149">
        <v>0.81873923296992401</v>
      </c>
      <c r="J21" s="19">
        <v>0.88155256036708673</v>
      </c>
      <c r="K21" s="150">
        <v>0.55489984193635866</v>
      </c>
      <c r="L21" s="22">
        <f t="shared" si="1"/>
        <v>2.310804553285764</v>
      </c>
      <c r="M21" s="22">
        <f t="shared" si="1"/>
        <v>2.2709974119716336</v>
      </c>
      <c r="N21" s="22">
        <f t="shared" si="1"/>
        <v>1.894410147157132</v>
      </c>
    </row>
    <row r="22" spans="2:14">
      <c r="B22" s="47">
        <v>28</v>
      </c>
      <c r="C22" s="19">
        <v>0.62350862078955072</v>
      </c>
      <c r="D22" s="19">
        <v>0.5621587912348186</v>
      </c>
      <c r="E22" s="19">
        <v>0.60317821303812702</v>
      </c>
      <c r="F22" s="149">
        <v>1.2106054152594041</v>
      </c>
      <c r="G22" s="19">
        <v>1.3577162183806266</v>
      </c>
      <c r="H22" s="150">
        <v>1.2299821266931974</v>
      </c>
      <c r="I22" s="149">
        <v>0.80685563048937869</v>
      </c>
      <c r="J22" s="19">
        <v>0.8699616574550294</v>
      </c>
      <c r="K22" s="150">
        <v>0.59248246653000125</v>
      </c>
      <c r="L22" s="22">
        <f t="shared" si="1"/>
        <v>2.0174610457487829</v>
      </c>
      <c r="M22" s="22">
        <f t="shared" si="1"/>
        <v>2.2276778758356559</v>
      </c>
      <c r="N22" s="22">
        <f t="shared" si="1"/>
        <v>1.8224645932231986</v>
      </c>
    </row>
    <row r="23" spans="2:14">
      <c r="B23" s="47">
        <v>32</v>
      </c>
      <c r="C23" s="19">
        <v>0.52428346707268936</v>
      </c>
      <c r="D23" s="19">
        <v>0.58662847516027472</v>
      </c>
      <c r="E23" s="19">
        <v>0.552131408294113</v>
      </c>
      <c r="F23" s="149">
        <v>1.6854811951716</v>
      </c>
      <c r="G23" s="19">
        <v>1.3369345490180933</v>
      </c>
      <c r="H23" s="150">
        <v>1.3305536984250961</v>
      </c>
      <c r="I23" s="149">
        <v>0.92358421840172122</v>
      </c>
      <c r="J23" s="19">
        <v>0.91585694979368271</v>
      </c>
      <c r="K23" s="150">
        <v>0.42903902748724271</v>
      </c>
      <c r="L23" s="22">
        <f t="shared" si="1"/>
        <v>2.6090654135733211</v>
      </c>
      <c r="M23" s="22">
        <f t="shared" si="1"/>
        <v>2.2527914988117761</v>
      </c>
      <c r="N23" s="22">
        <f t="shared" si="1"/>
        <v>1.7595927259123387</v>
      </c>
    </row>
    <row r="24" spans="2:14">
      <c r="B24" s="47">
        <v>36</v>
      </c>
      <c r="C24" s="19">
        <v>0.46055892247973201</v>
      </c>
      <c r="D24" s="19">
        <v>0.37407054043830129</v>
      </c>
      <c r="E24" s="19">
        <v>0.563053482009784</v>
      </c>
      <c r="F24" s="149">
        <v>1.5914155911038399</v>
      </c>
      <c r="G24" s="19">
        <v>1.58036015682292</v>
      </c>
      <c r="H24" s="150">
        <v>1.3594782493437465</v>
      </c>
      <c r="I24" s="149">
        <v>0.40581947991169465</v>
      </c>
      <c r="J24" s="19">
        <v>0.73351389090493202</v>
      </c>
      <c r="K24" s="150">
        <v>0.47555375768361197</v>
      </c>
      <c r="L24" s="22">
        <f t="shared" si="1"/>
        <v>1.9972350710155347</v>
      </c>
      <c r="M24" s="22">
        <f t="shared" si="1"/>
        <v>2.3138740477278521</v>
      </c>
      <c r="N24" s="22">
        <f t="shared" si="1"/>
        <v>1.8350320070273585</v>
      </c>
    </row>
    <row r="25" spans="2:14" ht="15" thickBot="1">
      <c r="B25" s="44">
        <v>48</v>
      </c>
      <c r="C25" s="112">
        <v>0.47084811129737736</v>
      </c>
      <c r="D25" s="112">
        <v>0.47328597629265468</v>
      </c>
      <c r="E25" s="112">
        <v>0.53023650571687497</v>
      </c>
      <c r="F25" s="151">
        <v>2.2229360139504935</v>
      </c>
      <c r="G25" s="112">
        <v>2.7949271752845335</v>
      </c>
      <c r="H25" s="152">
        <v>1.7675088161116268</v>
      </c>
      <c r="I25" s="151">
        <v>0.85909228542915739</v>
      </c>
      <c r="J25" s="112">
        <v>0.91862154694176923</v>
      </c>
      <c r="K25" s="152">
        <v>0.50095290926232672</v>
      </c>
      <c r="L25" s="36">
        <f t="shared" si="1"/>
        <v>3.0820282993796511</v>
      </c>
      <c r="M25" s="36">
        <f t="shared" si="1"/>
        <v>3.7135487222263026</v>
      </c>
      <c r="N25" s="36">
        <f t="shared" si="1"/>
        <v>2.2684617253739536</v>
      </c>
    </row>
    <row r="26" spans="2:14" ht="4" customHeight="1">
      <c r="B26" s="24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</row>
    <row r="27" spans="2:14" ht="15" thickBot="1">
      <c r="B27" s="1" t="s">
        <v>22</v>
      </c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</row>
    <row r="28" spans="2:14" ht="15">
      <c r="B28" s="141" t="s">
        <v>182</v>
      </c>
      <c r="C28" s="282" t="s">
        <v>15</v>
      </c>
      <c r="D28" s="330"/>
      <c r="E28" s="331"/>
      <c r="F28" s="283" t="s">
        <v>198</v>
      </c>
      <c r="G28" s="330"/>
      <c r="H28" s="330"/>
      <c r="I28" s="282" t="s">
        <v>199</v>
      </c>
      <c r="J28" s="330"/>
      <c r="K28" s="331"/>
      <c r="L28" s="283" t="s">
        <v>13</v>
      </c>
      <c r="M28" s="330"/>
      <c r="N28" s="330"/>
    </row>
    <row r="29" spans="2:14">
      <c r="B29" s="24">
        <v>0</v>
      </c>
      <c r="C29" s="40">
        <v>0</v>
      </c>
      <c r="D29" s="22">
        <v>0</v>
      </c>
      <c r="E29" s="41">
        <v>0</v>
      </c>
      <c r="F29" s="22">
        <v>0</v>
      </c>
      <c r="G29" s="22">
        <v>0</v>
      </c>
      <c r="H29" s="22">
        <v>0</v>
      </c>
      <c r="I29" s="40">
        <v>0</v>
      </c>
      <c r="J29" s="22">
        <v>0</v>
      </c>
      <c r="K29" s="41">
        <v>0</v>
      </c>
      <c r="L29" s="22">
        <f>F29+I29</f>
        <v>0</v>
      </c>
      <c r="M29" s="22">
        <f>G29+J29</f>
        <v>0</v>
      </c>
      <c r="N29" s="22">
        <f>H29+K29</f>
        <v>0</v>
      </c>
    </row>
    <row r="30" spans="2:14">
      <c r="B30" s="24">
        <v>8</v>
      </c>
      <c r="C30" s="149">
        <v>0.24106736460532935</v>
      </c>
      <c r="D30" s="19">
        <v>0.27507905446344</v>
      </c>
      <c r="E30" s="150">
        <v>0.25857079880081202</v>
      </c>
      <c r="F30" s="22">
        <v>0.83542310837364409</v>
      </c>
      <c r="G30" s="22">
        <v>0.85029224645274804</v>
      </c>
      <c r="H30" s="22">
        <v>0.81657325616312537</v>
      </c>
      <c r="I30" s="40">
        <v>0.33110175187172131</v>
      </c>
      <c r="J30" s="22">
        <v>0.5882675927437987</v>
      </c>
      <c r="K30" s="41">
        <v>0.56602242553883864</v>
      </c>
      <c r="L30" s="22">
        <f t="shared" ref="L30:N36" si="2">F30+I30</f>
        <v>1.1665248602453655</v>
      </c>
      <c r="M30" s="22">
        <f t="shared" si="2"/>
        <v>1.4385598391965466</v>
      </c>
      <c r="N30" s="22">
        <f t="shared" si="2"/>
        <v>1.382595681701964</v>
      </c>
    </row>
    <row r="31" spans="2:14">
      <c r="B31" s="24">
        <v>12</v>
      </c>
      <c r="C31" s="149">
        <v>0.23304739642880534</v>
      </c>
      <c r="D31" s="19">
        <v>0.24943857226403868</v>
      </c>
      <c r="E31" s="150">
        <v>0.24089174486423867</v>
      </c>
      <c r="F31" s="19">
        <v>0.73924203016904</v>
      </c>
      <c r="G31" s="19">
        <v>0.97445540340464387</v>
      </c>
      <c r="H31" s="19">
        <v>0.89402156198460392</v>
      </c>
      <c r="I31" s="149">
        <v>0.54026486351204273</v>
      </c>
      <c r="J31" s="19">
        <v>0.63158712887977331</v>
      </c>
      <c r="K31" s="150">
        <v>0.50584339425805203</v>
      </c>
      <c r="L31" s="22">
        <f t="shared" si="2"/>
        <v>1.2795068936810827</v>
      </c>
      <c r="M31" s="22">
        <f t="shared" si="2"/>
        <v>1.6060425322844172</v>
      </c>
      <c r="N31" s="22">
        <f t="shared" si="2"/>
        <v>1.3998649562426559</v>
      </c>
    </row>
    <row r="32" spans="2:14">
      <c r="B32" s="24">
        <v>24</v>
      </c>
      <c r="C32" s="149">
        <v>0.26676638671842795</v>
      </c>
      <c r="D32" s="19">
        <v>0.25341928639545203</v>
      </c>
      <c r="E32" s="150">
        <v>0.303646532347704</v>
      </c>
      <c r="F32" s="19">
        <v>1.0175407798858294</v>
      </c>
      <c r="G32" s="19">
        <v>1.2197961817098735</v>
      </c>
      <c r="H32" s="19">
        <v>1.1354987059858146</v>
      </c>
      <c r="I32" s="149">
        <v>0.65629097246001744</v>
      </c>
      <c r="J32" s="19">
        <v>0.62895283276339597</v>
      </c>
      <c r="K32" s="150">
        <v>0.62819181388533196</v>
      </c>
      <c r="L32" s="22">
        <f t="shared" si="2"/>
        <v>1.6738317523458468</v>
      </c>
      <c r="M32" s="22">
        <f t="shared" si="2"/>
        <v>1.8487490144732694</v>
      </c>
      <c r="N32" s="22">
        <f t="shared" si="2"/>
        <v>1.7636905198711466</v>
      </c>
    </row>
    <row r="33" spans="2:14">
      <c r="B33" s="24">
        <v>28</v>
      </c>
      <c r="C33" s="149">
        <v>0.26061969578021599</v>
      </c>
      <c r="D33" s="19">
        <v>0.27431803558537599</v>
      </c>
      <c r="E33" s="150">
        <v>0.30206595467787867</v>
      </c>
      <c r="F33" s="19">
        <v>1.5088662755469597</v>
      </c>
      <c r="G33" s="19">
        <v>1.4598683677823467</v>
      </c>
      <c r="H33" s="19">
        <v>1.1518313419073507</v>
      </c>
      <c r="I33" s="149">
        <v>0.67156988993500399</v>
      </c>
      <c r="J33" s="19">
        <v>0.6291284525044879</v>
      </c>
      <c r="K33" s="150">
        <v>0.66091562564210127</v>
      </c>
      <c r="L33" s="22">
        <f t="shared" si="2"/>
        <v>2.1804361654819635</v>
      </c>
      <c r="M33" s="22">
        <f t="shared" si="2"/>
        <v>2.0889968202868348</v>
      </c>
      <c r="N33" s="22">
        <f t="shared" si="2"/>
        <v>1.8127469675494519</v>
      </c>
    </row>
    <row r="34" spans="2:14">
      <c r="B34" s="24">
        <v>32</v>
      </c>
      <c r="C34" s="149">
        <v>0.12761939777608614</v>
      </c>
      <c r="D34" s="19">
        <v>0.15783758481058402</v>
      </c>
      <c r="E34" s="150">
        <v>0.23165386908622268</v>
      </c>
      <c r="F34" s="19">
        <v>1.1179595312068598</v>
      </c>
      <c r="G34" s="19">
        <v>1.6425540614699068</v>
      </c>
      <c r="H34" s="19">
        <v>1.6720352195523467</v>
      </c>
      <c r="I34" s="149">
        <v>0.51484307028193599</v>
      </c>
      <c r="J34" s="19">
        <v>0.57941814538942671</v>
      </c>
      <c r="K34" s="150">
        <v>0.65958421755974528</v>
      </c>
      <c r="L34" s="22">
        <f t="shared" si="2"/>
        <v>1.6328026014887957</v>
      </c>
      <c r="M34" s="22">
        <f t="shared" si="2"/>
        <v>2.2219722068593333</v>
      </c>
      <c r="N34" s="22">
        <f t="shared" si="2"/>
        <v>2.3316194371120922</v>
      </c>
    </row>
    <row r="35" spans="2:14">
      <c r="B35" s="24">
        <v>36</v>
      </c>
      <c r="C35" s="149">
        <v>0.15335871656344399</v>
      </c>
      <c r="D35" s="19">
        <v>0.14000000000000001</v>
      </c>
      <c r="E35" s="150">
        <v>0.19497250508749864</v>
      </c>
      <c r="F35" s="19">
        <v>1.6906310269581866</v>
      </c>
      <c r="G35" s="19">
        <v>1.6366011353186534</v>
      </c>
      <c r="H35" s="19">
        <v>1.5312626897087067</v>
      </c>
      <c r="I35" s="149">
        <v>0.6015857084860281</v>
      </c>
      <c r="J35" s="19">
        <v>0.47107488943647202</v>
      </c>
      <c r="K35" s="150">
        <v>0.60152901395125469</v>
      </c>
      <c r="L35" s="22">
        <f t="shared" si="2"/>
        <v>2.2922167354442147</v>
      </c>
      <c r="M35" s="22">
        <f t="shared" si="2"/>
        <v>2.1076760247551256</v>
      </c>
      <c r="N35" s="22">
        <f t="shared" si="2"/>
        <v>2.1327917036599615</v>
      </c>
    </row>
    <row r="36" spans="2:14" ht="15" thickBot="1">
      <c r="B36" s="30">
        <v>48</v>
      </c>
      <c r="C36" s="151">
        <v>0.31040257788719333</v>
      </c>
      <c r="D36" s="112">
        <v>0.20058526403011598</v>
      </c>
      <c r="E36" s="152">
        <v>0.31499483520388</v>
      </c>
      <c r="F36" s="112">
        <v>1.8231828492596136</v>
      </c>
      <c r="G36" s="112">
        <v>1.9501786071531868</v>
      </c>
      <c r="H36" s="112">
        <v>1.5375557830686133</v>
      </c>
      <c r="I36" s="151">
        <v>0.75108919668484664</v>
      </c>
      <c r="J36" s="112">
        <v>0.74343543449036664</v>
      </c>
      <c r="K36" s="152">
        <v>0.70754779397847856</v>
      </c>
      <c r="L36" s="36">
        <f t="shared" si="2"/>
        <v>2.5742720459444604</v>
      </c>
      <c r="M36" s="36">
        <f t="shared" si="2"/>
        <v>2.6936140416435537</v>
      </c>
      <c r="N36" s="36">
        <f t="shared" si="2"/>
        <v>2.2451035770470917</v>
      </c>
    </row>
    <row r="37" spans="2:14" ht="6" customHeight="1"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</row>
    <row r="38" spans="2:14" ht="15" thickBot="1">
      <c r="B38" s="1" t="s">
        <v>23</v>
      </c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</row>
    <row r="39" spans="2:14" ht="15">
      <c r="B39" s="141" t="s">
        <v>182</v>
      </c>
      <c r="C39" s="282" t="s">
        <v>15</v>
      </c>
      <c r="D39" s="330"/>
      <c r="E39" s="331"/>
      <c r="F39" s="282" t="s">
        <v>198</v>
      </c>
      <c r="G39" s="330"/>
      <c r="H39" s="331"/>
      <c r="I39" s="282" t="s">
        <v>199</v>
      </c>
      <c r="J39" s="330"/>
      <c r="K39" s="331"/>
      <c r="L39" s="283" t="s">
        <v>13</v>
      </c>
      <c r="M39" s="330"/>
      <c r="N39" s="330"/>
    </row>
    <row r="40" spans="2:14">
      <c r="B40" s="24">
        <v>0</v>
      </c>
      <c r="C40" s="40">
        <v>0</v>
      </c>
      <c r="D40" s="22">
        <v>0</v>
      </c>
      <c r="E40" s="41">
        <v>0</v>
      </c>
      <c r="F40" s="40">
        <v>0</v>
      </c>
      <c r="G40" s="22">
        <v>0</v>
      </c>
      <c r="H40" s="41">
        <v>0</v>
      </c>
      <c r="I40" s="40">
        <v>0</v>
      </c>
      <c r="J40" s="22">
        <v>0</v>
      </c>
      <c r="K40" s="41">
        <v>0</v>
      </c>
      <c r="L40" s="22">
        <f>F40+I40</f>
        <v>0</v>
      </c>
      <c r="M40" s="22">
        <f>G40+J40</f>
        <v>0</v>
      </c>
      <c r="N40" s="22">
        <f>H40+K40</f>
        <v>0</v>
      </c>
    </row>
    <row r="41" spans="2:14">
      <c r="B41" s="24">
        <v>8</v>
      </c>
      <c r="C41" s="40">
        <v>0.20108460355009869</v>
      </c>
      <c r="D41" s="22">
        <v>0.19265485597769333</v>
      </c>
      <c r="E41" s="41">
        <v>0.16578503559064933</v>
      </c>
      <c r="F41" s="40">
        <v>0.5502166488405773</v>
      </c>
      <c r="G41" s="22">
        <v>0.50057480202529725</v>
      </c>
      <c r="H41" s="41">
        <v>0.46960718767944531</v>
      </c>
      <c r="I41" s="40">
        <v>0.48178348972847601</v>
      </c>
      <c r="J41" s="22">
        <v>0.44349838617046666</v>
      </c>
      <c r="K41" s="41">
        <v>0.40568160192203467</v>
      </c>
      <c r="L41" s="22">
        <f t="shared" ref="L41:N47" si="3">F41+I41</f>
        <v>1.0320001385690534</v>
      </c>
      <c r="M41" s="22">
        <f t="shared" si="3"/>
        <v>0.94407318819576391</v>
      </c>
      <c r="N41" s="22">
        <f t="shared" si="3"/>
        <v>0.87528878960148004</v>
      </c>
    </row>
    <row r="42" spans="2:14">
      <c r="B42" s="24">
        <v>12</v>
      </c>
      <c r="C42" s="40">
        <v>0.24165276374230266</v>
      </c>
      <c r="D42" s="22">
        <v>0.25195578855302136</v>
      </c>
      <c r="E42" s="41">
        <v>0.17292690506171601</v>
      </c>
      <c r="F42" s="40">
        <v>0.61812294872940265</v>
      </c>
      <c r="G42" s="22">
        <v>0.65576411323674266</v>
      </c>
      <c r="H42" s="41">
        <v>0.68714150697847598</v>
      </c>
      <c r="I42" s="40">
        <v>0.49952108357874664</v>
      </c>
      <c r="J42" s="22">
        <v>0.5252786456055426</v>
      </c>
      <c r="K42" s="41">
        <v>0.47628073784093333</v>
      </c>
      <c r="L42" s="22">
        <f t="shared" si="3"/>
        <v>1.1176440323081493</v>
      </c>
      <c r="M42" s="22">
        <f t="shared" si="3"/>
        <v>1.1810427588422852</v>
      </c>
      <c r="N42" s="22">
        <f t="shared" si="3"/>
        <v>1.1634222448194094</v>
      </c>
    </row>
    <row r="43" spans="2:14">
      <c r="B43" s="24">
        <v>24</v>
      </c>
      <c r="C43" s="40">
        <v>0.28409420117281864</v>
      </c>
      <c r="D43" s="22">
        <v>0.3020074147641813</v>
      </c>
      <c r="E43" s="41">
        <v>0.25277534734478269</v>
      </c>
      <c r="F43" s="40">
        <v>1.1127852194712762</v>
      </c>
      <c r="G43" s="22">
        <v>1.162075826804372</v>
      </c>
      <c r="H43" s="41">
        <v>1.3070206531187958</v>
      </c>
      <c r="I43" s="40">
        <v>0.66261328313932266</v>
      </c>
      <c r="J43" s="22">
        <v>0.46223115855359065</v>
      </c>
      <c r="K43" s="41">
        <v>0.67683848216775744</v>
      </c>
      <c r="L43" s="22">
        <f t="shared" si="3"/>
        <v>1.7753985026105989</v>
      </c>
      <c r="M43" s="22">
        <f t="shared" si="3"/>
        <v>1.6243069853579626</v>
      </c>
      <c r="N43" s="22">
        <f t="shared" si="3"/>
        <v>1.9838591352865533</v>
      </c>
    </row>
    <row r="44" spans="2:14">
      <c r="B44" s="24">
        <v>28</v>
      </c>
      <c r="C44" s="40">
        <v>0.29012381228363604</v>
      </c>
      <c r="D44" s="22">
        <v>0.34878080580829468</v>
      </c>
      <c r="E44" s="41">
        <v>0.29650466287663868</v>
      </c>
      <c r="F44" s="40">
        <v>1.2663354130991986</v>
      </c>
      <c r="G44" s="22">
        <v>1.4723373693998667</v>
      </c>
      <c r="H44" s="41">
        <v>1.4556534939961465</v>
      </c>
      <c r="I44" s="40">
        <v>0.68690734732368663</v>
      </c>
      <c r="J44" s="22">
        <v>0.6954541747234867</v>
      </c>
      <c r="K44" s="41">
        <v>0.69305403826189871</v>
      </c>
      <c r="L44" s="22">
        <f t="shared" si="3"/>
        <v>1.9532427604228852</v>
      </c>
      <c r="M44" s="22">
        <f t="shared" si="3"/>
        <v>2.1677915441233533</v>
      </c>
      <c r="N44" s="22">
        <f t="shared" si="3"/>
        <v>2.1487075322580451</v>
      </c>
    </row>
    <row r="45" spans="2:14">
      <c r="B45" s="24">
        <v>32</v>
      </c>
      <c r="C45" s="40">
        <v>0.217593624462292</v>
      </c>
      <c r="D45" s="22">
        <v>0.22989633850823202</v>
      </c>
      <c r="E45" s="41">
        <v>0.16112586782747065</v>
      </c>
      <c r="F45" s="40">
        <v>1.0165330084963227</v>
      </c>
      <c r="G45" s="22">
        <v>1.3131021198986801</v>
      </c>
      <c r="H45" s="41">
        <v>1.4281920254897333</v>
      </c>
      <c r="I45" s="40">
        <v>0.46308096003335064</v>
      </c>
      <c r="J45" s="22">
        <v>0.53462946291803337</v>
      </c>
      <c r="K45" s="41">
        <v>0.84588245882683466</v>
      </c>
      <c r="L45" s="22">
        <f t="shared" si="3"/>
        <v>1.4796139685296734</v>
      </c>
      <c r="M45" s="22">
        <f t="shared" si="3"/>
        <v>1.8477315828167136</v>
      </c>
      <c r="N45" s="22">
        <f t="shared" si="3"/>
        <v>2.2740744843165679</v>
      </c>
    </row>
    <row r="46" spans="2:14">
      <c r="B46" s="24">
        <v>36</v>
      </c>
      <c r="C46" s="40">
        <v>0.21198086551967332</v>
      </c>
      <c r="D46" s="22">
        <v>0.20341999076881198</v>
      </c>
      <c r="E46" s="41">
        <v>0.19230786195312533</v>
      </c>
      <c r="F46" s="40">
        <v>1.5141976347417598</v>
      </c>
      <c r="G46" s="22">
        <v>1.5791128770578933</v>
      </c>
      <c r="H46" s="41">
        <v>1.52219156414488</v>
      </c>
      <c r="I46" s="40">
        <v>0.60657482754613345</v>
      </c>
      <c r="J46" s="22">
        <v>0.59688006209979338</v>
      </c>
      <c r="K46" s="41">
        <v>0.56274995216589607</v>
      </c>
      <c r="L46" s="22">
        <f t="shared" si="3"/>
        <v>2.1207724622878934</v>
      </c>
      <c r="M46" s="22">
        <f t="shared" si="3"/>
        <v>2.1759929391576867</v>
      </c>
      <c r="N46" s="22">
        <f t="shared" si="3"/>
        <v>2.0849415163107761</v>
      </c>
    </row>
    <row r="47" spans="2:14" ht="15" thickBot="1">
      <c r="B47" s="30">
        <v>48</v>
      </c>
      <c r="C47" s="42">
        <v>0.32287537553745466</v>
      </c>
      <c r="D47" s="36">
        <v>0.40871090118516401</v>
      </c>
      <c r="E47" s="43">
        <v>0.29781639116738406</v>
      </c>
      <c r="F47" s="42">
        <v>1.9138941048978801</v>
      </c>
      <c r="G47" s="36">
        <v>1.8939376286574536</v>
      </c>
      <c r="H47" s="43">
        <v>2.1825695051914669</v>
      </c>
      <c r="I47" s="42">
        <v>0.73646200671317597</v>
      </c>
      <c r="J47" s="36">
        <v>0.27615907888374802</v>
      </c>
      <c r="K47" s="43">
        <v>0.8070467025067013</v>
      </c>
      <c r="L47" s="36">
        <f t="shared" si="3"/>
        <v>2.6503561116110559</v>
      </c>
      <c r="M47" s="36">
        <f t="shared" si="3"/>
        <v>2.1700967075412017</v>
      </c>
      <c r="N47" s="36">
        <f t="shared" si="3"/>
        <v>2.9896162076981683</v>
      </c>
    </row>
    <row r="48" spans="2:14">
      <c r="B48" s="2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</sheetData>
  <mergeCells count="16">
    <mergeCell ref="C6:E6"/>
    <mergeCell ref="F6:H6"/>
    <mergeCell ref="I6:K6"/>
    <mergeCell ref="L6:N6"/>
    <mergeCell ref="C17:E17"/>
    <mergeCell ref="F17:H17"/>
    <mergeCell ref="I17:K17"/>
    <mergeCell ref="L17:N17"/>
    <mergeCell ref="C28:E28"/>
    <mergeCell ref="F28:H28"/>
    <mergeCell ref="I28:K28"/>
    <mergeCell ref="L28:N28"/>
    <mergeCell ref="C39:E39"/>
    <mergeCell ref="F39:H39"/>
    <mergeCell ref="I39:K39"/>
    <mergeCell ref="L39:N3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3</vt:i4>
      </vt:variant>
    </vt:vector>
  </HeadingPairs>
  <TitlesOfParts>
    <vt:vector size="26" baseType="lpstr">
      <vt:lpstr>Cover sheet</vt:lpstr>
      <vt:lpstr>Data Table 1</vt:lpstr>
      <vt:lpstr>Data Table 2</vt:lpstr>
      <vt:lpstr>Data Table 3</vt:lpstr>
      <vt:lpstr>Data Table 4</vt:lpstr>
      <vt:lpstr>Data Table 5</vt:lpstr>
      <vt:lpstr>Data Table S1</vt:lpstr>
      <vt:lpstr>Data Table S2</vt:lpstr>
      <vt:lpstr>Data Table S3</vt:lpstr>
      <vt:lpstr>Data Table S4</vt:lpstr>
      <vt:lpstr>Data Table S5</vt:lpstr>
      <vt:lpstr>Data Table S6</vt:lpstr>
      <vt:lpstr>Data Table S8</vt:lpstr>
      <vt:lpstr>Data Table S9</vt:lpstr>
      <vt:lpstr>Data Table S10</vt:lpstr>
      <vt:lpstr>Data Table S11</vt:lpstr>
      <vt:lpstr>Data Table S12</vt:lpstr>
      <vt:lpstr>Data Table S14</vt:lpstr>
      <vt:lpstr>Data Table S15</vt:lpstr>
      <vt:lpstr>Data Table S18</vt:lpstr>
      <vt:lpstr>Data Table S19</vt:lpstr>
      <vt:lpstr>Data Table S20</vt:lpstr>
      <vt:lpstr>Data Table S21</vt:lpstr>
      <vt:lpstr>'Data Table S10'!_Hlk118911472</vt:lpstr>
      <vt:lpstr>'Data Table S3'!_Hlk133659778</vt:lpstr>
      <vt:lpstr>'Data Table 4'!OLE_LINK12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 QIAO</dc:creator>
  <cp:lastModifiedBy>Jiangtao Qiao</cp:lastModifiedBy>
  <dcterms:created xsi:type="dcterms:W3CDTF">2015-06-05T18:17:20Z</dcterms:created>
  <dcterms:modified xsi:type="dcterms:W3CDTF">2024-08-20T07:44:09Z</dcterms:modified>
</cp:coreProperties>
</file>