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EBE913C6-0AD5-404C-A86E-0309BB2C5527}" xr6:coauthVersionLast="47" xr6:coauthVersionMax="47" xr10:uidLastSave="{00000000-0000-0000-0000-000000000000}"/>
  <bookViews>
    <workbookView xWindow="-110" yWindow="-110" windowWidth="19420" windowHeight="10560" tabRatio="601" activeTab="1" xr2:uid="{00000000-000D-0000-FFFF-FFFF00000000}"/>
  </bookViews>
  <sheets>
    <sheet name="Table S1" sheetId="4" r:id="rId1"/>
    <sheet name="Table S2" sheetId="5" r:id="rId2"/>
    <sheet name="Table S3" sheetId="6" r:id="rId3"/>
    <sheet name="Table S4" sheetId="1" r:id="rId4"/>
    <sheet name="Table S5" sheetId="3" r:id="rId5"/>
    <sheet name="Table S6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3" l="1"/>
  <c r="L30" i="2" l="1"/>
  <c r="L31" i="2"/>
  <c r="L32" i="2"/>
  <c r="L33" i="2"/>
  <c r="L34" i="2"/>
  <c r="L35" i="2"/>
  <c r="L36" i="2"/>
  <c r="L37" i="2"/>
  <c r="L38" i="2"/>
  <c r="L39" i="2"/>
  <c r="L29" i="2"/>
  <c r="I62" i="3"/>
  <c r="L61" i="3" s="1"/>
  <c r="L63" i="3"/>
  <c r="O63" i="3" s="1"/>
  <c r="I61" i="3"/>
  <c r="K68" i="3" s="1"/>
  <c r="N68" i="3" s="1"/>
  <c r="I48" i="3"/>
  <c r="L50" i="3" s="1"/>
  <c r="O50" i="3" s="1"/>
  <c r="I47" i="3"/>
  <c r="K53" i="3" s="1"/>
  <c r="K56" i="3"/>
  <c r="N56" i="3" s="1"/>
  <c r="I34" i="3"/>
  <c r="L36" i="3" s="1"/>
  <c r="O36" i="3" s="1"/>
  <c r="I33" i="3"/>
  <c r="K35" i="3" s="1"/>
  <c r="I19" i="3"/>
  <c r="L27" i="3" s="1"/>
  <c r="O27" i="3" s="1"/>
  <c r="I18" i="3"/>
  <c r="K18" i="3" s="1"/>
  <c r="L13" i="3"/>
  <c r="I4" i="3"/>
  <c r="K10" i="3" s="1"/>
  <c r="K12" i="3"/>
  <c r="N12" i="3" s="1"/>
  <c r="K9" i="3"/>
  <c r="N9" i="3" s="1"/>
  <c r="K11" i="3"/>
  <c r="N11" i="3" s="1"/>
  <c r="L70" i="3"/>
  <c r="O70" i="3" s="1"/>
  <c r="P70" i="3" s="1"/>
  <c r="K70" i="3"/>
  <c r="N70" i="3" s="1"/>
  <c r="L20" i="3"/>
  <c r="O20" i="3" s="1"/>
  <c r="L48" i="3"/>
  <c r="O48" i="3" s="1"/>
  <c r="K8" i="3"/>
  <c r="N8" i="3" s="1"/>
  <c r="K48" i="3"/>
  <c r="K7" i="3"/>
  <c r="N7" i="3"/>
  <c r="K4" i="3"/>
  <c r="K6" i="3"/>
  <c r="N6" i="3"/>
  <c r="L69" i="3"/>
  <c r="K13" i="3"/>
  <c r="N13" i="3"/>
  <c r="K5" i="3"/>
  <c r="N5" i="3" s="1"/>
  <c r="L8" i="3"/>
  <c r="O8" i="3" s="1"/>
  <c r="L10" i="3"/>
  <c r="O10" i="3" s="1"/>
  <c r="L4" i="3"/>
  <c r="M4" i="3" s="1"/>
  <c r="O4" i="3"/>
  <c r="P4" i="3" s="1"/>
  <c r="L5" i="3"/>
  <c r="O5" i="3" s="1"/>
  <c r="L9" i="3"/>
  <c r="L12" i="3"/>
  <c r="O12" i="3" s="1"/>
  <c r="N4" i="3"/>
  <c r="I75" i="2"/>
  <c r="K75" i="2" s="1"/>
  <c r="J75" i="2"/>
  <c r="I76" i="2"/>
  <c r="J76" i="2"/>
  <c r="I77" i="2"/>
  <c r="J77" i="2"/>
  <c r="I78" i="2"/>
  <c r="J78" i="2"/>
  <c r="I79" i="2"/>
  <c r="K79" i="2" s="1"/>
  <c r="J79" i="2"/>
  <c r="I80" i="2"/>
  <c r="J80" i="2"/>
  <c r="I81" i="2"/>
  <c r="J81" i="2"/>
  <c r="K81" i="2" s="1"/>
  <c r="I82" i="2"/>
  <c r="J82" i="2"/>
  <c r="I83" i="2"/>
  <c r="J83" i="2"/>
  <c r="K83" i="2" s="1"/>
  <c r="I84" i="2"/>
  <c r="J84" i="2"/>
  <c r="J74" i="2"/>
  <c r="I74" i="2"/>
  <c r="K74" i="2" s="1"/>
  <c r="K84" i="2"/>
  <c r="K80" i="2"/>
  <c r="K82" i="2"/>
  <c r="K78" i="2"/>
  <c r="K77" i="2"/>
  <c r="K76" i="2"/>
  <c r="J6" i="2"/>
  <c r="K6" i="2" s="1"/>
  <c r="J5" i="2"/>
  <c r="K5" i="2"/>
  <c r="D44" i="2" s="1"/>
  <c r="I48" i="2" s="1"/>
  <c r="D59" i="2"/>
  <c r="I61" i="2" s="1"/>
  <c r="J6" i="1"/>
  <c r="L6" i="1" s="1"/>
  <c r="M6" i="1"/>
  <c r="K6" i="1"/>
  <c r="N6" i="1" s="1"/>
  <c r="J7" i="1"/>
  <c r="M7" i="1" s="1"/>
  <c r="K7" i="1"/>
  <c r="N7" i="1" s="1"/>
  <c r="J8" i="1"/>
  <c r="M8" i="1" s="1"/>
  <c r="K8" i="1"/>
  <c r="N8" i="1" s="1"/>
  <c r="J9" i="1"/>
  <c r="M9" i="1" s="1"/>
  <c r="K9" i="1"/>
  <c r="N9" i="1" s="1"/>
  <c r="J10" i="1"/>
  <c r="L10" i="1" s="1"/>
  <c r="K10" i="1"/>
  <c r="J11" i="1"/>
  <c r="M11" i="1" s="1"/>
  <c r="K11" i="1"/>
  <c r="N11" i="1" s="1"/>
  <c r="J12" i="1"/>
  <c r="M12" i="1" s="1"/>
  <c r="K12" i="1"/>
  <c r="N12" i="1" s="1"/>
  <c r="J13" i="1"/>
  <c r="M13" i="1"/>
  <c r="K13" i="1"/>
  <c r="N13" i="1" s="1"/>
  <c r="J14" i="1"/>
  <c r="M14" i="1" s="1"/>
  <c r="K14" i="1"/>
  <c r="N14" i="1" s="1"/>
  <c r="K5" i="1"/>
  <c r="N5" i="1" s="1"/>
  <c r="J5" i="1"/>
  <c r="M5" i="1" s="1"/>
  <c r="N10" i="1"/>
  <c r="J48" i="1"/>
  <c r="M48" i="1" s="1"/>
  <c r="K48" i="1"/>
  <c r="N48" i="1" s="1"/>
  <c r="J49" i="1"/>
  <c r="K49" i="1"/>
  <c r="N49" i="1" s="1"/>
  <c r="J50" i="1"/>
  <c r="M50" i="1"/>
  <c r="K50" i="1"/>
  <c r="N50" i="1" s="1"/>
  <c r="J51" i="1"/>
  <c r="K51" i="1"/>
  <c r="N51" i="1" s="1"/>
  <c r="O51" i="1" s="1"/>
  <c r="J52" i="1"/>
  <c r="M52" i="1" s="1"/>
  <c r="O52" i="1" s="1"/>
  <c r="K52" i="1"/>
  <c r="N52" i="1"/>
  <c r="J53" i="1"/>
  <c r="L53" i="1" s="1"/>
  <c r="K53" i="1"/>
  <c r="N53" i="1" s="1"/>
  <c r="J54" i="1"/>
  <c r="M54" i="1" s="1"/>
  <c r="K54" i="1"/>
  <c r="L54" i="1" s="1"/>
  <c r="N54" i="1"/>
  <c r="J55" i="1"/>
  <c r="M55" i="1" s="1"/>
  <c r="K55" i="1"/>
  <c r="N55" i="1" s="1"/>
  <c r="J56" i="1"/>
  <c r="M56" i="1" s="1"/>
  <c r="K56" i="1"/>
  <c r="N56" i="1" s="1"/>
  <c r="K47" i="1"/>
  <c r="N47" i="1" s="1"/>
  <c r="J47" i="1"/>
  <c r="M47" i="1"/>
  <c r="M53" i="1"/>
  <c r="O53" i="1" s="1"/>
  <c r="M51" i="1"/>
  <c r="M49" i="1"/>
  <c r="K34" i="1"/>
  <c r="N34" i="1" s="1"/>
  <c r="K35" i="1"/>
  <c r="N35" i="1" s="1"/>
  <c r="K36" i="1"/>
  <c r="N36" i="1" s="1"/>
  <c r="K37" i="1"/>
  <c r="N37" i="1"/>
  <c r="K38" i="1"/>
  <c r="N38" i="1" s="1"/>
  <c r="K39" i="1"/>
  <c r="K40" i="1"/>
  <c r="N40" i="1"/>
  <c r="K41" i="1"/>
  <c r="N41" i="1" s="1"/>
  <c r="K42" i="1"/>
  <c r="N42" i="1" s="1"/>
  <c r="J34" i="1"/>
  <c r="L34" i="1" s="1"/>
  <c r="M34" i="1"/>
  <c r="J35" i="1"/>
  <c r="M35" i="1" s="1"/>
  <c r="J36" i="1"/>
  <c r="M36" i="1" s="1"/>
  <c r="J37" i="1"/>
  <c r="M37" i="1" s="1"/>
  <c r="J38" i="1"/>
  <c r="M38" i="1" s="1"/>
  <c r="J39" i="1"/>
  <c r="M39" i="1" s="1"/>
  <c r="J40" i="1"/>
  <c r="M40" i="1" s="1"/>
  <c r="O40" i="1" s="1"/>
  <c r="J41" i="1"/>
  <c r="M41" i="1" s="1"/>
  <c r="J42" i="1"/>
  <c r="M42" i="1"/>
  <c r="K33" i="1"/>
  <c r="N33" i="1" s="1"/>
  <c r="O33" i="1" s="1"/>
  <c r="J33" i="1"/>
  <c r="N39" i="1"/>
  <c r="K28" i="1"/>
  <c r="N28" i="1" s="1"/>
  <c r="J28" i="1"/>
  <c r="M28" i="1" s="1"/>
  <c r="K27" i="1"/>
  <c r="N27" i="1"/>
  <c r="J27" i="1"/>
  <c r="M27" i="1" s="1"/>
  <c r="K26" i="1"/>
  <c r="N26" i="1" s="1"/>
  <c r="J26" i="1"/>
  <c r="K25" i="1"/>
  <c r="N25" i="1" s="1"/>
  <c r="J25" i="1"/>
  <c r="M25" i="1" s="1"/>
  <c r="K24" i="1"/>
  <c r="N24" i="1"/>
  <c r="J24" i="1"/>
  <c r="M24" i="1" s="1"/>
  <c r="K23" i="1"/>
  <c r="N23" i="1" s="1"/>
  <c r="J23" i="1"/>
  <c r="L23" i="1" s="1"/>
  <c r="M23" i="1"/>
  <c r="K22" i="1"/>
  <c r="J22" i="1"/>
  <c r="M22" i="1" s="1"/>
  <c r="K21" i="1"/>
  <c r="N21" i="1" s="1"/>
  <c r="J21" i="1"/>
  <c r="M21" i="1" s="1"/>
  <c r="O21" i="1" s="1"/>
  <c r="K20" i="1"/>
  <c r="N20" i="1"/>
  <c r="J20" i="1"/>
  <c r="L20" i="1" s="1"/>
  <c r="K19" i="1"/>
  <c r="N19" i="1" s="1"/>
  <c r="J19" i="1"/>
  <c r="I66" i="2"/>
  <c r="I65" i="2"/>
  <c r="I50" i="2"/>
  <c r="I54" i="2"/>
  <c r="I51" i="2"/>
  <c r="I44" i="2"/>
  <c r="I45" i="2"/>
  <c r="I49" i="2"/>
  <c r="L49" i="1"/>
  <c r="L55" i="1"/>
  <c r="L7" i="1"/>
  <c r="L11" i="1"/>
  <c r="L14" i="1"/>
  <c r="L36" i="1"/>
  <c r="M33" i="1"/>
  <c r="L38" i="1"/>
  <c r="M26" i="1"/>
  <c r="M19" i="1"/>
  <c r="N10" i="3" l="1"/>
  <c r="M10" i="3"/>
  <c r="E44" i="2"/>
  <c r="E59" i="2"/>
  <c r="E29" i="2"/>
  <c r="E13" i="2"/>
  <c r="L52" i="1"/>
  <c r="I67" i="2"/>
  <c r="O27" i="1"/>
  <c r="M20" i="1"/>
  <c r="O20" i="1" s="1"/>
  <c r="I63" i="2"/>
  <c r="L24" i="1"/>
  <c r="O49" i="1"/>
  <c r="P12" i="3"/>
  <c r="K62" i="3"/>
  <c r="N62" i="3" s="1"/>
  <c r="K64" i="3"/>
  <c r="N64" i="3" s="1"/>
  <c r="M48" i="3"/>
  <c r="K63" i="3"/>
  <c r="N63" i="3" s="1"/>
  <c r="P63" i="3" s="1"/>
  <c r="P8" i="3"/>
  <c r="O36" i="1"/>
  <c r="L27" i="1"/>
  <c r="I53" i="2"/>
  <c r="I47" i="2"/>
  <c r="I68" i="2"/>
  <c r="I59" i="2"/>
  <c r="M9" i="3"/>
  <c r="K69" i="3"/>
  <c r="N69" i="3" s="1"/>
  <c r="L21" i="3"/>
  <c r="O21" i="3" s="1"/>
  <c r="L25" i="3"/>
  <c r="O25" i="3" s="1"/>
  <c r="K66" i="3"/>
  <c r="N66" i="3" s="1"/>
  <c r="P5" i="3"/>
  <c r="I64" i="2"/>
  <c r="L37" i="1"/>
  <c r="I52" i="2"/>
  <c r="I46" i="2"/>
  <c r="O23" i="1"/>
  <c r="L47" i="1"/>
  <c r="O54" i="1"/>
  <c r="L13" i="1"/>
  <c r="D29" i="2"/>
  <c r="M5" i="3"/>
  <c r="O37" i="1"/>
  <c r="L35" i="1"/>
  <c r="I62" i="2"/>
  <c r="K61" i="3"/>
  <c r="N61" i="3" s="1"/>
  <c r="K65" i="3"/>
  <c r="N65" i="3" s="1"/>
  <c r="L21" i="1"/>
  <c r="L40" i="1"/>
  <c r="L51" i="1"/>
  <c r="I69" i="2"/>
  <c r="I60" i="2"/>
  <c r="O50" i="1"/>
  <c r="D13" i="2"/>
  <c r="M12" i="3"/>
  <c r="P10" i="3"/>
  <c r="K67" i="3"/>
  <c r="N67" i="3" s="1"/>
  <c r="M70" i="3"/>
  <c r="O24" i="1"/>
  <c r="L26" i="3"/>
  <c r="O26" i="3" s="1"/>
  <c r="L39" i="1"/>
  <c r="L22" i="1"/>
  <c r="O25" i="1"/>
  <c r="O41" i="1"/>
  <c r="O47" i="1"/>
  <c r="O28" i="1"/>
  <c r="O35" i="1"/>
  <c r="O56" i="1"/>
  <c r="L50" i="1"/>
  <c r="L33" i="1"/>
  <c r="L12" i="1"/>
  <c r="O26" i="1"/>
  <c r="O34" i="1"/>
  <c r="O42" i="1"/>
  <c r="O39" i="1"/>
  <c r="O48" i="1"/>
  <c r="L48" i="1"/>
  <c r="O19" i="1"/>
  <c r="O38" i="1"/>
  <c r="O55" i="1"/>
  <c r="O13" i="1"/>
  <c r="L8" i="1"/>
  <c r="L5" i="1"/>
  <c r="O8" i="1"/>
  <c r="L9" i="1"/>
  <c r="O9" i="1"/>
  <c r="M10" i="1"/>
  <c r="O10" i="1" s="1"/>
  <c r="O7" i="1"/>
  <c r="O5" i="1"/>
  <c r="O14" i="1"/>
  <c r="O12" i="1"/>
  <c r="O11" i="1"/>
  <c r="O6" i="1"/>
  <c r="O61" i="3"/>
  <c r="P61" i="3" s="1"/>
  <c r="O69" i="3"/>
  <c r="P69" i="3" s="1"/>
  <c r="L68" i="3"/>
  <c r="L66" i="3"/>
  <c r="L65" i="3"/>
  <c r="L67" i="3"/>
  <c r="M63" i="3"/>
  <c r="L62" i="3"/>
  <c r="L64" i="3"/>
  <c r="L56" i="1"/>
  <c r="L41" i="1"/>
  <c r="L42" i="1"/>
  <c r="L25" i="1"/>
  <c r="L28" i="1"/>
  <c r="L26" i="1"/>
  <c r="N22" i="1"/>
  <c r="O22" i="1" s="1"/>
  <c r="L19" i="1"/>
  <c r="N53" i="3"/>
  <c r="K49" i="3"/>
  <c r="K50" i="3"/>
  <c r="L49" i="3"/>
  <c r="O49" i="3" s="1"/>
  <c r="L52" i="3"/>
  <c r="O52" i="3" s="1"/>
  <c r="K47" i="3"/>
  <c r="L55" i="3"/>
  <c r="O55" i="3" s="1"/>
  <c r="L51" i="3"/>
  <c r="O51" i="3" s="1"/>
  <c r="K52" i="3"/>
  <c r="L53" i="3"/>
  <c r="O53" i="3" s="1"/>
  <c r="L54" i="3"/>
  <c r="O54" i="3" s="1"/>
  <c r="K55" i="3"/>
  <c r="N48" i="3"/>
  <c r="P48" i="3" s="1"/>
  <c r="L56" i="3"/>
  <c r="O56" i="3" s="1"/>
  <c r="P56" i="3" s="1"/>
  <c r="K51" i="3"/>
  <c r="K54" i="3"/>
  <c r="L47" i="3"/>
  <c r="O47" i="3" s="1"/>
  <c r="N35" i="3"/>
  <c r="L37" i="3"/>
  <c r="O37" i="3" s="1"/>
  <c r="K42" i="3"/>
  <c r="K34" i="3"/>
  <c r="K36" i="3"/>
  <c r="L34" i="3"/>
  <c r="O34" i="3" s="1"/>
  <c r="L39" i="3"/>
  <c r="O39" i="3" s="1"/>
  <c r="L40" i="3"/>
  <c r="O40" i="3" s="1"/>
  <c r="L35" i="3"/>
  <c r="O35" i="3" s="1"/>
  <c r="K33" i="3"/>
  <c r="K39" i="3"/>
  <c r="K38" i="3"/>
  <c r="L33" i="3"/>
  <c r="O33" i="3" s="1"/>
  <c r="K41" i="3"/>
  <c r="L38" i="3"/>
  <c r="O38" i="3" s="1"/>
  <c r="K40" i="3"/>
  <c r="L41" i="3"/>
  <c r="O41" i="3" s="1"/>
  <c r="L42" i="3"/>
  <c r="O42" i="3" s="1"/>
  <c r="K37" i="3"/>
  <c r="N18" i="3"/>
  <c r="K20" i="3"/>
  <c r="L23" i="3"/>
  <c r="O23" i="3" s="1"/>
  <c r="L24" i="3"/>
  <c r="O24" i="3" s="1"/>
  <c r="L22" i="3"/>
  <c r="O22" i="3" s="1"/>
  <c r="K23" i="3"/>
  <c r="K27" i="3"/>
  <c r="K25" i="3"/>
  <c r="K22" i="3"/>
  <c r="K24" i="3"/>
  <c r="K26" i="3"/>
  <c r="L18" i="3"/>
  <c r="O18" i="3" s="1"/>
  <c r="L19" i="3"/>
  <c r="O19" i="3" s="1"/>
  <c r="K21" i="3"/>
  <c r="K19" i="3"/>
  <c r="O13" i="3"/>
  <c r="P13" i="3" s="1"/>
  <c r="M13" i="3"/>
  <c r="L7" i="3"/>
  <c r="L6" i="3"/>
  <c r="L11" i="3"/>
  <c r="M8" i="3"/>
  <c r="O9" i="3"/>
  <c r="P9" i="3" s="1"/>
  <c r="M53" i="3" l="1"/>
  <c r="J17" i="2"/>
  <c r="J20" i="2"/>
  <c r="J14" i="2"/>
  <c r="J21" i="2"/>
  <c r="J13" i="2"/>
  <c r="J16" i="2"/>
  <c r="J22" i="2"/>
  <c r="J18" i="2"/>
  <c r="J19" i="2"/>
  <c r="J23" i="2"/>
  <c r="J15" i="2"/>
  <c r="J60" i="2"/>
  <c r="K60" i="2" s="1"/>
  <c r="J68" i="2"/>
  <c r="K68" i="2" s="1"/>
  <c r="J61" i="2"/>
  <c r="K61" i="2" s="1"/>
  <c r="J64" i="2"/>
  <c r="J62" i="2"/>
  <c r="J69" i="2"/>
  <c r="J63" i="2"/>
  <c r="K63" i="2" s="1"/>
  <c r="J67" i="2"/>
  <c r="J59" i="2"/>
  <c r="J66" i="2"/>
  <c r="K66" i="2" s="1"/>
  <c r="J65" i="2"/>
  <c r="K65" i="2" s="1"/>
  <c r="M61" i="3"/>
  <c r="J29" i="2"/>
  <c r="J35" i="2"/>
  <c r="J30" i="2"/>
  <c r="J31" i="2"/>
  <c r="J34" i="2"/>
  <c r="K34" i="2" s="1"/>
  <c r="J38" i="2"/>
  <c r="J36" i="2"/>
  <c r="J37" i="2"/>
  <c r="J32" i="2"/>
  <c r="J33" i="2"/>
  <c r="J39" i="2"/>
  <c r="I22" i="2"/>
  <c r="I17" i="2"/>
  <c r="K17" i="2" s="1"/>
  <c r="I15" i="2"/>
  <c r="K15" i="2" s="1"/>
  <c r="I20" i="2"/>
  <c r="K20" i="2" s="1"/>
  <c r="I23" i="2"/>
  <c r="K23" i="2" s="1"/>
  <c r="I16" i="2"/>
  <c r="I19" i="2"/>
  <c r="K19" i="2" s="1"/>
  <c r="I14" i="2"/>
  <c r="K14" i="2" s="1"/>
  <c r="I13" i="2"/>
  <c r="I18" i="2"/>
  <c r="K18" i="2" s="1"/>
  <c r="I21" i="2"/>
  <c r="K21" i="2" s="1"/>
  <c r="J50" i="2"/>
  <c r="K50" i="2" s="1"/>
  <c r="J53" i="2"/>
  <c r="J44" i="2"/>
  <c r="K44" i="2" s="1"/>
  <c r="J47" i="2"/>
  <c r="J48" i="2"/>
  <c r="K48" i="2" s="1"/>
  <c r="J45" i="2"/>
  <c r="K45" i="2" s="1"/>
  <c r="J49" i="2"/>
  <c r="K49" i="2" s="1"/>
  <c r="J51" i="2"/>
  <c r="K51" i="2" s="1"/>
  <c r="J52" i="2"/>
  <c r="K52" i="2" s="1"/>
  <c r="J46" i="2"/>
  <c r="J54" i="2"/>
  <c r="K54" i="2" s="1"/>
  <c r="K62" i="2"/>
  <c r="K47" i="2"/>
  <c r="K59" i="2"/>
  <c r="K69" i="2"/>
  <c r="K53" i="2"/>
  <c r="K67" i="2"/>
  <c r="I32" i="2"/>
  <c r="K32" i="2" s="1"/>
  <c r="I36" i="2"/>
  <c r="K36" i="2" s="1"/>
  <c r="I34" i="2"/>
  <c r="I33" i="2"/>
  <c r="K33" i="2" s="1"/>
  <c r="I30" i="2"/>
  <c r="K30" i="2" s="1"/>
  <c r="I37" i="2"/>
  <c r="K37" i="2" s="1"/>
  <c r="I29" i="2"/>
  <c r="K29" i="2" s="1"/>
  <c r="I38" i="2"/>
  <c r="I35" i="2"/>
  <c r="K35" i="2" s="1"/>
  <c r="I31" i="2"/>
  <c r="K31" i="2" s="1"/>
  <c r="I39" i="2"/>
  <c r="K39" i="2" s="1"/>
  <c r="K64" i="2"/>
  <c r="K46" i="2"/>
  <c r="M69" i="3"/>
  <c r="O66" i="3"/>
  <c r="P66" i="3" s="1"/>
  <c r="M66" i="3"/>
  <c r="O68" i="3"/>
  <c r="P68" i="3" s="1"/>
  <c r="M68" i="3"/>
  <c r="M65" i="3"/>
  <c r="O65" i="3"/>
  <c r="P65" i="3" s="1"/>
  <c r="O64" i="3"/>
  <c r="P64" i="3" s="1"/>
  <c r="M64" i="3"/>
  <c r="O67" i="3"/>
  <c r="P67" i="3" s="1"/>
  <c r="M67" i="3"/>
  <c r="M62" i="3"/>
  <c r="O62" i="3"/>
  <c r="P62" i="3" s="1"/>
  <c r="M52" i="3"/>
  <c r="N52" i="3"/>
  <c r="P52" i="3" s="1"/>
  <c r="N49" i="3"/>
  <c r="P49" i="3" s="1"/>
  <c r="M49" i="3"/>
  <c r="N55" i="3"/>
  <c r="P55" i="3" s="1"/>
  <c r="M55" i="3"/>
  <c r="M54" i="3"/>
  <c r="N54" i="3"/>
  <c r="P54" i="3" s="1"/>
  <c r="N47" i="3"/>
  <c r="P47" i="3" s="1"/>
  <c r="M47" i="3"/>
  <c r="N50" i="3"/>
  <c r="P50" i="3" s="1"/>
  <c r="M50" i="3"/>
  <c r="N51" i="3"/>
  <c r="P51" i="3" s="1"/>
  <c r="M51" i="3"/>
  <c r="M56" i="3"/>
  <c r="P53" i="3"/>
  <c r="N41" i="3"/>
  <c r="P41" i="3" s="1"/>
  <c r="M41" i="3"/>
  <c r="N36" i="3"/>
  <c r="P36" i="3" s="1"/>
  <c r="M36" i="3"/>
  <c r="N38" i="3"/>
  <c r="P38" i="3" s="1"/>
  <c r="M38" i="3"/>
  <c r="M34" i="3"/>
  <c r="N34" i="3"/>
  <c r="P34" i="3" s="1"/>
  <c r="N39" i="3"/>
  <c r="P39" i="3" s="1"/>
  <c r="M39" i="3"/>
  <c r="M42" i="3"/>
  <c r="N42" i="3"/>
  <c r="P42" i="3" s="1"/>
  <c r="N33" i="3"/>
  <c r="P33" i="3" s="1"/>
  <c r="M33" i="3"/>
  <c r="N37" i="3"/>
  <c r="P37" i="3" s="1"/>
  <c r="M37" i="3"/>
  <c r="M35" i="3"/>
  <c r="M40" i="3"/>
  <c r="N40" i="3"/>
  <c r="P40" i="3" s="1"/>
  <c r="P35" i="3"/>
  <c r="M21" i="3"/>
  <c r="N21" i="3"/>
  <c r="P21" i="3" s="1"/>
  <c r="N27" i="3"/>
  <c r="P27" i="3" s="1"/>
  <c r="M27" i="3"/>
  <c r="N24" i="3"/>
  <c r="P24" i="3" s="1"/>
  <c r="M24" i="3"/>
  <c r="M20" i="3"/>
  <c r="N20" i="3"/>
  <c r="P20" i="3" s="1"/>
  <c r="N22" i="3"/>
  <c r="P22" i="3" s="1"/>
  <c r="M22" i="3"/>
  <c r="P18" i="3"/>
  <c r="M19" i="3"/>
  <c r="N19" i="3"/>
  <c r="P19" i="3" s="1"/>
  <c r="M23" i="3"/>
  <c r="N23" i="3"/>
  <c r="P23" i="3" s="1"/>
  <c r="M26" i="3"/>
  <c r="N26" i="3"/>
  <c r="P26" i="3" s="1"/>
  <c r="M25" i="3"/>
  <c r="N25" i="3"/>
  <c r="P25" i="3" s="1"/>
  <c r="M18" i="3"/>
  <c r="O11" i="3"/>
  <c r="P11" i="3" s="1"/>
  <c r="M11" i="3"/>
  <c r="O6" i="3"/>
  <c r="P6" i="3" s="1"/>
  <c r="M6" i="3"/>
  <c r="O7" i="3"/>
  <c r="P7" i="3" s="1"/>
  <c r="M7" i="3"/>
  <c r="K22" i="2" l="1"/>
  <c r="K13" i="2"/>
  <c r="K38" i="2"/>
  <c r="K16" i="2"/>
</calcChain>
</file>

<file path=xl/sharedStrings.xml><?xml version="1.0" encoding="utf-8"?>
<sst xmlns="http://schemas.openxmlformats.org/spreadsheetml/2006/main" count="445" uniqueCount="168">
  <si>
    <r>
      <t xml:space="preserve">bulk </t>
    </r>
    <r>
      <rPr>
        <i/>
        <sz val="11"/>
        <color rgb="FF000000"/>
        <rFont val="Times New Roman"/>
        <family val="1"/>
      </rPr>
      <t>D</t>
    </r>
    <phoneticPr fontId="3" type="noConversion"/>
  </si>
  <si>
    <r>
      <t>Oceanic crust</t>
    </r>
    <r>
      <rPr>
        <vertAlign val="superscript"/>
        <sz val="11"/>
        <color theme="1"/>
        <rFont val="Times New Roman"/>
        <family val="1"/>
      </rPr>
      <t>s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</si>
  <si>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Grt/CM a</t>
    </r>
    <phoneticPr fontId="3" type="noConversion"/>
  </si>
  <si>
    <t>F</t>
    <phoneticPr fontId="3" type="noConversion"/>
  </si>
  <si>
    <t xml:space="preserve">Nb  in CM </t>
    <phoneticPr fontId="3" type="noConversion"/>
  </si>
  <si>
    <t xml:space="preserve">Ta  in CM </t>
    <phoneticPr fontId="3" type="noConversion"/>
  </si>
  <si>
    <t>Nb/Ta in CM</t>
    <phoneticPr fontId="3" type="noConversion"/>
  </si>
  <si>
    <t xml:space="preserve">residual Nb </t>
    <phoneticPr fontId="3" type="noConversion"/>
  </si>
  <si>
    <t xml:space="preserve">residual Ta </t>
    <phoneticPr fontId="3" type="noConversion"/>
  </si>
  <si>
    <t>Nb/Ta in residual</t>
    <phoneticPr fontId="3" type="noConversion"/>
  </si>
  <si>
    <t>Nb</t>
  </si>
  <si>
    <r>
      <rPr>
        <i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 for minerals and CM</t>
    </r>
    <phoneticPr fontId="3" type="noConversion"/>
  </si>
  <si>
    <t>Ta</t>
    <phoneticPr fontId="3" type="noConversion"/>
  </si>
  <si>
    <t>CM formed by partial melting of carbonated basalt</t>
    <phoneticPr fontId="3" type="noConversion"/>
  </si>
  <si>
    <t>eclogite phase fraction grt:cpx:coe:rt=48.51:37.62:12.87:1</t>
    <phoneticPr fontId="3" type="noConversion"/>
  </si>
  <si>
    <t>eclogite phase fraction grt:cpx:coe:rt=48.02:37.24:12.74:2</t>
    <phoneticPr fontId="3" type="noConversion"/>
  </si>
  <si>
    <t>eclogite phase fraction grt:cpx:coe:rt=47.53:36.86:12.61:3</t>
    <phoneticPr fontId="3" type="noConversion"/>
  </si>
  <si>
    <t>eclogite phase fraction grt:cpx:coe:rt=47.04:36.48:12.48:4</t>
    <phoneticPr fontId="3" type="noConversion"/>
  </si>
  <si>
    <r>
      <t>Oceanic crust</t>
    </r>
    <r>
      <rPr>
        <vertAlign val="superscript"/>
        <sz val="11"/>
        <color theme="1"/>
        <rFont val="Times New Roman"/>
        <family val="1"/>
      </rPr>
      <t>a</t>
    </r>
    <phoneticPr fontId="3" type="noConversion"/>
  </si>
  <si>
    <t xml:space="preserve">  </t>
    <phoneticPr fontId="3" type="noConversion"/>
  </si>
  <si>
    <t>Mantle melting degree</t>
    <phoneticPr fontId="3" type="noConversion"/>
  </si>
  <si>
    <t xml:space="preserve">Nb in CM </t>
    <phoneticPr fontId="3" type="noConversion"/>
  </si>
  <si>
    <t xml:space="preserve">Nb/Ta in CM </t>
    <phoneticPr fontId="3" type="noConversion"/>
  </si>
  <si>
    <t xml:space="preserve">Ta in CM </t>
    <phoneticPr fontId="3" type="noConversion"/>
  </si>
  <si>
    <r>
      <t xml:space="preserve">Bulk </t>
    </r>
    <r>
      <rPr>
        <i/>
        <sz val="11"/>
        <color theme="1"/>
        <rFont val="Times New Roman"/>
        <family val="1"/>
      </rPr>
      <t>D</t>
    </r>
    <phoneticPr fontId="3" type="noConversion"/>
  </si>
  <si>
    <r>
      <t>PM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</si>
  <si>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Grt/basaltic melt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</si>
  <si>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Ol/basaltic melt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</si>
  <si>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Cpx/basaltic melt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</si>
  <si>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Opx/basaltic melt</t>
    </r>
    <phoneticPr fontId="3" type="noConversion"/>
  </si>
  <si>
    <r>
      <t xml:space="preserve">Bulk </t>
    </r>
    <r>
      <rPr>
        <i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(Ol: Opx: Cpx: Grt = 60: 21: 8: 11)</t>
    </r>
    <phoneticPr fontId="3" type="noConversion"/>
  </si>
  <si>
    <t>Ta</t>
  </si>
  <si>
    <t>Mantle peridotite (DM ) after 30% basaltic melt extration</t>
    <phoneticPr fontId="3" type="noConversion"/>
  </si>
  <si>
    <r>
      <rPr>
        <i/>
        <sz val="11"/>
        <color rgb="FF000000"/>
        <rFont val="Times New Roman"/>
        <family val="1"/>
      </rPr>
      <t>D</t>
    </r>
    <r>
      <rPr>
        <sz val="11"/>
        <color rgb="FF000000"/>
        <rFont val="Times New Roman"/>
        <family val="1"/>
      </rPr>
      <t xml:space="preserve"> for minerals and basaltic melt</t>
    </r>
    <r>
      <rPr>
        <vertAlign val="superscript"/>
        <sz val="11"/>
        <color rgb="FF000000"/>
        <rFont val="Times New Roman"/>
        <family val="1"/>
      </rPr>
      <t>$</t>
    </r>
    <phoneticPr fontId="3" type="noConversion"/>
  </si>
  <si>
    <t>Mantle Melting degree of Deplete Mantle (DM)</t>
    <phoneticPr fontId="3" type="noConversion"/>
  </si>
  <si>
    <t>&amp;: Nb and Ta  content of sediment-derived carbonatitic melts are provided in Table S1.</t>
    <phoneticPr fontId="3" type="noConversion"/>
  </si>
  <si>
    <r>
      <t>Depleted mantle metasomatized by 5 wt.%  of sediment 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   </t>
    </r>
    <r>
      <rPr>
        <sz val="11"/>
        <color theme="1"/>
        <rFont val="Times New Roman"/>
        <family val="1"/>
      </rPr>
      <t>Nb</t>
    </r>
    <phoneticPr fontId="3" type="noConversion"/>
  </si>
  <si>
    <r>
      <t>Depleted mantle metasomatized by 5 wt.%  of sediment 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</t>
    </r>
    <r>
      <rPr>
        <sz val="11"/>
        <color theme="1"/>
        <rFont val="Times New Roman"/>
        <family val="1"/>
      </rPr>
      <t xml:space="preserve">  Ta              </t>
    </r>
    <phoneticPr fontId="3" type="noConversion"/>
  </si>
  <si>
    <r>
      <t>Depleted mantle metasomatized by 5wt.%  of sediment-derived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   </t>
    </r>
    <r>
      <rPr>
        <sz val="11"/>
        <color theme="1"/>
        <rFont val="Times New Roman"/>
        <family val="1"/>
      </rPr>
      <t>Nb</t>
    </r>
    <phoneticPr fontId="3" type="noConversion"/>
  </si>
  <si>
    <r>
      <t>Depleted mantle metasomatized by 5 wt.%  of sediment-derived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</t>
    </r>
    <r>
      <rPr>
        <sz val="11"/>
        <color theme="1"/>
        <rFont val="Times New Roman"/>
        <family val="1"/>
      </rPr>
      <t xml:space="preserve">  Ta              </t>
    </r>
    <phoneticPr fontId="3" type="noConversion"/>
  </si>
  <si>
    <r>
      <t>Depleted mantle metasomatized by 5 wt.%  of basalt-derived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</t>
    </r>
    <r>
      <rPr>
        <sz val="11"/>
        <color theme="1"/>
        <rFont val="Times New Roman"/>
        <family val="1"/>
      </rPr>
      <t xml:space="preserve">  Ta              </t>
    </r>
    <phoneticPr fontId="3" type="noConversion"/>
  </si>
  <si>
    <r>
      <t>Depleted mantle metasomatized by 5 wt.%  of basalt-derived carbonatitic melt</t>
    </r>
    <r>
      <rPr>
        <vertAlign val="superscript"/>
        <sz val="11"/>
        <color theme="1"/>
        <rFont val="Times New Roman"/>
        <family val="1"/>
      </rPr>
      <t xml:space="preserve">&amp;                                    </t>
    </r>
    <r>
      <rPr>
        <sz val="11"/>
        <color theme="1"/>
        <rFont val="Times New Roman"/>
        <family val="1"/>
      </rPr>
      <t>Nb</t>
    </r>
    <phoneticPr fontId="3" type="noConversion"/>
  </si>
  <si>
    <t>Depleted Mantle*                     Nb</t>
    <phoneticPr fontId="3" type="noConversion"/>
  </si>
  <si>
    <t>Depleted Mantle*                       Ta</t>
    <phoneticPr fontId="3" type="noConversion"/>
  </si>
  <si>
    <t>*: Nb and Ta  content of depleted mantle are provided in the uppermost box.</t>
    <phoneticPr fontId="3" type="noConversion"/>
  </si>
  <si>
    <t>#: The Nb and Tacontents  of the primitive mantle is based on McDonough and Sun (1995).</t>
    <phoneticPr fontId="3" type="noConversion"/>
  </si>
  <si>
    <r>
      <t>**Bulk</t>
    </r>
    <r>
      <rPr>
        <i/>
        <sz val="11"/>
        <color theme="1"/>
        <rFont val="Times New Roman"/>
        <family val="1"/>
      </rPr>
      <t xml:space="preserve"> DNb</t>
    </r>
    <r>
      <rPr>
        <sz val="11"/>
        <color theme="1"/>
        <rFont val="Times New Roman"/>
        <family val="1"/>
      </rPr>
      <t>(Mgs-bearing Grt-peridotite/CM; Ol: Opx: Cpx: Grt: Mgs= 58: 11: 17: 10: 4)</t>
    </r>
    <phoneticPr fontId="3" type="noConversion"/>
  </si>
  <si>
    <r>
      <t>**Bulk</t>
    </r>
    <r>
      <rPr>
        <i/>
        <sz val="11"/>
        <color theme="1"/>
        <rFont val="Times New Roman"/>
        <family val="1"/>
      </rPr>
      <t xml:space="preserve"> DTa</t>
    </r>
    <r>
      <rPr>
        <sz val="11"/>
        <color theme="1"/>
        <rFont val="Times New Roman"/>
        <family val="1"/>
      </rPr>
      <t>(Mgs-bearing Grt-peridotite/CM; Ol: Opx: Cpx: Grt: Mgs= 58: 11: 17: 10: 4)</t>
    </r>
    <r>
      <rPr>
        <sz val="9"/>
        <color theme="1"/>
        <rFont val="Times New Roman"/>
        <family val="2"/>
        <charset val="134"/>
      </rPr>
      <t/>
    </r>
    <phoneticPr fontId="3" type="noConversion"/>
  </si>
  <si>
    <t>Reference</t>
    <phoneticPr fontId="3" type="noConversion"/>
  </si>
  <si>
    <t>Sweeney, R.J. , Green, D.H. , Sie, S.H., 1992.  Trace and minor element partitioning between garnet and amphibole and carbonatitic melt.  Earth Planet. Sci. Lett. 113 (1–2), 1–14</t>
    <phoneticPr fontId="3" type="noConversion"/>
  </si>
  <si>
    <t xml:space="preserve">Xue, S., Dasgupta, R., Ling, M. X., Sun, W. D., Lee, C. T. (2024). The effect of fluorine on mineral-carbonatitic melt partitioning of trace elements – Implications for critical mineral deposits.   Geochimica et Cosmochimica Acta. 379, 53-75
</t>
    <phoneticPr fontId="3" type="noConversion"/>
  </si>
  <si>
    <t>McDonough, W.F and Sun, S.S., 1995. The composition of the Earth. Chemical Geology, 120(3-4), 223-253</t>
    <phoneticPr fontId="3" type="noConversion"/>
  </si>
  <si>
    <t>Adam, J and Green, T., 2006. Trace element partitioning between mica- and amphibole-bearing garnet lherzolite and hydrous basanitic melt: 1. Experimental results and the investigation of controls on partitioning behaviour. Contributions to Mineralogy and Petrology. 152(1-17)</t>
    <phoneticPr fontId="3" type="noConversion"/>
  </si>
  <si>
    <t xml:space="preserve">$: The Nb and Ta partition coefficients between mantle minerals and basaltic melt (Adam and Green, 2006; Vanwestrenen et al. 1999). </t>
    <phoneticPr fontId="3" type="noConversion"/>
  </si>
  <si>
    <t>Westrenen, W. V., Blundy., Wood, B.  1999. Crystal-chemical controls on trace element partitioning between garnet and anhydrous silicate melt. American Minerlogist.84 (838-847).</t>
    <phoneticPr fontId="3" type="noConversion"/>
  </si>
  <si>
    <r>
      <rPr>
        <vertAlign val="superscript"/>
        <sz val="11"/>
        <color theme="1"/>
        <rFont val="Times New Roman"/>
        <family val="1"/>
      </rPr>
      <t>s</t>
    </r>
    <r>
      <rPr>
        <sz val="11"/>
        <color theme="1"/>
        <rFont val="Times New Roman"/>
        <family val="1"/>
      </rPr>
      <t>Nb and Ta concentrations of altered oceanic crust are based on Stracke et al. (2003).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</si>
  <si>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Cpx/CM b</t>
    </r>
    <phoneticPr fontId="3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</si>
  <si>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Nb and Ta  partition coefficients between garnet and  carbonatitic melt  from Sweeney et al. (1992).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</si>
  <si>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Coe/CM b</t>
    </r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</si>
  <si>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Rt/CM c</t>
    </r>
    <phoneticPr fontId="3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</si>
  <si>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Nb and Ta  partition coefficients between clinopyroxene as well as coesite and  carbonatitic melt from Xue et al. (2024).</t>
    </r>
    <phoneticPr fontId="3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</si>
  <si>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Nb and Ta  partition coefficients between rutile and  carbonatitic melt from this study.</t>
    </r>
    <phoneticPr fontId="3" type="noConversion"/>
  </si>
  <si>
    <t xml:space="preserve">Xue, S., Dasgupta, R., Ling, M. X., Sun, W. D., Lee, C. T. 2024. The effect of fluorine on mineral-carbonatitic melt partitioning of trace elements – Implications for critical mineral deposits.   Geochimica et Cosmochimica Acta. 379, 53-75
</t>
    <phoneticPr fontId="3" type="noConversion"/>
  </si>
  <si>
    <t>Sweeney, R.J. , Green, D.H. , Sie, S.H.1992.  Trace and minor element partitioning between garnet and amphibole and carbonatitic melt.  Earth Planet. Sci. Lett. 113 (1–2), 1–14</t>
    <phoneticPr fontId="3" type="noConversion"/>
  </si>
  <si>
    <t>Stracke, A., Bizimis, M., Salters, V.J.2003. Recycling oceanic crust: Quantitative constraints. Geochem. Geophys. Geosyst. 4 (3).</t>
    <phoneticPr fontId="3" type="noConversion"/>
  </si>
  <si>
    <r>
      <t>Oceanic sediment</t>
    </r>
    <r>
      <rPr>
        <vertAlign val="superscript"/>
        <sz val="11"/>
        <color theme="1"/>
        <rFont val="Times New Roman"/>
        <family val="1"/>
      </rPr>
      <t>s</t>
    </r>
    <phoneticPr fontId="3" type="noConversion"/>
  </si>
  <si>
    <t>sediment phase fraction grt:cpx:ky:coe:rt=31:26:24:19:0</t>
    <phoneticPr fontId="3" type="noConversion"/>
  </si>
  <si>
    <t>CM formed by partial melting of carbonated sediment</t>
    <phoneticPr fontId="3" type="noConversion"/>
  </si>
  <si>
    <t>sediment phase fraction grt:cpx:ky:coe:rt=30.9969:25.9974:23.9976:18.9981:0.1000</t>
    <phoneticPr fontId="3" type="noConversion"/>
  </si>
  <si>
    <t>sediment phase fraction grt:cpx:ky:coe:rt=30.923:25.935:23.940:18.953:0.250</t>
    <phoneticPr fontId="3" type="noConversion"/>
  </si>
  <si>
    <t>sediment phase fraction grt:cpx:ky:coe:rt=30.85:25.87:23.88:18.91:0.50</t>
    <phoneticPr fontId="3" type="noConversion"/>
  </si>
  <si>
    <t>sediment phase fraction grt:cpx:ky:coe:rt=30.69:25.74:23.76:18.81:0.10</t>
    <phoneticPr fontId="3" type="noConversion"/>
  </si>
  <si>
    <t>Ta</t>
    <phoneticPr fontId="3" type="noConversion"/>
  </si>
  <si>
    <t>Nb</t>
    <phoneticPr fontId="3" type="noConversion"/>
  </si>
  <si>
    <t>D Cpx/CM</t>
    <phoneticPr fontId="3" type="noConversion"/>
  </si>
  <si>
    <t>D Ol/CM</t>
    <phoneticPr fontId="3" type="noConversion"/>
  </si>
  <si>
    <t>D Grt/CM</t>
    <phoneticPr fontId="3" type="noConversion"/>
  </si>
  <si>
    <t>D Opx/CM</t>
    <phoneticPr fontId="3" type="noConversion"/>
  </si>
  <si>
    <t>D Mag/CM</t>
    <phoneticPr fontId="3" type="noConversion"/>
  </si>
  <si>
    <t>Xue et al.(2024)</t>
    <phoneticPr fontId="3" type="noConversion"/>
  </si>
  <si>
    <t>Sweeney et al. (1992)</t>
    <phoneticPr fontId="3" type="noConversion"/>
  </si>
  <si>
    <t>Dasgupta et al. (2009)</t>
    <phoneticPr fontId="3" type="noConversion"/>
  </si>
  <si>
    <t>Data source</t>
    <phoneticPr fontId="3" type="noConversion"/>
  </si>
  <si>
    <t>Dasgupta, R., Hirschmann, M.M., McDonough, W.F., Spiegelman, M., Withers, A.C.2009. Trace element partitioning between garnet lherzolite and carbonatite at 6.6 and 8.6 GPa with applications to the geochemistry of the mantle and of mantlederived melts. Chem. Geol. 262 (1–2), 57–77.</t>
    <phoneticPr fontId="3" type="noConversion"/>
  </si>
  <si>
    <t>&amp;: Nb and Ta  content of basalt-derived carbonatitic melts are provided in Table S2.</t>
    <phoneticPr fontId="3" type="noConversion"/>
  </si>
  <si>
    <t>this study</t>
    <phoneticPr fontId="3" type="noConversion"/>
  </si>
  <si>
    <t>Xue et al. (2024)</t>
    <phoneticPr fontId="3" type="noConversion"/>
  </si>
  <si>
    <t>(wt.%)</t>
  </si>
  <si>
    <t>NTP</t>
    <phoneticPr fontId="3" type="noConversion"/>
  </si>
  <si>
    <t>Melt-1</t>
    <phoneticPr fontId="3" type="noConversion"/>
  </si>
  <si>
    <t>Melt-2</t>
    <phoneticPr fontId="3" type="noConversion"/>
  </si>
  <si>
    <r>
      <t>SiO</t>
    </r>
    <r>
      <rPr>
        <vertAlign val="subscript"/>
        <sz val="11"/>
        <color theme="1"/>
        <rFont val="Times New Roman"/>
        <family val="1"/>
      </rPr>
      <t xml:space="preserve">2 </t>
    </r>
    <phoneticPr fontId="3" type="noConversion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</si>
  <si>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3" type="noConversion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</si>
  <si>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3" type="noConversion"/>
  </si>
  <si>
    <r>
      <t>Cr</t>
    </r>
    <r>
      <rPr>
        <vertAlign val="sub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>O</t>
    </r>
    <r>
      <rPr>
        <vertAlign val="subscript"/>
        <sz val="11"/>
        <color rgb="FF000000"/>
        <rFont val="Times New Roman"/>
        <family val="1"/>
      </rPr>
      <t>3</t>
    </r>
    <r>
      <rPr>
        <sz val="11"/>
        <color rgb="FF000000"/>
        <rFont val="Times New Roman"/>
        <family val="1"/>
      </rPr>
      <t xml:space="preserve"> </t>
    </r>
    <phoneticPr fontId="3" type="noConversion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</si>
  <si>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</si>
  <si>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</si>
  <si>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</si>
  <si>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</si>
  <si>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3" type="noConversion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</si>
  <si>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3" type="noConversion"/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</si>
  <si>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3" type="noConversion"/>
  </si>
  <si>
    <r>
      <t>CO</t>
    </r>
    <r>
      <rPr>
        <vertAlign val="subscript"/>
        <sz val="11"/>
        <color theme="1"/>
        <rFont val="Times New Roman"/>
        <family val="1"/>
      </rPr>
      <t>2</t>
    </r>
    <phoneticPr fontId="3" type="noConversion"/>
  </si>
  <si>
    <r>
      <t xml:space="preserve">   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  </t>
    </r>
    <phoneticPr fontId="3" type="noConversion"/>
  </si>
  <si>
    <t>Total</t>
    <phoneticPr fontId="3" type="noConversion"/>
  </si>
  <si>
    <t>Nb(ppm)</t>
    <phoneticPr fontId="3" type="noConversion"/>
  </si>
  <si>
    <t>Ta (ppm)</t>
    <phoneticPr fontId="3" type="noConversion"/>
  </si>
  <si>
    <t>Table S1.Composition of starting material</t>
    <phoneticPr fontId="3" type="noConversion"/>
  </si>
  <si>
    <t>Run No</t>
    <phoneticPr fontId="3" type="noConversion"/>
  </si>
  <si>
    <t>Phase</t>
    <phoneticPr fontId="3" type="noConversion"/>
  </si>
  <si>
    <t>n</t>
    <phoneticPr fontId="3" type="noConversion"/>
  </si>
  <si>
    <r>
      <t xml:space="preserve">   SiO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 </t>
    </r>
    <phoneticPr fontId="3" type="noConversion"/>
  </si>
  <si>
    <r>
      <t xml:space="preserve">   TiO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 </t>
    </r>
    <phoneticPr fontId="3" type="noConversion"/>
  </si>
  <si>
    <r>
      <t xml:space="preserve">   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 </t>
    </r>
    <phoneticPr fontId="3" type="noConversion"/>
  </si>
  <si>
    <t xml:space="preserve">   FeO   </t>
    <phoneticPr fontId="3" type="noConversion"/>
  </si>
  <si>
    <t xml:space="preserve">   MnO   </t>
    <phoneticPr fontId="3" type="noConversion"/>
  </si>
  <si>
    <t xml:space="preserve">   MgO   </t>
    <phoneticPr fontId="3" type="noConversion"/>
  </si>
  <si>
    <t xml:space="preserve">   CaO   </t>
    <phoneticPr fontId="3" type="noConversion"/>
  </si>
  <si>
    <r>
      <t xml:space="preserve">   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O  </t>
    </r>
    <phoneticPr fontId="3" type="noConversion"/>
  </si>
  <si>
    <r>
      <t xml:space="preserve">   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O   </t>
    </r>
    <phoneticPr fontId="3" type="noConversion"/>
  </si>
  <si>
    <r>
      <t xml:space="preserve">   Nb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 </t>
    </r>
    <phoneticPr fontId="3" type="noConversion"/>
  </si>
  <si>
    <r>
      <t xml:space="preserve">   Ta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 xml:space="preserve"> </t>
    </r>
    <phoneticPr fontId="3" type="noConversion"/>
  </si>
  <si>
    <t xml:space="preserve">  Total  </t>
    <phoneticPr fontId="3" type="noConversion"/>
  </si>
  <si>
    <t>NTP210</t>
    <phoneticPr fontId="3" type="noConversion"/>
  </si>
  <si>
    <t xml:space="preserve">rutile </t>
    <phoneticPr fontId="3" type="noConversion"/>
  </si>
  <si>
    <t>av</t>
    <phoneticPr fontId="3" type="noConversion"/>
  </si>
  <si>
    <t>sd(1σ)</t>
    <phoneticPr fontId="3" type="noConversion"/>
  </si>
  <si>
    <t>apatite</t>
    <phoneticPr fontId="3" type="noConversion"/>
  </si>
  <si>
    <t>calcite</t>
    <phoneticPr fontId="3" type="noConversion"/>
  </si>
  <si>
    <t>NTP211</t>
    <phoneticPr fontId="3" type="noConversion"/>
  </si>
  <si>
    <t>spinel</t>
  </si>
  <si>
    <t>NTP212</t>
    <phoneticPr fontId="3" type="noConversion"/>
  </si>
  <si>
    <t>spinel</t>
    <phoneticPr fontId="3" type="noConversion"/>
  </si>
  <si>
    <t>ilmenite</t>
  </si>
  <si>
    <t>NTP213</t>
    <phoneticPr fontId="3" type="noConversion"/>
  </si>
  <si>
    <t>perovskite</t>
    <phoneticPr fontId="3" type="noConversion"/>
  </si>
  <si>
    <t>NTP411</t>
    <phoneticPr fontId="3" type="noConversion"/>
  </si>
  <si>
    <t>NTP412</t>
    <phoneticPr fontId="3" type="noConversion"/>
  </si>
  <si>
    <t>NTP413</t>
    <phoneticPr fontId="3" type="noConversion"/>
  </si>
  <si>
    <t>NTP612</t>
    <phoneticPr fontId="3" type="noConversion"/>
  </si>
  <si>
    <t>NTP812</t>
    <phoneticPr fontId="3" type="noConversion"/>
  </si>
  <si>
    <t>garnet</t>
    <phoneticPr fontId="3" type="noConversion"/>
  </si>
  <si>
    <t>K-carbonate</t>
    <phoneticPr fontId="3" type="noConversion"/>
  </si>
  <si>
    <t>Table S2. Major and minor element compositions of experimental phases.</t>
    <phoneticPr fontId="3" type="noConversion"/>
  </si>
  <si>
    <t>Carbonatitic melt</t>
    <phoneticPr fontId="3" type="noConversion"/>
  </si>
  <si>
    <t>Partition coefficient</t>
    <phoneticPr fontId="3" type="noConversion"/>
  </si>
  <si>
    <r>
      <t>D</t>
    </r>
    <r>
      <rPr>
        <vertAlign val="subscript"/>
        <sz val="11"/>
        <color theme="1"/>
        <rFont val="Times New Roman"/>
        <family val="1"/>
      </rPr>
      <t>Nb</t>
    </r>
    <phoneticPr fontId="3" type="noConversion"/>
  </si>
  <si>
    <r>
      <t>D</t>
    </r>
    <r>
      <rPr>
        <vertAlign val="subscript"/>
        <sz val="11"/>
        <color theme="1"/>
        <rFont val="Times New Roman"/>
        <family val="1"/>
      </rPr>
      <t>Ta</t>
    </r>
    <phoneticPr fontId="3" type="noConversion"/>
  </si>
  <si>
    <r>
      <t>D</t>
    </r>
    <r>
      <rPr>
        <vertAlign val="subscript"/>
        <sz val="11"/>
        <color theme="1"/>
        <rFont val="Times New Roman"/>
        <family val="1"/>
      </rPr>
      <t>Nb</t>
    </r>
    <r>
      <rPr>
        <sz val="11"/>
        <color theme="1"/>
        <rFont val="Times New Roman"/>
        <family val="1"/>
      </rPr>
      <t>/D</t>
    </r>
    <r>
      <rPr>
        <vertAlign val="subscript"/>
        <sz val="11"/>
        <color theme="1"/>
        <rFont val="Times New Roman"/>
        <family val="1"/>
      </rPr>
      <t>Ta</t>
    </r>
    <phoneticPr fontId="3" type="noConversion"/>
  </si>
  <si>
    <r>
      <t>NTP210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</si>
  <si>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NTP211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</si>
  <si>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NTP212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</si>
  <si>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t>NTP213*</t>
    <phoneticPr fontId="3" type="noConversion"/>
  </si>
  <si>
    <r>
      <t>NTP411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</si>
  <si>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NTP412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</si>
  <si>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NTP413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</si>
  <si>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NTP612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</si>
  <si>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t>NTP812</t>
    </r>
    <r>
      <rPr>
        <vertAlign val="superscript"/>
        <sz val="11"/>
        <color theme="1"/>
        <rFont val="Times New Roman"/>
        <family val="1"/>
      </rPr>
      <t>#</t>
    </r>
    <phoneticPr fontId="3" type="noConversion"/>
  </si>
  <si>
    <r>
      <rPr>
        <vertAlign val="superscript"/>
        <sz val="11"/>
        <color theme="1"/>
        <rFont val="Times New Roman"/>
        <family val="1"/>
      </rPr>
      <t>#</t>
    </r>
    <r>
      <rPr>
        <sz val="11"/>
        <color theme="1"/>
        <rFont val="Times New Roman"/>
        <family val="1"/>
      </rPr>
      <t>Partition coeffcients between rutile and carbonatitic melts</t>
    </r>
    <phoneticPr fontId="3" type="noConversion"/>
  </si>
  <si>
    <r>
      <rPr>
        <vertAlign val="superscript"/>
        <sz val="11"/>
        <color theme="1"/>
        <rFont val="Times New Roman"/>
        <family val="1"/>
      </rPr>
      <t xml:space="preserve">* </t>
    </r>
    <r>
      <rPr>
        <sz val="11"/>
        <color theme="1"/>
        <rFont val="Times New Roman"/>
        <family val="1"/>
      </rPr>
      <t>Partition coeffcients between perovskite and carbonatitic melts</t>
    </r>
    <phoneticPr fontId="3" type="noConversion"/>
  </si>
  <si>
    <t>Table S3. Nb and Ta partition coefficients between rutile and perovskite and carbonatitic melt ( Nb and Ta in ppm)</t>
    <phoneticPr fontId="3" type="noConversion"/>
  </si>
  <si>
    <t xml:space="preserve"> Xue, S., Dasgupta, R., Ling, M. X., Sun, W. D., Lee, C. TA., The effect of fluorine on mineral-carbonatitic melt partitioning of trace elements – Implications for critical mineral deposits. Geochimica et Cosmochimica Acta 379, 53-75.</t>
    <phoneticPr fontId="3" type="noConversion"/>
  </si>
  <si>
    <t>Reference</t>
    <phoneticPr fontId="3" type="noConversion"/>
  </si>
  <si>
    <r>
      <rPr>
        <i/>
        <sz val="11"/>
        <color theme="1"/>
        <rFont val="Times New Roman"/>
        <family val="1"/>
      </rPr>
      <t>D</t>
    </r>
    <r>
      <rPr>
        <vertAlign val="superscript"/>
        <sz val="11"/>
        <color theme="1"/>
        <rFont val="Times New Roman"/>
        <family val="1"/>
      </rPr>
      <t>Ky/CM b</t>
    </r>
    <phoneticPr fontId="3" type="noConversion"/>
  </si>
  <si>
    <r>
      <rPr>
        <b/>
        <sz val="11"/>
        <color theme="1"/>
        <rFont val="Times New Roman"/>
        <family val="1"/>
      </rPr>
      <t>Table S6.</t>
    </r>
    <r>
      <rPr>
        <sz val="11"/>
        <color theme="1"/>
        <rFont val="Times New Roman"/>
        <family val="1"/>
      </rPr>
      <t xml:space="preserve"> The calculated Nb and Ta characteristics of carbonatites that have mantle sources metasomatized by slab carbonatitic melts</t>
    </r>
    <phoneticPr fontId="3" type="noConversion"/>
  </si>
  <si>
    <r>
      <rPr>
        <b/>
        <sz val="11"/>
        <color theme="1"/>
        <rFont val="Times New Roman"/>
        <family val="1"/>
      </rPr>
      <t>Table S5.</t>
    </r>
    <r>
      <rPr>
        <sz val="11"/>
        <color theme="1"/>
        <rFont val="Times New Roman"/>
        <family val="1"/>
      </rPr>
      <t xml:space="preserve"> The calculated Nb and Ta concentration in carbonatitic melt and residual eclogite  for carbonated sediments using newly obtained partition coefficients of Nb and Ta.</t>
    </r>
    <phoneticPr fontId="3" type="noConversion"/>
  </si>
  <si>
    <r>
      <rPr>
        <b/>
        <sz val="11"/>
        <color theme="1"/>
        <rFont val="Times New Roman"/>
        <family val="1"/>
      </rPr>
      <t>Table S4.</t>
    </r>
    <r>
      <rPr>
        <sz val="11"/>
        <color theme="1"/>
        <rFont val="Times New Roman"/>
        <family val="1"/>
      </rPr>
      <t xml:space="preserve"> The calculated Nb and Ta concentration in carbonatitic melt and residual eclogite  for carbonated basalts using newly obtained partition coefficients of Nb and Ta.</t>
    </r>
    <phoneticPr fontId="3" type="noConversion"/>
  </si>
  <si>
    <t>Rutile or perovskite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</si>
</sst>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00_ "/>
    <numFmt numFmtId="177" formatCode="0_ "/>
    <numFmt numFmtId="178" formatCode="0.0000_ "/>
    <numFmt numFmtId="179" formatCode="0.0"/>
    <numFmt numFmtId="180" formatCode="0.00_ "/>
    <numFmt numFmtId="181" formatCode="0.000"/>
    <numFmt numFmtId="182" formatCode="0.000000"/>
    <numFmt numFmtId="183" formatCode="0.00000"/>
    <numFmt numFmtId="184" formatCode="0.0000"/>
    <numFmt numFmtId="185" formatCode="0.0_ "/>
  </numFmts>
  <fonts count="16" x14ac:knownFonts="1">
    <font>
      <sz val="11"/>
      <color theme="1"/>
      <name val="等线"/>
      <family val="2"/>
      <scheme val="minor"/>
    </font>
    <font>
      <sz val="9"/>
      <color theme="1"/>
      <name val="Times New Roman"/>
      <family val="2"/>
      <charset val="134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1"/>
      <name val="等线"/>
      <family val="2"/>
      <scheme val="minor"/>
    </font>
    <font>
      <b/>
      <sz val="11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FF0000"/>
      <name val="Times New Roman"/>
      <family val="1"/>
    </font>
    <font>
      <vertAlign val="subscript"/>
      <sz val="11"/>
      <color theme="1"/>
      <name val="Times New Roman"/>
      <family val="1"/>
    </font>
    <font>
      <vertAlign val="subscript"/>
      <sz val="11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2" fillId="3" borderId="5" xfId="0" applyFont="1" applyFill="1" applyBorder="1" applyAlignment="1">
      <alignment horizontal="center" vertical="center" wrapText="1"/>
    </xf>
    <xf numFmtId="0" fontId="10" fillId="2" borderId="0" xfId="0" applyFont="1" applyFill="1"/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176" fontId="9" fillId="4" borderId="0" xfId="0" applyNumberFormat="1" applyFont="1" applyFill="1" applyBorder="1" applyAlignment="1">
      <alignment horizontal="center" vertical="center"/>
    </xf>
    <xf numFmtId="177" fontId="9" fillId="4" borderId="0" xfId="0" applyNumberFormat="1" applyFont="1" applyFill="1" applyBorder="1" applyAlignment="1">
      <alignment horizontal="center" vertical="center"/>
    </xf>
    <xf numFmtId="180" fontId="9" fillId="4" borderId="0" xfId="0" applyNumberFormat="1" applyFont="1" applyFill="1" applyBorder="1" applyAlignment="1">
      <alignment horizontal="center" vertical="center"/>
    </xf>
    <xf numFmtId="180" fontId="9" fillId="4" borderId="0" xfId="0" applyNumberFormat="1" applyFont="1" applyFill="1" applyAlignment="1">
      <alignment horizontal="center" vertical="center"/>
    </xf>
    <xf numFmtId="2" fontId="9" fillId="4" borderId="0" xfId="0" applyNumberFormat="1" applyFont="1" applyFill="1" applyAlignment="1">
      <alignment horizontal="center" vertical="center"/>
    </xf>
    <xf numFmtId="179" fontId="9" fillId="4" borderId="0" xfId="0" applyNumberFormat="1" applyFont="1" applyFill="1" applyAlignment="1">
      <alignment horizontal="center" vertical="center"/>
    </xf>
    <xf numFmtId="178" fontId="9" fillId="4" borderId="0" xfId="0" applyNumberFormat="1" applyFont="1" applyFill="1" applyBorder="1" applyAlignment="1">
      <alignment horizontal="center" vertical="center"/>
    </xf>
    <xf numFmtId="0" fontId="10" fillId="4" borderId="0" xfId="0" applyFont="1" applyFill="1"/>
    <xf numFmtId="0" fontId="10" fillId="4" borderId="0" xfId="0" applyFont="1" applyFill="1" applyBorder="1"/>
    <xf numFmtId="0" fontId="0" fillId="2" borderId="0" xfId="0" applyFill="1"/>
    <xf numFmtId="0" fontId="2" fillId="2" borderId="0" xfId="0" applyFont="1" applyFill="1" applyAlignment="1">
      <alignment horizontal="left" vertical="center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182" fontId="2" fillId="2" borderId="0" xfId="0" applyNumberFormat="1" applyFont="1" applyFill="1" applyAlignment="1">
      <alignment horizontal="center" vertical="center"/>
    </xf>
    <xf numFmtId="182" fontId="2" fillId="4" borderId="0" xfId="0" applyNumberFormat="1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182" fontId="2" fillId="4" borderId="15" xfId="0" applyNumberFormat="1" applyFont="1" applyFill="1" applyBorder="1" applyAlignment="1">
      <alignment horizontal="center" vertical="center"/>
    </xf>
    <xf numFmtId="2" fontId="4" fillId="4" borderId="0" xfId="0" applyNumberFormat="1" applyFont="1" applyFill="1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horizontal="center" vertical="center"/>
    </xf>
    <xf numFmtId="178" fontId="2" fillId="4" borderId="0" xfId="0" applyNumberFormat="1" applyFont="1" applyFill="1" applyBorder="1" applyAlignment="1">
      <alignment horizontal="center" vertical="center"/>
    </xf>
    <xf numFmtId="0" fontId="0" fillId="4" borderId="0" xfId="0" applyFill="1" applyBorder="1"/>
    <xf numFmtId="2" fontId="2" fillId="4" borderId="0" xfId="0" applyNumberFormat="1" applyFont="1" applyFill="1" applyAlignment="1">
      <alignment horizontal="center"/>
    </xf>
    <xf numFmtId="0" fontId="2" fillId="6" borderId="1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181" fontId="4" fillId="4" borderId="0" xfId="0" applyNumberFormat="1" applyFont="1" applyFill="1" applyAlignment="1">
      <alignment horizontal="center" vertical="center"/>
    </xf>
    <xf numFmtId="184" fontId="4" fillId="4" borderId="0" xfId="0" applyNumberFormat="1" applyFont="1" applyFill="1" applyAlignment="1">
      <alignment horizontal="center" vertical="center"/>
    </xf>
    <xf numFmtId="0" fontId="0" fillId="4" borderId="15" xfId="0" applyFill="1" applyBorder="1"/>
    <xf numFmtId="0" fontId="2" fillId="4" borderId="15" xfId="0" applyFont="1" applyFill="1" applyBorder="1" applyAlignment="1">
      <alignment horizontal="center"/>
    </xf>
    <xf numFmtId="2" fontId="2" fillId="4" borderId="15" xfId="0" applyNumberFormat="1" applyFont="1" applyFill="1" applyBorder="1" applyAlignment="1">
      <alignment horizontal="center"/>
    </xf>
    <xf numFmtId="184" fontId="4" fillId="4" borderId="15" xfId="0" applyNumberFormat="1" applyFont="1" applyFill="1" applyBorder="1" applyAlignment="1">
      <alignment horizontal="center" vertical="center"/>
    </xf>
    <xf numFmtId="181" fontId="4" fillId="4" borderId="15" xfId="0" applyNumberFormat="1" applyFont="1" applyFill="1" applyBorder="1" applyAlignment="1">
      <alignment horizontal="center" vertical="center"/>
    </xf>
    <xf numFmtId="2" fontId="4" fillId="4" borderId="15" xfId="0" applyNumberFormat="1" applyFont="1" applyFill="1" applyBorder="1" applyAlignment="1">
      <alignment horizontal="center" vertical="center"/>
    </xf>
    <xf numFmtId="183" fontId="4" fillId="4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2" fontId="9" fillId="4" borderId="0" xfId="0" applyNumberFormat="1" applyFont="1" applyFill="1" applyBorder="1" applyAlignment="1">
      <alignment horizontal="center" vertical="center"/>
    </xf>
    <xf numFmtId="179" fontId="9" fillId="4" borderId="0" xfId="0" applyNumberFormat="1" applyFont="1" applyFill="1" applyBorder="1" applyAlignment="1">
      <alignment horizontal="center" vertical="center"/>
    </xf>
    <xf numFmtId="0" fontId="10" fillId="4" borderId="5" xfId="0" applyFont="1" applyFill="1" applyBorder="1"/>
    <xf numFmtId="176" fontId="9" fillId="4" borderId="5" xfId="0" applyNumberFormat="1" applyFont="1" applyFill="1" applyBorder="1" applyAlignment="1">
      <alignment horizontal="center" vertical="center"/>
    </xf>
    <xf numFmtId="180" fontId="9" fillId="4" borderId="5" xfId="0" applyNumberFormat="1" applyFont="1" applyFill="1" applyBorder="1" applyAlignment="1">
      <alignment horizontal="center" vertical="center"/>
    </xf>
    <xf numFmtId="2" fontId="9" fillId="4" borderId="5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85" fontId="9" fillId="4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176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178" fontId="4" fillId="0" borderId="0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176" fontId="4" fillId="4" borderId="0" xfId="0" applyNumberFormat="1" applyFont="1" applyFill="1" applyBorder="1" applyAlignment="1">
      <alignment horizontal="left" vertical="center"/>
    </xf>
    <xf numFmtId="178" fontId="4" fillId="4" borderId="0" xfId="0" applyNumberFormat="1" applyFont="1" applyFill="1" applyBorder="1" applyAlignment="1">
      <alignment horizontal="left" vertical="center"/>
    </xf>
    <xf numFmtId="0" fontId="2" fillId="7" borderId="16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178" fontId="9" fillId="4" borderId="0" xfId="0" applyNumberFormat="1" applyFont="1" applyFill="1" applyAlignment="1">
      <alignment horizontal="center" vertical="center"/>
    </xf>
    <xf numFmtId="178" fontId="9" fillId="4" borderId="5" xfId="0" applyNumberFormat="1" applyFont="1" applyFill="1" applyBorder="1" applyAlignment="1">
      <alignment horizontal="center" vertical="center"/>
    </xf>
    <xf numFmtId="180" fontId="13" fillId="4" borderId="0" xfId="0" applyNumberFormat="1" applyFont="1" applyFill="1" applyAlignment="1">
      <alignment horizontal="center" vertical="center"/>
    </xf>
    <xf numFmtId="0" fontId="0" fillId="2" borderId="17" xfId="0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2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4" fillId="0" borderId="0" xfId="0" applyFont="1"/>
    <xf numFmtId="0" fontId="2" fillId="2" borderId="16" xfId="0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/>
    </xf>
    <xf numFmtId="1" fontId="2" fillId="2" borderId="0" xfId="0" applyNumberFormat="1" applyFont="1" applyFill="1" applyBorder="1" applyAlignment="1">
      <alignment horizontal="center"/>
    </xf>
    <xf numFmtId="2" fontId="2" fillId="2" borderId="18" xfId="0" applyNumberFormat="1" applyFont="1" applyFill="1" applyBorder="1" applyAlignment="1">
      <alignment horizontal="center"/>
    </xf>
    <xf numFmtId="0" fontId="2" fillId="2" borderId="17" xfId="0" applyFont="1" applyFill="1" applyBorder="1" applyAlignment="1"/>
    <xf numFmtId="0" fontId="2" fillId="2" borderId="0" xfId="0" applyFont="1" applyFill="1" applyBorder="1" applyAlignment="1">
      <alignment horizontal="center" vertical="center"/>
    </xf>
    <xf numFmtId="1" fontId="2" fillId="2" borderId="0" xfId="0" applyNumberFormat="1" applyFont="1" applyFill="1" applyAlignment="1">
      <alignment horizontal="center"/>
    </xf>
    <xf numFmtId="1" fontId="2" fillId="2" borderId="18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/>
    <xf numFmtId="0" fontId="1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69850</xdr:colOff>
      <xdr:row>20</xdr:row>
      <xdr:rowOff>19050</xdr:rowOff>
    </xdr:from>
    <xdr:ext cx="1715620" cy="254493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727262" y="1296521"/>
          <a:ext cx="1715620" cy="25449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fraction=1 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oneCellAnchor>
    <xdr:from>
      <xdr:col>1</xdr:col>
      <xdr:colOff>107950</xdr:colOff>
      <xdr:row>35</xdr:row>
      <xdr:rowOff>12700</xdr:rowOff>
    </xdr:from>
    <xdr:ext cx="1647638" cy="264560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765362" y="4360582"/>
          <a:ext cx="1647638" cy="26456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fraction=2 </a:t>
          </a:r>
          <a:r>
            <a:rPr lang="en-US" altLang="zh-CN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wt.%</a:t>
          </a:r>
          <a:endParaRPr lang="zh-CN" altLang="zh-CN">
            <a:effectLst/>
          </a:endParaRPr>
        </a:p>
      </xdr:txBody>
    </xdr:sp>
    <xdr:clientData/>
  </xdr:oneCellAnchor>
  <xdr:oneCellAnchor>
    <xdr:from>
      <xdr:col>1</xdr:col>
      <xdr:colOff>107950</xdr:colOff>
      <xdr:row>49</xdr:row>
      <xdr:rowOff>12700</xdr:rowOff>
    </xdr:from>
    <xdr:ext cx="1565462" cy="264560"/>
    <xdr:sp macro="" textlink="">
      <xdr:nvSpPr>
        <xdr:cNvPr id="4" name="文本框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765362" y="7251700"/>
          <a:ext cx="1565462" cy="26456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fraction=3 </a:t>
          </a:r>
          <a:r>
            <a:rPr lang="en-US" altLang="zh-CN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wt.%</a:t>
          </a:r>
          <a:endParaRPr lang="zh-CN" altLang="zh-CN">
            <a:effectLst/>
          </a:endParaRPr>
        </a:p>
      </xdr:txBody>
    </xdr:sp>
    <xdr:clientData/>
  </xdr:oneCellAnchor>
  <xdr:oneCellAnchor>
    <xdr:from>
      <xdr:col>1</xdr:col>
      <xdr:colOff>107950</xdr:colOff>
      <xdr:row>7</xdr:row>
      <xdr:rowOff>12700</xdr:rowOff>
    </xdr:from>
    <xdr:ext cx="1722344" cy="264560"/>
    <xdr:sp macro="" textlink="">
      <xdr:nvSpPr>
        <xdr:cNvPr id="5" name="文本框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765362" y="10142818"/>
          <a:ext cx="1722344" cy="26456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fraction=0.5 </a:t>
          </a:r>
          <a:r>
            <a:rPr lang="en-US" altLang="zh-CN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69850</xdr:colOff>
      <xdr:row>6</xdr:row>
      <xdr:rowOff>0</xdr:rowOff>
    </xdr:from>
    <xdr:ext cx="1358900" cy="264560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730250" y="1289050"/>
          <a:ext cx="1358900" cy="26456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fraction=0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oneCellAnchor>
    <xdr:from>
      <xdr:col>1</xdr:col>
      <xdr:colOff>69850</xdr:colOff>
      <xdr:row>20</xdr:row>
      <xdr:rowOff>0</xdr:rowOff>
    </xdr:from>
    <xdr:ext cx="1866900" cy="254493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730250" y="4464050"/>
          <a:ext cx="1866900" cy="25449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fraction=0.1</a:t>
          </a:r>
          <a:r>
            <a:rPr lang="en-US" altLang="zh-CN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oneCellAnchor>
    <xdr:from>
      <xdr:col>1</xdr:col>
      <xdr:colOff>69850</xdr:colOff>
      <xdr:row>34</xdr:row>
      <xdr:rowOff>19050</xdr:rowOff>
    </xdr:from>
    <xdr:ext cx="1866900" cy="254493"/>
    <xdr:sp macro="" textlink="">
      <xdr:nvSpPr>
        <xdr:cNvPr id="5" name="文本框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730250" y="5314950"/>
          <a:ext cx="1866900" cy="25449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fraction=0.25</a:t>
          </a:r>
          <a:r>
            <a:rPr lang="en-US" altLang="zh-CN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oneCellAnchor>
    <xdr:from>
      <xdr:col>1</xdr:col>
      <xdr:colOff>69850</xdr:colOff>
      <xdr:row>48</xdr:row>
      <xdr:rowOff>19050</xdr:rowOff>
    </xdr:from>
    <xdr:ext cx="1866900" cy="254493"/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730250" y="8896350"/>
          <a:ext cx="1866900" cy="25449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fraction=0.5</a:t>
          </a:r>
          <a:r>
            <a:rPr lang="en-US" altLang="zh-CN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oneCellAnchor>
    <xdr:from>
      <xdr:col>1</xdr:col>
      <xdr:colOff>69850</xdr:colOff>
      <xdr:row>62</xdr:row>
      <xdr:rowOff>19050</xdr:rowOff>
    </xdr:from>
    <xdr:ext cx="1866900" cy="254493"/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730250" y="12299950"/>
          <a:ext cx="1866900" cy="254493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zh-CN" sz="1100" b="1">
              <a:latin typeface="Times New Roman" panose="02020603050405020304" pitchFamily="18" charset="0"/>
              <a:cs typeface="Times New Roman" panose="02020603050405020304" pitchFamily="18" charset="0"/>
            </a:rPr>
            <a:t>Rutile fraction=1.0</a:t>
          </a:r>
          <a:r>
            <a:rPr lang="en-US" altLang="zh-CN" sz="11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wt.%</a:t>
          </a:r>
          <a:endParaRPr lang="zh-CN" altLang="en-US" sz="11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87032</xdr:colOff>
      <xdr:row>2</xdr:row>
      <xdr:rowOff>113179</xdr:rowOff>
    </xdr:from>
    <xdr:ext cx="1444437" cy="1154162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87032" y="501650"/>
          <a:ext cx="1444437" cy="11541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>
            <a:lnSpc>
              <a:spcPct val="150000"/>
            </a:lnSpc>
          </a:pPr>
          <a:r>
            <a:rPr lang="en-US" altLang="zh-CN" sz="1200" b="0">
              <a:latin typeface="Times New Roman" panose="02020603050405020304" pitchFamily="18" charset="0"/>
              <a:cs typeface="Times New Roman" panose="02020603050405020304" pitchFamily="18" charset="0"/>
            </a:rPr>
            <a:t>Modelling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of Nb </a:t>
          </a:r>
          <a:r>
            <a:rPr lang="en-US" altLang="zh-CN" sz="105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and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Ta contents for Depleted Mantle (DM).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203200</xdr:colOff>
      <xdr:row>3</xdr:row>
      <xdr:rowOff>63500</xdr:rowOff>
    </xdr:from>
    <xdr:to>
      <xdr:col>2</xdr:col>
      <xdr:colOff>508000</xdr:colOff>
      <xdr:row>5</xdr:row>
      <xdr:rowOff>44450</xdr:rowOff>
    </xdr:to>
    <xdr:sp macro="" textlink="">
      <xdr:nvSpPr>
        <xdr:cNvPr id="4" name="右箭头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524000" y="628650"/>
          <a:ext cx="304800" cy="336550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220790</xdr:colOff>
      <xdr:row>27</xdr:row>
      <xdr:rowOff>605695</xdr:rowOff>
    </xdr:from>
    <xdr:to>
      <xdr:col>2</xdr:col>
      <xdr:colOff>176340</xdr:colOff>
      <xdr:row>38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220790" y="2443460"/>
          <a:ext cx="1270374" cy="242736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166390</xdr:colOff>
      <xdr:row>27</xdr:row>
      <xdr:rowOff>727397</xdr:rowOff>
    </xdr:from>
    <xdr:ext cx="1444437" cy="2392706"/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166390" y="2565162"/>
          <a:ext cx="1444437" cy="23927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Model</a:t>
          </a:r>
          <a:r>
            <a:rPr lang="en-US" altLang="zh-CN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2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: 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Metasomatic carbonatitic melts 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formed by 10 % melting of sediment with 1.0 wt.% of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rutile as a residual phase.</a:t>
          </a:r>
          <a:endParaRPr lang="zh-CN" altLang="zh-CN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>
            <a:lnSpc>
              <a:spcPct val="150000"/>
            </a:lnSpc>
          </a:pP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238379</xdr:colOff>
      <xdr:row>29</xdr:row>
      <xdr:rowOff>7912</xdr:rowOff>
    </xdr:from>
    <xdr:to>
      <xdr:col>2</xdr:col>
      <xdr:colOff>543179</xdr:colOff>
      <xdr:row>30</xdr:row>
      <xdr:rowOff>162044</xdr:rowOff>
    </xdr:to>
    <xdr:sp macro="" textlink="">
      <xdr:nvSpPr>
        <xdr:cNvPr id="7" name="右箭头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1554561" y="3217548"/>
          <a:ext cx="304800" cy="327314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228261</xdr:colOff>
      <xdr:row>11</xdr:row>
      <xdr:rowOff>22988</xdr:rowOff>
    </xdr:from>
    <xdr:to>
      <xdr:col>2</xdr:col>
      <xdr:colOff>183811</xdr:colOff>
      <xdr:row>20</xdr:row>
      <xdr:rowOff>67234</xdr:rowOff>
    </xdr:to>
    <xdr:sp macro="" textlink="">
      <xdr:nvSpPr>
        <xdr:cNvPr id="8" name="矩形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228261" y="5618459"/>
          <a:ext cx="1270374" cy="221818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196271</xdr:colOff>
      <xdr:row>11</xdr:row>
      <xdr:rowOff>122280</xdr:rowOff>
    </xdr:from>
    <xdr:ext cx="1444437" cy="2439963"/>
    <xdr:sp macro="" textlink="">
      <xdr:nvSpPr>
        <xdr:cNvPr id="9" name="文本框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196271" y="5725221"/>
          <a:ext cx="1444437" cy="24399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Model</a:t>
          </a:r>
          <a:r>
            <a:rPr lang="en-US" altLang="zh-CN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1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: 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Metasomatic carbonatitic melts 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formed by 1.0 % melting of sediment with 0.1 wt.% of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rutile as a residual phase.</a:t>
          </a:r>
          <a:endParaRPr lang="zh-CN" altLang="zh-CN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>
            <a:lnSpc>
              <a:spcPct val="150000"/>
            </a:lnSpc>
          </a:pP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238379</xdr:colOff>
      <xdr:row>13</xdr:row>
      <xdr:rowOff>7912</xdr:rowOff>
    </xdr:from>
    <xdr:to>
      <xdr:col>2</xdr:col>
      <xdr:colOff>543179</xdr:colOff>
      <xdr:row>14</xdr:row>
      <xdr:rowOff>162044</xdr:rowOff>
    </xdr:to>
    <xdr:sp macro="" textlink="">
      <xdr:nvSpPr>
        <xdr:cNvPr id="10" name="右箭头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1553203" y="3265088"/>
          <a:ext cx="304800" cy="333427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288026</xdr:colOff>
      <xdr:row>57</xdr:row>
      <xdr:rowOff>135047</xdr:rowOff>
    </xdr:from>
    <xdr:to>
      <xdr:col>2</xdr:col>
      <xdr:colOff>231588</xdr:colOff>
      <xdr:row>68</xdr:row>
      <xdr:rowOff>67235</xdr:rowOff>
    </xdr:to>
    <xdr:sp macro="" textlink="">
      <xdr:nvSpPr>
        <xdr:cNvPr id="11" name="矩形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288026" y="9002635"/>
          <a:ext cx="1258386" cy="2464718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241095</xdr:colOff>
      <xdr:row>57</xdr:row>
      <xdr:rowOff>361339</xdr:rowOff>
    </xdr:from>
    <xdr:ext cx="1444437" cy="2459263"/>
    <xdr:sp macro="" textlink="">
      <xdr:nvSpPr>
        <xdr:cNvPr id="12" name="文本框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 txBox="1"/>
      </xdr:nvSpPr>
      <xdr:spPr>
        <a:xfrm>
          <a:off x="241095" y="12852163"/>
          <a:ext cx="1444437" cy="24592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Model</a:t>
          </a:r>
          <a:r>
            <a:rPr lang="en-US" altLang="zh-CN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4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:  Metasomatic carbonatitic melts formed by 10 % melting of basalt with 4.0 wt.% of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rutile as a residual phase.</a:t>
          </a:r>
          <a:endParaRPr lang="zh-CN" altLang="zh-CN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>
            <a:lnSpc>
              <a:spcPct val="150000"/>
            </a:lnSpc>
          </a:pP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305614</xdr:colOff>
      <xdr:row>60</xdr:row>
      <xdr:rowOff>15383</xdr:rowOff>
    </xdr:from>
    <xdr:to>
      <xdr:col>2</xdr:col>
      <xdr:colOff>610414</xdr:colOff>
      <xdr:row>61</xdr:row>
      <xdr:rowOff>169515</xdr:rowOff>
    </xdr:to>
    <xdr:sp macro="" textlink="">
      <xdr:nvSpPr>
        <xdr:cNvPr id="13" name="右箭头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>
        <a:xfrm>
          <a:off x="1620438" y="9981148"/>
          <a:ext cx="304800" cy="333426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310438</xdr:colOff>
      <xdr:row>42</xdr:row>
      <xdr:rowOff>90225</xdr:rowOff>
    </xdr:from>
    <xdr:to>
      <xdr:col>2</xdr:col>
      <xdr:colOff>291352</xdr:colOff>
      <xdr:row>53</xdr:row>
      <xdr:rowOff>82176</xdr:rowOff>
    </xdr:to>
    <xdr:sp macro="" textlink="">
      <xdr:nvSpPr>
        <xdr:cNvPr id="14" name="矩形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/>
      </xdr:nvSpPr>
      <xdr:spPr>
        <a:xfrm>
          <a:off x="310438" y="12222460"/>
          <a:ext cx="1295738" cy="252448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270977</xdr:colOff>
      <xdr:row>42</xdr:row>
      <xdr:rowOff>304190</xdr:rowOff>
    </xdr:from>
    <xdr:ext cx="1444437" cy="2437077"/>
    <xdr:sp macro="" textlink="">
      <xdr:nvSpPr>
        <xdr:cNvPr id="15" name="文本框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 txBox="1"/>
      </xdr:nvSpPr>
      <xdr:spPr>
        <a:xfrm>
          <a:off x="270977" y="9530366"/>
          <a:ext cx="1444437" cy="2437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Model</a:t>
          </a:r>
          <a:r>
            <a:rPr lang="en-US" altLang="zh-CN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3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:  Metasomatic carbonatitic melts formed by 1.0 % melting of basalt with 1.0 wt.% of </a:t>
          </a:r>
          <a:r>
            <a:rPr lang="en-US" altLang="zh-CN" sz="1100" b="0" baseline="0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rutile as a residual phase.</a:t>
          </a:r>
          <a:endParaRPr lang="zh-CN" altLang="zh-CN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>
            <a:lnSpc>
              <a:spcPct val="150000"/>
            </a:lnSpc>
          </a:pP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335496</xdr:colOff>
      <xdr:row>45</xdr:row>
      <xdr:rowOff>30325</xdr:rowOff>
    </xdr:from>
    <xdr:to>
      <xdr:col>2</xdr:col>
      <xdr:colOff>640296</xdr:colOff>
      <xdr:row>47</xdr:row>
      <xdr:rowOff>5163</xdr:rowOff>
    </xdr:to>
    <xdr:sp macro="" textlink="">
      <xdr:nvSpPr>
        <xdr:cNvPr id="16" name="右箭头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/>
      </xdr:nvSpPr>
      <xdr:spPr>
        <a:xfrm>
          <a:off x="1650320" y="13260737"/>
          <a:ext cx="304800" cy="333426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325380</xdr:colOff>
      <xdr:row>72</xdr:row>
      <xdr:rowOff>97696</xdr:rowOff>
    </xdr:from>
    <xdr:to>
      <xdr:col>2</xdr:col>
      <xdr:colOff>358588</xdr:colOff>
      <xdr:row>83</xdr:row>
      <xdr:rowOff>74706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325380" y="15494578"/>
          <a:ext cx="1348032" cy="250954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338212</xdr:colOff>
      <xdr:row>72</xdr:row>
      <xdr:rowOff>162249</xdr:rowOff>
    </xdr:from>
    <xdr:ext cx="1444437" cy="1685077"/>
    <xdr:sp macro="" textlink="">
      <xdr:nvSpPr>
        <xdr:cNvPr id="18" name="文本框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 txBox="1"/>
      </xdr:nvSpPr>
      <xdr:spPr>
        <a:xfrm>
          <a:off x="338212" y="15559131"/>
          <a:ext cx="1444437" cy="16850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marL="0" marR="0" lvl="0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zh-CN" sz="1200" b="1">
              <a:latin typeface="Times New Roman" panose="02020603050405020304" pitchFamily="18" charset="0"/>
              <a:cs typeface="Times New Roman" panose="02020603050405020304" pitchFamily="18" charset="0"/>
            </a:rPr>
            <a:t>Model</a:t>
          </a:r>
          <a:r>
            <a:rPr lang="en-US" altLang="zh-CN" sz="12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5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:  Slab-derived carbonatitic melts metasomatize Depleted Mantle without introducing Nb and Ta.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335496</xdr:colOff>
      <xdr:row>76</xdr:row>
      <xdr:rowOff>30325</xdr:rowOff>
    </xdr:from>
    <xdr:to>
      <xdr:col>2</xdr:col>
      <xdr:colOff>640296</xdr:colOff>
      <xdr:row>78</xdr:row>
      <xdr:rowOff>5163</xdr:rowOff>
    </xdr:to>
    <xdr:sp macro="" textlink="">
      <xdr:nvSpPr>
        <xdr:cNvPr id="19" name="右箭头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>
          <a:off x="1650320" y="13260737"/>
          <a:ext cx="304800" cy="333426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378758</xdr:colOff>
      <xdr:row>84</xdr:row>
      <xdr:rowOff>156508</xdr:rowOff>
    </xdr:from>
    <xdr:to>
      <xdr:col>2</xdr:col>
      <xdr:colOff>336175</xdr:colOff>
      <xdr:row>95</xdr:row>
      <xdr:rowOff>29882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>
          <a:off x="378758" y="18250273"/>
          <a:ext cx="1272241" cy="186802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bg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oneCellAnchor>
    <xdr:from>
      <xdr:col>0</xdr:col>
      <xdr:colOff>348501</xdr:colOff>
      <xdr:row>85</xdr:row>
      <xdr:rowOff>90767</xdr:rowOff>
    </xdr:from>
    <xdr:ext cx="1444437" cy="1684244"/>
    <xdr:sp macro="" textlink="">
      <xdr:nvSpPr>
        <xdr:cNvPr id="21" name="文本框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 txBox="1"/>
      </xdr:nvSpPr>
      <xdr:spPr>
        <a:xfrm>
          <a:off x="348501" y="18363826"/>
          <a:ext cx="1444437" cy="168424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l">
            <a:lnSpc>
              <a:spcPct val="150000"/>
            </a:lnSpc>
          </a:pP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Nb </a:t>
          </a:r>
          <a:r>
            <a:rPr lang="en-US" altLang="zh-CN" sz="105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and</a:t>
          </a:r>
          <a:r>
            <a:rPr lang="en-US" altLang="zh-CN" sz="1200" b="0" baseline="0">
              <a:latin typeface="Times New Roman" panose="02020603050405020304" pitchFamily="18" charset="0"/>
              <a:cs typeface="Times New Roman" panose="02020603050405020304" pitchFamily="18" charset="0"/>
            </a:rPr>
            <a:t> Ta partition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 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zh-CN" altLang="en-US" sz="1100" b="0" i="0" u="none" strike="noStrike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　</a:t>
          </a:r>
          <a:r>
            <a:rPr lang="zh-CN" altLang="en-US" sz="120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  <a:r>
            <a:rPr lang="en-US" altLang="zh-CN" sz="1200">
              <a:latin typeface="Times New Roman" panose="02020603050405020304" pitchFamily="18" charset="0"/>
              <a:cs typeface="Times New Roman" panose="02020603050405020304" pitchFamily="18" charset="0"/>
            </a:rPr>
            <a:t>coefficients for mantle minerals</a:t>
          </a:r>
          <a:r>
            <a:rPr lang="en-US" altLang="zh-CN" sz="1200" baseline="0">
              <a:latin typeface="Times New Roman" panose="02020603050405020304" pitchFamily="18" charset="0"/>
              <a:cs typeface="Times New Roman" panose="02020603050405020304" pitchFamily="18" charset="0"/>
            </a:rPr>
            <a:t> and carbonatitic melts used in the modelling </a:t>
          </a:r>
          <a:endParaRPr lang="zh-CN" altLang="en-US" sz="1200" b="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oneCellAnchor>
  <xdr:twoCellAnchor>
    <xdr:from>
      <xdr:col>2</xdr:col>
      <xdr:colOff>345141</xdr:colOff>
      <xdr:row>87</xdr:row>
      <xdr:rowOff>100853</xdr:rowOff>
    </xdr:from>
    <xdr:to>
      <xdr:col>2</xdr:col>
      <xdr:colOff>649941</xdr:colOff>
      <xdr:row>89</xdr:row>
      <xdr:rowOff>81803</xdr:rowOff>
    </xdr:to>
    <xdr:sp macro="" textlink="">
      <xdr:nvSpPr>
        <xdr:cNvPr id="22" name="右箭头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>
          <a:off x="1659965" y="18747441"/>
          <a:ext cx="304800" cy="339538"/>
        </a:xfrm>
        <a:prstGeom prst="rightArrow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opLeftCell="A7" zoomScale="115" zoomScaleNormal="115" workbookViewId="0">
      <selection activeCell="K16" sqref="K16"/>
    </sheetView>
  </sheetViews>
  <sheetFormatPr defaultRowHeight="14" x14ac:dyDescent="0.3"/>
  <sheetData>
    <row r="1" spans="1:5" ht="14.5" thickBot="1" x14ac:dyDescent="0.35">
      <c r="A1" s="25" t="s">
        <v>107</v>
      </c>
      <c r="B1" s="83"/>
      <c r="C1" s="83"/>
      <c r="D1" s="22"/>
      <c r="E1" s="22"/>
    </row>
    <row r="2" spans="1:5" x14ac:dyDescent="0.3">
      <c r="A2" s="78"/>
      <c r="B2" s="79" t="s">
        <v>85</v>
      </c>
      <c r="C2" s="99" t="s">
        <v>86</v>
      </c>
      <c r="D2" s="99"/>
      <c r="E2" s="22"/>
    </row>
    <row r="3" spans="1:5" ht="14.5" thickBot="1" x14ac:dyDescent="0.35">
      <c r="A3" s="80" t="s">
        <v>87</v>
      </c>
      <c r="B3" s="80" t="s">
        <v>88</v>
      </c>
      <c r="C3" s="80" t="s">
        <v>89</v>
      </c>
      <c r="D3" s="80" t="s">
        <v>90</v>
      </c>
      <c r="E3" s="22"/>
    </row>
    <row r="4" spans="1:5" ht="17" x14ac:dyDescent="0.45">
      <c r="A4" s="81" t="s">
        <v>91</v>
      </c>
      <c r="B4" s="82">
        <v>0.60438782441606498</v>
      </c>
      <c r="C4" s="83">
        <v>5.58</v>
      </c>
      <c r="D4" s="83">
        <v>5.46</v>
      </c>
      <c r="E4" s="22"/>
    </row>
    <row r="5" spans="1:5" ht="17" x14ac:dyDescent="0.45">
      <c r="A5" s="83" t="s">
        <v>92</v>
      </c>
      <c r="B5" s="82">
        <v>4.9829132785724211</v>
      </c>
      <c r="C5" s="83">
        <v>1.2</v>
      </c>
      <c r="D5" s="83">
        <v>1.17</v>
      </c>
      <c r="E5" s="22"/>
    </row>
    <row r="6" spans="1:5" ht="17" x14ac:dyDescent="0.45">
      <c r="A6" s="81" t="s">
        <v>93</v>
      </c>
      <c r="B6" s="82">
        <v>0.92518319717564423</v>
      </c>
      <c r="C6" s="83">
        <v>0.82</v>
      </c>
      <c r="D6" s="83">
        <v>0.8</v>
      </c>
      <c r="E6" s="22"/>
    </row>
    <row r="7" spans="1:5" ht="17" x14ac:dyDescent="0.45">
      <c r="A7" s="84" t="s">
        <v>94</v>
      </c>
      <c r="B7" s="82">
        <v>0</v>
      </c>
      <c r="C7" s="83">
        <v>0.01</v>
      </c>
      <c r="D7" s="83">
        <v>0.01</v>
      </c>
      <c r="E7" s="22"/>
    </row>
    <row r="8" spans="1:5" x14ac:dyDescent="0.3">
      <c r="A8" s="81" t="s">
        <v>95</v>
      </c>
      <c r="B8" s="82">
        <v>7.0478481116463536</v>
      </c>
      <c r="C8" s="82">
        <v>8</v>
      </c>
      <c r="D8" s="83">
        <v>7.83</v>
      </c>
      <c r="E8" s="22"/>
    </row>
    <row r="9" spans="1:5" x14ac:dyDescent="0.3">
      <c r="A9" s="81" t="s">
        <v>96</v>
      </c>
      <c r="B9" s="82">
        <v>0.35205020109281598</v>
      </c>
      <c r="C9" s="83">
        <v>0.26</v>
      </c>
      <c r="D9" s="83">
        <v>0.25</v>
      </c>
      <c r="E9" s="22"/>
    </row>
    <row r="10" spans="1:5" x14ac:dyDescent="0.3">
      <c r="A10" s="81" t="s">
        <v>97</v>
      </c>
      <c r="B10" s="82">
        <v>5.2609381422339183</v>
      </c>
      <c r="C10" s="83">
        <v>5.87</v>
      </c>
      <c r="D10" s="83">
        <v>5.74</v>
      </c>
      <c r="E10" s="22"/>
    </row>
    <row r="11" spans="1:5" x14ac:dyDescent="0.3">
      <c r="A11" s="81" t="s">
        <v>98</v>
      </c>
      <c r="B11" s="82">
        <v>36.63233834122866</v>
      </c>
      <c r="C11" s="83">
        <v>35.65</v>
      </c>
      <c r="D11" s="83">
        <v>34.880000000000003</v>
      </c>
      <c r="E11" s="22"/>
    </row>
    <row r="12" spans="1:5" ht="17" x14ac:dyDescent="0.45">
      <c r="A12" s="81" t="s">
        <v>99</v>
      </c>
      <c r="B12" s="82">
        <v>0.80747884269902093</v>
      </c>
      <c r="C12" s="83">
        <v>4.3899999999999997</v>
      </c>
      <c r="D12" s="83">
        <v>4.3</v>
      </c>
      <c r="E12" s="22"/>
    </row>
    <row r="13" spans="1:5" ht="17" x14ac:dyDescent="0.45">
      <c r="A13" s="81" t="s">
        <v>100</v>
      </c>
      <c r="B13" s="82">
        <v>5.4664557642932099</v>
      </c>
      <c r="C13" s="83">
        <v>0.36</v>
      </c>
      <c r="D13" s="83">
        <v>0.35</v>
      </c>
      <c r="E13" s="22"/>
    </row>
    <row r="14" spans="1:5" ht="17" x14ac:dyDescent="0.45">
      <c r="A14" s="81" t="s">
        <v>101</v>
      </c>
      <c r="B14" s="82">
        <v>0.4897881303575729</v>
      </c>
      <c r="C14" s="83">
        <v>0</v>
      </c>
      <c r="D14" s="83">
        <v>0</v>
      </c>
      <c r="E14" s="22"/>
    </row>
    <row r="15" spans="1:5" ht="17" x14ac:dyDescent="0.45">
      <c r="A15" s="81" t="s">
        <v>102</v>
      </c>
      <c r="B15" s="82">
        <v>35.496027432677572</v>
      </c>
      <c r="C15" s="83">
        <v>37.869999999999997</v>
      </c>
      <c r="D15" s="83">
        <v>37.049999999999997</v>
      </c>
      <c r="E15" s="22"/>
    </row>
    <row r="16" spans="1:5" ht="17" x14ac:dyDescent="0.45">
      <c r="A16" s="83" t="s">
        <v>103</v>
      </c>
      <c r="B16" s="82">
        <v>1.9345907336067354</v>
      </c>
      <c r="C16" s="82">
        <v>0</v>
      </c>
      <c r="D16" s="82">
        <v>0</v>
      </c>
      <c r="E16" s="22"/>
    </row>
    <row r="17" spans="1:6" x14ac:dyDescent="0.3">
      <c r="A17" s="83" t="s">
        <v>3</v>
      </c>
      <c r="B17" s="82">
        <v>0</v>
      </c>
      <c r="C17" s="82">
        <v>0</v>
      </c>
      <c r="D17" s="83">
        <v>2.15</v>
      </c>
      <c r="E17" s="22"/>
    </row>
    <row r="18" spans="1:6" ht="14.5" thickBot="1" x14ac:dyDescent="0.35">
      <c r="A18" s="85" t="s">
        <v>104</v>
      </c>
      <c r="B18" s="85">
        <v>100</v>
      </c>
      <c r="C18" s="85">
        <v>100.01</v>
      </c>
      <c r="D18" s="85">
        <v>100.01</v>
      </c>
      <c r="E18" s="22"/>
    </row>
    <row r="19" spans="1:6" ht="14.5" thickTop="1" x14ac:dyDescent="0.3">
      <c r="A19" s="81" t="s">
        <v>105</v>
      </c>
      <c r="B19" s="81">
        <v>510</v>
      </c>
      <c r="C19" s="81"/>
      <c r="D19" s="81"/>
      <c r="E19" s="22"/>
    </row>
    <row r="20" spans="1:6" ht="14.5" thickBot="1" x14ac:dyDescent="0.35">
      <c r="A20" s="85" t="s">
        <v>106</v>
      </c>
      <c r="B20" s="85">
        <v>700</v>
      </c>
      <c r="C20" s="85"/>
      <c r="D20" s="85"/>
      <c r="E20" s="22"/>
    </row>
    <row r="21" spans="1:6" ht="14.5" customHeight="1" thickTop="1" x14ac:dyDescent="0.3">
      <c r="A21" s="22"/>
      <c r="B21" s="97"/>
      <c r="C21" s="97"/>
      <c r="D21" s="97"/>
      <c r="E21" s="97"/>
      <c r="F21" s="97"/>
    </row>
    <row r="22" spans="1:6" x14ac:dyDescent="0.3">
      <c r="A22" s="100"/>
      <c r="B22" s="100"/>
      <c r="C22" s="100"/>
      <c r="D22" s="100"/>
      <c r="E22" s="100"/>
      <c r="F22" s="100"/>
    </row>
    <row r="24" spans="1:6" x14ac:dyDescent="0.3">
      <c r="A24" s="98" t="s">
        <v>162</v>
      </c>
    </row>
    <row r="25" spans="1:6" x14ac:dyDescent="0.3">
      <c r="A25" s="97" t="s">
        <v>161</v>
      </c>
    </row>
  </sheetData>
  <mergeCells count="2">
    <mergeCell ref="C2:D2"/>
    <mergeCell ref="A22:F2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7"/>
  <sheetViews>
    <sheetView tabSelected="1" zoomScale="85" zoomScaleNormal="85" workbookViewId="0">
      <selection activeCell="D10" sqref="D10"/>
    </sheetView>
  </sheetViews>
  <sheetFormatPr defaultRowHeight="14" x14ac:dyDescent="0.3"/>
  <cols>
    <col min="2" max="2" width="17.4140625" customWidth="1"/>
  </cols>
  <sheetData>
    <row r="1" spans="1:17" ht="14.5" thickBot="1" x14ac:dyDescent="0.35">
      <c r="A1" s="86" t="s">
        <v>143</v>
      </c>
    </row>
    <row r="2" spans="1:17" ht="17.5" thickBot="1" x14ac:dyDescent="0.5">
      <c r="A2" s="87" t="s">
        <v>108</v>
      </c>
      <c r="B2" s="87" t="s">
        <v>109</v>
      </c>
      <c r="C2" s="87" t="s">
        <v>110</v>
      </c>
      <c r="D2" s="87"/>
      <c r="E2" s="87" t="s">
        <v>111</v>
      </c>
      <c r="F2" s="87" t="s">
        <v>112</v>
      </c>
      <c r="G2" s="87" t="s">
        <v>113</v>
      </c>
      <c r="H2" s="87" t="s">
        <v>114</v>
      </c>
      <c r="I2" s="87" t="s">
        <v>115</v>
      </c>
      <c r="J2" s="87" t="s">
        <v>116</v>
      </c>
      <c r="K2" s="87" t="s">
        <v>117</v>
      </c>
      <c r="L2" s="87" t="s">
        <v>118</v>
      </c>
      <c r="M2" s="87" t="s">
        <v>119</v>
      </c>
      <c r="N2" s="87" t="s">
        <v>103</v>
      </c>
      <c r="O2" s="87" t="s">
        <v>120</v>
      </c>
      <c r="P2" s="87" t="s">
        <v>121</v>
      </c>
      <c r="Q2" s="87" t="s">
        <v>122</v>
      </c>
    </row>
    <row r="3" spans="1:17" x14ac:dyDescent="0.3">
      <c r="A3" s="81" t="s">
        <v>123</v>
      </c>
      <c r="B3" s="81" t="s">
        <v>124</v>
      </c>
      <c r="C3" s="81">
        <v>36</v>
      </c>
      <c r="D3" s="81" t="s">
        <v>125</v>
      </c>
      <c r="E3" s="88">
        <v>1.0891891891891898E-2</v>
      </c>
      <c r="F3" s="88">
        <v>91.820593220338978</v>
      </c>
      <c r="G3" s="88">
        <v>1.1863783783783783</v>
      </c>
      <c r="H3" s="88">
        <v>1.3648378378378381</v>
      </c>
      <c r="I3" s="88"/>
      <c r="J3" s="88">
        <v>4.5864864864864872E-2</v>
      </c>
      <c r="K3" s="88">
        <v>0.84422807017543822</v>
      </c>
      <c r="L3" s="88"/>
      <c r="M3" s="88">
        <v>0.10237837837837839</v>
      </c>
      <c r="N3" s="88"/>
      <c r="O3" s="88">
        <v>1.6055142857142857</v>
      </c>
      <c r="P3" s="88">
        <v>1.6593428571428572</v>
      </c>
      <c r="Q3" s="88">
        <v>98.640029784722913</v>
      </c>
    </row>
    <row r="4" spans="1:17" x14ac:dyDescent="0.3">
      <c r="A4" s="44"/>
      <c r="B4" s="81"/>
      <c r="C4" s="81"/>
      <c r="D4" s="81" t="s">
        <v>126</v>
      </c>
      <c r="E4" s="88">
        <v>9.5738908189309316E-3</v>
      </c>
      <c r="F4" s="88">
        <v>1.2433099471896905</v>
      </c>
      <c r="G4" s="88">
        <v>0.10325997284453868</v>
      </c>
      <c r="H4" s="88">
        <v>8.8528461026380484E-2</v>
      </c>
      <c r="I4" s="88"/>
      <c r="J4" s="88">
        <v>1.4288921203490805E-2</v>
      </c>
      <c r="K4" s="88">
        <v>0.26397612294241618</v>
      </c>
      <c r="L4" s="88"/>
      <c r="M4" s="88">
        <v>5.1645976836165224E-2</v>
      </c>
      <c r="N4" s="88"/>
      <c r="O4" s="88">
        <v>0.33175574841222505</v>
      </c>
      <c r="P4" s="88">
        <v>0.42025050796042251</v>
      </c>
      <c r="Q4" s="88">
        <v>1.0477436337864088</v>
      </c>
    </row>
    <row r="5" spans="1:17" x14ac:dyDescent="0.3">
      <c r="A5" s="44"/>
      <c r="B5" s="88" t="s">
        <v>127</v>
      </c>
      <c r="C5" s="89">
        <v>4</v>
      </c>
      <c r="D5" s="81" t="s">
        <v>125</v>
      </c>
      <c r="E5" s="22"/>
      <c r="F5" s="22"/>
      <c r="G5" s="88">
        <v>7.7499999999999999E-3</v>
      </c>
      <c r="H5" s="88">
        <v>0.35950000000000004</v>
      </c>
      <c r="I5" s="88">
        <v>3.3500000000000002E-2</v>
      </c>
      <c r="J5" s="88">
        <v>0.2555</v>
      </c>
      <c r="K5" s="88">
        <v>53.689750000000004</v>
      </c>
      <c r="L5" s="88">
        <v>0.34533333333333333</v>
      </c>
      <c r="M5" s="88">
        <v>0.23</v>
      </c>
      <c r="N5" s="88">
        <v>39.477000000000004</v>
      </c>
      <c r="O5" s="88"/>
      <c r="P5" s="88"/>
      <c r="Q5" s="88">
        <v>95.628083333333336</v>
      </c>
    </row>
    <row r="6" spans="1:17" x14ac:dyDescent="0.3">
      <c r="A6" s="44"/>
      <c r="B6" s="22"/>
      <c r="C6" s="22"/>
      <c r="D6" s="81" t="s">
        <v>126</v>
      </c>
      <c r="E6" s="22"/>
      <c r="F6" s="22"/>
      <c r="G6" s="88">
        <v>9.6738479072876332E-3</v>
      </c>
      <c r="H6" s="88">
        <v>3.181980515339463E-2</v>
      </c>
      <c r="I6" s="88">
        <v>4.9497474683058316E-3</v>
      </c>
      <c r="J6" s="88">
        <v>2.4255583549635203E-2</v>
      </c>
      <c r="K6" s="88">
        <v>0.44757895020506311</v>
      </c>
      <c r="L6" s="88">
        <v>3.0566866593312002E-2</v>
      </c>
      <c r="M6" s="88">
        <v>5.8660037504249737E-2</v>
      </c>
      <c r="N6" s="88">
        <v>0.41891526589514622</v>
      </c>
      <c r="O6" s="88"/>
      <c r="P6" s="88"/>
      <c r="Q6" s="88">
        <v>0.58657792889492866</v>
      </c>
    </row>
    <row r="7" spans="1:17" x14ac:dyDescent="0.3">
      <c r="A7" s="44"/>
      <c r="B7" s="81" t="s">
        <v>128</v>
      </c>
      <c r="C7" s="81">
        <v>13</v>
      </c>
      <c r="D7" s="81" t="s">
        <v>125</v>
      </c>
      <c r="E7" s="88"/>
      <c r="F7" s="88">
        <v>3.5000000000000003E-2</v>
      </c>
      <c r="G7" s="88">
        <v>3.3499999999999995E-2</v>
      </c>
      <c r="H7" s="88">
        <v>0.81738461538461538</v>
      </c>
      <c r="I7" s="88">
        <v>1.7571428571428571E-2</v>
      </c>
      <c r="J7" s="88">
        <v>3.0451428571428569</v>
      </c>
      <c r="K7" s="88">
        <v>51.241615384615372</v>
      </c>
      <c r="L7" s="88">
        <v>2.6888888888888893E-2</v>
      </c>
      <c r="M7" s="88">
        <v>5.333333333333333E-2</v>
      </c>
      <c r="N7" s="88">
        <v>6.0363636363636355E-2</v>
      </c>
      <c r="O7" s="88"/>
      <c r="P7" s="88"/>
      <c r="Q7" s="88">
        <v>55.330800144300134</v>
      </c>
    </row>
    <row r="8" spans="1:17" x14ac:dyDescent="0.3">
      <c r="A8" s="44"/>
      <c r="B8" s="22"/>
      <c r="C8" s="22"/>
      <c r="D8" s="81" t="s">
        <v>126</v>
      </c>
      <c r="E8" s="88"/>
      <c r="F8" s="88">
        <v>1.1627553482998895E-2</v>
      </c>
      <c r="G8" s="88">
        <v>1.5475787540542161E-2</v>
      </c>
      <c r="H8" s="88">
        <v>3.5464861627481498E-2</v>
      </c>
      <c r="I8" s="88">
        <v>6.8033605141660947E-3</v>
      </c>
      <c r="J8" s="88">
        <v>5.9431833701669094E-2</v>
      </c>
      <c r="K8" s="88">
        <v>1.431356148230384</v>
      </c>
      <c r="L8" s="88">
        <v>9.8544969993963148E-3</v>
      </c>
      <c r="M8" s="88">
        <v>1.4491376746189458E-2</v>
      </c>
      <c r="N8" s="88">
        <v>1.6433336406662717E-2</v>
      </c>
      <c r="O8" s="88"/>
      <c r="P8" s="88"/>
      <c r="Q8" s="88">
        <v>1.2603871200181682</v>
      </c>
    </row>
    <row r="9" spans="1:17" x14ac:dyDescent="0.3">
      <c r="A9" s="44"/>
      <c r="B9" s="81" t="s">
        <v>144</v>
      </c>
      <c r="C9" s="81">
        <v>36</v>
      </c>
      <c r="D9" s="81" t="s">
        <v>125</v>
      </c>
      <c r="E9" s="88">
        <v>9.5642857142857141E-2</v>
      </c>
      <c r="F9" s="88">
        <v>0.57133333333333336</v>
      </c>
      <c r="G9" s="88">
        <v>2.3228571428571434</v>
      </c>
      <c r="H9" s="88">
        <v>3.4993888888888889</v>
      </c>
      <c r="I9" s="88">
        <v>2.7527777777777793E-2</v>
      </c>
      <c r="J9" s="88">
        <v>6.5461666666666671</v>
      </c>
      <c r="K9" s="88">
        <v>28.335636363636365</v>
      </c>
      <c r="L9" s="88">
        <v>1.2408333333333335</v>
      </c>
      <c r="M9" s="88">
        <v>4.9037931034482751</v>
      </c>
      <c r="N9" s="88">
        <v>3.7939333333333334</v>
      </c>
      <c r="O9" s="88"/>
      <c r="P9" s="88"/>
      <c r="Q9" s="88">
        <v>51.337112800417977</v>
      </c>
    </row>
    <row r="10" spans="1:17" x14ac:dyDescent="0.3">
      <c r="A10" s="44"/>
      <c r="B10" s="22"/>
      <c r="C10" s="22"/>
      <c r="D10" s="81" t="s">
        <v>126</v>
      </c>
      <c r="E10" s="88">
        <v>4.7293578207644023E-2</v>
      </c>
      <c r="F10" s="88">
        <v>0.25953331237027172</v>
      </c>
      <c r="G10" s="88">
        <v>1.0904422239153608</v>
      </c>
      <c r="H10" s="88">
        <v>0.95213556291041535</v>
      </c>
      <c r="I10" s="88">
        <v>1.8911049092469122E-2</v>
      </c>
      <c r="J10" s="88">
        <v>0.95099339039313435</v>
      </c>
      <c r="K10" s="88">
        <v>5.0317543089996155</v>
      </c>
      <c r="L10" s="88">
        <v>0.50244371397628795</v>
      </c>
      <c r="M10" s="88">
        <v>1.2892642802142837</v>
      </c>
      <c r="N10" s="88">
        <v>1.1993207253686773</v>
      </c>
      <c r="O10" s="88"/>
      <c r="P10" s="88"/>
      <c r="Q10" s="88">
        <v>3.2406636370857989</v>
      </c>
    </row>
    <row r="11" spans="1:17" x14ac:dyDescent="0.3">
      <c r="A11" s="81" t="s">
        <v>129</v>
      </c>
      <c r="B11" s="81" t="s">
        <v>124</v>
      </c>
      <c r="C11" s="81">
        <v>20</v>
      </c>
      <c r="D11" s="81" t="s">
        <v>125</v>
      </c>
      <c r="E11" s="88">
        <v>1.1149999999999998E-2</v>
      </c>
      <c r="F11" s="88">
        <v>92.633299999999991</v>
      </c>
      <c r="G11" s="88">
        <v>1.1414999999999997</v>
      </c>
      <c r="H11" s="88">
        <v>1.6988999999999996</v>
      </c>
      <c r="I11" s="88"/>
      <c r="J11" s="88">
        <v>4.3300000000000012E-2</v>
      </c>
      <c r="K11" s="88">
        <v>0.45713333333333328</v>
      </c>
      <c r="L11" s="88"/>
      <c r="M11" s="88">
        <v>0.14270000000000005</v>
      </c>
      <c r="N11" s="88"/>
      <c r="O11" s="88">
        <v>1.3023500000000001</v>
      </c>
      <c r="P11" s="88">
        <v>1.5275625000000002</v>
      </c>
      <c r="Q11" s="88">
        <v>98.957895833333325</v>
      </c>
    </row>
    <row r="12" spans="1:17" x14ac:dyDescent="0.3">
      <c r="A12" s="44"/>
      <c r="B12" s="81"/>
      <c r="C12" s="81"/>
      <c r="D12" s="81" t="s">
        <v>126</v>
      </c>
      <c r="E12" s="88">
        <v>1.1117908739364709E-2</v>
      </c>
      <c r="F12" s="88">
        <v>0.70814941182894731</v>
      </c>
      <c r="G12" s="88">
        <v>3.1590304975119388E-2</v>
      </c>
      <c r="H12" s="88">
        <v>5.09797689491161E-2</v>
      </c>
      <c r="I12" s="88"/>
      <c r="J12" s="88">
        <v>7.921323653345554E-3</v>
      </c>
      <c r="K12" s="88">
        <v>7.9483930691022608E-2</v>
      </c>
      <c r="L12" s="88"/>
      <c r="M12" s="88">
        <v>5.3016482044936135E-2</v>
      </c>
      <c r="N12" s="88"/>
      <c r="O12" s="88">
        <v>0.19814568670020105</v>
      </c>
      <c r="P12" s="88">
        <v>0.23917245347238378</v>
      </c>
      <c r="Q12" s="88">
        <v>0.86770958487515482</v>
      </c>
    </row>
    <row r="13" spans="1:17" x14ac:dyDescent="0.3">
      <c r="A13" s="44"/>
      <c r="B13" s="81" t="s">
        <v>130</v>
      </c>
      <c r="C13" s="81">
        <v>11</v>
      </c>
      <c r="D13" s="81" t="s">
        <v>125</v>
      </c>
      <c r="E13" s="88">
        <v>8.0000000000000002E-3</v>
      </c>
      <c r="F13" s="88">
        <v>0.48533333333333334</v>
      </c>
      <c r="G13" s="88">
        <v>65.224166666666648</v>
      </c>
      <c r="H13" s="88">
        <v>16.437333333333331</v>
      </c>
      <c r="I13" s="88">
        <v>2.2000000000000002E-2</v>
      </c>
      <c r="J13" s="88">
        <v>17.766333333333332</v>
      </c>
      <c r="K13" s="88">
        <v>0.55449999999999999</v>
      </c>
      <c r="L13" s="88">
        <v>1.5600000000000003E-2</v>
      </c>
      <c r="M13" s="88">
        <v>2.2499999999999999E-2</v>
      </c>
      <c r="N13" s="88">
        <v>1.7999999999999999E-2</v>
      </c>
      <c r="O13" s="88"/>
      <c r="P13" s="88"/>
      <c r="Q13" s="88">
        <v>100.55376666666665</v>
      </c>
    </row>
    <row r="14" spans="1:17" x14ac:dyDescent="0.3">
      <c r="A14" s="44"/>
      <c r="B14" s="81"/>
      <c r="C14" s="81"/>
      <c r="D14" s="81" t="s">
        <v>126</v>
      </c>
      <c r="E14" s="88">
        <v>7.0710678118654753E-3</v>
      </c>
      <c r="F14" s="88">
        <v>5.3678052622401787E-2</v>
      </c>
      <c r="G14" s="88">
        <v>0.99342587376545821</v>
      </c>
      <c r="H14" s="88">
        <v>0.61153598967408829</v>
      </c>
      <c r="I14" s="88">
        <v>6.1644140029689775E-3</v>
      </c>
      <c r="J14" s="88">
        <v>0.31665164876669538</v>
      </c>
      <c r="K14" s="88">
        <v>4.9497474683058368E-3</v>
      </c>
      <c r="L14" s="88">
        <v>1.4081903280451828E-2</v>
      </c>
      <c r="M14" s="88">
        <v>8.3466560170326175E-3</v>
      </c>
      <c r="N14" s="88">
        <v>6.2609903369994146E-3</v>
      </c>
      <c r="O14" s="88"/>
      <c r="P14" s="88"/>
      <c r="Q14" s="88">
        <v>1.1898486318295554</v>
      </c>
    </row>
    <row r="15" spans="1:17" x14ac:dyDescent="0.3">
      <c r="A15" s="44"/>
      <c r="B15" s="81" t="s">
        <v>128</v>
      </c>
      <c r="C15" s="81">
        <v>13</v>
      </c>
      <c r="D15" s="81" t="s">
        <v>125</v>
      </c>
      <c r="E15" s="88"/>
      <c r="F15" s="88">
        <v>2.9250000000000002E-2</v>
      </c>
      <c r="G15" s="88">
        <v>2.0428571428571431E-2</v>
      </c>
      <c r="H15" s="88">
        <v>0.44342857142857139</v>
      </c>
      <c r="I15" s="88">
        <v>1.7571428571428575E-2</v>
      </c>
      <c r="J15" s="88">
        <v>0.6605714285714287</v>
      </c>
      <c r="K15" s="88">
        <v>53.648285714285713</v>
      </c>
      <c r="L15" s="88">
        <v>4.9999999999999996E-2</v>
      </c>
      <c r="M15" s="88">
        <v>0.11679999999999999</v>
      </c>
      <c r="N15" s="88">
        <v>8.433333333333333E-2</v>
      </c>
      <c r="O15" s="88"/>
      <c r="P15" s="88"/>
      <c r="Q15" s="88">
        <v>55.070669047619049</v>
      </c>
    </row>
    <row r="16" spans="1:17" x14ac:dyDescent="0.3">
      <c r="A16" s="44"/>
      <c r="B16" s="81"/>
      <c r="C16" s="81"/>
      <c r="D16" s="81" t="s">
        <v>126</v>
      </c>
      <c r="E16" s="88"/>
      <c r="F16" s="88">
        <v>1.8191115047370424E-2</v>
      </c>
      <c r="G16" s="88">
        <v>1.3611969522655934E-2</v>
      </c>
      <c r="H16" s="88">
        <v>3.5957647044159893E-2</v>
      </c>
      <c r="I16" s="88">
        <v>1.1516034370348481E-2</v>
      </c>
      <c r="J16" s="88">
        <v>4.0869129110928139E-2</v>
      </c>
      <c r="K16" s="88">
        <v>3.3802479551203404</v>
      </c>
      <c r="L16" s="88">
        <v>3.6055512754639887E-3</v>
      </c>
      <c r="M16" s="88">
        <v>1.5254507530562969E-2</v>
      </c>
      <c r="N16" s="88">
        <v>8.0829037686547603E-3</v>
      </c>
      <c r="O16" s="88"/>
      <c r="P16" s="88"/>
      <c r="Q16" s="88">
        <v>1.3939834527951411</v>
      </c>
    </row>
    <row r="17" spans="1:17" x14ac:dyDescent="0.3">
      <c r="A17" s="44"/>
      <c r="B17" s="81" t="s">
        <v>144</v>
      </c>
      <c r="C17" s="81">
        <v>24</v>
      </c>
      <c r="D17" s="81" t="s">
        <v>125</v>
      </c>
      <c r="E17" s="88"/>
      <c r="F17" s="88">
        <v>0.25828571428571429</v>
      </c>
      <c r="G17" s="88">
        <v>0.27833333333333332</v>
      </c>
      <c r="H17" s="88">
        <v>2.0816521739130436</v>
      </c>
      <c r="I17" s="88">
        <v>1.8120000000000004E-2</v>
      </c>
      <c r="J17" s="88">
        <v>3.5560769230769229</v>
      </c>
      <c r="K17" s="88">
        <v>47.796633333333347</v>
      </c>
      <c r="L17" s="88">
        <v>0.36689473684210527</v>
      </c>
      <c r="M17" s="88">
        <v>1.8395882352941175</v>
      </c>
      <c r="N17" s="88">
        <v>1.0952631578947365</v>
      </c>
      <c r="O17" s="88"/>
      <c r="P17" s="88"/>
      <c r="Q17" s="88">
        <v>57.290847607973319</v>
      </c>
    </row>
    <row r="18" spans="1:17" x14ac:dyDescent="0.3">
      <c r="A18" s="29"/>
      <c r="B18" s="88"/>
      <c r="C18" s="88"/>
      <c r="D18" s="81" t="s">
        <v>126</v>
      </c>
      <c r="E18" s="88"/>
      <c r="F18" s="88">
        <v>6.8674872371472878E-2</v>
      </c>
      <c r="G18" s="88">
        <v>6.5602337356733639E-2</v>
      </c>
      <c r="H18" s="88">
        <v>0.4127622701987243</v>
      </c>
      <c r="I18" s="88">
        <v>1.357178445648667E-2</v>
      </c>
      <c r="J18" s="88">
        <v>0.41402337355052199</v>
      </c>
      <c r="K18" s="88">
        <v>2.4688320913748467</v>
      </c>
      <c r="L18" s="88">
        <v>8.4840304059936159E-2</v>
      </c>
      <c r="M18" s="88">
        <v>0.42607438593858321</v>
      </c>
      <c r="N18" s="88">
        <v>0.24981767620612813</v>
      </c>
      <c r="O18" s="88"/>
      <c r="P18" s="88"/>
      <c r="Q18" s="88">
        <v>1.5741761712889597</v>
      </c>
    </row>
    <row r="19" spans="1:17" x14ac:dyDescent="0.3">
      <c r="A19" s="81" t="s">
        <v>131</v>
      </c>
      <c r="B19" s="88" t="s">
        <v>124</v>
      </c>
      <c r="C19" s="89">
        <v>13</v>
      </c>
      <c r="D19" s="81" t="s">
        <v>125</v>
      </c>
      <c r="E19" s="88">
        <v>4.023076923076923E-2</v>
      </c>
      <c r="F19" s="88">
        <v>84.97</v>
      </c>
      <c r="G19" s="88">
        <v>1.3457692307692308</v>
      </c>
      <c r="H19" s="88">
        <v>2.9438461538461542</v>
      </c>
      <c r="I19" s="88">
        <v>5.7692307692307704E-3</v>
      </c>
      <c r="J19" s="88">
        <v>3.3769230769230774E-2</v>
      </c>
      <c r="K19" s="88">
        <v>0.46633333333333332</v>
      </c>
      <c r="L19" s="88"/>
      <c r="M19" s="88">
        <v>7.7555555555555544E-2</v>
      </c>
      <c r="N19" s="88">
        <v>0</v>
      </c>
      <c r="O19" s="88">
        <v>2.5846153846153852</v>
      </c>
      <c r="P19" s="88">
        <v>6.2683846153846146</v>
      </c>
      <c r="Q19" s="88">
        <v>98.736273504273498</v>
      </c>
    </row>
    <row r="20" spans="1:17" x14ac:dyDescent="0.3">
      <c r="A20" s="88"/>
      <c r="B20" s="88"/>
      <c r="C20" s="88"/>
      <c r="D20" s="81" t="s">
        <v>126</v>
      </c>
      <c r="E20" s="88">
        <v>1.0763780672188292E-2</v>
      </c>
      <c r="F20" s="88">
        <v>0.13953494186045828</v>
      </c>
      <c r="G20" s="88">
        <v>4.0747502676347844E-2</v>
      </c>
      <c r="H20" s="88">
        <v>0.10834193259756053</v>
      </c>
      <c r="I20" s="88">
        <v>7.7691038324232955E-3</v>
      </c>
      <c r="J20" s="88">
        <v>7.2013175432676085E-3</v>
      </c>
      <c r="K20" s="88">
        <v>0.10245161459602933</v>
      </c>
      <c r="L20" s="88"/>
      <c r="M20" s="88">
        <v>2.3340475097516321E-2</v>
      </c>
      <c r="N20" s="88">
        <v>0</v>
      </c>
      <c r="O20" s="88">
        <v>5.4432739017277861E-2</v>
      </c>
      <c r="P20" s="88">
        <v>0.40519183490900096</v>
      </c>
      <c r="Q20" s="88">
        <v>0.57669858367283722</v>
      </c>
    </row>
    <row r="21" spans="1:17" x14ac:dyDescent="0.3">
      <c r="A21" s="88"/>
      <c r="B21" s="88" t="s">
        <v>132</v>
      </c>
      <c r="C21" s="89">
        <v>3</v>
      </c>
      <c r="D21" s="81" t="s">
        <v>125</v>
      </c>
      <c r="E21" s="88">
        <v>7.4999999999999997E-3</v>
      </c>
      <c r="F21" s="88">
        <v>0.84266666666666656</v>
      </c>
      <c r="G21" s="88">
        <v>59.25216666666666</v>
      </c>
      <c r="H21" s="88">
        <v>23.959999999999997</v>
      </c>
      <c r="I21" s="88">
        <v>3.3500000000000002E-2</v>
      </c>
      <c r="J21" s="88">
        <v>15.603333333333333</v>
      </c>
      <c r="K21" s="88">
        <v>0.13350000000000001</v>
      </c>
      <c r="L21" s="88"/>
      <c r="M21" s="88"/>
      <c r="N21" s="88"/>
      <c r="O21" s="88"/>
      <c r="P21" s="88"/>
      <c r="Q21" s="88">
        <v>99.832666666666668</v>
      </c>
    </row>
    <row r="22" spans="1:17" x14ac:dyDescent="0.3">
      <c r="A22" s="88"/>
      <c r="B22" s="88"/>
      <c r="C22" s="89"/>
      <c r="D22" s="81" t="s">
        <v>126</v>
      </c>
      <c r="E22" s="88">
        <v>4.6547466812563139E-3</v>
      </c>
      <c r="F22" s="88">
        <v>9.512237731820522E-2</v>
      </c>
      <c r="G22" s="88">
        <v>1.1258926088516006</v>
      </c>
      <c r="H22" s="88">
        <v>0.20385386922989646</v>
      </c>
      <c r="I22" s="88">
        <v>1.2793227374930317E-2</v>
      </c>
      <c r="J22" s="88">
        <v>0.47199350278014068</v>
      </c>
      <c r="K22" s="88">
        <v>2.8017851452243777E-2</v>
      </c>
      <c r="L22" s="88"/>
      <c r="M22" s="88"/>
      <c r="N22" s="88"/>
      <c r="O22" s="88"/>
      <c r="P22" s="88"/>
      <c r="Q22" s="88">
        <v>1.5482865906112706</v>
      </c>
    </row>
    <row r="23" spans="1:17" x14ac:dyDescent="0.3">
      <c r="A23" s="88"/>
      <c r="B23" s="88" t="s">
        <v>133</v>
      </c>
      <c r="C23" s="89">
        <v>15</v>
      </c>
      <c r="D23" s="81" t="s">
        <v>125</v>
      </c>
      <c r="E23" s="88"/>
      <c r="F23" s="88">
        <v>42.225959999999993</v>
      </c>
      <c r="G23" s="88">
        <v>3.9388604651162793</v>
      </c>
      <c r="H23" s="88">
        <v>46.746069767441867</v>
      </c>
      <c r="I23" s="88">
        <v>2.6000000000000002E-2</v>
      </c>
      <c r="J23" s="88">
        <v>5.1144418604651154</v>
      </c>
      <c r="K23" s="88">
        <v>0.17160465116279072</v>
      </c>
      <c r="L23" s="88">
        <v>5.9534883720930246E-3</v>
      </c>
      <c r="M23" s="88">
        <v>6.5813953488372112E-3</v>
      </c>
      <c r="N23" s="88">
        <v>4.27906976744186E-3</v>
      </c>
      <c r="O23" s="88">
        <v>0.11096428571428574</v>
      </c>
      <c r="P23" s="88">
        <v>0.14878571428571427</v>
      </c>
      <c r="Q23" s="88">
        <v>98.50287279069768</v>
      </c>
    </row>
    <row r="24" spans="1:17" x14ac:dyDescent="0.3">
      <c r="A24" s="88"/>
      <c r="B24" s="88"/>
      <c r="C24" s="89"/>
      <c r="D24" s="81" t="s">
        <v>126</v>
      </c>
      <c r="E24" s="88"/>
      <c r="F24" s="88">
        <v>0.29721071088819634</v>
      </c>
      <c r="G24" s="88">
        <v>8.1133511776034034E-2</v>
      </c>
      <c r="H24" s="88">
        <v>0.41631698061686606</v>
      </c>
      <c r="I24" s="88">
        <v>1.4337762327902783E-2</v>
      </c>
      <c r="J24" s="88">
        <v>0.16063613160621321</v>
      </c>
      <c r="K24" s="88">
        <v>0.12429364990385877</v>
      </c>
      <c r="L24" s="88">
        <v>7.9221013577510224E-3</v>
      </c>
      <c r="M24" s="88">
        <v>6.7161233083050812E-3</v>
      </c>
      <c r="N24" s="88">
        <v>7.7837608164304196E-3</v>
      </c>
      <c r="O24" s="88">
        <v>2.9188381938909165E-2</v>
      </c>
      <c r="P24" s="88">
        <v>4.3010211658143643E-2</v>
      </c>
      <c r="Q24" s="88">
        <v>0.57215302996750461</v>
      </c>
    </row>
    <row r="25" spans="1:17" x14ac:dyDescent="0.3">
      <c r="A25" s="88"/>
      <c r="B25" s="88" t="s">
        <v>128</v>
      </c>
      <c r="C25" s="89">
        <v>6</v>
      </c>
      <c r="D25" s="81" t="s">
        <v>125</v>
      </c>
      <c r="E25" s="88"/>
      <c r="F25" s="88">
        <v>0</v>
      </c>
      <c r="G25" s="88">
        <v>3.7999999999999999E-2</v>
      </c>
      <c r="H25" s="88">
        <v>0.62466666666666659</v>
      </c>
      <c r="I25" s="88">
        <v>2.0333333333333332E-2</v>
      </c>
      <c r="J25" s="88">
        <v>0.61183333333333334</v>
      </c>
      <c r="K25" s="88">
        <v>52.508499999999998</v>
      </c>
      <c r="L25" s="88">
        <v>6.4000000000000001E-2</v>
      </c>
      <c r="M25" s="88">
        <v>0.21100000000000002</v>
      </c>
      <c r="N25" s="88">
        <v>8.4499999999999978E-2</v>
      </c>
      <c r="O25" s="88">
        <v>0</v>
      </c>
      <c r="P25" s="88"/>
      <c r="Q25" s="88">
        <v>54.162833333333332</v>
      </c>
    </row>
    <row r="26" spans="1:17" x14ac:dyDescent="0.3">
      <c r="A26" s="88"/>
      <c r="B26" s="88"/>
      <c r="C26" s="89"/>
      <c r="D26" s="81" t="s">
        <v>126</v>
      </c>
      <c r="E26" s="88"/>
      <c r="F26" s="88">
        <v>0</v>
      </c>
      <c r="G26" s="88">
        <v>2.2158519806160334E-2</v>
      </c>
      <c r="H26" s="88">
        <v>5.0010665529131554E-2</v>
      </c>
      <c r="I26" s="88">
        <v>2.3027519768022489E-2</v>
      </c>
      <c r="J26" s="88">
        <v>5.367463708928704E-2</v>
      </c>
      <c r="K26" s="88">
        <v>1.2465049939731481</v>
      </c>
      <c r="L26" s="88">
        <v>6.9282032302755113E-3</v>
      </c>
      <c r="M26" s="88">
        <v>2.8189832682487787E-2</v>
      </c>
      <c r="N26" s="88">
        <v>1.7581240001774686E-2</v>
      </c>
      <c r="O26" s="88">
        <v>0</v>
      </c>
      <c r="P26" s="88"/>
      <c r="Q26" s="88">
        <v>1.3123897921984404</v>
      </c>
    </row>
    <row r="27" spans="1:17" x14ac:dyDescent="0.3">
      <c r="A27" s="88"/>
      <c r="B27" s="81" t="s">
        <v>144</v>
      </c>
      <c r="C27" s="89">
        <v>6</v>
      </c>
      <c r="D27" s="81" t="s">
        <v>125</v>
      </c>
      <c r="E27" s="88">
        <v>0.15300000000000002</v>
      </c>
      <c r="F27" s="88">
        <v>0.94699999999999995</v>
      </c>
      <c r="G27" s="88">
        <v>0.59399999999999997</v>
      </c>
      <c r="H27" s="88">
        <v>3.6011666666666664</v>
      </c>
      <c r="I27" s="88">
        <v>4.2499999999999996E-2</v>
      </c>
      <c r="J27" s="88">
        <v>4.2643333333333331</v>
      </c>
      <c r="K27" s="88">
        <v>38.291166666666669</v>
      </c>
      <c r="L27" s="88">
        <v>0.61524999999999996</v>
      </c>
      <c r="M27" s="88">
        <v>3.5347500000000003</v>
      </c>
      <c r="N27" s="88">
        <v>1.5655000000000001</v>
      </c>
      <c r="O27" s="88">
        <v>0</v>
      </c>
      <c r="P27" s="88"/>
      <c r="Q27" s="88">
        <v>53.608666666666664</v>
      </c>
    </row>
    <row r="28" spans="1:17" x14ac:dyDescent="0.3">
      <c r="A28" s="88"/>
      <c r="B28" s="88"/>
      <c r="C28" s="88"/>
      <c r="D28" s="81" t="s">
        <v>126</v>
      </c>
      <c r="E28" s="88">
        <v>1.9798989873223326E-2</v>
      </c>
      <c r="F28" s="88">
        <v>0.11596551211459374</v>
      </c>
      <c r="G28" s="88">
        <v>6.1489836558572826E-2</v>
      </c>
      <c r="H28" s="88">
        <v>0.70049394477516269</v>
      </c>
      <c r="I28" s="88">
        <v>1.8009256878986815E-2</v>
      </c>
      <c r="J28" s="88">
        <v>0.21214774725805277</v>
      </c>
      <c r="K28" s="88">
        <v>2.0241765156889522</v>
      </c>
      <c r="L28" s="88">
        <v>7.4674292765315564E-2</v>
      </c>
      <c r="M28" s="88">
        <v>0.26603555526783762</v>
      </c>
      <c r="N28" s="88">
        <v>0.19301787481992319</v>
      </c>
      <c r="O28" s="88">
        <v>0</v>
      </c>
      <c r="P28" s="88"/>
      <c r="Q28" s="88">
        <v>0.65426928706764131</v>
      </c>
    </row>
    <row r="29" spans="1:17" x14ac:dyDescent="0.3">
      <c r="A29" s="88" t="s">
        <v>134</v>
      </c>
      <c r="B29" s="88" t="s">
        <v>135</v>
      </c>
      <c r="C29" s="89">
        <v>8</v>
      </c>
      <c r="D29" s="81" t="s">
        <v>125</v>
      </c>
      <c r="E29" s="88"/>
      <c r="F29" s="88">
        <v>54.740499999999997</v>
      </c>
      <c r="G29" s="88">
        <v>0.68212499999999998</v>
      </c>
      <c r="H29" s="88">
        <v>0.84262499999999996</v>
      </c>
      <c r="I29" s="88">
        <v>1.7625000000000002E-2</v>
      </c>
      <c r="J29" s="88">
        <v>4.9499999999999995E-2</v>
      </c>
      <c r="K29" s="88">
        <v>39.802875</v>
      </c>
      <c r="L29" s="88">
        <v>0.121125</v>
      </c>
      <c r="M29" s="88">
        <v>0.13025</v>
      </c>
      <c r="N29" s="88">
        <v>1.9166666666666669E-2</v>
      </c>
      <c r="O29" s="88">
        <v>1.0302500000000001</v>
      </c>
      <c r="P29" s="88">
        <v>1.7250000000000001</v>
      </c>
      <c r="Q29" s="88">
        <v>99.15625</v>
      </c>
    </row>
    <row r="30" spans="1:17" x14ac:dyDescent="0.3">
      <c r="A30" s="88"/>
      <c r="B30" s="88"/>
      <c r="C30" s="88"/>
      <c r="D30" s="81" t="s">
        <v>126</v>
      </c>
      <c r="E30" s="88"/>
      <c r="F30" s="88">
        <v>0.56220840060807165</v>
      </c>
      <c r="G30" s="88">
        <v>6.5692873064195995E-2</v>
      </c>
      <c r="H30" s="88">
        <v>0.39421021857452071</v>
      </c>
      <c r="I30" s="88">
        <v>1.9877751381884221E-2</v>
      </c>
      <c r="J30" s="88">
        <v>1.3266499161421603E-2</v>
      </c>
      <c r="K30" s="88">
        <v>0.50634416231875856</v>
      </c>
      <c r="L30" s="88">
        <v>2.6893639715420751E-2</v>
      </c>
      <c r="M30" s="88">
        <v>9.2543426099781466E-3</v>
      </c>
      <c r="N30" s="88">
        <v>1.0342469079802302E-2</v>
      </c>
      <c r="O30" s="88">
        <v>4.9882003625699375E-2</v>
      </c>
      <c r="P30" s="88">
        <v>0.77832861220144545</v>
      </c>
      <c r="Q30" s="88">
        <v>0.16366319945895766</v>
      </c>
    </row>
    <row r="31" spans="1:17" x14ac:dyDescent="0.3">
      <c r="A31" s="88"/>
      <c r="B31" s="88" t="s">
        <v>130</v>
      </c>
      <c r="C31" s="89">
        <v>5</v>
      </c>
      <c r="D31" s="81" t="s">
        <v>125</v>
      </c>
      <c r="E31" s="88"/>
      <c r="F31" s="88">
        <v>0.74240000000000006</v>
      </c>
      <c r="G31" s="88">
        <v>67.469199999999987</v>
      </c>
      <c r="H31" s="88">
        <v>5.5577500000000004</v>
      </c>
      <c r="I31" s="88">
        <v>1.2E-2</v>
      </c>
      <c r="J31" s="88">
        <v>27.542399999999997</v>
      </c>
      <c r="K31" s="88">
        <v>0.12039999999999999</v>
      </c>
      <c r="L31" s="88">
        <v>0</v>
      </c>
      <c r="M31" s="88">
        <v>1.06E-2</v>
      </c>
      <c r="N31" s="88">
        <v>1.2000000000000001E-3</v>
      </c>
      <c r="O31" s="88"/>
      <c r="P31" s="88"/>
      <c r="Q31" s="88">
        <v>101.45934999999999</v>
      </c>
    </row>
    <row r="32" spans="1:17" x14ac:dyDescent="0.3">
      <c r="A32" s="44"/>
      <c r="B32" s="22"/>
      <c r="C32" s="22"/>
      <c r="D32" s="81" t="s">
        <v>126</v>
      </c>
      <c r="E32" s="88"/>
      <c r="F32" s="88">
        <v>0.11341648910101221</v>
      </c>
      <c r="G32" s="88">
        <v>1.0664334015774279</v>
      </c>
      <c r="H32" s="88">
        <v>0.24132602429079228</v>
      </c>
      <c r="I32" s="88">
        <v>1.0862780491200215E-2</v>
      </c>
      <c r="J32" s="88">
        <v>1.0798353115174555</v>
      </c>
      <c r="K32" s="88">
        <v>1.3538833036861202E-2</v>
      </c>
      <c r="L32" s="88">
        <v>0</v>
      </c>
      <c r="M32" s="88">
        <v>2.4083189157584595E-3</v>
      </c>
      <c r="N32" s="88">
        <v>2.6832815729997479E-3</v>
      </c>
      <c r="O32" s="88"/>
      <c r="P32" s="88"/>
      <c r="Q32" s="88">
        <v>0.57734565036899965</v>
      </c>
    </row>
    <row r="33" spans="1:17" x14ac:dyDescent="0.3">
      <c r="A33" s="44"/>
      <c r="B33" s="81" t="s">
        <v>144</v>
      </c>
      <c r="C33" s="89">
        <v>22</v>
      </c>
      <c r="D33" s="81" t="s">
        <v>125</v>
      </c>
      <c r="E33" s="88">
        <v>2.7999545454545451</v>
      </c>
      <c r="F33" s="88">
        <v>2.6068636363636362</v>
      </c>
      <c r="G33" s="88">
        <v>1.1037727272727276</v>
      </c>
      <c r="H33" s="88">
        <v>0.2005909090909091</v>
      </c>
      <c r="I33" s="88">
        <v>1.1909090909090909E-2</v>
      </c>
      <c r="J33" s="88">
        <v>14.912818181818182</v>
      </c>
      <c r="K33" s="88">
        <v>32.368363636363625</v>
      </c>
      <c r="L33" s="88">
        <v>1.4798181818181819</v>
      </c>
      <c r="M33" s="88">
        <v>3.8671818181818183</v>
      </c>
      <c r="N33" s="88">
        <v>1.6491363636363632</v>
      </c>
      <c r="O33" s="88">
        <v>0</v>
      </c>
      <c r="P33" s="88">
        <v>0</v>
      </c>
      <c r="Q33" s="88">
        <v>61.057909090909085</v>
      </c>
    </row>
    <row r="34" spans="1:17" x14ac:dyDescent="0.3">
      <c r="A34" s="44"/>
      <c r="B34" s="22"/>
      <c r="C34" s="22"/>
      <c r="D34" s="81" t="s">
        <v>126</v>
      </c>
      <c r="E34" s="88">
        <v>0.3331039416319419</v>
      </c>
      <c r="F34" s="88">
        <v>0.38978691314914382</v>
      </c>
      <c r="G34" s="88">
        <v>9.3561760513059158E-2</v>
      </c>
      <c r="H34" s="88">
        <v>2.6803800531710484E-2</v>
      </c>
      <c r="I34" s="88">
        <v>1.4006492001276344E-2</v>
      </c>
      <c r="J34" s="88">
        <v>0.81843268544582259</v>
      </c>
      <c r="K34" s="88">
        <v>1.3152329703264609</v>
      </c>
      <c r="L34" s="88">
        <v>0.32094586939583847</v>
      </c>
      <c r="M34" s="88">
        <v>0.80864334573782193</v>
      </c>
      <c r="N34" s="88">
        <v>0.21314410404913903</v>
      </c>
      <c r="O34" s="88">
        <v>0</v>
      </c>
      <c r="P34" s="88">
        <v>0</v>
      </c>
      <c r="Q34" s="88">
        <v>1.5995216817503943</v>
      </c>
    </row>
    <row r="35" spans="1:17" x14ac:dyDescent="0.3">
      <c r="A35" s="88" t="s">
        <v>136</v>
      </c>
      <c r="B35" s="88" t="s">
        <v>124</v>
      </c>
      <c r="C35" s="89">
        <v>22</v>
      </c>
      <c r="D35" s="81" t="s">
        <v>125</v>
      </c>
      <c r="E35" s="88">
        <v>2.8047619047619057E-2</v>
      </c>
      <c r="F35" s="88">
        <v>88.647142857142853</v>
      </c>
      <c r="G35" s="88">
        <v>1.6225238095238093</v>
      </c>
      <c r="H35" s="88">
        <v>2.4369999999999998</v>
      </c>
      <c r="I35" s="88">
        <v>9.8571428571428577E-3</v>
      </c>
      <c r="J35" s="88">
        <v>4.2476190476190487E-2</v>
      </c>
      <c r="K35" s="88">
        <v>0.66466666666666663</v>
      </c>
      <c r="L35" s="88"/>
      <c r="M35" s="88">
        <v>7.1583333333333332E-2</v>
      </c>
      <c r="N35" s="88">
        <v>1.7619047619047621E-3</v>
      </c>
      <c r="O35" s="88">
        <v>2.4171538461538464</v>
      </c>
      <c r="P35" s="88">
        <v>3.3765000000000001</v>
      </c>
      <c r="Q35" s="88">
        <v>99.318713369963362</v>
      </c>
    </row>
    <row r="36" spans="1:17" x14ac:dyDescent="0.3">
      <c r="A36" s="88"/>
      <c r="B36" s="88"/>
      <c r="C36" s="89"/>
      <c r="D36" s="81" t="s">
        <v>126</v>
      </c>
      <c r="E36" s="88">
        <v>1.264308581983126E-2</v>
      </c>
      <c r="F36" s="88">
        <v>1.4501972722948524</v>
      </c>
      <c r="G36" s="88">
        <v>0.4429444230428492</v>
      </c>
      <c r="H36" s="88">
        <v>0.10602452546463009</v>
      </c>
      <c r="I36" s="88">
        <v>1.0706473342262216E-2</v>
      </c>
      <c r="J36" s="88">
        <v>1.2983139249114753E-2</v>
      </c>
      <c r="K36" s="88">
        <v>7.1986109771261644E-2</v>
      </c>
      <c r="L36" s="88"/>
      <c r="M36" s="88">
        <v>2.4574407727380024E-2</v>
      </c>
      <c r="N36" s="88">
        <v>3.7802746183943025E-3</v>
      </c>
      <c r="O36" s="88">
        <v>0.27131588175465421</v>
      </c>
      <c r="P36" s="88">
        <v>0.32416882726663987</v>
      </c>
      <c r="Q36" s="88">
        <v>1.7294954838251049</v>
      </c>
    </row>
    <row r="37" spans="1:17" x14ac:dyDescent="0.3">
      <c r="A37" s="88"/>
      <c r="B37" s="88" t="s">
        <v>133</v>
      </c>
      <c r="C37" s="89">
        <v>14</v>
      </c>
      <c r="D37" s="81" t="s">
        <v>125</v>
      </c>
      <c r="E37" s="88">
        <v>0</v>
      </c>
      <c r="F37" s="88">
        <v>48.352666666666664</v>
      </c>
      <c r="G37" s="88">
        <v>2.8080714285714286</v>
      </c>
      <c r="H37" s="88">
        <v>39.358499999999992</v>
      </c>
      <c r="I37" s="88">
        <v>9.4071428571428584E-2</v>
      </c>
      <c r="J37" s="88">
        <v>7.420285714285713</v>
      </c>
      <c r="K37" s="88">
        <v>0.24271428571428569</v>
      </c>
      <c r="L37" s="88">
        <v>2.0666666666666667E-2</v>
      </c>
      <c r="M37" s="88">
        <v>6.8400000000000002E-2</v>
      </c>
      <c r="N37" s="88">
        <v>7.666666666666668E-3</v>
      </c>
      <c r="O37" s="88">
        <v>0.10983333333333334</v>
      </c>
      <c r="P37" s="88">
        <v>0.10883333333333334</v>
      </c>
      <c r="Q37" s="88">
        <v>98.591709523809527</v>
      </c>
    </row>
    <row r="38" spans="1:17" x14ac:dyDescent="0.3">
      <c r="A38" s="88"/>
      <c r="B38" s="88"/>
      <c r="C38" s="89"/>
      <c r="D38" s="81" t="s">
        <v>126</v>
      </c>
      <c r="E38" s="88">
        <v>4.1773854802435277E-3</v>
      </c>
      <c r="F38" s="88">
        <v>0.33726824141425776</v>
      </c>
      <c r="G38" s="88">
        <v>5.127522161481466E-2</v>
      </c>
      <c r="H38" s="88">
        <v>0.71600362590401201</v>
      </c>
      <c r="I38" s="88">
        <v>2.3450321584523721E-2</v>
      </c>
      <c r="J38" s="88">
        <v>0.14398046265508954</v>
      </c>
      <c r="K38" s="88">
        <v>3.6247824236839039E-2</v>
      </c>
      <c r="L38" s="88">
        <v>1.0793516572461455E-2</v>
      </c>
      <c r="M38" s="88">
        <v>1.8548435094218715E-2</v>
      </c>
      <c r="N38" s="88">
        <v>3.3266599866332352E-3</v>
      </c>
      <c r="O38" s="88">
        <v>4.1673332800085351E-3</v>
      </c>
      <c r="P38" s="88">
        <v>1.6129682782580285E-2</v>
      </c>
      <c r="Q38" s="88">
        <v>1.4798923928804757</v>
      </c>
    </row>
    <row r="39" spans="1:17" x14ac:dyDescent="0.3">
      <c r="A39" s="88"/>
      <c r="B39" s="88" t="s">
        <v>132</v>
      </c>
      <c r="C39" s="89">
        <v>4</v>
      </c>
      <c r="D39" s="81" t="s">
        <v>125</v>
      </c>
      <c r="E39" s="88">
        <v>0.84500000000000008</v>
      </c>
      <c r="F39" s="88">
        <v>16.963250000000002</v>
      </c>
      <c r="G39" s="88">
        <v>60.5</v>
      </c>
      <c r="H39" s="88">
        <v>9.43</v>
      </c>
      <c r="I39" s="88">
        <v>2.6749999999999999E-2</v>
      </c>
      <c r="J39" s="88">
        <v>4.66275</v>
      </c>
      <c r="K39" s="88">
        <v>5.1085000000000003</v>
      </c>
      <c r="L39" s="88">
        <v>0.13650000000000001</v>
      </c>
      <c r="M39" s="88">
        <v>1.9577499999999999</v>
      </c>
      <c r="N39" s="88">
        <v>8.9999999999999993E-3</v>
      </c>
      <c r="O39" s="88">
        <v>4.7E-2</v>
      </c>
      <c r="P39" s="88">
        <v>0.10550000000000001</v>
      </c>
      <c r="Q39" s="88">
        <v>99.792000000000016</v>
      </c>
    </row>
    <row r="40" spans="1:17" x14ac:dyDescent="0.3">
      <c r="A40" s="88"/>
      <c r="B40" s="88"/>
      <c r="C40" s="89"/>
      <c r="D40" s="81" t="s">
        <v>126</v>
      </c>
      <c r="E40" s="88">
        <v>0.43866236066782222</v>
      </c>
      <c r="F40" s="88">
        <v>1.0791278500097514</v>
      </c>
      <c r="G40" s="88">
        <v>1.8620327601844178</v>
      </c>
      <c r="H40" s="88">
        <v>0.34161381705077448</v>
      </c>
      <c r="I40" s="88">
        <v>3.2024730027485529E-2</v>
      </c>
      <c r="J40" s="88">
        <v>0.19286329355271303</v>
      </c>
      <c r="K40" s="88">
        <v>0.33928012025463544</v>
      </c>
      <c r="L40" s="88">
        <v>1.1561430130683083E-2</v>
      </c>
      <c r="M40" s="88">
        <v>0.20627388750558481</v>
      </c>
      <c r="N40" s="88">
        <v>7.1647284200682271E-3</v>
      </c>
      <c r="O40" s="88">
        <v>5.656854249492381E-3</v>
      </c>
      <c r="P40" s="88">
        <v>3.1819805153394574E-2</v>
      </c>
      <c r="Q40" s="88">
        <v>0.11242997820865526</v>
      </c>
    </row>
    <row r="41" spans="1:17" x14ac:dyDescent="0.3">
      <c r="A41" s="88"/>
      <c r="B41" s="88" t="s">
        <v>128</v>
      </c>
      <c r="C41" s="89">
        <v>7</v>
      </c>
      <c r="D41" s="81" t="s">
        <v>125</v>
      </c>
      <c r="E41" s="88">
        <v>0</v>
      </c>
      <c r="F41" s="88">
        <v>1.057142857142857E-2</v>
      </c>
      <c r="G41" s="88">
        <v>9.0333333333333335E-2</v>
      </c>
      <c r="H41" s="88">
        <v>0.75800000000000001</v>
      </c>
      <c r="I41" s="88">
        <v>3.0666666666666665E-2</v>
      </c>
      <c r="J41" s="88">
        <v>0.96957142857142853</v>
      </c>
      <c r="K41" s="88">
        <v>52.701000000000001</v>
      </c>
      <c r="L41" s="88">
        <v>9.3999999999999986E-2</v>
      </c>
      <c r="M41" s="88">
        <v>0.35633333333333334</v>
      </c>
      <c r="N41" s="88">
        <v>8.8142857142857148E-2</v>
      </c>
      <c r="O41" s="88">
        <v>0</v>
      </c>
      <c r="P41" s="88">
        <v>0</v>
      </c>
      <c r="Q41" s="88">
        <v>55.098619047619053</v>
      </c>
    </row>
    <row r="42" spans="1:17" x14ac:dyDescent="0.3">
      <c r="A42" s="88"/>
      <c r="B42" s="88"/>
      <c r="C42" s="89"/>
      <c r="D42" s="81" t="s">
        <v>126</v>
      </c>
      <c r="E42" s="88">
        <v>0</v>
      </c>
      <c r="F42" s="88">
        <v>2.026373725695849E-2</v>
      </c>
      <c r="G42" s="88">
        <v>9.0737717258774688E-3</v>
      </c>
      <c r="H42" s="88">
        <v>7.1255409151399385E-2</v>
      </c>
      <c r="I42" s="88">
        <v>1.274100990241092E-2</v>
      </c>
      <c r="J42" s="88">
        <v>5.7754818393092065E-2</v>
      </c>
      <c r="K42" s="88">
        <v>1.1891656739075507</v>
      </c>
      <c r="L42" s="88">
        <v>1.652271164185843E-2</v>
      </c>
      <c r="M42" s="88">
        <v>4.4970360609331878E-2</v>
      </c>
      <c r="N42" s="88">
        <v>1.2615183595289311E-2</v>
      </c>
      <c r="O42" s="88">
        <v>0</v>
      </c>
      <c r="P42" s="88">
        <v>0</v>
      </c>
      <c r="Q42" s="88">
        <v>1.2227117208814817</v>
      </c>
    </row>
    <row r="43" spans="1:17" x14ac:dyDescent="0.3">
      <c r="A43" s="88"/>
      <c r="B43" s="81" t="s">
        <v>144</v>
      </c>
      <c r="C43" s="89">
        <v>14</v>
      </c>
      <c r="D43" s="81" t="s">
        <v>125</v>
      </c>
      <c r="E43" s="88">
        <v>0.1895</v>
      </c>
      <c r="F43" s="88">
        <v>0.96983333333333333</v>
      </c>
      <c r="G43" s="88">
        <v>0.68189999999999995</v>
      </c>
      <c r="H43" s="88">
        <v>4.3799000000000001</v>
      </c>
      <c r="I43" s="88">
        <v>4.1900000000000007E-2</v>
      </c>
      <c r="J43" s="88">
        <v>5.6861428571428565</v>
      </c>
      <c r="K43" s="88">
        <v>33.240600000000008</v>
      </c>
      <c r="L43" s="88">
        <v>1.2809999999999999</v>
      </c>
      <c r="M43" s="88">
        <v>8.6029999999999998</v>
      </c>
      <c r="N43" s="88">
        <v>2.4016999999999999</v>
      </c>
      <c r="O43" s="88">
        <v>0</v>
      </c>
      <c r="P43" s="88">
        <v>0</v>
      </c>
      <c r="Q43" s="88">
        <v>57.475476190476193</v>
      </c>
    </row>
    <row r="44" spans="1:17" x14ac:dyDescent="0.3">
      <c r="A44" s="88"/>
      <c r="B44" s="88"/>
      <c r="C44" s="88"/>
      <c r="D44" s="81" t="s">
        <v>126</v>
      </c>
      <c r="E44" s="88">
        <v>4.6272484881869677E-2</v>
      </c>
      <c r="F44" s="88">
        <v>0.23461663765953752</v>
      </c>
      <c r="G44" s="88">
        <v>7.3013621255823433E-2</v>
      </c>
      <c r="H44" s="88">
        <v>0.4395746555225607</v>
      </c>
      <c r="I44" s="88">
        <v>1.874655523911883E-2</v>
      </c>
      <c r="J44" s="88">
        <v>0.77032758837172866</v>
      </c>
      <c r="K44" s="88">
        <v>1.4280833464628186</v>
      </c>
      <c r="L44" s="88">
        <v>0.15096546435715533</v>
      </c>
      <c r="M44" s="88">
        <v>0.973449422300812</v>
      </c>
      <c r="N44" s="88">
        <v>0.25249336624949181</v>
      </c>
      <c r="O44" s="88">
        <v>0</v>
      </c>
      <c r="P44" s="88">
        <v>0</v>
      </c>
      <c r="Q44" s="88">
        <v>1.8314132296077847</v>
      </c>
    </row>
    <row r="45" spans="1:17" x14ac:dyDescent="0.3">
      <c r="A45" s="88" t="s">
        <v>137</v>
      </c>
      <c r="B45" s="88" t="s">
        <v>124</v>
      </c>
      <c r="C45" s="89">
        <v>11</v>
      </c>
      <c r="D45" s="88" t="s">
        <v>125</v>
      </c>
      <c r="E45" s="88">
        <v>2.7272727272727271E-2</v>
      </c>
      <c r="F45" s="88">
        <v>90.057909090909092</v>
      </c>
      <c r="G45" s="88">
        <v>2.2907272727272727</v>
      </c>
      <c r="H45" s="88">
        <v>0.44563636363636366</v>
      </c>
      <c r="I45" s="88">
        <v>0</v>
      </c>
      <c r="J45" s="88">
        <v>2.9727272727272734E-2</v>
      </c>
      <c r="K45" s="88">
        <v>0.3</v>
      </c>
      <c r="L45" s="88">
        <v>2.1124999999999998E-2</v>
      </c>
      <c r="M45" s="88">
        <v>9.6363636363636346E-2</v>
      </c>
      <c r="N45" s="88">
        <v>0</v>
      </c>
      <c r="O45" s="88">
        <v>1.6976363636363636</v>
      </c>
      <c r="P45" s="88">
        <v>3.6093636363636361</v>
      </c>
      <c r="Q45" s="88">
        <v>98.57576136363636</v>
      </c>
    </row>
    <row r="46" spans="1:17" x14ac:dyDescent="0.3">
      <c r="A46" s="88"/>
      <c r="B46" s="88"/>
      <c r="C46" s="89"/>
      <c r="D46" s="88" t="s">
        <v>126</v>
      </c>
      <c r="E46" s="88">
        <v>6.6646966786330138E-3</v>
      </c>
      <c r="F46" s="88">
        <v>0.71533774603965095</v>
      </c>
      <c r="G46" s="88">
        <v>2.5507218229712528E-2</v>
      </c>
      <c r="H46" s="88">
        <v>2.5582309228342655E-2</v>
      </c>
      <c r="I46" s="88">
        <v>0</v>
      </c>
      <c r="J46" s="88">
        <v>9.9608323858090073E-3</v>
      </c>
      <c r="K46" s="88">
        <v>7.326322406228114E-2</v>
      </c>
      <c r="L46" s="88">
        <v>1.2744046228953915E-2</v>
      </c>
      <c r="M46" s="88">
        <v>1.9936262073281141E-2</v>
      </c>
      <c r="N46" s="88">
        <v>0</v>
      </c>
      <c r="O46" s="88">
        <v>3.9995681585072967E-2</v>
      </c>
      <c r="P46" s="88">
        <v>0.14114409142948409</v>
      </c>
      <c r="Q46" s="88">
        <v>0.68974839945117261</v>
      </c>
    </row>
    <row r="47" spans="1:17" x14ac:dyDescent="0.3">
      <c r="A47" s="88"/>
      <c r="B47" s="81" t="s">
        <v>144</v>
      </c>
      <c r="C47" s="89">
        <v>18</v>
      </c>
      <c r="D47" s="88" t="s">
        <v>125</v>
      </c>
      <c r="E47" s="88">
        <v>0.16420000000000001</v>
      </c>
      <c r="F47" s="88">
        <v>2.4722</v>
      </c>
      <c r="G47" s="88">
        <v>1.1124000000000001</v>
      </c>
      <c r="H47" s="88">
        <v>2.1993999999999998</v>
      </c>
      <c r="I47" s="88">
        <v>6.7666666666666667E-2</v>
      </c>
      <c r="J47" s="88">
        <v>5.1042000000000005</v>
      </c>
      <c r="K47" s="88">
        <v>37.981399999999994</v>
      </c>
      <c r="L47" s="88">
        <v>0.74119999999999986</v>
      </c>
      <c r="M47" s="88">
        <v>3.4240000000000004</v>
      </c>
      <c r="N47" s="88">
        <v>1.8097999999999999</v>
      </c>
      <c r="O47" s="88">
        <v>0</v>
      </c>
      <c r="P47" s="88">
        <v>0</v>
      </c>
      <c r="Q47" s="88">
        <v>55.099599999999995</v>
      </c>
    </row>
    <row r="48" spans="1:17" x14ac:dyDescent="0.3">
      <c r="A48" s="88"/>
      <c r="B48" s="88"/>
      <c r="C48" s="89"/>
      <c r="D48" s="88" t="s">
        <v>126</v>
      </c>
      <c r="E48" s="88">
        <v>1.8403803954617649E-2</v>
      </c>
      <c r="F48" s="88">
        <v>0.20424054445677531</v>
      </c>
      <c r="G48" s="88">
        <v>0.14578168609259456</v>
      </c>
      <c r="H48" s="88">
        <v>7.3832919487177198E-2</v>
      </c>
      <c r="I48" s="88">
        <v>3.271594921950656E-2</v>
      </c>
      <c r="J48" s="88">
        <v>0.13115334536335707</v>
      </c>
      <c r="K48" s="88">
        <v>0.23260008598450652</v>
      </c>
      <c r="L48" s="88">
        <v>5.3783826565241714E-2</v>
      </c>
      <c r="M48" s="88">
        <v>0.32919523082815155</v>
      </c>
      <c r="N48" s="88">
        <v>0.17490340191088333</v>
      </c>
      <c r="O48" s="88">
        <v>0</v>
      </c>
      <c r="P48" s="88">
        <v>0</v>
      </c>
      <c r="Q48" s="88">
        <v>0.62054073194271397</v>
      </c>
    </row>
    <row r="49" spans="1:17" x14ac:dyDescent="0.3">
      <c r="A49" s="88" t="s">
        <v>138</v>
      </c>
      <c r="B49" s="88" t="s">
        <v>124</v>
      </c>
      <c r="C49" s="89">
        <v>29</v>
      </c>
      <c r="D49" s="88" t="s">
        <v>125</v>
      </c>
      <c r="E49" s="88">
        <v>2.4074074074074085E-2</v>
      </c>
      <c r="F49" s="88">
        <v>93.100749999999991</v>
      </c>
      <c r="G49" s="88">
        <v>2.5195714285714286</v>
      </c>
      <c r="H49" s="88">
        <v>0.5918214285714285</v>
      </c>
      <c r="I49" s="88">
        <v>6.6785714285714295E-3</v>
      </c>
      <c r="J49" s="88">
        <v>3.8321428571428583E-2</v>
      </c>
      <c r="K49" s="88">
        <v>0.2784375</v>
      </c>
      <c r="L49" s="88"/>
      <c r="M49" s="88">
        <v>0.109875</v>
      </c>
      <c r="N49" s="88">
        <v>1.8571428571428571E-3</v>
      </c>
      <c r="O49" s="88">
        <v>1.5815909090909093</v>
      </c>
      <c r="P49" s="88">
        <v>3.0455416666666668</v>
      </c>
      <c r="Q49" s="88">
        <v>101.29851914983163</v>
      </c>
    </row>
    <row r="50" spans="1:17" x14ac:dyDescent="0.3">
      <c r="A50" s="88"/>
      <c r="B50" s="88"/>
      <c r="C50" s="89"/>
      <c r="D50" s="88" t="s">
        <v>126</v>
      </c>
      <c r="E50" s="88">
        <v>7.4468678285464418E-3</v>
      </c>
      <c r="F50" s="88">
        <v>0.84289319322508749</v>
      </c>
      <c r="G50" s="88">
        <v>6.9206309159737939E-2</v>
      </c>
      <c r="H50" s="88">
        <v>3.0279015556467198E-2</v>
      </c>
      <c r="I50" s="88">
        <v>1.1611149084771198E-2</v>
      </c>
      <c r="J50" s="88">
        <v>7.7748577284996786E-3</v>
      </c>
      <c r="K50" s="88">
        <v>5.5807966874512324E-2</v>
      </c>
      <c r="L50" s="88"/>
      <c r="M50" s="88">
        <v>2.310519422121356E-2</v>
      </c>
      <c r="N50" s="88">
        <v>3.6077517952144405E-3</v>
      </c>
      <c r="O50" s="88">
        <v>9.8645425202692053E-2</v>
      </c>
      <c r="P50" s="88">
        <v>0.41675892094639672</v>
      </c>
      <c r="Q50" s="88">
        <v>0.81409869905248078</v>
      </c>
    </row>
    <row r="51" spans="1:17" x14ac:dyDescent="0.3">
      <c r="A51" s="88"/>
      <c r="B51" s="81" t="s">
        <v>144</v>
      </c>
      <c r="C51" s="89">
        <v>30</v>
      </c>
      <c r="D51" s="81" t="s">
        <v>125</v>
      </c>
      <c r="E51" s="88">
        <v>0.13413333333333333</v>
      </c>
      <c r="F51" s="88">
        <v>1.7819333333333334</v>
      </c>
      <c r="G51" s="88">
        <v>1.3116818181818179</v>
      </c>
      <c r="H51" s="88">
        <v>1.8315666666666668</v>
      </c>
      <c r="I51" s="88">
        <v>4.0954545454545459E-2</v>
      </c>
      <c r="J51" s="88">
        <v>6.8374333333333333</v>
      </c>
      <c r="K51" s="88">
        <v>31.975333333333335</v>
      </c>
      <c r="L51" s="88">
        <v>0.54723333333333324</v>
      </c>
      <c r="M51" s="88">
        <v>8.0706000000000007</v>
      </c>
      <c r="N51" s="88">
        <v>1.5801000000000001</v>
      </c>
      <c r="O51" s="88">
        <v>0</v>
      </c>
      <c r="P51" s="88">
        <v>0</v>
      </c>
      <c r="Q51" s="88">
        <v>54.110969696969697</v>
      </c>
    </row>
    <row r="52" spans="1:17" x14ac:dyDescent="0.3">
      <c r="A52" s="88"/>
      <c r="B52" s="88"/>
      <c r="C52" s="88"/>
      <c r="D52" s="81" t="s">
        <v>126</v>
      </c>
      <c r="E52" s="88">
        <v>2.752896071705075E-2</v>
      </c>
      <c r="F52" s="88">
        <v>0.27989615479899826</v>
      </c>
      <c r="G52" s="88">
        <v>0.1699656509734343</v>
      </c>
      <c r="H52" s="88">
        <v>0.23182821870623324</v>
      </c>
      <c r="I52" s="88">
        <v>1.9107408866538486E-2</v>
      </c>
      <c r="J52" s="88">
        <v>0.36813206806828158</v>
      </c>
      <c r="K52" s="88">
        <v>2.7267669289943854</v>
      </c>
      <c r="L52" s="88">
        <v>6.2196952654775331E-2</v>
      </c>
      <c r="M52" s="88">
        <v>1.4148248971710806</v>
      </c>
      <c r="N52" s="88">
        <v>0.22285349292830131</v>
      </c>
      <c r="O52" s="88">
        <v>0</v>
      </c>
      <c r="P52" s="88">
        <v>0</v>
      </c>
      <c r="Q52" s="88">
        <v>1.7409051249344369</v>
      </c>
    </row>
    <row r="53" spans="1:17" x14ac:dyDescent="0.3">
      <c r="A53" s="88" t="s">
        <v>139</v>
      </c>
      <c r="B53" s="88" t="s">
        <v>124</v>
      </c>
      <c r="C53" s="89">
        <v>27</v>
      </c>
      <c r="D53" s="81" t="s">
        <v>125</v>
      </c>
      <c r="E53" s="88">
        <v>2.3148148148148157E-2</v>
      </c>
      <c r="F53" s="88">
        <v>92.161037037037019</v>
      </c>
      <c r="G53" s="88">
        <v>2.3057037037037036</v>
      </c>
      <c r="H53" s="88">
        <v>2.548148148148149E-2</v>
      </c>
      <c r="I53" s="88">
        <v>7.0740740740740738E-3</v>
      </c>
      <c r="J53" s="88">
        <v>4.4740740740740748E-2</v>
      </c>
      <c r="K53" s="88">
        <v>8.2214285714285698E-2</v>
      </c>
      <c r="L53" s="88"/>
      <c r="M53" s="88">
        <v>0.23799999999999999</v>
      </c>
      <c r="N53" s="88">
        <v>2.8190476190476193E-2</v>
      </c>
      <c r="O53" s="88">
        <v>1.6279999999999999</v>
      </c>
      <c r="P53" s="88">
        <v>2.9523703703703696</v>
      </c>
      <c r="Q53" s="88">
        <v>99.495960317460302</v>
      </c>
    </row>
    <row r="54" spans="1:17" x14ac:dyDescent="0.3">
      <c r="A54" s="88"/>
      <c r="B54" s="88"/>
      <c r="C54" s="89"/>
      <c r="D54" s="81" t="s">
        <v>126</v>
      </c>
      <c r="E54" s="88">
        <v>9.3096463772538249E-3</v>
      </c>
      <c r="F54" s="88">
        <v>0.80804457614480452</v>
      </c>
      <c r="G54" s="88">
        <v>5.4807224969267571E-2</v>
      </c>
      <c r="H54" s="88">
        <v>1.1446767667271382E-2</v>
      </c>
      <c r="I54" s="88">
        <v>9.5108275379085939E-3</v>
      </c>
      <c r="J54" s="88">
        <v>1.0350000344082459E-2</v>
      </c>
      <c r="K54" s="88">
        <v>2.7395054498741481E-2</v>
      </c>
      <c r="L54" s="88"/>
      <c r="M54" s="88">
        <v>8.9772861526558639E-2</v>
      </c>
      <c r="N54" s="88">
        <v>1.6145027245622855E-2</v>
      </c>
      <c r="O54" s="88">
        <v>0.12732937300862374</v>
      </c>
      <c r="P54" s="88">
        <v>0.15197422558501569</v>
      </c>
      <c r="Q54" s="88">
        <v>0.67518484543017809</v>
      </c>
    </row>
    <row r="55" spans="1:17" x14ac:dyDescent="0.3">
      <c r="A55" s="88"/>
      <c r="B55" s="81" t="s">
        <v>144</v>
      </c>
      <c r="C55" s="89">
        <v>11</v>
      </c>
      <c r="D55" s="81" t="s">
        <v>125</v>
      </c>
      <c r="E55" s="88">
        <v>0.16390909090909089</v>
      </c>
      <c r="F55" s="88">
        <v>1.9376363636363636</v>
      </c>
      <c r="G55" s="88">
        <v>1.5727999999999998</v>
      </c>
      <c r="H55" s="88">
        <v>0.10945454545454546</v>
      </c>
      <c r="I55" s="88">
        <v>1.6363636363636361E-2</v>
      </c>
      <c r="J55" s="88">
        <v>5.1950909090909088</v>
      </c>
      <c r="K55" s="88">
        <v>37.078272727272726</v>
      </c>
      <c r="L55" s="88">
        <v>0.82555555555555549</v>
      </c>
      <c r="M55" s="88">
        <v>5.0060909090909087</v>
      </c>
      <c r="N55" s="88">
        <v>2.0710909090909091</v>
      </c>
      <c r="O55" s="88">
        <v>0</v>
      </c>
      <c r="P55" s="88">
        <v>0</v>
      </c>
      <c r="Q55" s="88">
        <v>53.976264646464649</v>
      </c>
    </row>
    <row r="56" spans="1:17" x14ac:dyDescent="0.3">
      <c r="A56" s="88"/>
      <c r="B56" s="88"/>
      <c r="C56" s="89"/>
      <c r="D56" s="81" t="s">
        <v>126</v>
      </c>
      <c r="E56" s="88">
        <v>2.4250585747377647E-2</v>
      </c>
      <c r="F56" s="88">
        <v>0.14699066142260381</v>
      </c>
      <c r="G56" s="88">
        <v>0.11788299283611696</v>
      </c>
      <c r="H56" s="88">
        <v>1.7699512063125603E-2</v>
      </c>
      <c r="I56" s="88">
        <v>1.3581404399197661E-2</v>
      </c>
      <c r="J56" s="88">
        <v>0.25409819147150764</v>
      </c>
      <c r="K56" s="88">
        <v>0.70262210197361319</v>
      </c>
      <c r="L56" s="88">
        <v>0.13606626245244549</v>
      </c>
      <c r="M56" s="88">
        <v>0.71312403613192732</v>
      </c>
      <c r="N56" s="88">
        <v>0.26327417440586648</v>
      </c>
      <c r="O56" s="88">
        <v>0</v>
      </c>
      <c r="P56" s="88">
        <v>0</v>
      </c>
      <c r="Q56" s="88">
        <v>0.48040596468933544</v>
      </c>
    </row>
    <row r="57" spans="1:17" x14ac:dyDescent="0.3">
      <c r="A57" s="88" t="s">
        <v>140</v>
      </c>
      <c r="B57" s="88" t="s">
        <v>124</v>
      </c>
      <c r="C57" s="89">
        <v>18</v>
      </c>
      <c r="D57" s="88" t="s">
        <v>125</v>
      </c>
      <c r="E57" s="88">
        <v>2.6062500000000006E-2</v>
      </c>
      <c r="F57" s="88">
        <v>89.764875000000004</v>
      </c>
      <c r="G57" s="88">
        <v>2.7141111111111114</v>
      </c>
      <c r="H57" s="88">
        <v>0.93605555555555553</v>
      </c>
      <c r="I57" s="88">
        <v>1.1555555555555557E-2</v>
      </c>
      <c r="J57" s="88">
        <v>3.3437499999999995E-2</v>
      </c>
      <c r="K57" s="88">
        <v>0.71099999999999997</v>
      </c>
      <c r="L57" s="88"/>
      <c r="M57" s="88">
        <v>0.14324999999999999</v>
      </c>
      <c r="N57" s="88"/>
      <c r="O57" s="88">
        <v>1.8720000000000003</v>
      </c>
      <c r="P57" s="88">
        <v>2.4389444444444441</v>
      </c>
      <c r="Q57" s="88">
        <v>98.651291666666665</v>
      </c>
    </row>
    <row r="58" spans="1:17" x14ac:dyDescent="0.3">
      <c r="A58" s="88"/>
      <c r="B58" s="88"/>
      <c r="C58" s="89"/>
      <c r="D58" s="88" t="s">
        <v>126</v>
      </c>
      <c r="E58" s="88">
        <v>8.9700891857327509E-3</v>
      </c>
      <c r="F58" s="88">
        <v>0.553996244829977</v>
      </c>
      <c r="G58" s="88">
        <v>0.1398385156439968</v>
      </c>
      <c r="H58" s="88">
        <v>2.9900761788883481E-2</v>
      </c>
      <c r="I58" s="88">
        <v>4.6666666666666618E-3</v>
      </c>
      <c r="J58" s="88">
        <v>1.3490583135407219E-2</v>
      </c>
      <c r="K58" s="88">
        <v>0.17536374894613957</v>
      </c>
      <c r="L58" s="88"/>
      <c r="M58" s="88">
        <v>3.412818971661611E-2</v>
      </c>
      <c r="N58" s="88"/>
      <c r="O58" s="88">
        <v>0.13299093290632305</v>
      </c>
      <c r="P58" s="88">
        <v>0.26944572130955574</v>
      </c>
      <c r="Q58" s="88">
        <v>1.5789970313461639</v>
      </c>
    </row>
    <row r="59" spans="1:17" x14ac:dyDescent="0.3">
      <c r="A59" s="88"/>
      <c r="B59" s="88" t="s">
        <v>141</v>
      </c>
      <c r="C59" s="89">
        <v>5</v>
      </c>
      <c r="D59" s="88" t="s">
        <v>125</v>
      </c>
      <c r="E59" s="88">
        <v>40.002600000000001</v>
      </c>
      <c r="F59" s="88">
        <v>2.0068000000000001</v>
      </c>
      <c r="G59" s="88">
        <v>21.736599999999999</v>
      </c>
      <c r="H59" s="88">
        <v>7.9993333333333334</v>
      </c>
      <c r="I59" s="88">
        <v>6.9199999999999998E-2</v>
      </c>
      <c r="J59" s="88">
        <v>7.7186000000000003</v>
      </c>
      <c r="K59" s="88">
        <v>21.167200000000001</v>
      </c>
      <c r="L59" s="88">
        <v>7.3399999999999993E-2</v>
      </c>
      <c r="M59" s="88">
        <v>4.6600000000000003E-2</v>
      </c>
      <c r="N59" s="88">
        <v>0.11533333333333333</v>
      </c>
      <c r="O59" s="88"/>
      <c r="P59" s="88"/>
      <c r="Q59" s="88">
        <v>100.93566666666666</v>
      </c>
    </row>
    <row r="60" spans="1:17" x14ac:dyDescent="0.3">
      <c r="A60" s="88"/>
      <c r="B60" s="88"/>
      <c r="C60" s="89"/>
      <c r="D60" s="88" t="s">
        <v>126</v>
      </c>
      <c r="E60" s="88">
        <v>0.55514979960367361</v>
      </c>
      <c r="F60" s="88">
        <v>0.39727031099743521</v>
      </c>
      <c r="G60" s="88">
        <v>0.46085225398168456</v>
      </c>
      <c r="H60" s="88">
        <v>2.0881978673807025</v>
      </c>
      <c r="I60" s="88">
        <v>1.1924764148611088E-2</v>
      </c>
      <c r="J60" s="88">
        <v>0.1996441834865221</v>
      </c>
      <c r="K60" s="88">
        <v>1.8618535656705115</v>
      </c>
      <c r="L60" s="88">
        <v>1.1148990985734944E-2</v>
      </c>
      <c r="M60" s="88">
        <v>1.2621410380777588E-2</v>
      </c>
      <c r="N60" s="88">
        <v>8.1445278152470768E-3</v>
      </c>
      <c r="O60" s="88"/>
      <c r="P60" s="88"/>
      <c r="Q60" s="88">
        <v>0.63716026241440882</v>
      </c>
    </row>
    <row r="61" spans="1:17" x14ac:dyDescent="0.3">
      <c r="A61" s="88"/>
      <c r="B61" s="88" t="s">
        <v>142</v>
      </c>
      <c r="C61" s="89">
        <v>6</v>
      </c>
      <c r="D61" s="88" t="s">
        <v>125</v>
      </c>
      <c r="E61" s="88"/>
      <c r="F61" s="88"/>
      <c r="G61" s="88">
        <v>2.1333333333333333E-2</v>
      </c>
      <c r="H61" s="88">
        <v>0.15375</v>
      </c>
      <c r="I61" s="88">
        <v>0</v>
      </c>
      <c r="J61" s="88"/>
      <c r="K61" s="88">
        <v>0.23549999999999999</v>
      </c>
      <c r="L61" s="88">
        <v>5.2666666666666667E-2</v>
      </c>
      <c r="M61" s="88">
        <v>51.756333333333323</v>
      </c>
      <c r="N61" s="88">
        <v>8.925000000000001E-2</v>
      </c>
      <c r="O61" s="88">
        <v>0</v>
      </c>
      <c r="P61" s="88">
        <v>0.1145</v>
      </c>
      <c r="Q61" s="88">
        <v>52.423333333333325</v>
      </c>
    </row>
    <row r="62" spans="1:17" x14ac:dyDescent="0.3">
      <c r="A62" s="88"/>
      <c r="B62" s="88"/>
      <c r="C62" s="88"/>
      <c r="D62" s="88" t="s">
        <v>126</v>
      </c>
      <c r="E62" s="88"/>
      <c r="F62" s="88"/>
      <c r="G62" s="88">
        <v>1.0263202878893775E-2</v>
      </c>
      <c r="H62" s="88">
        <v>4.5864837657331126E-2</v>
      </c>
      <c r="I62" s="88">
        <v>0</v>
      </c>
      <c r="J62" s="88"/>
      <c r="K62" s="88">
        <v>4.4547727214752648E-2</v>
      </c>
      <c r="L62" s="88">
        <v>1.3279056191361414E-2</v>
      </c>
      <c r="M62" s="88">
        <v>2.1929374516083833</v>
      </c>
      <c r="N62" s="88">
        <v>1.5564382416273288E-2</v>
      </c>
      <c r="O62" s="88">
        <v>0</v>
      </c>
      <c r="P62" s="88">
        <v>5.4212544673719193E-2</v>
      </c>
      <c r="Q62" s="88">
        <v>3.0314954505436207</v>
      </c>
    </row>
    <row r="63" spans="1:17" x14ac:dyDescent="0.3">
      <c r="A63" s="88"/>
      <c r="B63" s="88" t="s">
        <v>128</v>
      </c>
      <c r="C63" s="89">
        <v>4</v>
      </c>
      <c r="D63" s="88" t="s">
        <v>125</v>
      </c>
      <c r="E63" s="88">
        <v>0</v>
      </c>
      <c r="F63" s="88">
        <v>0.20050000000000001</v>
      </c>
      <c r="G63" s="88">
        <v>0.109</v>
      </c>
      <c r="H63" s="88">
        <v>0.49750000000000005</v>
      </c>
      <c r="I63" s="88">
        <v>1.4499999999999999E-2</v>
      </c>
      <c r="J63" s="88">
        <v>1.4482500000000003</v>
      </c>
      <c r="K63" s="88">
        <v>51.8215</v>
      </c>
      <c r="L63" s="88">
        <v>0.23649999999999999</v>
      </c>
      <c r="M63" s="88">
        <v>1.1875</v>
      </c>
      <c r="N63" s="88">
        <v>0.29825000000000002</v>
      </c>
      <c r="O63" s="88"/>
      <c r="P63" s="88"/>
      <c r="Q63" s="88">
        <v>55.813500000000005</v>
      </c>
    </row>
    <row r="64" spans="1:17" x14ac:dyDescent="0.3">
      <c r="A64" s="88"/>
      <c r="B64" s="88"/>
      <c r="C64" s="88"/>
      <c r="D64" s="88" t="s">
        <v>126</v>
      </c>
      <c r="E64" s="88">
        <v>0</v>
      </c>
      <c r="F64" s="88">
        <v>6.576093065034877E-2</v>
      </c>
      <c r="G64" s="88">
        <v>1.9270011243726272E-2</v>
      </c>
      <c r="H64" s="88">
        <v>3.6226141573915016E-2</v>
      </c>
      <c r="I64" s="88">
        <v>6.3639610306789329E-3</v>
      </c>
      <c r="J64" s="88">
        <v>3.2735047477181596E-2</v>
      </c>
      <c r="K64" s="88">
        <v>0.58062064494240373</v>
      </c>
      <c r="L64" s="88">
        <v>2.0506096654409878E-2</v>
      </c>
      <c r="M64" s="88">
        <v>0.35332940249385802</v>
      </c>
      <c r="N64" s="88">
        <v>3.7052890125692621E-2</v>
      </c>
      <c r="O64" s="88"/>
      <c r="P64" s="88"/>
      <c r="Q64" s="88">
        <v>1.0679682813641993</v>
      </c>
    </row>
    <row r="65" spans="1:17" x14ac:dyDescent="0.3">
      <c r="A65" s="88"/>
      <c r="B65" s="81" t="s">
        <v>144</v>
      </c>
      <c r="C65" s="89">
        <v>22</v>
      </c>
      <c r="D65" s="88" t="s">
        <v>125</v>
      </c>
      <c r="E65" s="88">
        <v>0.12604545454545457</v>
      </c>
      <c r="F65" s="88">
        <v>0.97318181818181804</v>
      </c>
      <c r="G65" s="88">
        <v>0.59699999999999998</v>
      </c>
      <c r="H65" s="88">
        <v>1.5975000000000001</v>
      </c>
      <c r="I65" s="88">
        <v>1.9562500000000003E-2</v>
      </c>
      <c r="J65" s="88">
        <v>5.1394999999999991</v>
      </c>
      <c r="K65" s="88">
        <v>37.147545454545501</v>
      </c>
      <c r="L65" s="88">
        <v>1.1895</v>
      </c>
      <c r="M65" s="88">
        <v>6.576090909090909</v>
      </c>
      <c r="N65" s="88">
        <v>2.0757727272727275</v>
      </c>
      <c r="O65" s="88"/>
      <c r="P65" s="88"/>
      <c r="Q65" s="88">
        <v>55.441698863636361</v>
      </c>
    </row>
    <row r="66" spans="1:17" ht="14.5" thickBot="1" x14ac:dyDescent="0.35">
      <c r="A66" s="85"/>
      <c r="B66" s="85"/>
      <c r="C66" s="85"/>
      <c r="D66" s="90" t="s">
        <v>126</v>
      </c>
      <c r="E66" s="90">
        <v>2.5185931962727958E-2</v>
      </c>
      <c r="F66" s="90">
        <v>0.14081147016443804</v>
      </c>
      <c r="G66" s="90">
        <v>4.2029468120310443E-2</v>
      </c>
      <c r="H66" s="90">
        <v>5.8975176375924705E-2</v>
      </c>
      <c r="I66" s="90">
        <v>1.0347101043287432E-2</v>
      </c>
      <c r="J66" s="90">
        <v>0.13343082745110191</v>
      </c>
      <c r="K66" s="90">
        <v>0.52199313325831331</v>
      </c>
      <c r="L66" s="90">
        <v>0.11497111438468859</v>
      </c>
      <c r="M66" s="90">
        <v>0.49774471455335501</v>
      </c>
      <c r="N66" s="90">
        <v>0.21147034731188147</v>
      </c>
      <c r="O66" s="90"/>
      <c r="P66" s="90"/>
      <c r="Q66" s="90">
        <v>0.45186876997794978</v>
      </c>
    </row>
    <row r="67" spans="1:17" ht="14.5" thickTop="1" x14ac:dyDescent="0.3">
      <c r="A67" s="117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7"/>
  <sheetViews>
    <sheetView workbookViewId="0">
      <selection activeCell="G10" sqref="G10"/>
    </sheetView>
  </sheetViews>
  <sheetFormatPr defaultRowHeight="14" x14ac:dyDescent="0.3"/>
  <sheetData>
    <row r="1" spans="1:18" ht="14.5" thickBot="1" x14ac:dyDescent="0.35">
      <c r="A1" s="96" t="s">
        <v>160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4.5" thickBot="1" x14ac:dyDescent="0.35">
      <c r="A2" s="102" t="s">
        <v>108</v>
      </c>
      <c r="B2" s="101" t="s">
        <v>167</v>
      </c>
      <c r="C2" s="101"/>
      <c r="D2" s="101"/>
      <c r="E2" s="101"/>
      <c r="F2" s="79"/>
      <c r="G2" s="101" t="s">
        <v>144</v>
      </c>
      <c r="H2" s="101"/>
      <c r="I2" s="101"/>
      <c r="J2" s="101"/>
      <c r="K2" s="91"/>
      <c r="L2" s="101" t="s">
        <v>145</v>
      </c>
      <c r="M2" s="101"/>
      <c r="N2" s="101"/>
      <c r="O2" s="101"/>
      <c r="P2" s="101"/>
      <c r="Q2" s="101"/>
      <c r="R2" s="22"/>
    </row>
    <row r="3" spans="1:18" ht="17.5" thickBot="1" x14ac:dyDescent="0.5">
      <c r="A3" s="103"/>
      <c r="B3" s="101" t="s">
        <v>73</v>
      </c>
      <c r="C3" s="101"/>
      <c r="D3" s="101" t="s">
        <v>12</v>
      </c>
      <c r="E3" s="101"/>
      <c r="F3" s="81"/>
      <c r="G3" s="101" t="s">
        <v>73</v>
      </c>
      <c r="H3" s="101"/>
      <c r="I3" s="101" t="s">
        <v>12</v>
      </c>
      <c r="J3" s="101"/>
      <c r="K3" s="22"/>
      <c r="L3" s="101" t="s">
        <v>146</v>
      </c>
      <c r="M3" s="101"/>
      <c r="N3" s="101" t="s">
        <v>147</v>
      </c>
      <c r="O3" s="101"/>
      <c r="P3" s="101" t="s">
        <v>148</v>
      </c>
      <c r="Q3" s="101"/>
      <c r="R3" s="22"/>
    </row>
    <row r="4" spans="1:18" x14ac:dyDescent="0.3">
      <c r="A4" s="92"/>
      <c r="B4" s="95" t="s">
        <v>125</v>
      </c>
      <c r="C4" s="95" t="s">
        <v>126</v>
      </c>
      <c r="D4" s="95" t="s">
        <v>125</v>
      </c>
      <c r="E4" s="95" t="s">
        <v>126</v>
      </c>
      <c r="F4" s="81"/>
      <c r="G4" s="95" t="s">
        <v>125</v>
      </c>
      <c r="H4" s="95" t="s">
        <v>126</v>
      </c>
      <c r="I4" s="95" t="s">
        <v>125</v>
      </c>
      <c r="J4" s="95" t="s">
        <v>126</v>
      </c>
      <c r="K4" s="81"/>
      <c r="L4" s="95" t="s">
        <v>125</v>
      </c>
      <c r="M4" s="95" t="s">
        <v>126</v>
      </c>
      <c r="N4" s="95" t="s">
        <v>125</v>
      </c>
      <c r="O4" s="95" t="s">
        <v>126</v>
      </c>
      <c r="P4" s="95" t="s">
        <v>125</v>
      </c>
      <c r="Q4" s="95" t="s">
        <v>126</v>
      </c>
      <c r="R4" s="22"/>
    </row>
    <row r="5" spans="1:18" ht="16" x14ac:dyDescent="0.3">
      <c r="A5" s="81" t="s">
        <v>149</v>
      </c>
      <c r="B5" s="93">
        <v>11223.076988396651</v>
      </c>
      <c r="C5" s="93">
        <v>2319.0826384438333</v>
      </c>
      <c r="D5" s="93">
        <v>13589.413441955199</v>
      </c>
      <c r="E5" s="93">
        <v>3441.6985478813513</v>
      </c>
      <c r="F5" s="83"/>
      <c r="G5" s="93">
        <v>141.43921592457994</v>
      </c>
      <c r="H5" s="93">
        <v>11.085847253770659</v>
      </c>
      <c r="I5" s="93">
        <v>34.558894480127073</v>
      </c>
      <c r="J5" s="93">
        <v>2.5877289936776808</v>
      </c>
      <c r="K5" s="83"/>
      <c r="L5" s="93">
        <v>79.349117675971613</v>
      </c>
      <c r="M5" s="93">
        <v>17.536217877979276</v>
      </c>
      <c r="N5" s="93">
        <v>393.22477314110051</v>
      </c>
      <c r="O5" s="93">
        <v>103.85087330702882</v>
      </c>
      <c r="P5" s="82">
        <v>0.20179073928157337</v>
      </c>
      <c r="Q5" s="82">
        <v>6.9490602575455584E-2</v>
      </c>
      <c r="R5" s="22"/>
    </row>
    <row r="6" spans="1:18" ht="16" x14ac:dyDescent="0.3">
      <c r="A6" s="81" t="s">
        <v>150</v>
      </c>
      <c r="B6" s="93">
        <v>9103.8581505586717</v>
      </c>
      <c r="C6" s="93">
        <v>1385.1040233913081</v>
      </c>
      <c r="D6" s="93">
        <v>12510.180329260016</v>
      </c>
      <c r="E6" s="93">
        <v>1958.7352548462475</v>
      </c>
      <c r="F6" s="93"/>
      <c r="G6" s="93">
        <v>332.65266930529464</v>
      </c>
      <c r="H6" s="93">
        <v>12.634105813970605</v>
      </c>
      <c r="I6" s="93">
        <v>127.78713484813758</v>
      </c>
      <c r="J6" s="93">
        <v>14.185979264822992</v>
      </c>
      <c r="K6" s="83"/>
      <c r="L6" s="93">
        <v>27.367458585469919</v>
      </c>
      <c r="M6" s="93">
        <v>4.2915882932943994</v>
      </c>
      <c r="N6" s="93">
        <v>97.898590058593399</v>
      </c>
      <c r="O6" s="93">
        <v>18.789992883114159</v>
      </c>
      <c r="P6" s="82">
        <v>0.27954905754097364</v>
      </c>
      <c r="Q6" s="82">
        <v>6.9285801001975136E-2</v>
      </c>
      <c r="R6" s="22"/>
    </row>
    <row r="7" spans="1:18" ht="16" x14ac:dyDescent="0.3">
      <c r="A7" s="81" t="s">
        <v>151</v>
      </c>
      <c r="B7" s="93">
        <v>18067.318182738974</v>
      </c>
      <c r="C7" s="93">
        <v>380.50288690419467</v>
      </c>
      <c r="D7" s="93">
        <v>51335.786202934869</v>
      </c>
      <c r="E7" s="93">
        <v>3318.3735020042423</v>
      </c>
      <c r="F7" s="93"/>
      <c r="G7" s="93">
        <v>495.67446884119107</v>
      </c>
      <c r="H7" s="93">
        <v>5.2071296602186301</v>
      </c>
      <c r="I7" s="93">
        <v>296.12832218149742</v>
      </c>
      <c r="J7" s="93">
        <v>5.1092265385220079</v>
      </c>
      <c r="K7" s="83"/>
      <c r="L7" s="93">
        <v>36.449967304100859</v>
      </c>
      <c r="M7" s="93">
        <v>0.8578479544158697</v>
      </c>
      <c r="N7" s="93">
        <v>173.35655645754511</v>
      </c>
      <c r="O7" s="93">
        <v>11.598164311417278</v>
      </c>
      <c r="P7" s="82">
        <v>0.21026010235169518</v>
      </c>
      <c r="Q7" s="82">
        <v>1.4912133498913875E-2</v>
      </c>
      <c r="R7" s="22"/>
    </row>
    <row r="8" spans="1:18" x14ac:dyDescent="0.3">
      <c r="A8" s="81" t="s">
        <v>152</v>
      </c>
      <c r="B8" s="93">
        <v>7201.7889658026415</v>
      </c>
      <c r="C8" s="93">
        <v>348.69173822245966</v>
      </c>
      <c r="D8" s="93">
        <v>14127.121520706043</v>
      </c>
      <c r="E8" s="93">
        <v>6374.2277609346702</v>
      </c>
      <c r="F8" s="93"/>
      <c r="G8" s="93">
        <v>423.77026758345619</v>
      </c>
      <c r="H8" s="93">
        <v>5.0883580800473487</v>
      </c>
      <c r="I8" s="93">
        <v>363.87725923599345</v>
      </c>
      <c r="J8" s="93">
        <v>8.3826113622514633</v>
      </c>
      <c r="K8" s="83"/>
      <c r="L8" s="93">
        <v>16.994559356112308</v>
      </c>
      <c r="M8" s="93">
        <v>0.84775753474148197</v>
      </c>
      <c r="N8" s="93">
        <v>38.823864811908635</v>
      </c>
      <c r="O8" s="93">
        <v>17.540338761339903</v>
      </c>
      <c r="P8" s="82">
        <v>0.43773486844873527</v>
      </c>
      <c r="Q8" s="82">
        <v>0.19896726189710676</v>
      </c>
      <c r="R8" s="22"/>
    </row>
    <row r="9" spans="1:18" ht="16" x14ac:dyDescent="0.3">
      <c r="A9" s="81" t="s">
        <v>153</v>
      </c>
      <c r="B9" s="93">
        <v>16896.706525482343</v>
      </c>
      <c r="C9" s="93">
        <v>1896.5879383331064</v>
      </c>
      <c r="D9" s="93">
        <v>27652.304820095047</v>
      </c>
      <c r="E9" s="93">
        <v>2654.8245889974419</v>
      </c>
      <c r="F9" s="93"/>
      <c r="G9" s="93">
        <v>295.68849226399419</v>
      </c>
      <c r="H9" s="93">
        <v>10.531807447379629</v>
      </c>
      <c r="I9" s="93">
        <v>98.380505539092837</v>
      </c>
      <c r="J9" s="93">
        <v>3.3152447074270626</v>
      </c>
      <c r="K9" s="83"/>
      <c r="L9" s="93">
        <v>57.143605407533961</v>
      </c>
      <c r="M9" s="93">
        <v>6.7293245399646384</v>
      </c>
      <c r="N9" s="93">
        <v>281.07504295255961</v>
      </c>
      <c r="O9" s="93">
        <v>28.599271191612903</v>
      </c>
      <c r="P9" s="82">
        <v>0.2033037327230037</v>
      </c>
      <c r="Q9" s="82">
        <v>3.1640216093828895E-2</v>
      </c>
      <c r="R9" s="22"/>
    </row>
    <row r="10" spans="1:18" ht="16" x14ac:dyDescent="0.3">
      <c r="A10" s="81" t="s">
        <v>154</v>
      </c>
      <c r="B10" s="93">
        <v>11867.04084599047</v>
      </c>
      <c r="C10" s="93">
        <v>279.58307043837357</v>
      </c>
      <c r="D10" s="93">
        <v>29559.373161348722</v>
      </c>
      <c r="E10" s="93">
        <v>1155.9186849588207</v>
      </c>
      <c r="F10" s="93"/>
      <c r="G10" s="93">
        <v>425.22258917851508</v>
      </c>
      <c r="H10" s="93">
        <v>4.5582751210139021</v>
      </c>
      <c r="I10" s="93">
        <v>240.91823556445146</v>
      </c>
      <c r="J10" s="93">
        <v>3.1297165686191217</v>
      </c>
      <c r="K10" s="83"/>
      <c r="L10" s="93">
        <v>27.907832622242232</v>
      </c>
      <c r="M10" s="93">
        <v>0.72235956186250982</v>
      </c>
      <c r="N10" s="93">
        <v>122.69462746185883</v>
      </c>
      <c r="O10" s="93">
        <v>5.0557926986815627</v>
      </c>
      <c r="P10" s="82">
        <v>0.22745765808627386</v>
      </c>
      <c r="Q10" s="82">
        <v>1.1068400867940894E-2</v>
      </c>
      <c r="R10" s="22"/>
    </row>
    <row r="11" spans="1:18" ht="16" x14ac:dyDescent="0.3">
      <c r="A11" s="81" t="s">
        <v>155</v>
      </c>
      <c r="B11" s="93">
        <v>11055.844656641279</v>
      </c>
      <c r="C11" s="93">
        <v>689.56421718190472</v>
      </c>
      <c r="D11" s="93">
        <v>24941.876650071663</v>
      </c>
      <c r="E11" s="93">
        <v>3413.1037223467065</v>
      </c>
      <c r="F11" s="93"/>
      <c r="G11" s="93">
        <v>342.15249451643496</v>
      </c>
      <c r="H11" s="93">
        <v>2.4248346723860603</v>
      </c>
      <c r="I11" s="93">
        <v>192.70895422796369</v>
      </c>
      <c r="J11" s="93">
        <v>1.9600635334909</v>
      </c>
      <c r="K11" s="83"/>
      <c r="L11" s="93">
        <v>32.312623271288828</v>
      </c>
      <c r="M11" s="93">
        <v>2.0283394907163608</v>
      </c>
      <c r="N11" s="93">
        <v>129.42769966239788</v>
      </c>
      <c r="O11" s="93">
        <v>17.760039524347214</v>
      </c>
      <c r="P11" s="82">
        <v>0.24965771125944292</v>
      </c>
      <c r="Q11" s="82">
        <v>3.7672376362757609E-2</v>
      </c>
      <c r="R11" s="22"/>
    </row>
    <row r="12" spans="1:18" ht="16" x14ac:dyDescent="0.3">
      <c r="A12" s="88" t="s">
        <v>156</v>
      </c>
      <c r="B12" s="93">
        <v>11380.259583913321</v>
      </c>
      <c r="C12" s="93">
        <v>890.07451934586265</v>
      </c>
      <c r="D12" s="93">
        <v>24178.837679045864</v>
      </c>
      <c r="E12" s="93">
        <v>1244.6135378867884</v>
      </c>
      <c r="F12" s="93"/>
      <c r="G12" s="93">
        <v>367.06278658191923</v>
      </c>
      <c r="H12" s="93">
        <v>8.9621007950025202</v>
      </c>
      <c r="I12" s="93">
        <v>207.73340314223617</v>
      </c>
      <c r="J12" s="93">
        <v>2.574729627650548</v>
      </c>
      <c r="K12" s="83"/>
      <c r="L12" s="93">
        <v>31.003577589234947</v>
      </c>
      <c r="M12" s="93">
        <v>2.5402635020762836</v>
      </c>
      <c r="N12" s="93">
        <v>116.39359541272466</v>
      </c>
      <c r="O12" s="93">
        <v>6.1626315932252114</v>
      </c>
      <c r="P12" s="82">
        <v>0.2663684155412343</v>
      </c>
      <c r="Q12" s="82">
        <v>2.5985050641429652E-2</v>
      </c>
      <c r="R12" s="22"/>
    </row>
    <row r="13" spans="1:18" ht="16.5" thickBot="1" x14ac:dyDescent="0.35">
      <c r="A13" s="85" t="s">
        <v>157</v>
      </c>
      <c r="B13" s="94">
        <v>13085.900455212372</v>
      </c>
      <c r="C13" s="94">
        <v>929.65069949677923</v>
      </c>
      <c r="D13" s="94">
        <v>19974.066405169593</v>
      </c>
      <c r="E13" s="94">
        <v>2206.6622887967465</v>
      </c>
      <c r="F13" s="94"/>
      <c r="G13" s="94">
        <v>192.2514493369066</v>
      </c>
      <c r="H13" s="94">
        <v>2.6619084084629816</v>
      </c>
      <c r="I13" s="94">
        <v>72.227205788440344</v>
      </c>
      <c r="J13" s="94">
        <v>0.81320172575484662</v>
      </c>
      <c r="K13" s="83"/>
      <c r="L13" s="94">
        <v>68.066589356526976</v>
      </c>
      <c r="M13" s="94">
        <v>4.9265825215839154</v>
      </c>
      <c r="N13" s="94">
        <v>276.54491388847771</v>
      </c>
      <c r="O13" s="94">
        <v>30.70992527179666</v>
      </c>
      <c r="P13" s="90">
        <v>0.24613213238836204</v>
      </c>
      <c r="Q13" s="90">
        <v>3.2625732411185278E-2</v>
      </c>
      <c r="R13" s="22"/>
    </row>
    <row r="14" spans="1:18" ht="16.5" thickTop="1" x14ac:dyDescent="0.3">
      <c r="A14" s="24" t="s">
        <v>158</v>
      </c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8"/>
      <c r="Q14" s="88"/>
      <c r="R14" s="22"/>
    </row>
    <row r="15" spans="1:18" ht="16" x14ac:dyDescent="0.3">
      <c r="A15" s="24" t="s">
        <v>159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 spans="1:18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</row>
    <row r="17" spans="1:18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</row>
  </sheetData>
  <mergeCells count="11">
    <mergeCell ref="P3:Q3"/>
    <mergeCell ref="A2:A3"/>
    <mergeCell ref="B2:E2"/>
    <mergeCell ref="G2:J2"/>
    <mergeCell ref="L2:Q2"/>
    <mergeCell ref="B3:C3"/>
    <mergeCell ref="D3:E3"/>
    <mergeCell ref="G3:H3"/>
    <mergeCell ref="I3:J3"/>
    <mergeCell ref="L3:M3"/>
    <mergeCell ref="N3:O3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R67"/>
  <sheetViews>
    <sheetView topLeftCell="A10" zoomScale="85" zoomScaleNormal="85" workbookViewId="0">
      <selection activeCell="H6" sqref="H6"/>
    </sheetView>
  </sheetViews>
  <sheetFormatPr defaultRowHeight="14" x14ac:dyDescent="0.3"/>
  <cols>
    <col min="3" max="3" width="16.25" customWidth="1"/>
    <col min="8" max="8" width="28.1640625" customWidth="1"/>
    <col min="12" max="12" width="13.75" customWidth="1"/>
    <col min="13" max="13" width="13.25" customWidth="1"/>
    <col min="14" max="14" width="13.1640625" customWidth="1"/>
    <col min="15" max="15" width="17.08203125" customWidth="1"/>
  </cols>
  <sheetData>
    <row r="1" spans="2:16" x14ac:dyDescent="0.3">
      <c r="B1" s="23" t="s">
        <v>166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16" ht="14.5" thickBot="1" x14ac:dyDescent="0.35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2:16" ht="15.5" x14ac:dyDescent="0.3">
      <c r="B3" s="1"/>
      <c r="C3" s="2"/>
      <c r="D3" s="104" t="s">
        <v>11</v>
      </c>
      <c r="E3" s="105"/>
      <c r="F3" s="105"/>
      <c r="G3" s="106"/>
      <c r="H3" s="3" t="s">
        <v>0</v>
      </c>
      <c r="I3" s="4"/>
      <c r="J3" s="5" t="s">
        <v>13</v>
      </c>
      <c r="K3" s="5"/>
      <c r="L3" s="5"/>
      <c r="M3" s="5"/>
      <c r="N3" s="5"/>
      <c r="O3" s="5"/>
      <c r="P3" s="22"/>
    </row>
    <row r="4" spans="2:16" ht="28" x14ac:dyDescent="0.3">
      <c r="B4" s="10"/>
      <c r="C4" s="10" t="s">
        <v>1</v>
      </c>
      <c r="D4" s="8" t="s">
        <v>2</v>
      </c>
      <c r="E4" s="9" t="s">
        <v>56</v>
      </c>
      <c r="F4" s="9" t="s">
        <v>58</v>
      </c>
      <c r="G4" s="9" t="s">
        <v>59</v>
      </c>
      <c r="H4" s="8" t="s">
        <v>17</v>
      </c>
      <c r="I4" s="8" t="s">
        <v>3</v>
      </c>
      <c r="J4" s="6" t="s">
        <v>4</v>
      </c>
      <c r="K4" s="6" t="s">
        <v>5</v>
      </c>
      <c r="L4" s="6" t="s">
        <v>6</v>
      </c>
      <c r="M4" s="10" t="s">
        <v>7</v>
      </c>
      <c r="N4" s="10" t="s">
        <v>8</v>
      </c>
      <c r="O4" s="6" t="s">
        <v>9</v>
      </c>
      <c r="P4" s="22"/>
    </row>
    <row r="5" spans="2:16" x14ac:dyDescent="0.3">
      <c r="B5" s="11" t="s">
        <v>10</v>
      </c>
      <c r="C5" s="11">
        <v>1.95</v>
      </c>
      <c r="D5" s="12">
        <v>6.0000000000000001E-3</v>
      </c>
      <c r="E5" s="13">
        <v>1.8251700497679098E-2</v>
      </c>
      <c r="F5" s="13">
        <v>0</v>
      </c>
      <c r="G5" s="14">
        <v>40</v>
      </c>
      <c r="H5" s="15">
        <v>0.20982626795817247</v>
      </c>
      <c r="I5" s="13">
        <v>0.01</v>
      </c>
      <c r="J5" s="16">
        <f t="shared" ref="J5:J14" si="0">C$5/(I5+H$5*(1-I5))</f>
        <v>8.9561285306633174</v>
      </c>
      <c r="K5" s="16">
        <f t="shared" ref="K5:K14" si="1">C$6/(I5+H$6*(1-I5))</f>
        <v>0.12849832454020721</v>
      </c>
      <c r="L5" s="16">
        <f t="shared" ref="L5:L14" si="2">J5/K5</f>
        <v>69.698407062583442</v>
      </c>
      <c r="M5" s="17">
        <f t="shared" ref="M5:M14" si="3">C$19-J5*I5</f>
        <v>1.8604387146933667</v>
      </c>
      <c r="N5" s="17">
        <f t="shared" ref="N5:N14" si="4">C$20-K5*I5</f>
        <v>0.12271501675459792</v>
      </c>
      <c r="O5" s="18">
        <f t="shared" ref="O5:O14" si="5">M5/N5</f>
        <v>15.160644262582959</v>
      </c>
      <c r="P5" s="22"/>
    </row>
    <row r="6" spans="2:16" x14ac:dyDescent="0.3">
      <c r="B6" s="13" t="s">
        <v>12</v>
      </c>
      <c r="C6" s="11">
        <v>0.124</v>
      </c>
      <c r="D6" s="13">
        <v>7.0000000000000007E-2</v>
      </c>
      <c r="E6" s="13">
        <v>8.0695641696411399E-2</v>
      </c>
      <c r="F6" s="13">
        <v>0</v>
      </c>
      <c r="G6" s="14">
        <v>180</v>
      </c>
      <c r="H6" s="15">
        <v>0.96463952212541315</v>
      </c>
      <c r="I6" s="13">
        <v>0.02</v>
      </c>
      <c r="J6" s="16">
        <f t="shared" si="0"/>
        <v>8.642477616373279</v>
      </c>
      <c r="K6" s="16">
        <f t="shared" si="1"/>
        <v>0.12845125583408643</v>
      </c>
      <c r="L6" s="16">
        <f t="shared" si="2"/>
        <v>67.282157424262962</v>
      </c>
      <c r="M6" s="17">
        <f t="shared" si="3"/>
        <v>1.7771504476725344</v>
      </c>
      <c r="N6" s="17">
        <f t="shared" si="4"/>
        <v>0.12143097488331828</v>
      </c>
      <c r="O6" s="18">
        <f t="shared" si="5"/>
        <v>14.635066953717363</v>
      </c>
      <c r="P6" s="22"/>
    </row>
    <row r="7" spans="2:16" x14ac:dyDescent="0.3">
      <c r="B7" s="20"/>
      <c r="C7" s="20"/>
      <c r="D7" s="20"/>
      <c r="E7" s="20"/>
      <c r="F7" s="20"/>
      <c r="G7" s="20"/>
      <c r="H7" s="20"/>
      <c r="I7" s="13">
        <v>0.03</v>
      </c>
      <c r="J7" s="16">
        <f t="shared" si="0"/>
        <v>8.3500519958713326</v>
      </c>
      <c r="K7" s="16">
        <f t="shared" si="1"/>
        <v>0.12840422159770493</v>
      </c>
      <c r="L7" s="16">
        <f t="shared" si="2"/>
        <v>65.029419531332451</v>
      </c>
      <c r="M7" s="17">
        <f t="shared" si="3"/>
        <v>1.69949844012386</v>
      </c>
      <c r="N7" s="17">
        <f t="shared" si="4"/>
        <v>0.12014787335206885</v>
      </c>
      <c r="O7" s="18">
        <f t="shared" si="5"/>
        <v>14.145056360205613</v>
      </c>
      <c r="P7" s="22"/>
    </row>
    <row r="8" spans="2:16" x14ac:dyDescent="0.3">
      <c r="B8" s="20"/>
      <c r="C8" s="20"/>
      <c r="D8" s="20"/>
      <c r="E8" s="20"/>
      <c r="F8" s="20"/>
      <c r="G8" s="20"/>
      <c r="H8" s="20"/>
      <c r="I8" s="13">
        <v>0.04</v>
      </c>
      <c r="J8" s="16">
        <f t="shared" si="0"/>
        <v>8.0767676556404542</v>
      </c>
      <c r="K8" s="16">
        <f t="shared" si="1"/>
        <v>0.1283572217932118</v>
      </c>
      <c r="L8" s="16">
        <f t="shared" si="2"/>
        <v>62.924138921084037</v>
      </c>
      <c r="M8" s="17">
        <f t="shared" si="3"/>
        <v>1.6269292937743818</v>
      </c>
      <c r="N8" s="17">
        <f t="shared" si="4"/>
        <v>0.11886571112827153</v>
      </c>
      <c r="O8" s="18">
        <f t="shared" si="5"/>
        <v>13.687120350617462</v>
      </c>
      <c r="P8" s="22"/>
    </row>
    <row r="9" spans="2:16" x14ac:dyDescent="0.3">
      <c r="B9" s="20"/>
      <c r="C9" s="20"/>
      <c r="D9" s="20"/>
      <c r="E9" s="20"/>
      <c r="F9" s="20"/>
      <c r="G9" s="20"/>
      <c r="H9" s="20"/>
      <c r="I9" s="13">
        <v>0.05</v>
      </c>
      <c r="J9" s="16">
        <f t="shared" si="0"/>
        <v>7.8208047621685886</v>
      </c>
      <c r="K9" s="16">
        <f t="shared" si="1"/>
        <v>0.12831025638281163</v>
      </c>
      <c r="L9" s="16">
        <f t="shared" si="2"/>
        <v>60.952296275017495</v>
      </c>
      <c r="M9" s="17">
        <f t="shared" si="3"/>
        <v>1.5589597618915705</v>
      </c>
      <c r="N9" s="17">
        <f t="shared" si="4"/>
        <v>0.11758448718085941</v>
      </c>
      <c r="O9" s="18">
        <f t="shared" si="5"/>
        <v>13.25820947361618</v>
      </c>
      <c r="P9" s="22"/>
    </row>
    <row r="10" spans="2:16" x14ac:dyDescent="0.3">
      <c r="B10" s="20"/>
      <c r="C10" s="20"/>
      <c r="D10" s="20"/>
      <c r="E10" s="20"/>
      <c r="F10" s="20"/>
      <c r="G10" s="20"/>
      <c r="H10" s="20"/>
      <c r="I10" s="13">
        <v>0.06</v>
      </c>
      <c r="J10" s="16">
        <f t="shared" si="0"/>
        <v>7.5805670868466049</v>
      </c>
      <c r="K10" s="16">
        <f t="shared" si="1"/>
        <v>0.12826332532876417</v>
      </c>
      <c r="L10" s="16">
        <f t="shared" si="2"/>
        <v>59.101594843390487</v>
      </c>
      <c r="M10" s="17">
        <f t="shared" si="3"/>
        <v>1.4951659747892037</v>
      </c>
      <c r="N10" s="17">
        <f t="shared" si="4"/>
        <v>0.11630420048027415</v>
      </c>
      <c r="O10" s="18">
        <f t="shared" si="5"/>
        <v>12.855648967233924</v>
      </c>
      <c r="P10" s="22"/>
    </row>
    <row r="11" spans="2:16" x14ac:dyDescent="0.3">
      <c r="B11" s="20"/>
      <c r="C11" s="20"/>
      <c r="D11" s="20"/>
      <c r="E11" s="20"/>
      <c r="F11" s="20"/>
      <c r="G11" s="20"/>
      <c r="H11" s="20"/>
      <c r="I11" s="13">
        <v>7.0000000000000007E-2</v>
      </c>
      <c r="J11" s="16">
        <f t="shared" si="0"/>
        <v>7.3546486862565557</v>
      </c>
      <c r="K11" s="16">
        <f t="shared" si="1"/>
        <v>0.12821642859338447</v>
      </c>
      <c r="L11" s="16">
        <f t="shared" si="2"/>
        <v>57.361203762588893</v>
      </c>
      <c r="M11" s="17">
        <f t="shared" si="3"/>
        <v>1.4351745919620411</v>
      </c>
      <c r="N11" s="17">
        <f t="shared" si="4"/>
        <v>0.11502484999846309</v>
      </c>
      <c r="O11" s="18">
        <f t="shared" si="5"/>
        <v>12.477082925830524</v>
      </c>
      <c r="P11" s="22"/>
    </row>
    <row r="12" spans="2:16" x14ac:dyDescent="0.3">
      <c r="B12" s="20"/>
      <c r="C12" s="20"/>
      <c r="D12" s="20"/>
      <c r="E12" s="20"/>
      <c r="F12" s="20"/>
      <c r="G12" s="20"/>
      <c r="H12" s="20"/>
      <c r="I12" s="13">
        <v>0.08</v>
      </c>
      <c r="J12" s="16">
        <f t="shared" si="0"/>
        <v>7.1418063680616664</v>
      </c>
      <c r="K12" s="16">
        <f t="shared" si="1"/>
        <v>0.12816956613904262</v>
      </c>
      <c r="L12" s="16">
        <f t="shared" si="2"/>
        <v>55.721545942614775</v>
      </c>
      <c r="M12" s="17">
        <f t="shared" si="3"/>
        <v>1.3786554905550665</v>
      </c>
      <c r="N12" s="17">
        <f t="shared" si="4"/>
        <v>0.11374643470887659</v>
      </c>
      <c r="O12" s="18">
        <f t="shared" si="5"/>
        <v>12.120428161846188</v>
      </c>
      <c r="P12" s="22"/>
    </row>
    <row r="13" spans="2:16" x14ac:dyDescent="0.3">
      <c r="B13" s="21"/>
      <c r="C13" s="21"/>
      <c r="D13" s="21"/>
      <c r="E13" s="21"/>
      <c r="F13" s="21"/>
      <c r="G13" s="21"/>
      <c r="H13" s="21"/>
      <c r="I13" s="13">
        <v>0.09</v>
      </c>
      <c r="J13" s="15">
        <f t="shared" si="0"/>
        <v>6.9409368034221961</v>
      </c>
      <c r="K13" s="15">
        <f t="shared" si="1"/>
        <v>0.1281227379281637</v>
      </c>
      <c r="L13" s="15">
        <f t="shared" si="2"/>
        <v>54.174121749676196</v>
      </c>
      <c r="M13" s="56">
        <f t="shared" si="3"/>
        <v>1.3253156876920023</v>
      </c>
      <c r="N13" s="56">
        <f t="shared" si="4"/>
        <v>0.11246895358646526</v>
      </c>
      <c r="O13" s="57">
        <f t="shared" si="5"/>
        <v>11.783835853626128</v>
      </c>
      <c r="P13" s="22"/>
    </row>
    <row r="14" spans="2:16" x14ac:dyDescent="0.3">
      <c r="B14" s="58"/>
      <c r="C14" s="58"/>
      <c r="D14" s="58"/>
      <c r="E14" s="58"/>
      <c r="F14" s="58"/>
      <c r="G14" s="58"/>
      <c r="H14" s="58"/>
      <c r="I14" s="59">
        <v>0.1</v>
      </c>
      <c r="J14" s="60">
        <f t="shared" si="0"/>
        <v>6.7510573961499487</v>
      </c>
      <c r="K14" s="76">
        <f t="shared" si="1"/>
        <v>0.12807594392322771</v>
      </c>
      <c r="L14" s="60">
        <f t="shared" si="2"/>
        <v>52.711361629290202</v>
      </c>
      <c r="M14" s="61">
        <f t="shared" si="3"/>
        <v>1.2748942603850051</v>
      </c>
      <c r="N14" s="61">
        <f t="shared" si="4"/>
        <v>0.11119240560767722</v>
      </c>
      <c r="O14" s="62">
        <f t="shared" si="5"/>
        <v>11.465659488321931</v>
      </c>
      <c r="P14" s="22"/>
    </row>
    <row r="15" spans="2:16" x14ac:dyDescent="0.3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22"/>
    </row>
    <row r="16" spans="2:16" ht="14.5" thickBot="1" x14ac:dyDescent="0.35"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</row>
    <row r="17" spans="2:16" ht="15.5" x14ac:dyDescent="0.3">
      <c r="B17" s="1"/>
      <c r="C17" s="2"/>
      <c r="D17" s="104" t="s">
        <v>11</v>
      </c>
      <c r="E17" s="105"/>
      <c r="F17" s="105"/>
      <c r="G17" s="106"/>
      <c r="H17" s="3" t="s">
        <v>0</v>
      </c>
      <c r="I17" s="4"/>
      <c r="J17" s="5" t="s">
        <v>13</v>
      </c>
      <c r="K17" s="5"/>
      <c r="L17" s="5"/>
      <c r="M17" s="5"/>
      <c r="N17" s="5"/>
      <c r="O17" s="5"/>
      <c r="P17" s="22"/>
    </row>
    <row r="18" spans="2:16" ht="28" x14ac:dyDescent="0.3">
      <c r="B18" s="10"/>
      <c r="C18" s="10" t="s">
        <v>1</v>
      </c>
      <c r="D18" s="8" t="s">
        <v>2</v>
      </c>
      <c r="E18" s="9" t="s">
        <v>56</v>
      </c>
      <c r="F18" s="9" t="s">
        <v>58</v>
      </c>
      <c r="G18" s="9" t="s">
        <v>59</v>
      </c>
      <c r="H18" s="8" t="s">
        <v>14</v>
      </c>
      <c r="I18" s="8" t="s">
        <v>3</v>
      </c>
      <c r="J18" s="6" t="s">
        <v>4</v>
      </c>
      <c r="K18" s="6" t="s">
        <v>5</v>
      </c>
      <c r="L18" s="6" t="s">
        <v>6</v>
      </c>
      <c r="M18" s="10" t="s">
        <v>7</v>
      </c>
      <c r="N18" s="10" t="s">
        <v>8</v>
      </c>
      <c r="O18" s="6" t="s">
        <v>9</v>
      </c>
      <c r="P18" s="22"/>
    </row>
    <row r="19" spans="2:16" x14ac:dyDescent="0.3">
      <c r="B19" s="11" t="s">
        <v>10</v>
      </c>
      <c r="C19" s="11">
        <v>1.95</v>
      </c>
      <c r="D19" s="12">
        <v>6.0000000000000001E-3</v>
      </c>
      <c r="E19" s="13">
        <v>1.8251700497679098E-2</v>
      </c>
      <c r="F19" s="13">
        <v>0</v>
      </c>
      <c r="G19" s="14">
        <v>40</v>
      </c>
      <c r="H19" s="15">
        <v>0.40977688972722687</v>
      </c>
      <c r="I19" s="13">
        <v>0.01</v>
      </c>
      <c r="J19" s="16">
        <f t="shared" ref="J19:J28" si="6">C$19/(I19+H$19*(1-I19))</f>
        <v>4.6911184668274526</v>
      </c>
      <c r="K19" s="75">
        <f t="shared" ref="K19:K28" si="7">C$20/(I19+H$20*(1-I19))</f>
        <v>6.6822169996981651E-2</v>
      </c>
      <c r="L19" s="16">
        <f t="shared" ref="L19:L28" si="8">J19/K19</f>
        <v>70.203024939766991</v>
      </c>
      <c r="M19" s="17">
        <f t="shared" ref="M19:M28" si="9">C$19-J19*I19</f>
        <v>1.9030888153317254</v>
      </c>
      <c r="N19" s="17">
        <f t="shared" ref="N19:N28" si="10">C$20-K19*I19</f>
        <v>0.12333177830003018</v>
      </c>
      <c r="O19" s="18">
        <f t="shared" ref="O19:O28" si="11">M19/N19</f>
        <v>15.430644409440577</v>
      </c>
      <c r="P19" s="22"/>
    </row>
    <row r="20" spans="2:16" x14ac:dyDescent="0.3">
      <c r="B20" s="13" t="s">
        <v>12</v>
      </c>
      <c r="C20" s="11">
        <v>0.124</v>
      </c>
      <c r="D20" s="13">
        <v>7.0000000000000007E-2</v>
      </c>
      <c r="E20" s="13">
        <v>8.0695641696411399E-2</v>
      </c>
      <c r="F20" s="13">
        <v>0</v>
      </c>
      <c r="G20" s="14">
        <v>180</v>
      </c>
      <c r="H20" s="15">
        <v>1.86431470040619</v>
      </c>
      <c r="I20" s="13">
        <v>0.02</v>
      </c>
      <c r="J20" s="16">
        <f t="shared" si="6"/>
        <v>4.6254417826132261</v>
      </c>
      <c r="K20" s="16">
        <f t="shared" si="7"/>
        <v>6.7134863530234137E-2</v>
      </c>
      <c r="L20" s="16">
        <f t="shared" si="8"/>
        <v>68.897761005057561</v>
      </c>
      <c r="M20" s="17">
        <f t="shared" si="9"/>
        <v>1.8574911643477354</v>
      </c>
      <c r="N20" s="17">
        <f t="shared" si="10"/>
        <v>0.12265730272939532</v>
      </c>
      <c r="O20" s="18">
        <f t="shared" si="11"/>
        <v>15.143747033519107</v>
      </c>
      <c r="P20" s="22"/>
    </row>
    <row r="21" spans="2:16" x14ac:dyDescent="0.3">
      <c r="B21" s="20"/>
      <c r="C21" s="20"/>
      <c r="D21" s="20"/>
      <c r="E21" s="20"/>
      <c r="F21" s="20"/>
      <c r="G21" s="20"/>
      <c r="H21" s="20"/>
      <c r="I21" s="13">
        <v>0.03</v>
      </c>
      <c r="J21" s="16">
        <f t="shared" si="6"/>
        <v>4.5615786836859051</v>
      </c>
      <c r="K21" s="16">
        <f t="shared" si="7"/>
        <v>6.7450497313536292E-2</v>
      </c>
      <c r="L21" s="16">
        <f t="shared" si="8"/>
        <v>67.628540416565102</v>
      </c>
      <c r="M21" s="17">
        <f t="shared" si="9"/>
        <v>1.8131526394894228</v>
      </c>
      <c r="N21" s="17">
        <f t="shared" si="10"/>
        <v>0.12197648508059392</v>
      </c>
      <c r="O21" s="18">
        <f t="shared" si="11"/>
        <v>14.86477199512195</v>
      </c>
      <c r="P21" s="22"/>
    </row>
    <row r="22" spans="2:16" x14ac:dyDescent="0.3">
      <c r="B22" s="20"/>
      <c r="C22" s="20"/>
      <c r="D22" s="20"/>
      <c r="E22" s="20"/>
      <c r="F22" s="20"/>
      <c r="G22" s="20"/>
      <c r="H22" s="20"/>
      <c r="I22" s="13">
        <v>0.04</v>
      </c>
      <c r="J22" s="16">
        <f t="shared" si="6"/>
        <v>4.4994550730228919</v>
      </c>
      <c r="K22" s="16">
        <f t="shared" si="7"/>
        <v>6.7769113013437576E-2</v>
      </c>
      <c r="L22" s="16">
        <f t="shared" si="8"/>
        <v>66.393890563843129</v>
      </c>
      <c r="M22" s="17">
        <f t="shared" si="9"/>
        <v>1.7700217970790844</v>
      </c>
      <c r="N22" s="17">
        <f t="shared" si="10"/>
        <v>0.12128923547946249</v>
      </c>
      <c r="O22" s="18">
        <f t="shared" si="11"/>
        <v>14.593395614063347</v>
      </c>
      <c r="P22" s="22"/>
    </row>
    <row r="23" spans="2:16" x14ac:dyDescent="0.3">
      <c r="B23" s="20"/>
      <c r="C23" s="20"/>
      <c r="D23" s="20"/>
      <c r="E23" s="20"/>
      <c r="F23" s="20"/>
      <c r="G23" s="20"/>
      <c r="H23" s="20"/>
      <c r="I23" s="13">
        <v>0.05</v>
      </c>
      <c r="J23" s="16">
        <f t="shared" si="6"/>
        <v>4.4390008358429096</v>
      </c>
      <c r="K23" s="16">
        <f t="shared" si="7"/>
        <v>6.8090753087504563E-2</v>
      </c>
      <c r="L23" s="16">
        <f t="shared" si="8"/>
        <v>65.192417979843398</v>
      </c>
      <c r="M23" s="17">
        <f t="shared" si="9"/>
        <v>1.7280499582078543</v>
      </c>
      <c r="N23" s="17">
        <f t="shared" si="10"/>
        <v>0.12059546234562477</v>
      </c>
      <c r="O23" s="18">
        <f t="shared" si="11"/>
        <v>14.329311605898482</v>
      </c>
      <c r="P23" s="22"/>
    </row>
    <row r="24" spans="2:16" x14ac:dyDescent="0.3">
      <c r="B24" s="20"/>
      <c r="C24" s="20"/>
      <c r="D24" s="20"/>
      <c r="E24" s="20"/>
      <c r="F24" s="20"/>
      <c r="G24" s="20"/>
      <c r="H24" s="20"/>
      <c r="I24" s="13">
        <v>0.06</v>
      </c>
      <c r="J24" s="16">
        <f t="shared" si="6"/>
        <v>4.3801495756277715</v>
      </c>
      <c r="K24" s="16">
        <f t="shared" si="7"/>
        <v>6.8415460803181755E-2</v>
      </c>
      <c r="L24" s="16">
        <f t="shared" si="8"/>
        <v>64.022803094590373</v>
      </c>
      <c r="M24" s="17">
        <f t="shared" si="9"/>
        <v>1.6871910254623337</v>
      </c>
      <c r="N24" s="17">
        <f t="shared" si="10"/>
        <v>0.1198950723518091</v>
      </c>
      <c r="O24" s="18">
        <f t="shared" si="11"/>
        <v>14.072229928779684</v>
      </c>
      <c r="P24" s="22"/>
    </row>
    <row r="25" spans="2:16" x14ac:dyDescent="0.3">
      <c r="B25" s="20"/>
      <c r="C25" s="20"/>
      <c r="D25" s="20"/>
      <c r="E25" s="20"/>
      <c r="F25" s="20"/>
      <c r="G25" s="20"/>
      <c r="H25" s="20"/>
      <c r="I25" s="13">
        <v>7.0000000000000007E-2</v>
      </c>
      <c r="J25" s="16">
        <f t="shared" si="6"/>
        <v>4.3228383708679665</v>
      </c>
      <c r="K25" s="16">
        <f t="shared" si="7"/>
        <v>6.8743280257194603E-2</v>
      </c>
      <c r="L25" s="16">
        <f t="shared" si="8"/>
        <v>62.883795400722711</v>
      </c>
      <c r="M25" s="17">
        <f t="shared" si="9"/>
        <v>1.6474013140392423</v>
      </c>
      <c r="N25" s="17">
        <f t="shared" si="10"/>
        <v>0.11918797038199638</v>
      </c>
      <c r="O25" s="18">
        <f t="shared" si="11"/>
        <v>13.821875720841087</v>
      </c>
      <c r="P25" s="22"/>
    </row>
    <row r="26" spans="2:16" x14ac:dyDescent="0.3">
      <c r="B26" s="20"/>
      <c r="C26" s="20"/>
      <c r="D26" s="20"/>
      <c r="E26" s="20"/>
      <c r="F26" s="20"/>
      <c r="G26" s="20"/>
      <c r="H26" s="20"/>
      <c r="I26" s="13">
        <v>0.08</v>
      </c>
      <c r="J26" s="16">
        <f t="shared" si="6"/>
        <v>4.2670075506585041</v>
      </c>
      <c r="K26" s="16">
        <f t="shared" si="7"/>
        <v>6.9074256395513151E-2</v>
      </c>
      <c r="L26" s="16">
        <f t="shared" si="8"/>
        <v>61.774208993666065</v>
      </c>
      <c r="M26" s="17">
        <f t="shared" si="9"/>
        <v>1.6086393959473195</v>
      </c>
      <c r="N26" s="17">
        <f t="shared" si="10"/>
        <v>0.11847405948835894</v>
      </c>
      <c r="O26" s="18">
        <f t="shared" si="11"/>
        <v>13.577988319927382</v>
      </c>
      <c r="P26" s="22"/>
    </row>
    <row r="27" spans="2:16" x14ac:dyDescent="0.3">
      <c r="B27" s="21"/>
      <c r="C27" s="21"/>
      <c r="D27" s="21"/>
      <c r="E27" s="21"/>
      <c r="F27" s="21"/>
      <c r="G27" s="21"/>
      <c r="H27" s="21"/>
      <c r="I27" s="13">
        <v>0.09</v>
      </c>
      <c r="J27" s="15">
        <f t="shared" si="6"/>
        <v>4.2126004874625265</v>
      </c>
      <c r="K27" s="15">
        <f t="shared" si="7"/>
        <v>6.940843503389503E-2</v>
      </c>
      <c r="L27" s="15">
        <f t="shared" si="8"/>
        <v>60.692918452999812</v>
      </c>
      <c r="M27" s="56">
        <f t="shared" si="9"/>
        <v>1.5708659561283727</v>
      </c>
      <c r="N27" s="56">
        <f t="shared" si="10"/>
        <v>0.11775324084694945</v>
      </c>
      <c r="O27" s="57">
        <f t="shared" si="11"/>
        <v>13.340320358317067</v>
      </c>
      <c r="P27" s="22"/>
    </row>
    <row r="28" spans="2:16" x14ac:dyDescent="0.3">
      <c r="B28" s="58"/>
      <c r="C28" s="58"/>
      <c r="D28" s="58"/>
      <c r="E28" s="58"/>
      <c r="F28" s="58"/>
      <c r="G28" s="58"/>
      <c r="H28" s="58"/>
      <c r="I28" s="59">
        <v>0.1</v>
      </c>
      <c r="J28" s="60">
        <f t="shared" si="6"/>
        <v>4.1595634055296848</v>
      </c>
      <c r="K28" s="60">
        <f t="shared" si="7"/>
        <v>6.9745862879027731E-2</v>
      </c>
      <c r="L28" s="60">
        <f t="shared" si="8"/>
        <v>59.638855034947845</v>
      </c>
      <c r="M28" s="61">
        <f t="shared" si="9"/>
        <v>1.5340436594470315</v>
      </c>
      <c r="N28" s="61">
        <f t="shared" si="10"/>
        <v>0.11702541371209722</v>
      </c>
      <c r="O28" s="62">
        <f t="shared" si="11"/>
        <v>13.108636925830867</v>
      </c>
      <c r="P28" s="22"/>
    </row>
    <row r="29" spans="2:16" x14ac:dyDescent="0.3">
      <c r="B29" s="7"/>
      <c r="C29" s="7"/>
      <c r="D29" s="7"/>
      <c r="E29" s="7"/>
      <c r="F29" s="7"/>
      <c r="G29" s="7"/>
      <c r="H29" s="7"/>
      <c r="I29" s="22"/>
      <c r="J29" s="22"/>
      <c r="K29" s="22"/>
      <c r="L29" s="22"/>
      <c r="M29" s="22"/>
      <c r="N29" s="22"/>
      <c r="O29" s="22"/>
      <c r="P29" s="22"/>
    </row>
    <row r="30" spans="2:16" ht="14.5" thickBot="1" x14ac:dyDescent="0.35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spans="2:16" ht="15.5" x14ac:dyDescent="0.3">
      <c r="B31" s="1"/>
      <c r="C31" s="2"/>
      <c r="D31" s="104" t="s">
        <v>11</v>
      </c>
      <c r="E31" s="105"/>
      <c r="F31" s="105"/>
      <c r="G31" s="106"/>
      <c r="H31" s="3" t="s">
        <v>0</v>
      </c>
      <c r="I31" s="4"/>
      <c r="J31" s="5" t="s">
        <v>13</v>
      </c>
      <c r="K31" s="5"/>
      <c r="L31" s="5"/>
      <c r="M31" s="5"/>
      <c r="N31" s="5"/>
      <c r="O31" s="5"/>
      <c r="P31" s="22"/>
    </row>
    <row r="32" spans="2:16" ht="28" x14ac:dyDescent="0.3">
      <c r="B32" s="10"/>
      <c r="C32" s="10" t="s">
        <v>18</v>
      </c>
      <c r="D32" s="8" t="s">
        <v>2</v>
      </c>
      <c r="E32" s="9" t="s">
        <v>56</v>
      </c>
      <c r="F32" s="9" t="s">
        <v>58</v>
      </c>
      <c r="G32" s="9" t="s">
        <v>59</v>
      </c>
      <c r="H32" s="8" t="s">
        <v>15</v>
      </c>
      <c r="I32" s="8" t="s">
        <v>3</v>
      </c>
      <c r="J32" s="6" t="s">
        <v>4</v>
      </c>
      <c r="K32" s="6" t="s">
        <v>5</v>
      </c>
      <c r="L32" s="6" t="s">
        <v>6</v>
      </c>
      <c r="M32" s="10" t="s">
        <v>7</v>
      </c>
      <c r="N32" s="10" t="s">
        <v>8</v>
      </c>
      <c r="O32" s="6" t="s">
        <v>9</v>
      </c>
      <c r="P32" s="22"/>
    </row>
    <row r="33" spans="2:18" x14ac:dyDescent="0.3">
      <c r="B33" s="11" t="s">
        <v>10</v>
      </c>
      <c r="C33" s="11">
        <v>1.95</v>
      </c>
      <c r="D33" s="12">
        <v>6.0000000000000001E-3</v>
      </c>
      <c r="E33" s="13">
        <v>1.8251700497679098E-2</v>
      </c>
      <c r="F33" s="13">
        <v>0</v>
      </c>
      <c r="G33" s="14">
        <v>40</v>
      </c>
      <c r="H33" s="15">
        <v>0.80967813326533578</v>
      </c>
      <c r="I33" s="13">
        <v>0.01</v>
      </c>
      <c r="J33" s="16">
        <f>C$33/(I33+H$33*(1-I33))</f>
        <v>2.4027166165860168</v>
      </c>
      <c r="K33" s="16">
        <f>C$34/(I33+H$34*(1-I33))</f>
        <v>3.4093767258420588E-2</v>
      </c>
      <c r="L33" s="16">
        <f t="shared" ref="L33:L42" si="12">J33/K33</f>
        <v>70.473778927806407</v>
      </c>
      <c r="M33" s="17">
        <f t="shared" ref="M33:M42" si="13">C$19-J33*I33</f>
        <v>1.9259728338341398</v>
      </c>
      <c r="N33" s="17">
        <f t="shared" ref="N33:N42" si="14">C$20-K33*I33</f>
        <v>0.12365906232741579</v>
      </c>
      <c r="O33" s="18">
        <f t="shared" ref="O33:O42" si="15">M33/N33</f>
        <v>15.574862024545229</v>
      </c>
      <c r="P33" s="22"/>
    </row>
    <row r="34" spans="2:18" x14ac:dyDescent="0.3">
      <c r="B34" s="13" t="s">
        <v>12</v>
      </c>
      <c r="C34" s="11">
        <v>0.124</v>
      </c>
      <c r="D34" s="13">
        <v>7.0000000000000007E-2</v>
      </c>
      <c r="E34" s="13">
        <v>8.0695641696411399E-2</v>
      </c>
      <c r="F34" s="13">
        <v>0</v>
      </c>
      <c r="G34" s="14">
        <v>180</v>
      </c>
      <c r="H34" s="15">
        <v>3.6636650569677438</v>
      </c>
      <c r="I34" s="13">
        <v>0.02</v>
      </c>
      <c r="J34" s="16">
        <f t="shared" ref="J34:J42" si="16">C$33/(I34+H$33*(1-I34))</f>
        <v>2.3970952498357443</v>
      </c>
      <c r="K34" s="16">
        <f t="shared" ref="K34:K42" si="17">C$34/(I34+H$34*(1-I34))</f>
        <v>3.4345303331645996E-2</v>
      </c>
      <c r="L34" s="16">
        <f t="shared" si="12"/>
        <v>69.79397522534164</v>
      </c>
      <c r="M34" s="17">
        <f t="shared" si="13"/>
        <v>1.902058095003285</v>
      </c>
      <c r="N34" s="17">
        <f t="shared" si="14"/>
        <v>0.12331309393336708</v>
      </c>
      <c r="O34" s="18">
        <f t="shared" si="15"/>
        <v>15.424623892991224</v>
      </c>
      <c r="P34" s="22"/>
    </row>
    <row r="35" spans="2:18" x14ac:dyDescent="0.3">
      <c r="B35" s="20"/>
      <c r="C35" s="20"/>
      <c r="D35" s="20"/>
      <c r="E35" s="20"/>
      <c r="F35" s="20"/>
      <c r="G35" s="20"/>
      <c r="H35" s="20"/>
      <c r="I35" s="13">
        <v>0.03</v>
      </c>
      <c r="J35" s="16">
        <f t="shared" si="16"/>
        <v>2.3915001250534682</v>
      </c>
      <c r="K35" s="16">
        <f t="shared" si="17"/>
        <v>3.4600578543451686E-2</v>
      </c>
      <c r="L35" s="16">
        <f t="shared" si="12"/>
        <v>69.117345019251715</v>
      </c>
      <c r="M35" s="17">
        <f t="shared" si="13"/>
        <v>1.8782549962483959</v>
      </c>
      <c r="N35" s="17">
        <f t="shared" si="14"/>
        <v>0.12296198264369645</v>
      </c>
      <c r="O35" s="18">
        <f t="shared" si="15"/>
        <v>15.27508711120057</v>
      </c>
      <c r="P35" s="22"/>
    </row>
    <row r="36" spans="2:18" x14ac:dyDescent="0.3">
      <c r="B36" s="20"/>
      <c r="C36" s="20"/>
      <c r="D36" s="20"/>
      <c r="E36" s="20"/>
      <c r="F36" s="20"/>
      <c r="G36" s="20"/>
      <c r="H36" s="20"/>
      <c r="I36" s="13">
        <v>0.04</v>
      </c>
      <c r="J36" s="16">
        <f t="shared" si="16"/>
        <v>2.3859310589108405</v>
      </c>
      <c r="K36" s="16">
        <f t="shared" si="17"/>
        <v>3.4859676892834923E-2</v>
      </c>
      <c r="L36" s="16">
        <f t="shared" si="12"/>
        <v>68.443866139254027</v>
      </c>
      <c r="M36" s="17">
        <f t="shared" si="13"/>
        <v>1.8545627576435664</v>
      </c>
      <c r="N36" s="17">
        <f t="shared" si="14"/>
        <v>0.12260561292428661</v>
      </c>
      <c r="O36" s="18">
        <f t="shared" si="15"/>
        <v>15.126246779491456</v>
      </c>
      <c r="P36" s="22"/>
    </row>
    <row r="37" spans="2:18" x14ac:dyDescent="0.3">
      <c r="B37" s="20"/>
      <c r="C37" s="20"/>
      <c r="D37" s="20"/>
      <c r="E37" s="20"/>
      <c r="F37" s="20"/>
      <c r="G37" s="20"/>
      <c r="H37" s="20"/>
      <c r="I37" s="13">
        <v>0.05</v>
      </c>
      <c r="J37" s="16">
        <f t="shared" si="16"/>
        <v>2.3803878697832062</v>
      </c>
      <c r="K37" s="16">
        <f t="shared" si="17"/>
        <v>3.5122684913803305E-2</v>
      </c>
      <c r="L37" s="16">
        <f t="shared" si="12"/>
        <v>67.773516621097144</v>
      </c>
      <c r="M37" s="17">
        <f t="shared" si="13"/>
        <v>1.8309806065108396</v>
      </c>
      <c r="N37" s="17">
        <f t="shared" si="14"/>
        <v>0.12224386575430983</v>
      </c>
      <c r="O37" s="18">
        <f t="shared" si="15"/>
        <v>14.978098043715429</v>
      </c>
      <c r="P37" s="22"/>
    </row>
    <row r="38" spans="2:18" x14ac:dyDescent="0.3">
      <c r="B38" s="20"/>
      <c r="C38" s="20"/>
      <c r="D38" s="20"/>
      <c r="E38" s="20"/>
      <c r="F38" s="20"/>
      <c r="G38" s="20"/>
      <c r="H38" s="20"/>
      <c r="I38" s="13">
        <v>0.06</v>
      </c>
      <c r="J38" s="16">
        <f t="shared" si="16"/>
        <v>2.3748703777298599</v>
      </c>
      <c r="K38" s="16">
        <f t="shared" si="17"/>
        <v>3.5389691771731964E-2</v>
      </c>
      <c r="L38" s="16">
        <f t="shared" si="12"/>
        <v>67.106274704173103</v>
      </c>
      <c r="M38" s="17">
        <f t="shared" si="13"/>
        <v>1.8075077773362085</v>
      </c>
      <c r="N38" s="17">
        <f t="shared" si="14"/>
        <v>0.12187661849369608</v>
      </c>
      <c r="O38" s="18">
        <f t="shared" si="15"/>
        <v>14.830636094729686</v>
      </c>
      <c r="P38" s="22"/>
    </row>
    <row r="39" spans="2:18" x14ac:dyDescent="0.3">
      <c r="B39" s="20"/>
      <c r="C39" s="20"/>
      <c r="D39" s="20"/>
      <c r="E39" s="20"/>
      <c r="F39" s="20"/>
      <c r="G39" s="20"/>
      <c r="H39" s="20"/>
      <c r="I39" s="13">
        <v>7.0000000000000007E-2</v>
      </c>
      <c r="J39" s="16">
        <f t="shared" si="16"/>
        <v>2.3693784044745732</v>
      </c>
      <c r="K39" s="16">
        <f t="shared" si="17"/>
        <v>3.566078936414966E-2</v>
      </c>
      <c r="L39" s="16">
        <f t="shared" si="12"/>
        <v>66.442118829162709</v>
      </c>
      <c r="M39" s="17">
        <f t="shared" si="13"/>
        <v>1.7841435116867799</v>
      </c>
      <c r="N39" s="17">
        <f t="shared" si="14"/>
        <v>0.12150374474450952</v>
      </c>
      <c r="O39" s="18">
        <f t="shared" si="15"/>
        <v>14.68385616787668</v>
      </c>
      <c r="P39" s="22"/>
    </row>
    <row r="40" spans="2:18" x14ac:dyDescent="0.3">
      <c r="B40" s="20"/>
      <c r="C40" s="20"/>
      <c r="D40" s="20"/>
      <c r="E40" s="20"/>
      <c r="F40" s="20"/>
      <c r="G40" s="20"/>
      <c r="H40" s="20"/>
      <c r="I40" s="13">
        <v>0.08</v>
      </c>
      <c r="J40" s="16">
        <f t="shared" si="16"/>
        <v>2.363911773386393</v>
      </c>
      <c r="K40" s="16">
        <f t="shared" si="17"/>
        <v>3.5936072426192893E-2</v>
      </c>
      <c r="L40" s="16">
        <f t="shared" si="12"/>
        <v>65.7810276357134</v>
      </c>
      <c r="M40" s="17">
        <f t="shared" si="13"/>
        <v>1.7608870581290885</v>
      </c>
      <c r="N40" s="17">
        <f t="shared" si="14"/>
        <v>0.12112511420590456</v>
      </c>
      <c r="O40" s="18">
        <f t="shared" si="15"/>
        <v>14.537753542470959</v>
      </c>
      <c r="P40" s="22"/>
    </row>
    <row r="41" spans="2:18" x14ac:dyDescent="0.3">
      <c r="B41" s="21"/>
      <c r="C41" s="21"/>
      <c r="D41" s="21"/>
      <c r="E41" s="21"/>
      <c r="F41" s="21"/>
      <c r="G41" s="21"/>
      <c r="H41" s="21"/>
      <c r="I41" s="13">
        <v>0.09</v>
      </c>
      <c r="J41" s="15">
        <f t="shared" si="16"/>
        <v>2.3584703094607073</v>
      </c>
      <c r="K41" s="15">
        <f t="shared" si="17"/>
        <v>3.6215638640982394E-2</v>
      </c>
      <c r="L41" s="15">
        <f t="shared" si="12"/>
        <v>65.122979960149365</v>
      </c>
      <c r="M41" s="56">
        <f t="shared" si="13"/>
        <v>1.7377376721485362</v>
      </c>
      <c r="N41" s="56">
        <f t="shared" si="14"/>
        <v>0.12074059252231159</v>
      </c>
      <c r="O41" s="57">
        <f t="shared" si="15"/>
        <v>14.392323541293047</v>
      </c>
      <c r="P41" s="22"/>
    </row>
    <row r="42" spans="2:18" x14ac:dyDescent="0.3">
      <c r="B42" s="58"/>
      <c r="C42" s="58"/>
      <c r="D42" s="58"/>
      <c r="E42" s="58"/>
      <c r="F42" s="58"/>
      <c r="G42" s="58"/>
      <c r="H42" s="58"/>
      <c r="I42" s="59">
        <v>0.1</v>
      </c>
      <c r="J42" s="60">
        <f t="shared" si="16"/>
        <v>2.3530538393005673</v>
      </c>
      <c r="K42" s="60">
        <f t="shared" si="17"/>
        <v>3.6499588755192013E-2</v>
      </c>
      <c r="L42" s="60">
        <f t="shared" si="12"/>
        <v>64.467954833212985</v>
      </c>
      <c r="M42" s="61">
        <f t="shared" si="13"/>
        <v>1.7146946160699432</v>
      </c>
      <c r="N42" s="61">
        <f t="shared" si="14"/>
        <v>0.12035004112448079</v>
      </c>
      <c r="O42" s="62">
        <f t="shared" si="15"/>
        <v>14.247561530090342</v>
      </c>
      <c r="P42" s="22"/>
    </row>
    <row r="43" spans="2:18" x14ac:dyDescent="0.3"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</row>
    <row r="44" spans="2:18" ht="14.5" thickBot="1" x14ac:dyDescent="0.3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</row>
    <row r="45" spans="2:18" ht="15.5" x14ac:dyDescent="0.3">
      <c r="B45" s="1"/>
      <c r="C45" s="2"/>
      <c r="D45" s="104" t="s">
        <v>11</v>
      </c>
      <c r="E45" s="105"/>
      <c r="F45" s="105"/>
      <c r="G45" s="106"/>
      <c r="H45" s="3" t="s">
        <v>0</v>
      </c>
      <c r="I45" s="4"/>
      <c r="J45" s="5" t="s">
        <v>13</v>
      </c>
      <c r="K45" s="5"/>
      <c r="L45" s="5"/>
      <c r="M45" s="5"/>
      <c r="N45" s="5"/>
      <c r="O45" s="5"/>
      <c r="P45" s="22"/>
    </row>
    <row r="46" spans="2:18" ht="28" x14ac:dyDescent="0.3">
      <c r="B46" s="10"/>
      <c r="C46" s="10" t="s">
        <v>1</v>
      </c>
      <c r="D46" s="8" t="s">
        <v>2</v>
      </c>
      <c r="E46" s="9" t="s">
        <v>56</v>
      </c>
      <c r="F46" s="9" t="s">
        <v>58</v>
      </c>
      <c r="G46" s="9" t="s">
        <v>59</v>
      </c>
      <c r="H46" s="8" t="s">
        <v>16</v>
      </c>
      <c r="I46" s="8" t="s">
        <v>3</v>
      </c>
      <c r="J46" s="6" t="s">
        <v>4</v>
      </c>
      <c r="K46" s="6" t="s">
        <v>5</v>
      </c>
      <c r="L46" s="6" t="s">
        <v>6</v>
      </c>
      <c r="M46" s="10" t="s">
        <v>7</v>
      </c>
      <c r="N46" s="10" t="s">
        <v>8</v>
      </c>
      <c r="O46" s="6" t="s">
        <v>9</v>
      </c>
      <c r="P46" s="22"/>
      <c r="R46" t="s">
        <v>19</v>
      </c>
    </row>
    <row r="47" spans="2:18" x14ac:dyDescent="0.3">
      <c r="B47" s="11" t="s">
        <v>10</v>
      </c>
      <c r="C47" s="11">
        <v>1.95</v>
      </c>
      <c r="D47" s="12">
        <v>6.0000000000000001E-3</v>
      </c>
      <c r="E47" s="13">
        <v>1.8251700497679098E-2</v>
      </c>
      <c r="F47" s="13">
        <v>0</v>
      </c>
      <c r="G47" s="14">
        <v>40</v>
      </c>
      <c r="H47" s="15">
        <v>1.2095793768034446</v>
      </c>
      <c r="I47" s="13">
        <v>0.01</v>
      </c>
      <c r="J47" s="16">
        <f>C$47/(I47+H$47*(1-I47))</f>
        <v>1.6149287885952275</v>
      </c>
      <c r="K47" s="16">
        <f>C$48/(I47+H$48*(1-I47))</f>
        <v>2.2885046755399645E-2</v>
      </c>
      <c r="L47" s="16">
        <f t="shared" ref="L47:L56" si="18">J47/K47</f>
        <v>70.566986637866094</v>
      </c>
      <c r="M47" s="17">
        <f t="shared" ref="M47:M56" si="19">C$19-J47*I47</f>
        <v>1.9338507121140476</v>
      </c>
      <c r="N47" s="17">
        <f t="shared" ref="N47:N56" si="20">C$20-K47*I47</f>
        <v>0.123771149532446</v>
      </c>
      <c r="O47" s="18">
        <f t="shared" ref="O47:O56" si="21">M47/N47</f>
        <v>15.624406167505926</v>
      </c>
      <c r="P47" s="22"/>
    </row>
    <row r="48" spans="2:18" x14ac:dyDescent="0.3">
      <c r="B48" s="13" t="s">
        <v>12</v>
      </c>
      <c r="C48" s="11">
        <v>0.124</v>
      </c>
      <c r="D48" s="13">
        <v>7.0000000000000007E-2</v>
      </c>
      <c r="E48" s="13">
        <v>8.0695641696411399E-2</v>
      </c>
      <c r="F48" s="13">
        <v>0</v>
      </c>
      <c r="G48" s="14">
        <v>180</v>
      </c>
      <c r="H48" s="15">
        <v>5.4630154135292965</v>
      </c>
      <c r="I48" s="13">
        <v>0.02</v>
      </c>
      <c r="J48" s="16">
        <f t="shared" ref="J48:J56" si="22">C$47/(I48+H$47*(1-I48))</f>
        <v>1.617736646548571</v>
      </c>
      <c r="K48" s="16">
        <f t="shared" ref="K48:K56" si="23">C$48/(I48+H$48*(1-I48))</f>
        <v>2.3075111829836584E-2</v>
      </c>
      <c r="L48" s="16">
        <f t="shared" si="18"/>
        <v>70.107423898020073</v>
      </c>
      <c r="M48" s="17">
        <f t="shared" si="19"/>
        <v>1.9176452670690285</v>
      </c>
      <c r="N48" s="17">
        <f t="shared" si="20"/>
        <v>0.12353849776340327</v>
      </c>
      <c r="O48" s="18">
        <f t="shared" si="21"/>
        <v>15.522653276403259</v>
      </c>
      <c r="P48" s="22"/>
    </row>
    <row r="49" spans="2:16" x14ac:dyDescent="0.3">
      <c r="B49" s="20"/>
      <c r="C49" s="20"/>
      <c r="D49" s="20"/>
      <c r="E49" s="20"/>
      <c r="F49" s="20"/>
      <c r="G49" s="20"/>
      <c r="H49" s="20"/>
      <c r="I49" s="13">
        <v>0.03</v>
      </c>
      <c r="J49" s="16">
        <f t="shared" si="22"/>
        <v>1.6205542854881123</v>
      </c>
      <c r="K49" s="16">
        <f t="shared" si="23"/>
        <v>2.3268360403870793E-2</v>
      </c>
      <c r="L49" s="16">
        <f t="shared" si="18"/>
        <v>69.646260301973228</v>
      </c>
      <c r="M49" s="17">
        <f t="shared" si="19"/>
        <v>1.9013833714353565</v>
      </c>
      <c r="N49" s="17">
        <f t="shared" si="20"/>
        <v>0.12330194918788387</v>
      </c>
      <c r="O49" s="18">
        <f t="shared" si="21"/>
        <v>15.420545935880419</v>
      </c>
      <c r="P49" s="22"/>
    </row>
    <row r="50" spans="2:16" x14ac:dyDescent="0.3">
      <c r="B50" s="20"/>
      <c r="C50" s="20"/>
      <c r="D50" s="20"/>
      <c r="E50" s="20"/>
      <c r="F50" s="20"/>
      <c r="G50" s="20"/>
      <c r="H50" s="20"/>
      <c r="I50" s="13">
        <v>0.04</v>
      </c>
      <c r="J50" s="16">
        <f t="shared" si="22"/>
        <v>1.6233817566101423</v>
      </c>
      <c r="K50" s="16">
        <f t="shared" si="23"/>
        <v>2.346487313615547E-2</v>
      </c>
      <c r="L50" s="16">
        <f t="shared" si="18"/>
        <v>69.183487470417248</v>
      </c>
      <c r="M50" s="17">
        <f t="shared" si="19"/>
        <v>1.8850647297355942</v>
      </c>
      <c r="N50" s="17">
        <f t="shared" si="20"/>
        <v>0.12306140507455378</v>
      </c>
      <c r="O50" s="18">
        <f t="shared" si="21"/>
        <v>15.318082290654599</v>
      </c>
      <c r="P50" s="22"/>
    </row>
    <row r="51" spans="2:16" x14ac:dyDescent="0.3">
      <c r="B51" s="20"/>
      <c r="C51" s="20"/>
      <c r="D51" s="20"/>
      <c r="E51" s="20"/>
      <c r="F51" s="20"/>
      <c r="G51" s="20"/>
      <c r="H51" s="20"/>
      <c r="I51" s="13">
        <v>0.05</v>
      </c>
      <c r="J51" s="16">
        <f t="shared" si="22"/>
        <v>1.6262191114688764</v>
      </c>
      <c r="K51" s="16">
        <f t="shared" si="23"/>
        <v>2.3664733433359932E-2</v>
      </c>
      <c r="L51" s="16">
        <f t="shared" si="18"/>
        <v>68.719096965462199</v>
      </c>
      <c r="M51" s="17">
        <f t="shared" si="19"/>
        <v>1.868689044426556</v>
      </c>
      <c r="N51" s="17">
        <f t="shared" si="20"/>
        <v>0.122816763328332</v>
      </c>
      <c r="O51" s="18">
        <f t="shared" si="21"/>
        <v>15.215260472472306</v>
      </c>
      <c r="P51" s="22"/>
    </row>
    <row r="52" spans="2:16" x14ac:dyDescent="0.3">
      <c r="B52" s="20"/>
      <c r="C52" s="20"/>
      <c r="D52" s="20"/>
      <c r="E52" s="20"/>
      <c r="F52" s="20"/>
      <c r="G52" s="20"/>
      <c r="H52" s="20"/>
      <c r="I52" s="13">
        <v>0.06</v>
      </c>
      <c r="J52" s="16">
        <f t="shared" si="22"/>
        <v>1.6290664019795871</v>
      </c>
      <c r="K52" s="16">
        <f t="shared" si="23"/>
        <v>2.3868027568205077E-2</v>
      </c>
      <c r="L52" s="16">
        <f t="shared" si="18"/>
        <v>68.253080290123705</v>
      </c>
      <c r="M52" s="17">
        <f t="shared" si="19"/>
        <v>1.8522560158812247</v>
      </c>
      <c r="N52" s="17">
        <f t="shared" si="20"/>
        <v>0.12256791834590769</v>
      </c>
      <c r="O52" s="18">
        <f t="shared" si="21"/>
        <v>15.112078599995804</v>
      </c>
      <c r="P52" s="22"/>
    </row>
    <row r="53" spans="2:16" x14ac:dyDescent="0.3">
      <c r="B53" s="20"/>
      <c r="C53" s="20"/>
      <c r="D53" s="20"/>
      <c r="E53" s="20"/>
      <c r="F53" s="20"/>
      <c r="G53" s="20"/>
      <c r="H53" s="20"/>
      <c r="I53" s="13">
        <v>7.0000000000000007E-2</v>
      </c>
      <c r="J53" s="16">
        <f t="shared" si="22"/>
        <v>1.6319236804217716</v>
      </c>
      <c r="K53" s="16">
        <f t="shared" si="23"/>
        <v>2.4074844803635528E-2</v>
      </c>
      <c r="L53" s="16">
        <f t="shared" si="18"/>
        <v>67.785428887804741</v>
      </c>
      <c r="M53" s="17">
        <f t="shared" si="19"/>
        <v>1.8357653423704758</v>
      </c>
      <c r="N53" s="17">
        <f t="shared" si="20"/>
        <v>0.12231476086374551</v>
      </c>
      <c r="O53" s="18">
        <f t="shared" si="21"/>
        <v>15.008534778688372</v>
      </c>
      <c r="P53" s="22"/>
    </row>
    <row r="54" spans="2:16" x14ac:dyDescent="0.3">
      <c r="B54" s="20"/>
      <c r="C54" s="20"/>
      <c r="D54" s="20"/>
      <c r="E54" s="20"/>
      <c r="F54" s="20"/>
      <c r="G54" s="20"/>
      <c r="H54" s="20"/>
      <c r="I54" s="13">
        <v>0.08</v>
      </c>
      <c r="J54" s="16">
        <f t="shared" si="22"/>
        <v>1.634790999442352</v>
      </c>
      <c r="K54" s="16">
        <f t="shared" si="23"/>
        <v>2.428527752350397E-2</v>
      </c>
      <c r="L54" s="16">
        <f t="shared" si="18"/>
        <v>67.316134141771926</v>
      </c>
      <c r="M54" s="17">
        <f t="shared" si="19"/>
        <v>1.8192167200446119</v>
      </c>
      <c r="N54" s="17">
        <f t="shared" si="20"/>
        <v>0.12205717779811968</v>
      </c>
      <c r="O54" s="18">
        <f t="shared" si="21"/>
        <v>14.904627100698352</v>
      </c>
      <c r="P54" s="22"/>
    </row>
    <row r="55" spans="2:16" x14ac:dyDescent="0.3">
      <c r="B55" s="21"/>
      <c r="C55" s="21"/>
      <c r="D55" s="21"/>
      <c r="E55" s="21"/>
      <c r="F55" s="21"/>
      <c r="G55" s="21"/>
      <c r="H55" s="21"/>
      <c r="I55" s="13">
        <v>0.09</v>
      </c>
      <c r="J55" s="15">
        <f t="shared" si="22"/>
        <v>1.6376684120589069</v>
      </c>
      <c r="K55" s="15">
        <f t="shared" si="23"/>
        <v>2.4499421370169576E-2</v>
      </c>
      <c r="L55" s="15">
        <f t="shared" si="18"/>
        <v>66.845187374626207</v>
      </c>
      <c r="M55" s="56">
        <f t="shared" si="19"/>
        <v>1.8026098429146984</v>
      </c>
      <c r="N55" s="56">
        <f t="shared" si="20"/>
        <v>0.12179505207668474</v>
      </c>
      <c r="O55" s="57">
        <f t="shared" si="21"/>
        <v>14.800353644741964</v>
      </c>
      <c r="P55" s="22"/>
    </row>
    <row r="56" spans="2:16" x14ac:dyDescent="0.3">
      <c r="B56" s="58"/>
      <c r="C56" s="58"/>
      <c r="D56" s="58"/>
      <c r="E56" s="58"/>
      <c r="F56" s="58"/>
      <c r="G56" s="58"/>
      <c r="H56" s="58"/>
      <c r="I56" s="59">
        <v>0.1</v>
      </c>
      <c r="J56" s="60">
        <f t="shared" si="22"/>
        <v>1.6405559716629401</v>
      </c>
      <c r="K56" s="60">
        <f t="shared" si="23"/>
        <v>2.4717375389441121E-2</v>
      </c>
      <c r="L56" s="60">
        <f t="shared" si="18"/>
        <v>66.372579847768151</v>
      </c>
      <c r="M56" s="61">
        <f t="shared" si="19"/>
        <v>1.7859444028337059</v>
      </c>
      <c r="N56" s="61">
        <f t="shared" si="20"/>
        <v>0.12152826246105589</v>
      </c>
      <c r="O56" s="62">
        <f t="shared" si="21"/>
        <v>14.695712475984896</v>
      </c>
      <c r="P56" s="22"/>
    </row>
    <row r="57" spans="2:16" x14ac:dyDescent="0.3"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</row>
    <row r="58" spans="2:16" ht="16" x14ac:dyDescent="0.3">
      <c r="B58" s="25" t="s">
        <v>55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</row>
    <row r="59" spans="2:16" ht="16" x14ac:dyDescent="0.3">
      <c r="B59" s="24" t="s">
        <v>57</v>
      </c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</row>
    <row r="60" spans="2:16" ht="16" x14ac:dyDescent="0.3">
      <c r="B60" s="24" t="s">
        <v>60</v>
      </c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</row>
    <row r="61" spans="2:16" ht="16" x14ac:dyDescent="0.3">
      <c r="B61" s="24" t="s">
        <v>61</v>
      </c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</row>
    <row r="62" spans="2:16" x14ac:dyDescent="0.3"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</row>
    <row r="63" spans="2:16" x14ac:dyDescent="0.3">
      <c r="B63" s="54" t="s">
        <v>48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</row>
    <row r="64" spans="2:16" x14ac:dyDescent="0.3">
      <c r="B64" s="25" t="s">
        <v>63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</row>
    <row r="65" spans="2:16" x14ac:dyDescent="0.3">
      <c r="B65" s="25" t="s">
        <v>62</v>
      </c>
      <c r="C65" s="55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</row>
    <row r="66" spans="2:16" x14ac:dyDescent="0.3">
      <c r="B66" s="24" t="s">
        <v>64</v>
      </c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</row>
    <row r="67" spans="2:16" x14ac:dyDescent="0.3"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</row>
  </sheetData>
  <mergeCells count="4">
    <mergeCell ref="D17:G17"/>
    <mergeCell ref="D31:G31"/>
    <mergeCell ref="D45:G45"/>
    <mergeCell ref="D3:G3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P81"/>
  <sheetViews>
    <sheetView topLeftCell="A76" zoomScale="85" zoomScaleNormal="85" workbookViewId="0">
      <selection activeCell="H11" sqref="H11"/>
    </sheetView>
  </sheetViews>
  <sheetFormatPr defaultRowHeight="14" x14ac:dyDescent="0.3"/>
  <cols>
    <col min="3" max="3" width="15.4140625" customWidth="1"/>
    <col min="8" max="8" width="19.5" customWidth="1"/>
    <col min="9" max="9" width="14.08203125" customWidth="1"/>
    <col min="10" max="10" width="14.33203125" customWidth="1"/>
    <col min="12" max="12" width="14.58203125" customWidth="1"/>
    <col min="13" max="13" width="17.1640625" customWidth="1"/>
    <col min="14" max="14" width="15" customWidth="1"/>
    <col min="15" max="15" width="15.33203125" customWidth="1"/>
    <col min="16" max="16" width="18.58203125" customWidth="1"/>
  </cols>
  <sheetData>
    <row r="1" spans="2:16" ht="14.5" thickBot="1" x14ac:dyDescent="0.35">
      <c r="B1" s="23" t="s">
        <v>165</v>
      </c>
    </row>
    <row r="2" spans="2:16" ht="15.5" x14ac:dyDescent="0.3">
      <c r="B2" s="1"/>
      <c r="C2" s="2"/>
      <c r="D2" s="104" t="s">
        <v>11</v>
      </c>
      <c r="E2" s="105"/>
      <c r="F2" s="105"/>
      <c r="G2" s="105"/>
      <c r="H2" s="106"/>
      <c r="I2" s="3" t="s">
        <v>0</v>
      </c>
      <c r="J2" s="26"/>
      <c r="K2" s="5" t="s">
        <v>67</v>
      </c>
      <c r="L2" s="5"/>
      <c r="M2" s="5"/>
      <c r="N2" s="5"/>
      <c r="O2" s="5"/>
      <c r="P2" s="5"/>
    </row>
    <row r="3" spans="2:16" ht="63" customHeight="1" x14ac:dyDescent="0.3">
      <c r="B3" s="10"/>
      <c r="C3" s="10" t="s">
        <v>65</v>
      </c>
      <c r="D3" s="8" t="s">
        <v>2</v>
      </c>
      <c r="E3" s="9" t="s">
        <v>56</v>
      </c>
      <c r="F3" s="9" t="s">
        <v>58</v>
      </c>
      <c r="G3" s="6" t="s">
        <v>163</v>
      </c>
      <c r="H3" s="9" t="s">
        <v>59</v>
      </c>
      <c r="I3" s="8" t="s">
        <v>66</v>
      </c>
      <c r="J3" s="8" t="s">
        <v>3</v>
      </c>
      <c r="K3" s="6" t="s">
        <v>4</v>
      </c>
      <c r="L3" s="6" t="s">
        <v>5</v>
      </c>
      <c r="M3" s="6" t="s">
        <v>6</v>
      </c>
      <c r="N3" s="10" t="s">
        <v>7</v>
      </c>
      <c r="O3" s="10" t="s">
        <v>8</v>
      </c>
      <c r="P3" s="6" t="s">
        <v>9</v>
      </c>
    </row>
    <row r="4" spans="2:16" x14ac:dyDescent="0.3">
      <c r="B4" s="11" t="s">
        <v>10</v>
      </c>
      <c r="C4" s="11">
        <v>6.65</v>
      </c>
      <c r="D4" s="12">
        <v>6.0000000000000001E-3</v>
      </c>
      <c r="E4" s="13">
        <v>1.8251700497679098E-2</v>
      </c>
      <c r="F4" s="13">
        <v>0</v>
      </c>
      <c r="G4" s="13">
        <v>0</v>
      </c>
      <c r="H4" s="14">
        <v>40</v>
      </c>
      <c r="I4" s="19">
        <f>D4*0.31+E4*0.26+0*H4</f>
        <v>6.6054421293965659E-3</v>
      </c>
      <c r="J4" s="15">
        <v>0.01</v>
      </c>
      <c r="K4" s="16">
        <f t="shared" ref="K4" si="0">C$4/(J4+I$4*(1-J4))</f>
        <v>402.07050692343245</v>
      </c>
      <c r="L4" s="16">
        <f t="shared" ref="L4" si="1">C$5/(J4+I$5*(1-J4))</f>
        <v>8.8031440252942996</v>
      </c>
      <c r="M4" s="16">
        <f t="shared" ref="M4" si="2">K4/L4</f>
        <v>45.673512300622704</v>
      </c>
      <c r="N4" s="17">
        <f t="shared" ref="N4" si="3">C$4-K4*J4</f>
        <v>2.6292949307656759</v>
      </c>
      <c r="O4" s="17">
        <f t="shared" ref="O4" si="4">C$5-L4*J4</f>
        <v>0.371968559747057</v>
      </c>
      <c r="P4" s="18">
        <f t="shared" ref="P4" si="5">N4/O4</f>
        <v>7.068594540768788</v>
      </c>
    </row>
    <row r="5" spans="2:16" x14ac:dyDescent="0.3">
      <c r="B5" s="13" t="s">
        <v>12</v>
      </c>
      <c r="C5" s="11">
        <v>0.46</v>
      </c>
      <c r="D5" s="13">
        <v>7.0000000000000007E-2</v>
      </c>
      <c r="E5" s="13">
        <v>8.0695641696411399E-2</v>
      </c>
      <c r="F5" s="13">
        <v>0</v>
      </c>
      <c r="G5" s="13">
        <v>0</v>
      </c>
      <c r="H5" s="14">
        <v>180</v>
      </c>
      <c r="I5" s="19">
        <f>D5*0.31+E5*0.26+0*H5</f>
        <v>4.2680866841066964E-2</v>
      </c>
      <c r="J5" s="15">
        <v>0.02</v>
      </c>
      <c r="K5" s="16">
        <f t="shared" ref="K5:K13" si="6">C$4/(J5+I$4*(1-J5))</f>
        <v>251.1961726902604</v>
      </c>
      <c r="L5" s="16">
        <f t="shared" ref="L5:L13" si="7">C$5/(J5+I$5*(1-J5))</f>
        <v>7.4400851354128612</v>
      </c>
      <c r="M5" s="16">
        <f t="shared" ref="M5:M13" si="8">K5/L5</f>
        <v>33.762540094418043</v>
      </c>
      <c r="N5" s="17">
        <f t="shared" ref="N5:N13" si="9">C$4-K5*J5</f>
        <v>1.6260765461947919</v>
      </c>
      <c r="O5" s="17">
        <f t="shared" ref="O5:O13" si="10">C$5-L5*J5</f>
        <v>0.31119829729174275</v>
      </c>
      <c r="P5" s="18">
        <f t="shared" ref="P5:P13" si="11">N5/O5</f>
        <v>5.2252102930703845</v>
      </c>
    </row>
    <row r="6" spans="2:16" x14ac:dyDescent="0.3">
      <c r="B6" s="20"/>
      <c r="C6" s="20"/>
      <c r="D6" s="21"/>
      <c r="E6" s="21"/>
      <c r="F6" s="21"/>
      <c r="G6" s="21"/>
      <c r="H6" s="21"/>
      <c r="I6" s="21"/>
      <c r="J6" s="15">
        <v>0.03</v>
      </c>
      <c r="K6" s="16">
        <f t="shared" si="6"/>
        <v>182.6557822287275</v>
      </c>
      <c r="L6" s="16">
        <f t="shared" si="7"/>
        <v>6.4425372534833425</v>
      </c>
      <c r="M6" s="16">
        <f t="shared" si="8"/>
        <v>28.351529070316111</v>
      </c>
      <c r="N6" s="17">
        <f t="shared" si="9"/>
        <v>1.1703265331381756</v>
      </c>
      <c r="O6" s="17">
        <f t="shared" si="10"/>
        <v>0.26672388239549971</v>
      </c>
      <c r="P6" s="18">
        <f t="shared" si="11"/>
        <v>4.3877830609964228</v>
      </c>
    </row>
    <row r="7" spans="2:16" x14ac:dyDescent="0.3">
      <c r="B7" s="20"/>
      <c r="C7" s="20"/>
      <c r="D7" s="20"/>
      <c r="E7" s="20"/>
      <c r="F7" s="20"/>
      <c r="G7" s="20"/>
      <c r="H7" s="20"/>
      <c r="I7" s="20"/>
      <c r="J7" s="15">
        <v>0.04</v>
      </c>
      <c r="K7" s="16">
        <f t="shared" si="6"/>
        <v>143.50073999456728</v>
      </c>
      <c r="L7" s="16">
        <f t="shared" si="7"/>
        <v>5.6808616297325756</v>
      </c>
      <c r="M7" s="16">
        <f t="shared" si="8"/>
        <v>25.260382904507132</v>
      </c>
      <c r="N7" s="17">
        <f t="shared" si="9"/>
        <v>0.90997040021730857</v>
      </c>
      <c r="O7" s="17">
        <f t="shared" si="10"/>
        <v>0.23276553481069701</v>
      </c>
      <c r="P7" s="18">
        <f t="shared" si="11"/>
        <v>3.9093863314316146</v>
      </c>
    </row>
    <row r="8" spans="2:16" x14ac:dyDescent="0.3">
      <c r="B8" s="20"/>
      <c r="C8" s="20"/>
      <c r="D8" s="20"/>
      <c r="E8" s="20"/>
      <c r="F8" s="20"/>
      <c r="G8" s="20"/>
      <c r="H8" s="20"/>
      <c r="I8" s="19"/>
      <c r="J8" s="15">
        <v>0.05</v>
      </c>
      <c r="K8" s="16">
        <f t="shared" si="6"/>
        <v>118.16934533100054</v>
      </c>
      <c r="L8" s="16">
        <f t="shared" si="7"/>
        <v>5.0802444771020721</v>
      </c>
      <c r="M8" s="16">
        <f t="shared" si="8"/>
        <v>23.260562727565421</v>
      </c>
      <c r="N8" s="17">
        <f t="shared" si="9"/>
        <v>0.74153273344997306</v>
      </c>
      <c r="O8" s="17">
        <f t="shared" si="10"/>
        <v>0.20598777614489638</v>
      </c>
      <c r="P8" s="18">
        <f t="shared" si="11"/>
        <v>3.5998870774174603</v>
      </c>
    </row>
    <row r="9" spans="2:16" x14ac:dyDescent="0.3">
      <c r="B9" s="20"/>
      <c r="C9" s="20"/>
      <c r="D9" s="20"/>
      <c r="E9" s="20"/>
      <c r="F9" s="20"/>
      <c r="G9" s="20"/>
      <c r="H9" s="20"/>
      <c r="I9" s="19"/>
      <c r="J9" s="15">
        <v>0.06</v>
      </c>
      <c r="K9" s="16">
        <f t="shared" si="6"/>
        <v>100.43934191798819</v>
      </c>
      <c r="L9" s="16">
        <f t="shared" si="7"/>
        <v>4.594485935487449</v>
      </c>
      <c r="M9" s="16">
        <f t="shared" si="8"/>
        <v>21.860844353054297</v>
      </c>
      <c r="N9" s="17">
        <f t="shared" si="9"/>
        <v>0.62363948492070964</v>
      </c>
      <c r="O9" s="17">
        <f t="shared" si="10"/>
        <v>0.1843308438707531</v>
      </c>
      <c r="P9" s="18">
        <f t="shared" si="11"/>
        <v>3.3832617039283219</v>
      </c>
    </row>
    <row r="10" spans="2:16" x14ac:dyDescent="0.3">
      <c r="B10" s="20"/>
      <c r="C10" s="20"/>
      <c r="D10" s="20"/>
      <c r="E10" s="20"/>
      <c r="F10" s="20"/>
      <c r="G10" s="20"/>
      <c r="H10" s="20"/>
      <c r="I10" s="20"/>
      <c r="J10" s="15">
        <v>7.0000000000000007E-2</v>
      </c>
      <c r="K10" s="16">
        <f t="shared" si="6"/>
        <v>87.335600866505771</v>
      </c>
      <c r="L10" s="16">
        <f t="shared" si="7"/>
        <v>4.1935140387805276</v>
      </c>
      <c r="M10" s="16">
        <f t="shared" si="8"/>
        <v>20.826352328583816</v>
      </c>
      <c r="N10" s="17">
        <f t="shared" si="9"/>
        <v>0.53650793934459617</v>
      </c>
      <c r="O10" s="17">
        <f t="shared" si="10"/>
        <v>0.16645401728536308</v>
      </c>
      <c r="P10" s="18">
        <f t="shared" si="11"/>
        <v>3.2231600540155503</v>
      </c>
    </row>
    <row r="11" spans="2:16" x14ac:dyDescent="0.3">
      <c r="B11" s="20"/>
      <c r="C11" s="20"/>
      <c r="D11" s="20"/>
      <c r="E11" s="20"/>
      <c r="F11" s="20"/>
      <c r="G11" s="20"/>
      <c r="H11" s="20"/>
      <c r="I11" s="20"/>
      <c r="J11" s="15">
        <v>0.08</v>
      </c>
      <c r="K11" s="16">
        <f t="shared" si="6"/>
        <v>77.256403892102455</v>
      </c>
      <c r="L11" s="16">
        <f t="shared" si="7"/>
        <v>3.8569120025947274</v>
      </c>
      <c r="M11" s="16">
        <f t="shared" si="8"/>
        <v>20.030636903338323</v>
      </c>
      <c r="N11" s="17">
        <f t="shared" si="9"/>
        <v>0.46948768863180401</v>
      </c>
      <c r="O11" s="17">
        <f t="shared" si="10"/>
        <v>0.1514470397924218</v>
      </c>
      <c r="P11" s="18">
        <f t="shared" si="11"/>
        <v>3.1000123163536175</v>
      </c>
    </row>
    <row r="12" spans="2:16" x14ac:dyDescent="0.3">
      <c r="B12" s="21"/>
      <c r="C12" s="21"/>
      <c r="D12" s="21"/>
      <c r="E12" s="21"/>
      <c r="F12" s="21"/>
      <c r="G12" s="21"/>
      <c r="H12" s="21"/>
      <c r="I12" s="21"/>
      <c r="J12" s="15">
        <v>0.09</v>
      </c>
      <c r="K12" s="16">
        <f t="shared" si="6"/>
        <v>69.262931343565739</v>
      </c>
      <c r="L12" s="16">
        <f t="shared" si="7"/>
        <v>3.5703311706736631</v>
      </c>
      <c r="M12" s="16">
        <f t="shared" si="8"/>
        <v>19.399581728575882</v>
      </c>
      <c r="N12" s="17">
        <f t="shared" si="9"/>
        <v>0.41633617907908427</v>
      </c>
      <c r="O12" s="17">
        <f t="shared" si="10"/>
        <v>0.13867019463937036</v>
      </c>
      <c r="P12" s="18">
        <f t="shared" si="11"/>
        <v>3.0023479822886232</v>
      </c>
    </row>
    <row r="13" spans="2:16" x14ac:dyDescent="0.3">
      <c r="B13" s="58"/>
      <c r="C13" s="58"/>
      <c r="D13" s="58"/>
      <c r="E13" s="58"/>
      <c r="F13" s="58"/>
      <c r="G13" s="58"/>
      <c r="H13" s="58"/>
      <c r="I13" s="58"/>
      <c r="J13" s="60">
        <v>0.1</v>
      </c>
      <c r="K13" s="60">
        <f t="shared" si="6"/>
        <v>62.76847805586516</v>
      </c>
      <c r="L13" s="60">
        <f t="shared" si="7"/>
        <v>3.3233925326719063</v>
      </c>
      <c r="M13" s="60">
        <f t="shared" si="8"/>
        <v>18.886868595507501</v>
      </c>
      <c r="N13" s="60">
        <f t="shared" si="9"/>
        <v>0.37315219441348368</v>
      </c>
      <c r="O13" s="60">
        <f t="shared" si="10"/>
        <v>0.12766074673280936</v>
      </c>
      <c r="P13" s="63">
        <f t="shared" si="11"/>
        <v>2.9229986817677136</v>
      </c>
    </row>
    <row r="15" spans="2:16" ht="14.5" thickBot="1" x14ac:dyDescent="0.35"/>
    <row r="16" spans="2:16" ht="15.5" x14ac:dyDescent="0.3">
      <c r="B16" s="1"/>
      <c r="C16" s="2"/>
      <c r="D16" s="104" t="s">
        <v>11</v>
      </c>
      <c r="E16" s="105"/>
      <c r="F16" s="105"/>
      <c r="G16" s="105"/>
      <c r="H16" s="106"/>
      <c r="I16" s="3" t="s">
        <v>0</v>
      </c>
      <c r="J16" s="26"/>
      <c r="K16" s="5" t="s">
        <v>67</v>
      </c>
      <c r="L16" s="5"/>
      <c r="M16" s="5"/>
      <c r="N16" s="5"/>
      <c r="O16" s="5"/>
      <c r="P16" s="5"/>
    </row>
    <row r="17" spans="2:16" ht="84" x14ac:dyDescent="0.3">
      <c r="B17" s="10"/>
      <c r="C17" s="10" t="s">
        <v>65</v>
      </c>
      <c r="D17" s="8" t="s">
        <v>2</v>
      </c>
      <c r="E17" s="9" t="s">
        <v>56</v>
      </c>
      <c r="F17" s="9" t="s">
        <v>58</v>
      </c>
      <c r="G17" s="6" t="s">
        <v>163</v>
      </c>
      <c r="H17" s="9" t="s">
        <v>59</v>
      </c>
      <c r="I17" s="8" t="s">
        <v>68</v>
      </c>
      <c r="J17" s="8" t="s">
        <v>3</v>
      </c>
      <c r="K17" s="6" t="s">
        <v>4</v>
      </c>
      <c r="L17" s="6" t="s">
        <v>5</v>
      </c>
      <c r="M17" s="6" t="s">
        <v>6</v>
      </c>
      <c r="N17" s="10" t="s">
        <v>7</v>
      </c>
      <c r="O17" s="10" t="s">
        <v>8</v>
      </c>
      <c r="P17" s="6" t="s">
        <v>9</v>
      </c>
    </row>
    <row r="18" spans="2:16" x14ac:dyDescent="0.3">
      <c r="B18" s="11" t="s">
        <v>10</v>
      </c>
      <c r="C18" s="11">
        <v>6.65</v>
      </c>
      <c r="D18" s="12">
        <v>6.0000000000000001E-3</v>
      </c>
      <c r="E18" s="13">
        <v>1.8251700497679098E-2</v>
      </c>
      <c r="F18" s="13">
        <v>0</v>
      </c>
      <c r="G18" s="13">
        <v>0</v>
      </c>
      <c r="H18" s="14">
        <v>40</v>
      </c>
      <c r="I18" s="19">
        <f>D18*0.309969+E18*0.259974+0.001*H18</f>
        <v>4.6604781585183629E-2</v>
      </c>
      <c r="J18" s="15">
        <v>0.01</v>
      </c>
      <c r="K18" s="77">
        <f>C$18/(J18+I$18*(1-J18))</f>
        <v>118.45653710901563</v>
      </c>
      <c r="L18" s="77">
        <f>C$19/(J18+I$19*(1-J18))</f>
        <v>1.9960960460553328</v>
      </c>
      <c r="M18" s="16">
        <f t="shared" ref="M18" si="12">K18/L18</f>
        <v>59.344106884590239</v>
      </c>
      <c r="N18" s="17">
        <f>C$4-K18*J18</f>
        <v>5.4654346289098443</v>
      </c>
      <c r="O18" s="17">
        <f>C$5-L18*J18</f>
        <v>0.44003903953944667</v>
      </c>
      <c r="P18" s="18">
        <f t="shared" ref="P18" si="13">N18/O18</f>
        <v>12.420340328508292</v>
      </c>
    </row>
    <row r="19" spans="2:16" x14ac:dyDescent="0.3">
      <c r="B19" s="13" t="s">
        <v>12</v>
      </c>
      <c r="C19" s="11">
        <v>0.46</v>
      </c>
      <c r="D19" s="13">
        <v>7.0000000000000007E-2</v>
      </c>
      <c r="E19" s="13">
        <v>8.0695641696411399E-2</v>
      </c>
      <c r="F19" s="13">
        <v>0</v>
      </c>
      <c r="G19" s="13">
        <v>0</v>
      </c>
      <c r="H19" s="14">
        <v>180</v>
      </c>
      <c r="I19" s="19">
        <f>D19*0.309969+E19*0.259974+0.001*H19</f>
        <v>0.22267659875438284</v>
      </c>
      <c r="J19" s="15">
        <v>0.02</v>
      </c>
      <c r="K19" s="16">
        <f t="shared" ref="K19:K27" si="14">C$18/(J19+I$18*(1-J19))</f>
        <v>101.25975363198344</v>
      </c>
      <c r="L19" s="16">
        <f t="shared" ref="L19:L27" si="15">C$19/(J19+I$19*(1-J19))</f>
        <v>1.9309633035081903</v>
      </c>
      <c r="M19" s="16">
        <f t="shared" ref="M19:M27" si="16">K19/L19</f>
        <v>52.440019677232534</v>
      </c>
      <c r="N19" s="17">
        <f t="shared" ref="N19:N27" si="17">C$4-K19*J19</f>
        <v>4.6248049273603318</v>
      </c>
      <c r="O19" s="17">
        <f t="shared" ref="O19:O27" si="18">C$5-L19*J19</f>
        <v>0.42138073392983622</v>
      </c>
      <c r="P19" s="18">
        <f t="shared" ref="P19:P27" si="19">N19/O19</f>
        <v>10.97535922971363</v>
      </c>
    </row>
    <row r="20" spans="2:16" x14ac:dyDescent="0.3">
      <c r="B20" s="20"/>
      <c r="C20" s="20"/>
      <c r="D20" s="21"/>
      <c r="E20" s="21"/>
      <c r="F20" s="21"/>
      <c r="G20" s="21"/>
      <c r="H20" s="21"/>
      <c r="I20" s="21"/>
      <c r="J20" s="15">
        <v>0.03</v>
      </c>
      <c r="K20" s="16">
        <f t="shared" si="14"/>
        <v>88.423045686878098</v>
      </c>
      <c r="L20" s="16">
        <f t="shared" si="15"/>
        <v>1.8699468183849397</v>
      </c>
      <c r="M20" s="16">
        <f t="shared" si="16"/>
        <v>47.286395964591378</v>
      </c>
      <c r="N20" s="17">
        <f t="shared" si="17"/>
        <v>3.9973086293936575</v>
      </c>
      <c r="O20" s="17">
        <f t="shared" si="18"/>
        <v>0.40390159544845183</v>
      </c>
      <c r="P20" s="18">
        <f t="shared" si="19"/>
        <v>9.8967388949168349</v>
      </c>
    </row>
    <row r="21" spans="2:16" x14ac:dyDescent="0.3">
      <c r="B21" s="20"/>
      <c r="C21" s="20"/>
      <c r="D21" s="20"/>
      <c r="E21" s="20"/>
      <c r="F21" s="20"/>
      <c r="G21" s="20"/>
      <c r="H21" s="20"/>
      <c r="I21" s="20"/>
      <c r="J21" s="15">
        <v>0.04</v>
      </c>
      <c r="K21" s="16">
        <f t="shared" si="14"/>
        <v>78.474789646244787</v>
      </c>
      <c r="L21" s="16">
        <f t="shared" si="15"/>
        <v>1.8126683344984924</v>
      </c>
      <c r="M21" s="16">
        <f t="shared" si="16"/>
        <v>43.292414918229518</v>
      </c>
      <c r="N21" s="17">
        <f t="shared" si="17"/>
        <v>3.5110084141502087</v>
      </c>
      <c r="O21" s="17">
        <f t="shared" si="18"/>
        <v>0.38749326662006034</v>
      </c>
      <c r="P21" s="18">
        <f t="shared" si="19"/>
        <v>9.0608243203172236</v>
      </c>
    </row>
    <row r="22" spans="2:16" x14ac:dyDescent="0.3">
      <c r="B22" s="20"/>
      <c r="C22" s="20"/>
      <c r="D22" s="20"/>
      <c r="E22" s="20"/>
      <c r="F22" s="20"/>
      <c r="G22" s="20"/>
      <c r="H22" s="20"/>
      <c r="I22" s="20"/>
      <c r="J22" s="15">
        <v>0.05</v>
      </c>
      <c r="K22" s="16">
        <f t="shared" si="14"/>
        <v>70.538661055630129</v>
      </c>
      <c r="L22" s="16">
        <f t="shared" si="15"/>
        <v>1.758794563815492</v>
      </c>
      <c r="M22" s="16">
        <f t="shared" si="16"/>
        <v>40.106253741542751</v>
      </c>
      <c r="N22" s="17">
        <f t="shared" si="17"/>
        <v>3.1230669472184935</v>
      </c>
      <c r="O22" s="17">
        <f t="shared" si="18"/>
        <v>0.37206027180922541</v>
      </c>
      <c r="P22" s="18">
        <f t="shared" si="19"/>
        <v>8.3939812547894181</v>
      </c>
    </row>
    <row r="23" spans="2:16" x14ac:dyDescent="0.3">
      <c r="B23" s="20"/>
      <c r="C23" s="20"/>
      <c r="D23" s="20"/>
      <c r="E23" s="20"/>
      <c r="F23" s="20"/>
      <c r="G23" s="20"/>
      <c r="H23" s="20"/>
      <c r="I23" s="20"/>
      <c r="J23" s="15">
        <v>0.06</v>
      </c>
      <c r="K23" s="16">
        <f t="shared" si="14"/>
        <v>64.060268091296692</v>
      </c>
      <c r="L23" s="16">
        <f t="shared" si="15"/>
        <v>1.7080306969054067</v>
      </c>
      <c r="M23" s="16">
        <f t="shared" si="16"/>
        <v>37.505337701108338</v>
      </c>
      <c r="N23" s="17">
        <f t="shared" si="17"/>
        <v>2.8063839145221992</v>
      </c>
      <c r="O23" s="17">
        <f t="shared" si="18"/>
        <v>0.35751815818567562</v>
      </c>
      <c r="P23" s="18">
        <f t="shared" si="19"/>
        <v>7.849626236507727</v>
      </c>
    </row>
    <row r="24" spans="2:16" x14ac:dyDescent="0.3">
      <c r="B24" s="20"/>
      <c r="C24" s="20"/>
      <c r="D24" s="20"/>
      <c r="E24" s="20"/>
      <c r="F24" s="20"/>
      <c r="G24" s="20"/>
      <c r="H24" s="20"/>
      <c r="I24" s="20"/>
      <c r="J24" s="15">
        <v>7.0000000000000007E-2</v>
      </c>
      <c r="K24" s="16">
        <f t="shared" si="14"/>
        <v>58.671752581622734</v>
      </c>
      <c r="L24" s="16">
        <f t="shared" si="15"/>
        <v>1.6601150057048299</v>
      </c>
      <c r="M24" s="16">
        <f t="shared" si="16"/>
        <v>35.341980754346984</v>
      </c>
      <c r="N24" s="17">
        <f t="shared" si="17"/>
        <v>2.5429773192864085</v>
      </c>
      <c r="O24" s="17">
        <f t="shared" si="18"/>
        <v>0.34379194960066189</v>
      </c>
      <c r="P24" s="18">
        <f t="shared" si="19"/>
        <v>7.396849525535</v>
      </c>
    </row>
    <row r="25" spans="2:16" x14ac:dyDescent="0.3">
      <c r="B25" s="20"/>
      <c r="C25" s="20"/>
      <c r="D25" s="20"/>
      <c r="E25" s="20"/>
      <c r="F25" s="20"/>
      <c r="G25" s="20"/>
      <c r="H25" s="20"/>
      <c r="I25" s="20"/>
      <c r="J25" s="15">
        <v>0.08</v>
      </c>
      <c r="K25" s="16">
        <f t="shared" si="14"/>
        <v>54.119424486398778</v>
      </c>
      <c r="L25" s="16">
        <f t="shared" si="15"/>
        <v>1.6148143299498054</v>
      </c>
      <c r="M25" s="16">
        <f t="shared" si="16"/>
        <v>33.514332566073413</v>
      </c>
      <c r="N25" s="17">
        <f t="shared" si="17"/>
        <v>2.3204460410880978</v>
      </c>
      <c r="O25" s="17">
        <f t="shared" si="18"/>
        <v>0.33081485360401558</v>
      </c>
      <c r="P25" s="18">
        <f t="shared" si="19"/>
        <v>7.0143345010307945</v>
      </c>
    </row>
    <row r="26" spans="2:16" x14ac:dyDescent="0.3">
      <c r="B26" s="21"/>
      <c r="C26" s="21"/>
      <c r="D26" s="21"/>
      <c r="E26" s="21"/>
      <c r="F26" s="21"/>
      <c r="G26" s="21"/>
      <c r="H26" s="21"/>
      <c r="I26" s="21"/>
      <c r="J26" s="15">
        <v>0.09</v>
      </c>
      <c r="K26" s="16">
        <f t="shared" si="14"/>
        <v>50.222659615335864</v>
      </c>
      <c r="L26" s="16">
        <f t="shared" si="15"/>
        <v>1.5719202829670755</v>
      </c>
      <c r="M26" s="16">
        <f t="shared" si="16"/>
        <v>31.949876949572893</v>
      </c>
      <c r="N26" s="17">
        <f t="shared" si="17"/>
        <v>2.1299606346197724</v>
      </c>
      <c r="O26" s="17">
        <f t="shared" si="18"/>
        <v>0.3185271745329632</v>
      </c>
      <c r="P26" s="18">
        <f t="shared" si="19"/>
        <v>6.6869039909791139</v>
      </c>
    </row>
    <row r="27" spans="2:16" x14ac:dyDescent="0.3">
      <c r="B27" s="58"/>
      <c r="C27" s="58"/>
      <c r="D27" s="58"/>
      <c r="E27" s="58"/>
      <c r="F27" s="58"/>
      <c r="G27" s="58"/>
      <c r="H27" s="58"/>
      <c r="I27" s="58"/>
      <c r="J27" s="60">
        <v>0.1</v>
      </c>
      <c r="K27" s="60">
        <f t="shared" si="14"/>
        <v>46.849361612004991</v>
      </c>
      <c r="L27" s="60">
        <f t="shared" si="15"/>
        <v>1.5312460465278153</v>
      </c>
      <c r="M27" s="60">
        <f t="shared" si="16"/>
        <v>30.595580454387783</v>
      </c>
      <c r="N27" s="60">
        <f t="shared" si="17"/>
        <v>1.9650638387995008</v>
      </c>
      <c r="O27" s="60">
        <f t="shared" si="18"/>
        <v>0.30687539534721847</v>
      </c>
      <c r="P27" s="60">
        <f t="shared" si="19"/>
        <v>6.4034584349002683</v>
      </c>
    </row>
    <row r="30" spans="2:16" ht="14.5" thickBot="1" x14ac:dyDescent="0.35"/>
    <row r="31" spans="2:16" ht="15.5" x14ac:dyDescent="0.3">
      <c r="B31" s="1"/>
      <c r="C31" s="2"/>
      <c r="D31" s="104" t="s">
        <v>11</v>
      </c>
      <c r="E31" s="105"/>
      <c r="F31" s="105"/>
      <c r="G31" s="105"/>
      <c r="H31" s="106"/>
      <c r="I31" s="3" t="s">
        <v>0</v>
      </c>
      <c r="J31" s="26"/>
      <c r="K31" s="5" t="s">
        <v>67</v>
      </c>
      <c r="L31" s="5"/>
      <c r="M31" s="5"/>
      <c r="N31" s="5"/>
      <c r="O31" s="5"/>
      <c r="P31" s="5"/>
    </row>
    <row r="32" spans="2:16" ht="70" x14ac:dyDescent="0.3">
      <c r="B32" s="10"/>
      <c r="C32" s="10" t="s">
        <v>65</v>
      </c>
      <c r="D32" s="8" t="s">
        <v>2</v>
      </c>
      <c r="E32" s="9" t="s">
        <v>56</v>
      </c>
      <c r="F32" s="9" t="s">
        <v>58</v>
      </c>
      <c r="G32" s="6" t="s">
        <v>163</v>
      </c>
      <c r="H32" s="9" t="s">
        <v>59</v>
      </c>
      <c r="I32" s="8" t="s">
        <v>69</v>
      </c>
      <c r="J32" s="8" t="s">
        <v>3</v>
      </c>
      <c r="K32" s="6" t="s">
        <v>4</v>
      </c>
      <c r="L32" s="6" t="s">
        <v>5</v>
      </c>
      <c r="M32" s="6" t="s">
        <v>6</v>
      </c>
      <c r="N32" s="10" t="s">
        <v>7</v>
      </c>
      <c r="O32" s="10" t="s">
        <v>8</v>
      </c>
      <c r="P32" s="6" t="s">
        <v>9</v>
      </c>
    </row>
    <row r="33" spans="2:16" x14ac:dyDescent="0.3">
      <c r="B33" s="11" t="s">
        <v>10</v>
      </c>
      <c r="C33" s="11">
        <v>6.65</v>
      </c>
      <c r="D33" s="12">
        <v>6.0000000000000001E-3</v>
      </c>
      <c r="E33" s="13">
        <v>1.8251700497679098E-2</v>
      </c>
      <c r="F33" s="13">
        <v>0</v>
      </c>
      <c r="G33" s="13">
        <v>0</v>
      </c>
      <c r="H33" s="14">
        <v>40</v>
      </c>
      <c r="I33" s="19">
        <f>D33*0.30923+E33*0.25935+0.0025*H33</f>
        <v>0.10658895852407307</v>
      </c>
      <c r="J33" s="15">
        <v>0.01</v>
      </c>
      <c r="K33" s="16">
        <f>C$33/(J33+I$33*(1-J33))</f>
        <v>57.564260204349935</v>
      </c>
      <c r="L33" s="16">
        <f>C$34/(J33+I$34*(1-J33))</f>
        <v>0.92434670427701116</v>
      </c>
      <c r="M33" s="16">
        <f t="shared" ref="M33" si="20">K33/L33</f>
        <v>62.275615781390719</v>
      </c>
      <c r="N33" s="17">
        <f>C$4-K33*J33</f>
        <v>6.0743573979565006</v>
      </c>
      <c r="O33" s="17">
        <f>C$5-L33*J33</f>
        <v>0.45075653295722989</v>
      </c>
      <c r="P33" s="17">
        <f t="shared" ref="P33" si="21">N33/O33</f>
        <v>13.475916495552749</v>
      </c>
    </row>
    <row r="34" spans="2:16" x14ac:dyDescent="0.3">
      <c r="B34" s="13" t="s">
        <v>12</v>
      </c>
      <c r="C34" s="11">
        <v>0.46</v>
      </c>
      <c r="D34" s="13">
        <v>7.0000000000000007E-2</v>
      </c>
      <c r="E34" s="13">
        <v>8.0695641696411399E-2</v>
      </c>
      <c r="F34" s="13">
        <v>0</v>
      </c>
      <c r="G34" s="13">
        <v>0</v>
      </c>
      <c r="H34" s="14">
        <v>180</v>
      </c>
      <c r="I34" s="19">
        <f>D34*0.30923+E34*0.25935+0.0025*H34</f>
        <v>0.49257451467396429</v>
      </c>
      <c r="J34" s="15">
        <v>0.02</v>
      </c>
      <c r="K34" s="16">
        <f t="shared" ref="K34:K42" si="22">C$33/(J34+I$33*(1-J34))</f>
        <v>53.432032081547355</v>
      </c>
      <c r="L34" s="16">
        <f t="shared" ref="L34:L42" si="23">C$34/(J34+I$34*(1-J34))</f>
        <v>0.91501677403151893</v>
      </c>
      <c r="M34" s="16">
        <f t="shared" ref="M34:M42" si="24">K34/L34</f>
        <v>58.394592971370841</v>
      </c>
      <c r="N34" s="17">
        <f t="shared" ref="N34:N42" si="25">C$4-K34*J34</f>
        <v>5.5813593583690535</v>
      </c>
      <c r="O34" s="17">
        <f t="shared" ref="O34:O42" si="26">C$5-L34*J34</f>
        <v>0.44169966451936965</v>
      </c>
      <c r="P34" s="17">
        <f t="shared" ref="P34:P42" si="27">N34/O34</f>
        <v>12.636095987173421</v>
      </c>
    </row>
    <row r="35" spans="2:16" x14ac:dyDescent="0.3">
      <c r="B35" s="20"/>
      <c r="C35" s="20"/>
      <c r="D35" s="20"/>
      <c r="E35" s="20"/>
      <c r="F35" s="20"/>
      <c r="G35" s="20"/>
      <c r="H35" s="20"/>
      <c r="I35" s="20"/>
      <c r="J35" s="15">
        <v>0.03</v>
      </c>
      <c r="K35" s="16">
        <f t="shared" si="22"/>
        <v>49.853330090356579</v>
      </c>
      <c r="L35" s="16">
        <f t="shared" si="23"/>
        <v>0.90587330576904546</v>
      </c>
      <c r="M35" s="16">
        <f t="shared" si="24"/>
        <v>55.033446479619307</v>
      </c>
      <c r="N35" s="17">
        <f t="shared" si="25"/>
        <v>5.1544000972893027</v>
      </c>
      <c r="O35" s="17">
        <f t="shared" si="26"/>
        <v>0.43282380082692867</v>
      </c>
      <c r="P35" s="17">
        <f t="shared" si="27"/>
        <v>11.908772316683134</v>
      </c>
    </row>
    <row r="36" spans="2:16" x14ac:dyDescent="0.3">
      <c r="B36" s="20"/>
      <c r="C36" s="20"/>
      <c r="D36" s="20"/>
      <c r="E36" s="20"/>
      <c r="F36" s="20"/>
      <c r="G36" s="20"/>
      <c r="H36" s="20"/>
      <c r="I36" s="20"/>
      <c r="J36" s="15">
        <v>0.04</v>
      </c>
      <c r="K36" s="16">
        <f t="shared" si="22"/>
        <v>46.723915699125925</v>
      </c>
      <c r="L36" s="16">
        <f t="shared" si="23"/>
        <v>0.89691076502983236</v>
      </c>
      <c r="M36" s="16">
        <f t="shared" si="24"/>
        <v>52.09427461557096</v>
      </c>
      <c r="N36" s="17">
        <f t="shared" si="25"/>
        <v>4.7810433720349632</v>
      </c>
      <c r="O36" s="17">
        <f t="shared" si="26"/>
        <v>0.42412356939880674</v>
      </c>
      <c r="P36" s="17">
        <f t="shared" si="27"/>
        <v>11.272760386347004</v>
      </c>
    </row>
    <row r="37" spans="2:16" x14ac:dyDescent="0.3">
      <c r="B37" s="20"/>
      <c r="C37" s="20"/>
      <c r="D37" s="20"/>
      <c r="E37" s="20"/>
      <c r="F37" s="20"/>
      <c r="G37" s="20"/>
      <c r="H37" s="20"/>
      <c r="I37" s="20"/>
      <c r="J37" s="15">
        <v>0.05</v>
      </c>
      <c r="K37" s="16">
        <f t="shared" si="22"/>
        <v>43.964177681887001</v>
      </c>
      <c r="L37" s="16">
        <f t="shared" si="23"/>
        <v>0.88812383423596308</v>
      </c>
      <c r="M37" s="16">
        <f t="shared" si="24"/>
        <v>49.502305857728267</v>
      </c>
      <c r="N37" s="17">
        <f t="shared" si="25"/>
        <v>4.4517911159056496</v>
      </c>
      <c r="O37" s="17">
        <f t="shared" si="26"/>
        <v>0.41559380828820186</v>
      </c>
      <c r="P37" s="17">
        <f t="shared" si="27"/>
        <v>10.71188027136936</v>
      </c>
    </row>
    <row r="38" spans="2:16" x14ac:dyDescent="0.3">
      <c r="B38" s="20"/>
      <c r="C38" s="20"/>
      <c r="D38" s="20"/>
      <c r="E38" s="20"/>
      <c r="F38" s="20"/>
      <c r="G38" s="20"/>
      <c r="H38" s="20"/>
      <c r="I38" s="20"/>
      <c r="J38" s="15">
        <v>0.06</v>
      </c>
      <c r="K38" s="16">
        <f t="shared" si="22"/>
        <v>41.512264707942116</v>
      </c>
      <c r="L38" s="16">
        <f t="shared" si="23"/>
        <v>0.87950740217060419</v>
      </c>
      <c r="M38" s="16">
        <f t="shared" si="24"/>
        <v>47.199448925035533</v>
      </c>
      <c r="N38" s="17">
        <f t="shared" si="25"/>
        <v>4.1592641175234739</v>
      </c>
      <c r="O38" s="17">
        <f t="shared" si="26"/>
        <v>0.40722955586976378</v>
      </c>
      <c r="P38" s="17">
        <f t="shared" si="27"/>
        <v>10.21356150989603</v>
      </c>
    </row>
    <row r="39" spans="2:16" x14ac:dyDescent="0.3">
      <c r="B39" s="20"/>
      <c r="C39" s="20"/>
      <c r="D39" s="20"/>
      <c r="E39" s="20"/>
      <c r="F39" s="20"/>
      <c r="G39" s="20"/>
      <c r="H39" s="20"/>
      <c r="I39" s="20"/>
      <c r="J39" s="15">
        <v>7.0000000000000007E-2</v>
      </c>
      <c r="K39" s="16">
        <f t="shared" si="22"/>
        <v>39.319394542077575</v>
      </c>
      <c r="L39" s="16">
        <f t="shared" si="23"/>
        <v>0.87105655406378246</v>
      </c>
      <c r="M39" s="16">
        <f t="shared" si="24"/>
        <v>45.139887138945106</v>
      </c>
      <c r="N39" s="17">
        <f t="shared" si="25"/>
        <v>3.89764238205457</v>
      </c>
      <c r="O39" s="17">
        <f t="shared" si="26"/>
        <v>0.39902604121553525</v>
      </c>
      <c r="P39" s="17">
        <f t="shared" si="27"/>
        <v>9.7678897602305739</v>
      </c>
    </row>
    <row r="40" spans="2:16" x14ac:dyDescent="0.3">
      <c r="B40" s="20"/>
      <c r="C40" s="20"/>
      <c r="D40" s="20"/>
      <c r="E40" s="20"/>
      <c r="F40" s="20"/>
      <c r="G40" s="20"/>
      <c r="H40" s="20"/>
      <c r="I40" s="20"/>
      <c r="J40" s="15">
        <v>0.08</v>
      </c>
      <c r="K40" s="16">
        <f t="shared" si="22"/>
        <v>37.346575387528901</v>
      </c>
      <c r="L40" s="16">
        <f t="shared" si="23"/>
        <v>0.86276656224429671</v>
      </c>
      <c r="M40" s="16">
        <f t="shared" si="24"/>
        <v>43.286999081628792</v>
      </c>
      <c r="N40" s="17">
        <f t="shared" si="25"/>
        <v>3.6622739689976882</v>
      </c>
      <c r="O40" s="17">
        <f t="shared" si="26"/>
        <v>0.3909786750204563</v>
      </c>
      <c r="P40" s="17">
        <f t="shared" si="27"/>
        <v>9.3669404573179733</v>
      </c>
    </row>
    <row r="41" spans="2:16" x14ac:dyDescent="0.3">
      <c r="B41" s="21"/>
      <c r="C41" s="21"/>
      <c r="D41" s="21"/>
      <c r="E41" s="21"/>
      <c r="F41" s="21"/>
      <c r="G41" s="21"/>
      <c r="H41" s="21"/>
      <c r="I41" s="21"/>
      <c r="J41" s="15">
        <v>0.09</v>
      </c>
      <c r="K41" s="16">
        <f t="shared" si="22"/>
        <v>35.562267095834365</v>
      </c>
      <c r="L41" s="16">
        <f t="shared" si="23"/>
        <v>0.85463287732040039</v>
      </c>
      <c r="M41" s="16">
        <f t="shared" si="24"/>
        <v>41.611161984939798</v>
      </c>
      <c r="N41" s="17">
        <f t="shared" si="25"/>
        <v>3.4493959613749077</v>
      </c>
      <c r="O41" s="17">
        <f t="shared" si="26"/>
        <v>0.38308304104116397</v>
      </c>
      <c r="P41" s="17">
        <f t="shared" si="27"/>
        <v>9.0043034846960364</v>
      </c>
    </row>
    <row r="42" spans="2:16" x14ac:dyDescent="0.3">
      <c r="B42" s="58"/>
      <c r="C42" s="58"/>
      <c r="D42" s="58"/>
      <c r="E42" s="58"/>
      <c r="F42" s="58"/>
      <c r="G42" s="58"/>
      <c r="H42" s="58"/>
      <c r="I42" s="58"/>
      <c r="J42" s="60">
        <v>0.1</v>
      </c>
      <c r="K42" s="60">
        <f t="shared" si="22"/>
        <v>33.940682248154474</v>
      </c>
      <c r="L42" s="60">
        <f t="shared" si="23"/>
        <v>0.84665111985468611</v>
      </c>
      <c r="M42" s="60">
        <f t="shared" si="24"/>
        <v>40.08815609194474</v>
      </c>
      <c r="N42" s="60">
        <f t="shared" si="25"/>
        <v>3.2559317751845529</v>
      </c>
      <c r="O42" s="60">
        <f t="shared" si="26"/>
        <v>0.37533488801453141</v>
      </c>
      <c r="P42" s="61">
        <f t="shared" si="27"/>
        <v>8.6747378918276752</v>
      </c>
    </row>
    <row r="44" spans="2:16" ht="14.5" thickBot="1" x14ac:dyDescent="0.35"/>
    <row r="45" spans="2:16" ht="15.5" x14ac:dyDescent="0.3">
      <c r="B45" s="1"/>
      <c r="C45" s="2"/>
      <c r="D45" s="104" t="s">
        <v>11</v>
      </c>
      <c r="E45" s="105"/>
      <c r="F45" s="105"/>
      <c r="G45" s="105"/>
      <c r="H45" s="106"/>
      <c r="I45" s="3" t="s">
        <v>0</v>
      </c>
      <c r="J45" s="26"/>
      <c r="K45" s="5" t="s">
        <v>67</v>
      </c>
      <c r="L45" s="5"/>
      <c r="M45" s="5"/>
      <c r="N45" s="5"/>
      <c r="O45" s="5"/>
      <c r="P45" s="5"/>
    </row>
    <row r="46" spans="2:16" ht="70" x14ac:dyDescent="0.3">
      <c r="B46" s="10"/>
      <c r="C46" s="10" t="s">
        <v>65</v>
      </c>
      <c r="D46" s="8" t="s">
        <v>2</v>
      </c>
      <c r="E46" s="9" t="s">
        <v>56</v>
      </c>
      <c r="F46" s="9" t="s">
        <v>58</v>
      </c>
      <c r="G46" s="9"/>
      <c r="H46" s="9" t="s">
        <v>59</v>
      </c>
      <c r="I46" s="8" t="s">
        <v>70</v>
      </c>
      <c r="J46" s="8" t="s">
        <v>3</v>
      </c>
      <c r="K46" s="6" t="s">
        <v>4</v>
      </c>
      <c r="L46" s="6" t="s">
        <v>5</v>
      </c>
      <c r="M46" s="6" t="s">
        <v>6</v>
      </c>
      <c r="N46" s="10" t="s">
        <v>7</v>
      </c>
      <c r="O46" s="10" t="s">
        <v>8</v>
      </c>
      <c r="P46" s="6" t="s">
        <v>9</v>
      </c>
    </row>
    <row r="47" spans="2:16" x14ac:dyDescent="0.3">
      <c r="B47" s="11" t="s">
        <v>10</v>
      </c>
      <c r="C47" s="11">
        <v>6.65</v>
      </c>
      <c r="D47" s="12">
        <v>6.0000000000000001E-3</v>
      </c>
      <c r="E47" s="13">
        <v>1.8251700497679098E-2</v>
      </c>
      <c r="F47" s="13">
        <v>0</v>
      </c>
      <c r="G47" s="13"/>
      <c r="H47" s="14">
        <v>40</v>
      </c>
      <c r="I47" s="19">
        <f>D47*0.30923+E47*0.25935+0.005*H47</f>
        <v>0.20658895852407308</v>
      </c>
      <c r="J47" s="15">
        <v>0.01</v>
      </c>
      <c r="K47" s="16">
        <f>C$47/(J47+I$47*(1-J47))</f>
        <v>30.998997137674436</v>
      </c>
      <c r="L47" s="16">
        <f>C$48/(J47+I$48*(1-J47))</f>
        <v>0.48772793313464824</v>
      </c>
      <c r="M47" s="16">
        <f t="shared" ref="M47" si="28">K47/L47</f>
        <v>63.557969580381751</v>
      </c>
      <c r="N47" s="17">
        <f t="shared" ref="N47" si="29">C$4-K47*J47</f>
        <v>6.3400100286232561</v>
      </c>
      <c r="O47" s="17">
        <f t="shared" ref="O47" si="30">C$5-L47*J47</f>
        <v>0.45512272066865356</v>
      </c>
      <c r="P47" s="17">
        <f t="shared" ref="P47" si="31">N47/O47</f>
        <v>13.930330745317859</v>
      </c>
    </row>
    <row r="48" spans="2:16" x14ac:dyDescent="0.3">
      <c r="B48" s="13" t="s">
        <v>12</v>
      </c>
      <c r="C48" s="11">
        <v>0.46</v>
      </c>
      <c r="D48" s="13">
        <v>7.0000000000000007E-2</v>
      </c>
      <c r="E48" s="13">
        <v>8.0695641696411399E-2</v>
      </c>
      <c r="F48" s="13">
        <v>0</v>
      </c>
      <c r="G48" s="13"/>
      <c r="H48" s="14">
        <v>180</v>
      </c>
      <c r="I48" s="19">
        <f>D48*0.30923+E48*0.25935+0.005*H48</f>
        <v>0.94257451467396436</v>
      </c>
      <c r="J48" s="15">
        <v>0.02</v>
      </c>
      <c r="K48" s="16">
        <f t="shared" ref="K48:K56" si="32">C$47/(J48+I$47*(1-J48))</f>
        <v>29.893393503070303</v>
      </c>
      <c r="L48" s="16">
        <f t="shared" ref="L48:L56" si="33">C$48/(J48+I$48*(1-J48))</f>
        <v>0.48743115100107992</v>
      </c>
      <c r="M48" s="16">
        <f t="shared" ref="M48:M56" si="34">K48/L48</f>
        <v>61.328442881985751</v>
      </c>
      <c r="N48" s="17">
        <f t="shared" ref="N48:N56" si="35">C$4-K48*J48</f>
        <v>6.0521321299385944</v>
      </c>
      <c r="O48" s="17">
        <f t="shared" ref="O48:O56" si="36">C$5-L48*J48</f>
        <v>0.45025137697997841</v>
      </c>
      <c r="P48" s="17">
        <f t="shared" ref="P48:P56" si="37">N48/O48</f>
        <v>13.441673783504537</v>
      </c>
    </row>
    <row r="49" spans="2:16" x14ac:dyDescent="0.3">
      <c r="B49" s="20"/>
      <c r="C49" s="20"/>
      <c r="D49" s="20"/>
      <c r="E49" s="20"/>
      <c r="F49" s="20"/>
      <c r="G49" s="20"/>
      <c r="H49" s="20"/>
      <c r="I49" s="20"/>
      <c r="J49" s="15">
        <v>0.03</v>
      </c>
      <c r="K49" s="16">
        <f t="shared" si="32"/>
        <v>28.863938418359073</v>
      </c>
      <c r="L49" s="16">
        <f t="shared" si="33"/>
        <v>0.48713472983134004</v>
      </c>
      <c r="M49" s="16">
        <f t="shared" si="34"/>
        <v>59.252475035710539</v>
      </c>
      <c r="N49" s="17">
        <f t="shared" si="35"/>
        <v>5.7840818474492277</v>
      </c>
      <c r="O49" s="17">
        <f t="shared" si="36"/>
        <v>0.44538595810505982</v>
      </c>
      <c r="P49" s="17">
        <f t="shared" si="37"/>
        <v>12.986673113939641</v>
      </c>
    </row>
    <row r="50" spans="2:16" x14ac:dyDescent="0.3">
      <c r="B50" s="20"/>
      <c r="C50" s="20"/>
      <c r="D50" s="20"/>
      <c r="E50" s="20"/>
      <c r="F50" s="20"/>
      <c r="G50" s="20"/>
      <c r="H50" s="20"/>
      <c r="I50" s="20"/>
      <c r="J50" s="15">
        <v>0.04</v>
      </c>
      <c r="K50" s="16">
        <f t="shared" si="32"/>
        <v>27.903026680709118</v>
      </c>
      <c r="L50" s="16">
        <f t="shared" si="33"/>
        <v>0.48683866896729078</v>
      </c>
      <c r="M50" s="16">
        <f t="shared" si="34"/>
        <v>57.314729620591905</v>
      </c>
      <c r="N50" s="17">
        <f t="shared" si="35"/>
        <v>5.5338789327716356</v>
      </c>
      <c r="O50" s="17">
        <f t="shared" si="36"/>
        <v>0.4405264532413084</v>
      </c>
      <c r="P50" s="17">
        <f t="shared" si="37"/>
        <v>12.561967373478767</v>
      </c>
    </row>
    <row r="51" spans="2:16" x14ac:dyDescent="0.3">
      <c r="B51" s="20"/>
      <c r="C51" s="20"/>
      <c r="D51" s="20"/>
      <c r="E51" s="20"/>
      <c r="F51" s="20"/>
      <c r="G51" s="20"/>
      <c r="H51" s="20"/>
      <c r="I51" s="20"/>
      <c r="J51" s="15">
        <v>0.05</v>
      </c>
      <c r="K51" s="16">
        <f t="shared" si="32"/>
        <v>27.00403319999749</v>
      </c>
      <c r="L51" s="16">
        <f t="shared" si="33"/>
        <v>0.48654296775239342</v>
      </c>
      <c r="M51" s="16">
        <f t="shared" si="34"/>
        <v>55.501846681175572</v>
      </c>
      <c r="N51" s="17">
        <f t="shared" si="35"/>
        <v>5.2997983400001258</v>
      </c>
      <c r="O51" s="17">
        <f t="shared" si="36"/>
        <v>0.43567285161238034</v>
      </c>
      <c r="P51" s="17">
        <f t="shared" si="37"/>
        <v>12.164628391202523</v>
      </c>
    </row>
    <row r="52" spans="2:16" x14ac:dyDescent="0.3">
      <c r="B52" s="20"/>
      <c r="C52" s="20"/>
      <c r="D52" s="20"/>
      <c r="E52" s="20"/>
      <c r="F52" s="20"/>
      <c r="G52" s="20"/>
      <c r="H52" s="20"/>
      <c r="I52" s="20"/>
      <c r="J52" s="15">
        <v>0.06</v>
      </c>
      <c r="K52" s="16">
        <f t="shared" si="32"/>
        <v>26.161160038196318</v>
      </c>
      <c r="L52" s="16">
        <f t="shared" si="33"/>
        <v>0.48624762553170309</v>
      </c>
      <c r="M52" s="16">
        <f t="shared" si="34"/>
        <v>53.802134271791161</v>
      </c>
      <c r="N52" s="17">
        <f t="shared" si="35"/>
        <v>5.080330397708221</v>
      </c>
      <c r="O52" s="17">
        <f t="shared" si="36"/>
        <v>0.43082514246809783</v>
      </c>
      <c r="P52" s="17">
        <f t="shared" si="37"/>
        <v>11.792093582570832</v>
      </c>
    </row>
    <row r="53" spans="2:16" x14ac:dyDescent="0.3">
      <c r="B53" s="20"/>
      <c r="C53" s="20"/>
      <c r="D53" s="20"/>
      <c r="E53" s="20"/>
      <c r="F53" s="20"/>
      <c r="G53" s="20"/>
      <c r="H53" s="20"/>
      <c r="I53" s="20"/>
      <c r="J53" s="15">
        <v>7.0000000000000007E-2</v>
      </c>
      <c r="K53" s="16">
        <f t="shared" si="32"/>
        <v>25.369311227729131</v>
      </c>
      <c r="L53" s="16">
        <f t="shared" si="33"/>
        <v>0.48595264165186453</v>
      </c>
      <c r="M53" s="16">
        <f t="shared" si="34"/>
        <v>52.205316019052844</v>
      </c>
      <c r="N53" s="17">
        <f t="shared" si="35"/>
        <v>4.8741482140589607</v>
      </c>
      <c r="O53" s="17">
        <f t="shared" si="36"/>
        <v>0.42598331508436948</v>
      </c>
      <c r="P53" s="17">
        <f t="shared" si="37"/>
        <v>11.442110621383366</v>
      </c>
    </row>
    <row r="54" spans="2:16" x14ac:dyDescent="0.3">
      <c r="B54" s="20"/>
      <c r="C54" s="20"/>
      <c r="D54" s="20"/>
      <c r="E54" s="20"/>
      <c r="F54" s="20"/>
      <c r="G54" s="20"/>
      <c r="H54" s="20"/>
      <c r="I54" s="20"/>
      <c r="J54" s="15">
        <v>0.08</v>
      </c>
      <c r="K54" s="16">
        <f t="shared" si="32"/>
        <v>24.623989655995032</v>
      </c>
      <c r="L54" s="16">
        <f t="shared" si="33"/>
        <v>0.48565801546110671</v>
      </c>
      <c r="M54" s="16">
        <f t="shared" si="34"/>
        <v>50.702323182323781</v>
      </c>
      <c r="N54" s="17">
        <f t="shared" si="35"/>
        <v>4.6800808275203973</v>
      </c>
      <c r="O54" s="17">
        <f t="shared" si="36"/>
        <v>0.42114735876311149</v>
      </c>
      <c r="P54" s="17">
        <f t="shared" si="37"/>
        <v>11.112691864590005</v>
      </c>
    </row>
    <row r="55" spans="2:16" x14ac:dyDescent="0.3">
      <c r="B55" s="21"/>
      <c r="C55" s="21"/>
      <c r="D55" s="21"/>
      <c r="E55" s="21"/>
      <c r="F55" s="21"/>
      <c r="G55" s="21"/>
      <c r="H55" s="21"/>
      <c r="I55" s="21"/>
      <c r="J55" s="15">
        <v>0.09</v>
      </c>
      <c r="K55" s="16">
        <f t="shared" si="32"/>
        <v>23.921211607622563</v>
      </c>
      <c r="L55" s="16">
        <f t="shared" si="33"/>
        <v>0.48536374630923851</v>
      </c>
      <c r="M55" s="16">
        <f t="shared" si="34"/>
        <v>49.285122322221625</v>
      </c>
      <c r="N55" s="17">
        <f t="shared" si="35"/>
        <v>4.4970909553139702</v>
      </c>
      <c r="O55" s="17">
        <f t="shared" si="36"/>
        <v>0.41631726283216858</v>
      </c>
      <c r="P55" s="17">
        <f t="shared" si="37"/>
        <v>10.802076581501012</v>
      </c>
    </row>
    <row r="56" spans="2:16" x14ac:dyDescent="0.3">
      <c r="B56" s="58"/>
      <c r="C56" s="58"/>
      <c r="D56" s="58"/>
      <c r="E56" s="58"/>
      <c r="F56" s="58"/>
      <c r="G56" s="58"/>
      <c r="H56" s="58"/>
      <c r="I56" s="58"/>
      <c r="J56" s="60">
        <v>0.1</v>
      </c>
      <c r="K56" s="60">
        <f t="shared" si="32"/>
        <v>23.257435534633562</v>
      </c>
      <c r="L56" s="60">
        <f t="shared" si="33"/>
        <v>0.48506983354764349</v>
      </c>
      <c r="M56" s="60">
        <f t="shared" si="34"/>
        <v>47.946571660695156</v>
      </c>
      <c r="N56" s="60">
        <f t="shared" si="35"/>
        <v>4.3242564465366442</v>
      </c>
      <c r="O56" s="60">
        <f t="shared" si="36"/>
        <v>0.41149301664523569</v>
      </c>
      <c r="P56" s="60">
        <f t="shared" si="37"/>
        <v>10.508699471477922</v>
      </c>
    </row>
    <row r="60" spans="2:16" ht="70" x14ac:dyDescent="0.3">
      <c r="B60" s="10"/>
      <c r="C60" s="10" t="s">
        <v>65</v>
      </c>
      <c r="D60" s="8" t="s">
        <v>2</v>
      </c>
      <c r="E60" s="9" t="s">
        <v>56</v>
      </c>
      <c r="F60" s="9" t="s">
        <v>58</v>
      </c>
      <c r="G60" s="9"/>
      <c r="H60" s="9" t="s">
        <v>59</v>
      </c>
      <c r="I60" s="8" t="s">
        <v>71</v>
      </c>
      <c r="J60" s="8" t="s">
        <v>3</v>
      </c>
      <c r="K60" s="6" t="s">
        <v>4</v>
      </c>
      <c r="L60" s="6" t="s">
        <v>5</v>
      </c>
      <c r="M60" s="6" t="s">
        <v>6</v>
      </c>
      <c r="N60" s="10" t="s">
        <v>7</v>
      </c>
      <c r="O60" s="10" t="s">
        <v>8</v>
      </c>
      <c r="P60" s="6" t="s">
        <v>9</v>
      </c>
    </row>
    <row r="61" spans="2:16" x14ac:dyDescent="0.3">
      <c r="B61" s="11" t="s">
        <v>10</v>
      </c>
      <c r="C61" s="11">
        <v>6.65</v>
      </c>
      <c r="D61" s="12">
        <v>6.0000000000000001E-3</v>
      </c>
      <c r="E61" s="13">
        <v>1.8251700497679098E-2</v>
      </c>
      <c r="F61" s="13">
        <v>0</v>
      </c>
      <c r="G61" s="13"/>
      <c r="H61" s="14">
        <v>40</v>
      </c>
      <c r="I61" s="19">
        <f>D61*0.3069+E61*0.2574+0.01*H61</f>
        <v>0.40653938770810261</v>
      </c>
      <c r="J61" s="15">
        <v>0.01</v>
      </c>
      <c r="K61" s="16">
        <f>C$61/(J61+I$61*(1-J61))</f>
        <v>16.122228551272759</v>
      </c>
      <c r="L61" s="16">
        <f>C$62/(J61+I$62*(1-J61))</f>
        <v>0.25084092818095605</v>
      </c>
      <c r="M61" s="16">
        <f t="shared" ref="M61" si="38">K61/L61</f>
        <v>64.272719241583346</v>
      </c>
      <c r="N61" s="17">
        <f t="shared" ref="N61" si="39">C$4-K61*J61</f>
        <v>6.4887777144872727</v>
      </c>
      <c r="O61" s="17">
        <f t="shared" ref="O61" si="40">C$5-L61*J61</f>
        <v>0.45749159071819046</v>
      </c>
      <c r="P61" s="17">
        <f t="shared" ref="P61" si="41">N61/O61</f>
        <v>14.183381391340776</v>
      </c>
    </row>
    <row r="62" spans="2:16" x14ac:dyDescent="0.3">
      <c r="B62" s="13" t="s">
        <v>12</v>
      </c>
      <c r="C62" s="11">
        <v>0.46</v>
      </c>
      <c r="D62" s="13">
        <v>7.0000000000000007E-2</v>
      </c>
      <c r="E62" s="13">
        <v>8.0695641696411399E-2</v>
      </c>
      <c r="F62" s="13">
        <v>0</v>
      </c>
      <c r="G62" s="13"/>
      <c r="H62" s="14">
        <v>180</v>
      </c>
      <c r="I62" s="19">
        <f>D62*0.3069+E62*0.2574+0.01*H62</f>
        <v>1.8422540581726563</v>
      </c>
      <c r="J62" s="15">
        <v>0.02</v>
      </c>
      <c r="K62" s="16">
        <f t="shared" ref="K62:K70" si="42">C$61/(J62+I$61*(1-J62))</f>
        <v>15.893554770939335</v>
      </c>
      <c r="L62" s="16">
        <f t="shared" ref="L62:L70" si="43">C$62/(J62+I$62*(1-J62))</f>
        <v>0.25199832245466208</v>
      </c>
      <c r="M62" s="16">
        <f t="shared" ref="M62:M70" si="44">K62/L62</f>
        <v>63.070081642304586</v>
      </c>
      <c r="N62" s="17">
        <f t="shared" ref="N62:N70" si="45">C$4-K62*J62</f>
        <v>6.3321289045812135</v>
      </c>
      <c r="O62" s="17">
        <f t="shared" ref="O62:O70" si="46">C$5-L62*J62</f>
        <v>0.45496003355090675</v>
      </c>
      <c r="P62" s="17">
        <f t="shared" ref="P62:P70" si="47">N62/O62</f>
        <v>13.91798935647101</v>
      </c>
    </row>
    <row r="63" spans="2:16" x14ac:dyDescent="0.3">
      <c r="B63" s="20"/>
      <c r="C63" s="20"/>
      <c r="D63" s="20"/>
      <c r="E63" s="20"/>
      <c r="F63" s="20"/>
      <c r="G63" s="20"/>
      <c r="H63" s="20"/>
      <c r="I63" s="20"/>
      <c r="J63" s="15">
        <v>0.03</v>
      </c>
      <c r="K63" s="16">
        <f t="shared" si="42"/>
        <v>15.671277175568857</v>
      </c>
      <c r="L63" s="16">
        <f t="shared" si="43"/>
        <v>0.25316644680322603</v>
      </c>
      <c r="M63" s="16">
        <f t="shared" si="44"/>
        <v>61.901082759791542</v>
      </c>
      <c r="N63" s="17">
        <f t="shared" si="45"/>
        <v>6.1798616847329351</v>
      </c>
      <c r="O63" s="17">
        <f t="shared" si="46"/>
        <v>0.45240500659590321</v>
      </c>
      <c r="P63" s="17">
        <f t="shared" si="47"/>
        <v>13.66002054493819</v>
      </c>
    </row>
    <row r="64" spans="2:16" x14ac:dyDescent="0.3">
      <c r="B64" s="20"/>
      <c r="C64" s="20"/>
      <c r="D64" s="20"/>
      <c r="E64" s="20"/>
      <c r="F64" s="20"/>
      <c r="G64" s="20"/>
      <c r="H64" s="20"/>
      <c r="I64" s="20"/>
      <c r="J64" s="15">
        <v>0.04</v>
      </c>
      <c r="K64" s="16">
        <f t="shared" si="42"/>
        <v>15.455131107044856</v>
      </c>
      <c r="L64" s="16">
        <f t="shared" si="43"/>
        <v>0.25434545113756535</v>
      </c>
      <c r="M64" s="16">
        <f t="shared" si="44"/>
        <v>60.764330708182356</v>
      </c>
      <c r="N64" s="17">
        <f t="shared" si="45"/>
        <v>6.0317947557182059</v>
      </c>
      <c r="O64" s="17">
        <f t="shared" si="46"/>
        <v>0.44982618195449742</v>
      </c>
      <c r="P64" s="17">
        <f t="shared" si="47"/>
        <v>13.409167802349836</v>
      </c>
    </row>
    <row r="65" spans="2:16" x14ac:dyDescent="0.3">
      <c r="B65" s="20"/>
      <c r="C65" s="20"/>
      <c r="D65" s="20"/>
      <c r="E65" s="20"/>
      <c r="F65" s="20"/>
      <c r="G65" s="20"/>
      <c r="H65" s="20"/>
      <c r="I65" s="20"/>
      <c r="J65" s="15">
        <v>0.05</v>
      </c>
      <c r="K65" s="16">
        <f t="shared" si="42"/>
        <v>15.244866309790659</v>
      </c>
      <c r="L65" s="16">
        <f t="shared" si="43"/>
        <v>0.25553548817422322</v>
      </c>
      <c r="M65" s="16">
        <f t="shared" si="44"/>
        <v>59.658509347229142</v>
      </c>
      <c r="N65" s="17">
        <f t="shared" si="45"/>
        <v>5.8877566845104674</v>
      </c>
      <c r="O65" s="17">
        <f t="shared" si="46"/>
        <v>0.44722322559128885</v>
      </c>
      <c r="P65" s="17">
        <f t="shared" si="47"/>
        <v>13.165140689475745</v>
      </c>
    </row>
    <row r="66" spans="2:16" x14ac:dyDescent="0.3">
      <c r="B66" s="20"/>
      <c r="C66" s="20"/>
      <c r="D66" s="20"/>
      <c r="E66" s="20"/>
      <c r="F66" s="20"/>
      <c r="G66" s="20"/>
      <c r="H66" s="20"/>
      <c r="I66" s="20"/>
      <c r="J66" s="15">
        <v>0.06</v>
      </c>
      <c r="K66" s="16">
        <f t="shared" si="42"/>
        <v>15.040245964197238</v>
      </c>
      <c r="L66" s="16">
        <f t="shared" si="43"/>
        <v>0.25673671350131244</v>
      </c>
      <c r="M66" s="16">
        <f t="shared" si="44"/>
        <v>58.582373198916684</v>
      </c>
      <c r="N66" s="17">
        <f t="shared" si="45"/>
        <v>5.7475852421481664</v>
      </c>
      <c r="O66" s="17">
        <f t="shared" si="46"/>
        <v>0.44459579718992126</v>
      </c>
      <c r="P66" s="17">
        <f t="shared" si="47"/>
        <v>12.927664360472864</v>
      </c>
    </row>
    <row r="67" spans="2:16" x14ac:dyDescent="0.3">
      <c r="B67" s="20"/>
      <c r="C67" s="20"/>
      <c r="D67" s="20"/>
      <c r="E67" s="20"/>
      <c r="F67" s="20"/>
      <c r="G67" s="20"/>
      <c r="H67" s="20"/>
      <c r="I67" s="20"/>
      <c r="J67" s="15">
        <v>7.0000000000000007E-2</v>
      </c>
      <c r="K67" s="16">
        <f t="shared" si="42"/>
        <v>14.841045796861479</v>
      </c>
      <c r="L67" s="16">
        <f t="shared" si="43"/>
        <v>0.2579492856463278</v>
      </c>
      <c r="M67" s="16">
        <f t="shared" si="44"/>
        <v>57.534742768041305</v>
      </c>
      <c r="N67" s="17">
        <f t="shared" si="45"/>
        <v>5.6111267942196967</v>
      </c>
      <c r="O67" s="17">
        <f t="shared" si="46"/>
        <v>0.44194355000475705</v>
      </c>
      <c r="P67" s="17">
        <f t="shared" si="47"/>
        <v>12.696478530254144</v>
      </c>
    </row>
    <row r="68" spans="2:16" x14ac:dyDescent="0.3">
      <c r="B68" s="20"/>
      <c r="C68" s="20"/>
      <c r="D68" s="20"/>
      <c r="E68" s="20"/>
      <c r="F68" s="20"/>
      <c r="G68" s="20"/>
      <c r="H68" s="20"/>
      <c r="I68" s="20"/>
      <c r="J68" s="15">
        <v>0.08</v>
      </c>
      <c r="K68" s="16">
        <f t="shared" si="42"/>
        <v>14.64705326060681</v>
      </c>
      <c r="L68" s="16">
        <f t="shared" si="43"/>
        <v>0.25917336614588882</v>
      </c>
      <c r="M68" s="16">
        <f t="shared" si="44"/>
        <v>56.514500229788183</v>
      </c>
      <c r="N68" s="17">
        <f t="shared" si="45"/>
        <v>5.4782357391514553</v>
      </c>
      <c r="O68" s="17">
        <f t="shared" si="46"/>
        <v>0.43926613070832893</v>
      </c>
      <c r="P68" s="17">
        <f t="shared" si="47"/>
        <v>12.471336522844698</v>
      </c>
    </row>
    <row r="69" spans="2:16" x14ac:dyDescent="0.3">
      <c r="B69" s="21"/>
      <c r="C69" s="21"/>
      <c r="D69" s="21"/>
      <c r="E69" s="21"/>
      <c r="F69" s="21"/>
      <c r="G69" s="21"/>
      <c r="H69" s="21"/>
      <c r="I69" s="21"/>
      <c r="J69" s="15">
        <v>0.09</v>
      </c>
      <c r="K69" s="16">
        <f t="shared" si="42"/>
        <v>14.458066777983495</v>
      </c>
      <c r="L69" s="16">
        <f t="shared" si="43"/>
        <v>0.26040911961747887</v>
      </c>
      <c r="M69" s="16">
        <f t="shared" si="44"/>
        <v>55.520585451159668</v>
      </c>
      <c r="N69" s="17">
        <f t="shared" si="45"/>
        <v>5.3487739899814857</v>
      </c>
      <c r="O69" s="17">
        <f t="shared" si="46"/>
        <v>0.43656317923442695</v>
      </c>
      <c r="P69" s="17">
        <f t="shared" si="47"/>
        <v>12.252004393410571</v>
      </c>
    </row>
    <row r="70" spans="2:16" x14ac:dyDescent="0.3">
      <c r="B70" s="58"/>
      <c r="C70" s="58"/>
      <c r="D70" s="58"/>
      <c r="E70" s="58"/>
      <c r="F70" s="58"/>
      <c r="G70" s="58"/>
      <c r="H70" s="58"/>
      <c r="I70" s="58"/>
      <c r="J70" s="60">
        <v>0.1</v>
      </c>
      <c r="K70" s="60">
        <f t="shared" si="42"/>
        <v>14.273895042588212</v>
      </c>
      <c r="L70" s="60">
        <f t="shared" si="43"/>
        <v>0.26165671383324512</v>
      </c>
      <c r="M70" s="60">
        <f t="shared" si="44"/>
        <v>54.551992316486185</v>
      </c>
      <c r="N70" s="60">
        <f t="shared" si="45"/>
        <v>5.2226104957411792</v>
      </c>
      <c r="O70" s="60">
        <f t="shared" si="46"/>
        <v>0.43383432861667548</v>
      </c>
      <c r="P70" s="60">
        <f t="shared" si="47"/>
        <v>12.038260117390893</v>
      </c>
    </row>
    <row r="71" spans="2:16" x14ac:dyDescent="0.3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2" spans="2:16" ht="16" x14ac:dyDescent="0.3">
      <c r="B72" s="25" t="s">
        <v>55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</row>
    <row r="73" spans="2:16" ht="16" x14ac:dyDescent="0.3">
      <c r="B73" s="24" t="s">
        <v>57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</row>
    <row r="74" spans="2:16" ht="16" x14ac:dyDescent="0.3">
      <c r="B74" s="24" t="s">
        <v>60</v>
      </c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</row>
    <row r="75" spans="2:16" ht="16" x14ac:dyDescent="0.3">
      <c r="B75" s="24" t="s">
        <v>61</v>
      </c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</row>
    <row r="76" spans="2:16" x14ac:dyDescent="0.3"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</row>
    <row r="77" spans="2:16" x14ac:dyDescent="0.3">
      <c r="B77" s="54" t="s">
        <v>48</v>
      </c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</row>
    <row r="78" spans="2:16" x14ac:dyDescent="0.3">
      <c r="B78" s="25" t="s">
        <v>63</v>
      </c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</row>
    <row r="79" spans="2:16" x14ac:dyDescent="0.3">
      <c r="B79" s="25" t="s">
        <v>62</v>
      </c>
      <c r="C79" s="55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</row>
    <row r="80" spans="2:16" x14ac:dyDescent="0.3">
      <c r="B80" s="24" t="s">
        <v>64</v>
      </c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</row>
    <row r="81" spans="2:16" x14ac:dyDescent="0.3"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</row>
  </sheetData>
  <mergeCells count="4">
    <mergeCell ref="D2:H2"/>
    <mergeCell ref="D16:H16"/>
    <mergeCell ref="D31:H31"/>
    <mergeCell ref="D45:H45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10"/>
  <sheetViews>
    <sheetView topLeftCell="A82" zoomScaleNormal="100" workbookViewId="0">
      <selection activeCell="D98" sqref="D98"/>
    </sheetView>
  </sheetViews>
  <sheetFormatPr defaultRowHeight="14" x14ac:dyDescent="0.3"/>
  <cols>
    <col min="1" max="3" width="8.6640625" style="22"/>
    <col min="4" max="4" width="24.08203125" style="29" customWidth="1"/>
    <col min="5" max="5" width="25.25" style="29" customWidth="1"/>
    <col min="6" max="6" width="23.08203125" style="29" customWidth="1"/>
    <col min="7" max="7" width="31.6640625" style="29" customWidth="1"/>
    <col min="8" max="8" width="29.5" style="29" customWidth="1"/>
    <col min="9" max="9" width="24.33203125" style="29" customWidth="1"/>
    <col min="10" max="10" width="27.75" style="29" customWidth="1"/>
    <col min="11" max="11" width="26.6640625" style="29" customWidth="1"/>
    <col min="12" max="12" width="10.9140625" style="29" bestFit="1" customWidth="1"/>
    <col min="13" max="13" width="9.9140625" style="29" bestFit="1" customWidth="1"/>
  </cols>
  <sheetData>
    <row r="1" spans="4:11" ht="20.5" customHeight="1" thickBot="1" x14ac:dyDescent="0.35">
      <c r="D1" s="107" t="s">
        <v>164</v>
      </c>
      <c r="E1" s="107"/>
      <c r="F1" s="107"/>
      <c r="G1" s="107"/>
      <c r="H1" s="107"/>
      <c r="I1" s="107"/>
      <c r="J1" s="107"/>
      <c r="K1" s="107"/>
    </row>
    <row r="2" spans="4:11" ht="16" customHeight="1" x14ac:dyDescent="0.3">
      <c r="D2" s="1"/>
      <c r="E2" s="2"/>
      <c r="F2" s="104" t="s">
        <v>33</v>
      </c>
      <c r="G2" s="105"/>
      <c r="H2" s="105"/>
      <c r="I2" s="106"/>
      <c r="J2" s="27" t="s">
        <v>24</v>
      </c>
      <c r="K2" s="108" t="s">
        <v>32</v>
      </c>
    </row>
    <row r="3" spans="4:11" ht="14" customHeight="1" x14ac:dyDescent="0.3">
      <c r="D3" s="34"/>
      <c r="E3" s="110" t="s">
        <v>25</v>
      </c>
      <c r="F3" s="111" t="s">
        <v>26</v>
      </c>
      <c r="G3" s="113" t="s">
        <v>27</v>
      </c>
      <c r="H3" s="113" t="s">
        <v>28</v>
      </c>
      <c r="I3" s="114" t="s">
        <v>29</v>
      </c>
      <c r="J3" s="116" t="s">
        <v>30</v>
      </c>
      <c r="K3" s="109"/>
    </row>
    <row r="4" spans="4:11" x14ac:dyDescent="0.3">
      <c r="D4" s="34"/>
      <c r="E4" s="110"/>
      <c r="F4" s="112"/>
      <c r="G4" s="110"/>
      <c r="H4" s="110"/>
      <c r="I4" s="115"/>
      <c r="J4" s="116"/>
      <c r="K4" s="109"/>
    </row>
    <row r="5" spans="4:11" x14ac:dyDescent="0.3">
      <c r="D5" s="31" t="s">
        <v>10</v>
      </c>
      <c r="E5" s="31">
        <v>0.65800000000000003</v>
      </c>
      <c r="F5" s="31">
        <v>0.03</v>
      </c>
      <c r="G5" s="31">
        <v>2.0000000000000001E-4</v>
      </c>
      <c r="H5" s="31">
        <v>8.0000000000000004E-4</v>
      </c>
      <c r="I5" s="31">
        <v>1E-4</v>
      </c>
      <c r="J5" s="31">
        <f t="shared" ref="J5:J6" si="0">0.115*F5+0.598*G5+0.076*H5+0.211*I5</f>
        <v>3.6515000000000002E-3</v>
      </c>
      <c r="K5" s="33">
        <f t="shared" ref="K5:K6" si="1">E5*J5/(0.3+(1-0.3)*J5)</f>
        <v>7.9412955054113128E-3</v>
      </c>
    </row>
    <row r="6" spans="4:11" ht="14.5" thickBot="1" x14ac:dyDescent="0.35">
      <c r="D6" s="35" t="s">
        <v>31</v>
      </c>
      <c r="E6" s="35">
        <v>3.6999999999999998E-2</v>
      </c>
      <c r="F6" s="35">
        <v>3.2000000000000001E-2</v>
      </c>
      <c r="G6" s="35">
        <v>6.9999999999999994E-5</v>
      </c>
      <c r="H6" s="35">
        <v>1.4E-2</v>
      </c>
      <c r="I6" s="35">
        <v>2.0000000000000001E-4</v>
      </c>
      <c r="J6" s="35">
        <f t="shared" si="0"/>
        <v>4.8280600000000003E-3</v>
      </c>
      <c r="K6" s="36">
        <f t="shared" si="1"/>
        <v>5.8882731491917309E-4</v>
      </c>
    </row>
    <row r="7" spans="4:11" x14ac:dyDescent="0.3">
      <c r="D7" s="23" t="s">
        <v>45</v>
      </c>
      <c r="E7" s="30"/>
      <c r="F7" s="30"/>
      <c r="G7" s="30"/>
      <c r="H7" s="30"/>
      <c r="I7" s="30"/>
      <c r="J7" s="30"/>
      <c r="K7" s="32"/>
    </row>
    <row r="8" spans="4:11" x14ac:dyDescent="0.3">
      <c r="D8" s="23" t="s">
        <v>53</v>
      </c>
      <c r="E8" s="30"/>
      <c r="F8" s="30"/>
      <c r="G8" s="30"/>
      <c r="H8" s="30"/>
      <c r="I8" s="30"/>
      <c r="J8" s="30"/>
      <c r="K8" s="32"/>
    </row>
    <row r="9" spans="4:11" x14ac:dyDescent="0.3">
      <c r="D9" s="23"/>
      <c r="E9" s="44"/>
      <c r="F9" s="44"/>
      <c r="G9" s="44"/>
      <c r="H9" s="44"/>
      <c r="I9" s="44"/>
      <c r="J9" s="44"/>
      <c r="K9" s="44"/>
    </row>
    <row r="10" spans="4:11" x14ac:dyDescent="0.3">
      <c r="D10" s="44"/>
      <c r="E10" s="44"/>
      <c r="F10" s="44"/>
      <c r="G10" s="44"/>
      <c r="H10" s="44"/>
      <c r="I10" s="44"/>
      <c r="J10" s="44"/>
      <c r="K10" s="44"/>
    </row>
    <row r="11" spans="4:11" ht="14.5" thickBot="1" x14ac:dyDescent="0.35">
      <c r="D11" s="44"/>
      <c r="E11" s="44"/>
      <c r="F11" s="44"/>
      <c r="G11" s="44"/>
      <c r="H11" s="44"/>
      <c r="I11" s="44"/>
      <c r="J11" s="44"/>
      <c r="K11" s="44"/>
    </row>
    <row r="12" spans="4:11" ht="58.5" thickBot="1" x14ac:dyDescent="0.35">
      <c r="D12" s="43" t="s">
        <v>38</v>
      </c>
      <c r="E12" s="43" t="s">
        <v>39</v>
      </c>
      <c r="F12" s="43" t="s">
        <v>46</v>
      </c>
      <c r="G12" s="43" t="s">
        <v>47</v>
      </c>
      <c r="H12" s="43" t="s">
        <v>34</v>
      </c>
      <c r="I12" s="43" t="s">
        <v>21</v>
      </c>
      <c r="J12" s="43" t="s">
        <v>23</v>
      </c>
      <c r="K12" s="43" t="s">
        <v>22</v>
      </c>
    </row>
    <row r="13" spans="4:11" x14ac:dyDescent="0.3">
      <c r="D13" s="46">
        <f>0.95*K5+0.05*118.46</f>
        <v>5.930544230730141</v>
      </c>
      <c r="E13" s="46">
        <f>0.95*K6+0.05*2</f>
        <v>0.10055938594917321</v>
      </c>
      <c r="F13" s="46">
        <v>5.3877097199481055E-3</v>
      </c>
      <c r="G13" s="46">
        <v>2.1797569744618661E-2</v>
      </c>
      <c r="H13" s="45">
        <v>1E-3</v>
      </c>
      <c r="I13" s="37">
        <f t="shared" ref="I13:I23" si="2">D$13/(H13+F$13*(1-H13))</f>
        <v>929.2141984102326</v>
      </c>
      <c r="J13" s="37">
        <f t="shared" ref="J13:J23" si="3">E$13/(H13+G$13*(1-H13))</f>
        <v>4.4151910713310141</v>
      </c>
      <c r="K13" s="37">
        <f>I13/J13</f>
        <v>210.45843393819635</v>
      </c>
    </row>
    <row r="14" spans="4:11" x14ac:dyDescent="0.3">
      <c r="D14" s="46"/>
      <c r="E14" s="46"/>
      <c r="F14" s="46"/>
      <c r="G14" s="46"/>
      <c r="H14" s="45">
        <v>6.0000000000000001E-3</v>
      </c>
      <c r="I14" s="37">
        <f t="shared" si="2"/>
        <v>522.26719166026942</v>
      </c>
      <c r="J14" s="37">
        <f t="shared" si="3"/>
        <v>3.6346611432584663</v>
      </c>
      <c r="K14" s="37">
        <f t="shared" ref="K14:K23" si="4">I14/J14</f>
        <v>143.69075164791235</v>
      </c>
    </row>
    <row r="15" spans="4:11" x14ac:dyDescent="0.3">
      <c r="D15" s="46"/>
      <c r="E15" s="46"/>
      <c r="F15" s="46"/>
      <c r="G15" s="46"/>
      <c r="H15" s="45">
        <v>1.0999999999999999E-2</v>
      </c>
      <c r="I15" s="37">
        <f t="shared" si="2"/>
        <v>363.20324821612888</v>
      </c>
      <c r="J15" s="37">
        <f t="shared" si="3"/>
        <v>3.0886422555927733</v>
      </c>
      <c r="K15" s="37">
        <f t="shared" si="4"/>
        <v>117.59317465739417</v>
      </c>
    </row>
    <row r="16" spans="4:11" x14ac:dyDescent="0.3">
      <c r="D16" s="46"/>
      <c r="E16" s="46"/>
      <c r="F16" s="46"/>
      <c r="G16" s="46"/>
      <c r="H16" s="45">
        <v>1.6E-2</v>
      </c>
      <c r="I16" s="37">
        <f t="shared" si="2"/>
        <v>278.40961710733598</v>
      </c>
      <c r="J16" s="37">
        <f t="shared" si="3"/>
        <v>2.6852492677722668</v>
      </c>
      <c r="K16" s="37">
        <f t="shared" si="4"/>
        <v>103.68110716898541</v>
      </c>
    </row>
    <row r="17" spans="4:12" x14ac:dyDescent="0.3">
      <c r="D17" s="46"/>
      <c r="E17" s="46"/>
      <c r="F17" s="46"/>
      <c r="G17" s="46"/>
      <c r="H17" s="45">
        <v>2.1000000000000001E-2</v>
      </c>
      <c r="I17" s="37">
        <f t="shared" si="2"/>
        <v>225.71424475181152</v>
      </c>
      <c r="J17" s="37">
        <f t="shared" si="3"/>
        <v>2.3750545962801488</v>
      </c>
      <c r="K17" s="37">
        <f t="shared" si="4"/>
        <v>95.035392072809202</v>
      </c>
    </row>
    <row r="18" spans="4:12" x14ac:dyDescent="0.3">
      <c r="D18" s="46"/>
      <c r="E18" s="46"/>
      <c r="F18" s="46"/>
      <c r="G18" s="46"/>
      <c r="H18" s="45">
        <v>2.5999999999999999E-2</v>
      </c>
      <c r="I18" s="37">
        <f t="shared" si="2"/>
        <v>189.79181364487457</v>
      </c>
      <c r="J18" s="37">
        <f t="shared" si="3"/>
        <v>2.1291046485572447</v>
      </c>
      <c r="K18" s="37">
        <f t="shared" si="4"/>
        <v>89.141608785403804</v>
      </c>
    </row>
    <row r="19" spans="4:12" x14ac:dyDescent="0.3">
      <c r="D19" s="46"/>
      <c r="E19" s="46"/>
      <c r="F19" s="46"/>
      <c r="G19" s="46"/>
      <c r="H19" s="45">
        <v>3.1E-2</v>
      </c>
      <c r="I19" s="37">
        <f t="shared" si="2"/>
        <v>163.73360399998754</v>
      </c>
      <c r="J19" s="37">
        <f t="shared" si="3"/>
        <v>1.9293136263679151</v>
      </c>
      <c r="K19" s="37">
        <f t="shared" si="4"/>
        <v>84.866245571607209</v>
      </c>
    </row>
    <row r="20" spans="4:12" x14ac:dyDescent="0.3">
      <c r="D20" s="46"/>
      <c r="E20" s="46"/>
      <c r="F20" s="46"/>
      <c r="G20" s="46"/>
      <c r="H20" s="45">
        <v>3.5999999999999997E-2</v>
      </c>
      <c r="I20" s="37">
        <f t="shared" si="2"/>
        <v>143.96708040217902</v>
      </c>
      <c r="J20" s="37">
        <f t="shared" si="3"/>
        <v>1.7638019006269845</v>
      </c>
      <c r="K20" s="37">
        <f t="shared" si="4"/>
        <v>81.623157538838441</v>
      </c>
    </row>
    <row r="21" spans="4:12" x14ac:dyDescent="0.3">
      <c r="D21" s="46"/>
      <c r="E21" s="46"/>
      <c r="F21" s="46"/>
      <c r="G21" s="46"/>
      <c r="H21" s="45">
        <v>4.1000000000000002E-2</v>
      </c>
      <c r="I21" s="37">
        <f t="shared" si="2"/>
        <v>128.45903291833929</v>
      </c>
      <c r="J21" s="37">
        <f t="shared" si="3"/>
        <v>1.6244442705772901</v>
      </c>
      <c r="K21" s="37">
        <f t="shared" si="4"/>
        <v>79.078756498484182</v>
      </c>
    </row>
    <row r="22" spans="4:12" x14ac:dyDescent="0.3">
      <c r="D22" s="46"/>
      <c r="E22" s="46"/>
      <c r="F22" s="46"/>
      <c r="G22" s="46"/>
      <c r="H22" s="45">
        <v>4.5999999999999999E-2</v>
      </c>
      <c r="I22" s="37">
        <f t="shared" si="2"/>
        <v>115.96712393771394</v>
      </c>
      <c r="J22" s="37">
        <f t="shared" si="3"/>
        <v>1.5054953858167122</v>
      </c>
      <c r="K22" s="37">
        <f t="shared" si="4"/>
        <v>77.029212464044349</v>
      </c>
    </row>
    <row r="23" spans="4:12" ht="14.5" thickBot="1" x14ac:dyDescent="0.35">
      <c r="D23" s="50"/>
      <c r="E23" s="50"/>
      <c r="F23" s="50"/>
      <c r="G23" s="50"/>
      <c r="H23" s="51">
        <v>5.0999999999999997E-2</v>
      </c>
      <c r="I23" s="52">
        <f t="shared" si="2"/>
        <v>105.68942917769429</v>
      </c>
      <c r="J23" s="52">
        <f t="shared" si="3"/>
        <v>1.402777879666822</v>
      </c>
      <c r="K23" s="52">
        <f t="shared" si="4"/>
        <v>75.342953941358772</v>
      </c>
    </row>
    <row r="24" spans="4:12" x14ac:dyDescent="0.3">
      <c r="D24" s="25" t="s">
        <v>35</v>
      </c>
      <c r="E24" s="44"/>
      <c r="F24" s="44"/>
      <c r="G24" s="44"/>
      <c r="H24" s="44"/>
      <c r="I24" s="44"/>
      <c r="J24" s="44"/>
      <c r="K24" s="44"/>
    </row>
    <row r="25" spans="4:12" x14ac:dyDescent="0.3">
      <c r="D25" s="44"/>
      <c r="E25" s="44"/>
      <c r="F25" s="44"/>
      <c r="G25" s="44"/>
      <c r="H25" s="44"/>
      <c r="I25" s="44"/>
      <c r="J25" s="44"/>
      <c r="K25" s="44"/>
    </row>
    <row r="26" spans="4:12" x14ac:dyDescent="0.3">
      <c r="D26" s="44"/>
      <c r="E26" s="44"/>
      <c r="F26" s="44"/>
      <c r="G26" s="44"/>
      <c r="H26" s="44"/>
      <c r="I26" s="44"/>
      <c r="J26" s="44"/>
      <c r="K26" s="44"/>
    </row>
    <row r="27" spans="4:12" ht="14.5" thickBot="1" x14ac:dyDescent="0.35">
      <c r="D27" s="23"/>
      <c r="E27" s="44"/>
      <c r="F27" s="44"/>
      <c r="G27" s="44"/>
      <c r="H27" s="44"/>
      <c r="I27" s="44"/>
      <c r="J27" s="44"/>
      <c r="K27" s="44"/>
    </row>
    <row r="28" spans="4:12" ht="97.5" customHeight="1" thickBot="1" x14ac:dyDescent="0.35">
      <c r="D28" s="43" t="s">
        <v>36</v>
      </c>
      <c r="E28" s="43" t="s">
        <v>37</v>
      </c>
      <c r="F28" s="43" t="s">
        <v>46</v>
      </c>
      <c r="G28" s="43" t="s">
        <v>47</v>
      </c>
      <c r="H28" s="43" t="s">
        <v>34</v>
      </c>
      <c r="I28" s="43" t="s">
        <v>21</v>
      </c>
      <c r="J28" s="43" t="s">
        <v>23</v>
      </c>
      <c r="K28" s="43" t="s">
        <v>22</v>
      </c>
    </row>
    <row r="29" spans="4:12" x14ac:dyDescent="0.3">
      <c r="D29" s="37">
        <f>0.95*K5+0.05*14.27</f>
        <v>0.72104423073014079</v>
      </c>
      <c r="E29" s="37">
        <f>0.95*K6+0.05*0.26</f>
        <v>1.3559385949173216E-2</v>
      </c>
      <c r="F29" s="46">
        <v>5.3877097199481055E-3</v>
      </c>
      <c r="G29" s="46">
        <v>2.1797569744618661E-2</v>
      </c>
      <c r="H29" s="28">
        <v>1E-3</v>
      </c>
      <c r="I29" s="42">
        <f t="shared" ref="I29:I39" si="5">D$29/(H29+F$29*(1-H29))</f>
        <v>112.97521961045095</v>
      </c>
      <c r="J29" s="42">
        <f t="shared" ref="J29:J39" si="6">E$29/(H29+G$29*(1-H29))</f>
        <v>0.59534253526349235</v>
      </c>
      <c r="K29" s="42">
        <f t="shared" ref="K29:K39" si="7">I29/J29</f>
        <v>189.7650729095802</v>
      </c>
      <c r="L29" s="29">
        <f>H29*100</f>
        <v>0.1</v>
      </c>
    </row>
    <row r="30" spans="4:12" x14ac:dyDescent="0.3">
      <c r="D30" s="39"/>
      <c r="E30" s="39"/>
      <c r="F30" s="38"/>
      <c r="G30" s="38"/>
      <c r="H30" s="28">
        <v>6.0000000000000001E-3</v>
      </c>
      <c r="I30" s="42">
        <f t="shared" si="5"/>
        <v>63.498008074025854</v>
      </c>
      <c r="J30" s="42">
        <f t="shared" si="6"/>
        <v>0.49009620306168855</v>
      </c>
      <c r="K30" s="42">
        <f t="shared" si="7"/>
        <v>129.56233424651393</v>
      </c>
      <c r="L30" s="29">
        <f t="shared" ref="L30:L39" si="8">H30*100</f>
        <v>0.6</v>
      </c>
    </row>
    <row r="31" spans="4:12" x14ac:dyDescent="0.3">
      <c r="D31" s="38"/>
      <c r="E31" s="38"/>
      <c r="F31" s="38"/>
      <c r="G31" s="38"/>
      <c r="H31" s="28">
        <v>1.0999999999999999E-2</v>
      </c>
      <c r="I31" s="42">
        <f t="shared" si="5"/>
        <v>44.158781474334425</v>
      </c>
      <c r="J31" s="42">
        <f t="shared" si="6"/>
        <v>0.41647124241266958</v>
      </c>
      <c r="K31" s="42">
        <f t="shared" si="7"/>
        <v>106.03080591715559</v>
      </c>
      <c r="L31" s="29">
        <f t="shared" si="8"/>
        <v>1.0999999999999999</v>
      </c>
    </row>
    <row r="32" spans="4:12" x14ac:dyDescent="0.3">
      <c r="D32" s="38"/>
      <c r="E32" s="38"/>
      <c r="F32" s="40"/>
      <c r="G32" s="38"/>
      <c r="H32" s="28">
        <v>1.6E-2</v>
      </c>
      <c r="I32" s="42">
        <f t="shared" si="5"/>
        <v>33.849447940179559</v>
      </c>
      <c r="J32" s="42">
        <f t="shared" si="6"/>
        <v>0.36207789902239657</v>
      </c>
      <c r="K32" s="42">
        <f t="shared" si="7"/>
        <v>93.486644811993287</v>
      </c>
      <c r="L32" s="29">
        <f t="shared" si="8"/>
        <v>1.6</v>
      </c>
    </row>
    <row r="33" spans="4:12" x14ac:dyDescent="0.3">
      <c r="D33" s="38"/>
      <c r="E33" s="38"/>
      <c r="F33" s="40"/>
      <c r="G33" s="38"/>
      <c r="H33" s="28">
        <v>2.1000000000000001E-2</v>
      </c>
      <c r="I33" s="42">
        <f t="shared" si="5"/>
        <v>27.442667593403591</v>
      </c>
      <c r="J33" s="42">
        <f t="shared" si="6"/>
        <v>0.32025137800262288</v>
      </c>
      <c r="K33" s="42">
        <f t="shared" si="7"/>
        <v>85.69102111148085</v>
      </c>
      <c r="L33" s="29">
        <f t="shared" si="8"/>
        <v>2.1</v>
      </c>
    </row>
    <row r="34" spans="4:12" x14ac:dyDescent="0.3">
      <c r="D34" s="38"/>
      <c r="E34" s="38"/>
      <c r="F34" s="40"/>
      <c r="G34" s="38"/>
      <c r="H34" s="28">
        <v>2.5999999999999999E-2</v>
      </c>
      <c r="I34" s="42">
        <f t="shared" si="5"/>
        <v>23.07516594503144</v>
      </c>
      <c r="J34" s="42">
        <f t="shared" si="6"/>
        <v>0.28708758892539599</v>
      </c>
      <c r="K34" s="42">
        <f t="shared" si="7"/>
        <v>80.376745060295406</v>
      </c>
      <c r="L34" s="29">
        <f t="shared" si="8"/>
        <v>2.6</v>
      </c>
    </row>
    <row r="35" spans="4:12" x14ac:dyDescent="0.3">
      <c r="D35" s="38"/>
      <c r="E35" s="38"/>
      <c r="F35" s="40"/>
      <c r="G35" s="38"/>
      <c r="H35" s="28">
        <v>3.1E-2</v>
      </c>
      <c r="I35" s="42">
        <f t="shared" si="5"/>
        <v>19.906970751368902</v>
      </c>
      <c r="J35" s="42">
        <f t="shared" si="6"/>
        <v>0.2601478502478527</v>
      </c>
      <c r="K35" s="42">
        <f t="shared" si="7"/>
        <v>76.521757655897517</v>
      </c>
      <c r="L35" s="29">
        <f t="shared" si="8"/>
        <v>3.1</v>
      </c>
    </row>
    <row r="36" spans="4:12" x14ac:dyDescent="0.3">
      <c r="D36" s="38"/>
      <c r="E36" s="38"/>
      <c r="F36" s="40"/>
      <c r="G36" s="38"/>
      <c r="H36" s="28">
        <v>3.5999999999999997E-2</v>
      </c>
      <c r="I36" s="42">
        <f t="shared" si="5"/>
        <v>17.503727938013085</v>
      </c>
      <c r="J36" s="42">
        <f t="shared" si="6"/>
        <v>0.23783031770475108</v>
      </c>
      <c r="K36" s="42">
        <f t="shared" si="7"/>
        <v>73.597546801172257</v>
      </c>
      <c r="L36" s="29">
        <f t="shared" si="8"/>
        <v>3.5999999999999996</v>
      </c>
    </row>
    <row r="37" spans="4:12" x14ac:dyDescent="0.3">
      <c r="D37" s="38"/>
      <c r="E37" s="38"/>
      <c r="F37" s="40"/>
      <c r="G37" s="38"/>
      <c r="H37" s="28">
        <v>4.1000000000000002E-2</v>
      </c>
      <c r="I37" s="42">
        <f t="shared" si="5"/>
        <v>15.618236871245502</v>
      </c>
      <c r="J37" s="42">
        <f t="shared" si="6"/>
        <v>0.21903939259149521</v>
      </c>
      <c r="K37" s="42">
        <f t="shared" si="7"/>
        <v>71.30332442243963</v>
      </c>
      <c r="L37" s="29">
        <f t="shared" si="8"/>
        <v>4.1000000000000005</v>
      </c>
    </row>
    <row r="38" spans="4:12" x14ac:dyDescent="0.3">
      <c r="D38" s="38"/>
      <c r="E38" s="38"/>
      <c r="F38" s="41"/>
      <c r="G38" s="38"/>
      <c r="H38" s="28">
        <v>4.5999999999999999E-2</v>
      </c>
      <c r="I38" s="42">
        <f t="shared" si="5"/>
        <v>14.099452329581775</v>
      </c>
      <c r="J38" s="42">
        <f t="shared" si="6"/>
        <v>0.20300037423961689</v>
      </c>
      <c r="K38" s="42">
        <f t="shared" si="7"/>
        <v>69.455302151015303</v>
      </c>
      <c r="L38" s="29">
        <f t="shared" si="8"/>
        <v>4.5999999999999996</v>
      </c>
    </row>
    <row r="39" spans="4:12" ht="14.5" thickBot="1" x14ac:dyDescent="0.35">
      <c r="D39" s="47"/>
      <c r="E39" s="47"/>
      <c r="F39" s="47"/>
      <c r="G39" s="47"/>
      <c r="H39" s="48">
        <v>5.0999999999999997E-2</v>
      </c>
      <c r="I39" s="49">
        <f t="shared" si="5"/>
        <v>12.849875187315828</v>
      </c>
      <c r="J39" s="49">
        <f t="shared" si="6"/>
        <v>0.18914998825648346</v>
      </c>
      <c r="K39" s="49">
        <f t="shared" si="7"/>
        <v>67.934845282103126</v>
      </c>
      <c r="L39" s="29">
        <f t="shared" si="8"/>
        <v>5.0999999999999996</v>
      </c>
    </row>
    <row r="40" spans="4:12" x14ac:dyDescent="0.3">
      <c r="D40" s="25" t="s">
        <v>35</v>
      </c>
      <c r="E40" s="44"/>
      <c r="F40" s="44"/>
      <c r="G40" s="44"/>
      <c r="H40" s="44"/>
      <c r="I40" s="44"/>
      <c r="J40" s="44"/>
      <c r="K40" s="44"/>
    </row>
    <row r="41" spans="4:12" x14ac:dyDescent="0.3">
      <c r="D41" s="25"/>
      <c r="E41" s="44"/>
      <c r="F41" s="44"/>
      <c r="G41" s="44"/>
      <c r="H41" s="44"/>
      <c r="I41" s="44"/>
      <c r="J41" s="44"/>
      <c r="K41" s="44"/>
    </row>
    <row r="42" spans="4:12" ht="14.5" thickBot="1" x14ac:dyDescent="0.35">
      <c r="D42" s="44"/>
      <c r="E42" s="44"/>
      <c r="F42" s="44"/>
      <c r="G42" s="44"/>
      <c r="H42" s="44"/>
      <c r="I42" s="44"/>
      <c r="J42" s="44"/>
      <c r="K42" s="44"/>
    </row>
    <row r="43" spans="4:12" ht="58.5" thickBot="1" x14ac:dyDescent="0.35">
      <c r="D43" s="43" t="s">
        <v>41</v>
      </c>
      <c r="E43" s="43" t="s">
        <v>40</v>
      </c>
      <c r="F43" s="43" t="s">
        <v>46</v>
      </c>
      <c r="G43" s="43" t="s">
        <v>47</v>
      </c>
      <c r="H43" s="43" t="s">
        <v>20</v>
      </c>
      <c r="I43" s="43" t="s">
        <v>21</v>
      </c>
      <c r="J43" s="43" t="s">
        <v>23</v>
      </c>
      <c r="K43" s="43" t="s">
        <v>22</v>
      </c>
    </row>
    <row r="44" spans="4:12" x14ac:dyDescent="0.3">
      <c r="D44" s="53">
        <f>0.95*K5+0.05*4.69</f>
        <v>0.24204423073014078</v>
      </c>
      <c r="E44" s="46">
        <f>0.95*K6+0.19*0.067</f>
        <v>1.3289385949173217E-2</v>
      </c>
      <c r="F44" s="46">
        <v>5.3877097199481055E-3</v>
      </c>
      <c r="G44" s="46">
        <v>2.1797569744618661E-2</v>
      </c>
      <c r="H44" s="45">
        <v>1E-3</v>
      </c>
      <c r="I44" s="37">
        <f t="shared" ref="I44:I54" si="9">D$44/(H44+F$44*(1-H44))</f>
        <v>37.924164644505005</v>
      </c>
      <c r="J44" s="37">
        <f t="shared" ref="J44:J54" si="10">E$44/(H44+G$44*(1-H44))</f>
        <v>0.58348783291017936</v>
      </c>
      <c r="K44" s="37">
        <f>I44/J44</f>
        <v>64.995639164155378</v>
      </c>
    </row>
    <row r="45" spans="4:12" x14ac:dyDescent="0.3">
      <c r="D45" s="37"/>
      <c r="E45" s="37"/>
      <c r="F45" s="46"/>
      <c r="G45" s="46"/>
      <c r="H45" s="45">
        <v>6.0000000000000001E-3</v>
      </c>
      <c r="I45" s="37">
        <f t="shared" si="9"/>
        <v>21.315372708288134</v>
      </c>
      <c r="J45" s="37">
        <f t="shared" si="10"/>
        <v>0.48033720841969857</v>
      </c>
      <c r="K45" s="37">
        <f t="shared" ref="K45:K54" si="11">I45/J45</f>
        <v>44.375851661409605</v>
      </c>
    </row>
    <row r="46" spans="4:12" x14ac:dyDescent="0.3">
      <c r="D46" s="37"/>
      <c r="E46" s="37"/>
      <c r="F46" s="37"/>
      <c r="G46" s="37"/>
      <c r="H46" s="45">
        <v>1.0999999999999999E-2</v>
      </c>
      <c r="I46" s="37">
        <f t="shared" si="9"/>
        <v>14.823471066556412</v>
      </c>
      <c r="J46" s="37">
        <f t="shared" si="10"/>
        <v>0.40817829788900722</v>
      </c>
      <c r="K46" s="37">
        <f t="shared" si="11"/>
        <v>36.316166594891442</v>
      </c>
    </row>
    <row r="47" spans="4:12" x14ac:dyDescent="0.3">
      <c r="D47" s="37"/>
      <c r="E47" s="37"/>
      <c r="F47" s="37"/>
      <c r="G47" s="37"/>
      <c r="H47" s="45">
        <v>1.6E-2</v>
      </c>
      <c r="I47" s="37">
        <f t="shared" si="9"/>
        <v>11.362775316882134</v>
      </c>
      <c r="J47" s="37">
        <f t="shared" si="10"/>
        <v>0.35486805684351769</v>
      </c>
      <c r="K47" s="37">
        <f t="shared" si="11"/>
        <v>32.019718590486306</v>
      </c>
    </row>
    <row r="48" spans="4:12" x14ac:dyDescent="0.3">
      <c r="D48" s="37"/>
      <c r="E48" s="37"/>
      <c r="F48" s="37"/>
      <c r="G48" s="37"/>
      <c r="H48" s="45">
        <v>2.1000000000000001E-2</v>
      </c>
      <c r="I48" s="37">
        <f t="shared" si="9"/>
        <v>9.2121108300141277</v>
      </c>
      <c r="J48" s="37">
        <f t="shared" si="10"/>
        <v>0.31387440249762366</v>
      </c>
      <c r="K48" s="37">
        <f t="shared" si="11"/>
        <v>29.349672215095246</v>
      </c>
    </row>
    <row r="49" spans="4:11" x14ac:dyDescent="0.3">
      <c r="D49" s="37"/>
      <c r="E49" s="37"/>
      <c r="F49" s="37"/>
      <c r="G49" s="37"/>
      <c r="H49" s="45">
        <v>2.5999999999999999E-2</v>
      </c>
      <c r="I49" s="37">
        <f t="shared" si="9"/>
        <v>7.7460030218670557</v>
      </c>
      <c r="J49" s="37">
        <f t="shared" si="10"/>
        <v>0.28137098425757301</v>
      </c>
      <c r="K49" s="37">
        <f t="shared" si="11"/>
        <v>27.529501815212754</v>
      </c>
    </row>
    <row r="50" spans="4:11" x14ac:dyDescent="0.3">
      <c r="D50" s="37"/>
      <c r="E50" s="37"/>
      <c r="F50" s="37"/>
      <c r="G50" s="37"/>
      <c r="H50" s="45">
        <v>3.1E-2</v>
      </c>
      <c r="I50" s="37">
        <f t="shared" si="9"/>
        <v>6.6824852295168409</v>
      </c>
      <c r="J50" s="37">
        <f t="shared" si="10"/>
        <v>0.25496768059782493</v>
      </c>
      <c r="K50" s="37">
        <f t="shared" si="11"/>
        <v>26.209146248843616</v>
      </c>
    </row>
    <row r="51" spans="4:11" x14ac:dyDescent="0.3">
      <c r="D51" s="37"/>
      <c r="E51" s="37"/>
      <c r="F51" s="37"/>
      <c r="G51" s="37"/>
      <c r="H51" s="45">
        <v>3.5999999999999997E-2</v>
      </c>
      <c r="I51" s="37">
        <f t="shared" si="9"/>
        <v>5.8757510054215754</v>
      </c>
      <c r="J51" s="37">
        <f t="shared" si="10"/>
        <v>0.23309454382671657</v>
      </c>
      <c r="K51" s="37">
        <f t="shared" si="11"/>
        <v>25.207587054416994</v>
      </c>
    </row>
    <row r="52" spans="4:11" x14ac:dyDescent="0.3">
      <c r="D52" s="37"/>
      <c r="E52" s="37"/>
      <c r="F52" s="37"/>
      <c r="G52" s="37"/>
      <c r="H52" s="45">
        <v>4.1000000000000002E-2</v>
      </c>
      <c r="I52" s="37">
        <f t="shared" si="9"/>
        <v>5.2428186340715088</v>
      </c>
      <c r="J52" s="37">
        <f t="shared" si="10"/>
        <v>0.21467779124602207</v>
      </c>
      <c r="K52" s="37">
        <f t="shared" si="11"/>
        <v>24.421802570454091</v>
      </c>
    </row>
    <row r="53" spans="4:11" x14ac:dyDescent="0.3">
      <c r="D53" s="37"/>
      <c r="E53" s="37"/>
      <c r="F53" s="37"/>
      <c r="G53" s="37"/>
      <c r="H53" s="45">
        <v>4.5999999999999999E-2</v>
      </c>
      <c r="I53" s="37">
        <f t="shared" si="9"/>
        <v>4.7329843959422115</v>
      </c>
      <c r="J53" s="37">
        <f t="shared" si="10"/>
        <v>0.19895814834161901</v>
      </c>
      <c r="K53" s="37">
        <f t="shared" si="11"/>
        <v>23.788844213686037</v>
      </c>
    </row>
    <row r="54" spans="4:11" ht="14.5" thickBot="1" x14ac:dyDescent="0.35">
      <c r="D54" s="52"/>
      <c r="E54" s="52"/>
      <c r="F54" s="52"/>
      <c r="G54" s="52"/>
      <c r="H54" s="51">
        <v>5.0999999999999997E-2</v>
      </c>
      <c r="I54" s="52">
        <f t="shared" si="9"/>
        <v>4.3135192296632159</v>
      </c>
      <c r="J54" s="52">
        <f t="shared" si="10"/>
        <v>0.18538355686934793</v>
      </c>
      <c r="K54" s="52">
        <f t="shared" si="11"/>
        <v>23.268078908979174</v>
      </c>
    </row>
    <row r="55" spans="4:11" x14ac:dyDescent="0.3">
      <c r="D55" s="25" t="s">
        <v>84</v>
      </c>
      <c r="E55" s="44"/>
      <c r="F55" s="44"/>
      <c r="G55" s="44"/>
      <c r="H55" s="44"/>
      <c r="I55" s="44"/>
      <c r="J55" s="44"/>
      <c r="K55" s="44"/>
    </row>
    <row r="56" spans="4:11" x14ac:dyDescent="0.3">
      <c r="D56" s="44"/>
      <c r="E56" s="44"/>
      <c r="F56" s="44"/>
      <c r="G56" s="44"/>
      <c r="H56" s="44"/>
      <c r="I56" s="44"/>
      <c r="J56" s="44"/>
      <c r="K56" s="44"/>
    </row>
    <row r="57" spans="4:11" ht="14.5" thickBot="1" x14ac:dyDescent="0.35">
      <c r="D57" s="25"/>
      <c r="E57" s="44"/>
      <c r="F57" s="44"/>
      <c r="G57" s="44"/>
      <c r="H57" s="44"/>
      <c r="I57" s="44"/>
      <c r="J57" s="44"/>
      <c r="K57" s="44"/>
    </row>
    <row r="58" spans="4:11" ht="58.5" thickBot="1" x14ac:dyDescent="0.35">
      <c r="D58" s="43" t="s">
        <v>41</v>
      </c>
      <c r="E58" s="43" t="s">
        <v>40</v>
      </c>
      <c r="F58" s="43" t="s">
        <v>46</v>
      </c>
      <c r="G58" s="43" t="s">
        <v>47</v>
      </c>
      <c r="H58" s="43" t="s">
        <v>20</v>
      </c>
      <c r="I58" s="43" t="s">
        <v>21</v>
      </c>
      <c r="J58" s="43" t="s">
        <v>23</v>
      </c>
      <c r="K58" s="43" t="s">
        <v>22</v>
      </c>
    </row>
    <row r="59" spans="4:11" x14ac:dyDescent="0.3">
      <c r="D59" s="53">
        <f>0.95*K5+0.05*1.26</f>
        <v>7.0544230730140753E-2</v>
      </c>
      <c r="E59" s="46">
        <f>0.95*K6+0.05*0.0187</f>
        <v>1.4943859491732144E-3</v>
      </c>
      <c r="F59" s="46">
        <v>5.3877097199481055E-3</v>
      </c>
      <c r="G59" s="46">
        <v>2.1797569744618661E-2</v>
      </c>
      <c r="H59" s="45">
        <v>1E-3</v>
      </c>
      <c r="I59" s="37">
        <f>D$59/(H59+F$59*(1-H59))</f>
        <v>11.053066676530619</v>
      </c>
      <c r="J59" s="37">
        <f>E$59/(H59+G$59*(1-H59))</f>
        <v>6.5612965290450312E-2</v>
      </c>
      <c r="K59" s="37">
        <f>I59/J59</f>
        <v>168.45857564281349</v>
      </c>
    </row>
    <row r="60" spans="4:11" x14ac:dyDescent="0.3">
      <c r="D60" s="37"/>
      <c r="E60" s="37"/>
      <c r="F60" s="37"/>
      <c r="G60" s="37"/>
      <c r="H60" s="45">
        <v>6.0000000000000001E-3</v>
      </c>
      <c r="I60" s="37">
        <f t="shared" ref="I60:I69" si="12">D$59/(H60+F$59*(1-H60))</f>
        <v>6.2124040961294291</v>
      </c>
      <c r="J60" s="37">
        <f t="shared" ref="J60:J69" si="13">E$59/(H60+G$59*(1-H60))</f>
        <v>5.4013720263135334E-2</v>
      </c>
      <c r="K60" s="37">
        <f t="shared" ref="K60:K69" si="14">I60/J60</f>
        <v>115.01529733306353</v>
      </c>
    </row>
    <row r="61" spans="4:11" x14ac:dyDescent="0.3">
      <c r="D61" s="37"/>
      <c r="E61" s="37"/>
      <c r="F61" s="37"/>
      <c r="G61" s="37"/>
      <c r="H61" s="45">
        <v>1.0999999999999999E-2</v>
      </c>
      <c r="I61" s="37">
        <f t="shared" si="12"/>
        <v>4.3203275698258699</v>
      </c>
      <c r="J61" s="37">
        <f t="shared" si="13"/>
        <v>4.5899480642348264E-2</v>
      </c>
      <c r="K61" s="37">
        <f t="shared" si="14"/>
        <v>94.125848688575431</v>
      </c>
    </row>
    <row r="62" spans="4:11" x14ac:dyDescent="0.3">
      <c r="D62" s="37"/>
      <c r="E62" s="37"/>
      <c r="F62" s="37"/>
      <c r="G62" s="37"/>
      <c r="H62" s="45">
        <v>1.6E-2</v>
      </c>
      <c r="I62" s="37">
        <f t="shared" si="12"/>
        <v>3.3117015070794005</v>
      </c>
      <c r="J62" s="37">
        <f t="shared" si="13"/>
        <v>3.9904766103233458E-2</v>
      </c>
      <c r="K62" s="37">
        <f t="shared" si="14"/>
        <v>82.990124500718608</v>
      </c>
    </row>
    <row r="63" spans="4:11" x14ac:dyDescent="0.3">
      <c r="D63" s="37"/>
      <c r="E63" s="37"/>
      <c r="F63" s="37"/>
      <c r="G63" s="37"/>
      <c r="H63" s="45">
        <v>2.1000000000000001E-2</v>
      </c>
      <c r="I63" s="37">
        <f t="shared" si="12"/>
        <v>2.6848864356064182</v>
      </c>
      <c r="J63" s="37">
        <f t="shared" si="13"/>
        <v>3.5295046640342942E-2</v>
      </c>
      <c r="K63" s="37">
        <f t="shared" si="14"/>
        <v>76.069780073262166</v>
      </c>
    </row>
    <row r="64" spans="4:11" x14ac:dyDescent="0.3">
      <c r="D64" s="37"/>
      <c r="E64" s="37"/>
      <c r="F64" s="37"/>
      <c r="G64" s="37"/>
      <c r="H64" s="45">
        <v>2.5999999999999999E-2</v>
      </c>
      <c r="I64" s="37">
        <f t="shared" si="12"/>
        <v>2.257586651673543</v>
      </c>
      <c r="J64" s="37">
        <f t="shared" si="13"/>
        <v>3.1640050713232108E-2</v>
      </c>
      <c r="K64" s="37">
        <f t="shared" si="14"/>
        <v>71.352181832294065</v>
      </c>
    </row>
    <row r="65" spans="4:11" x14ac:dyDescent="0.3">
      <c r="D65" s="37"/>
      <c r="E65" s="37"/>
      <c r="F65" s="37"/>
      <c r="G65" s="37"/>
      <c r="H65" s="45">
        <v>3.1E-2</v>
      </c>
      <c r="I65" s="37">
        <f t="shared" si="12"/>
        <v>1.9476224591668847</v>
      </c>
      <c r="J65" s="37">
        <f t="shared" si="13"/>
        <v>2.8671010145685343E-2</v>
      </c>
      <c r="K65" s="37">
        <f t="shared" si="14"/>
        <v>67.930025809013202</v>
      </c>
    </row>
    <row r="66" spans="4:11" x14ac:dyDescent="0.3">
      <c r="D66" s="37"/>
      <c r="E66" s="37"/>
      <c r="F66" s="37"/>
      <c r="G66" s="37"/>
      <c r="H66" s="45">
        <v>3.5999999999999997E-2</v>
      </c>
      <c r="I66" s="37">
        <f t="shared" si="12"/>
        <v>1.7124983040866177</v>
      </c>
      <c r="J66" s="37">
        <f t="shared" si="13"/>
        <v>2.6211384969616027E-2</v>
      </c>
      <c r="K66" s="37">
        <f t="shared" si="14"/>
        <v>65.334140339082751</v>
      </c>
    </row>
    <row r="67" spans="4:11" x14ac:dyDescent="0.3">
      <c r="D67" s="37"/>
      <c r="E67" s="37"/>
      <c r="F67" s="37"/>
      <c r="G67" s="37"/>
      <c r="H67" s="45">
        <v>4.1000000000000002E-2</v>
      </c>
      <c r="I67" s="37">
        <f t="shared" si="12"/>
        <v>1.5280290147075417</v>
      </c>
      <c r="J67" s="37">
        <f t="shared" si="13"/>
        <v>2.4140428765074339E-2</v>
      </c>
      <c r="K67" s="37">
        <f t="shared" si="14"/>
        <v>63.2975093184032</v>
      </c>
    </row>
    <row r="68" spans="4:11" x14ac:dyDescent="0.3">
      <c r="D68" s="37"/>
      <c r="E68" s="37"/>
      <c r="F68" s="37"/>
      <c r="G68" s="37"/>
      <c r="H68" s="45">
        <v>4.5999999999999999E-2</v>
      </c>
      <c r="I68" s="37">
        <f t="shared" si="12"/>
        <v>1.3794368998687556</v>
      </c>
      <c r="J68" s="37">
        <f t="shared" si="13"/>
        <v>2.2372761427230051E-2</v>
      </c>
      <c r="K68" s="37">
        <f t="shared" si="14"/>
        <v>61.656979821446306</v>
      </c>
    </row>
    <row r="69" spans="4:11" ht="14.5" thickBot="1" x14ac:dyDescent="0.35">
      <c r="D69" s="50"/>
      <c r="E69" s="50"/>
      <c r="F69" s="50"/>
      <c r="G69" s="50"/>
      <c r="H69" s="51">
        <v>5.0999999999999997E-2</v>
      </c>
      <c r="I69" s="52">
        <f t="shared" si="12"/>
        <v>1.2571830151800782</v>
      </c>
      <c r="J69" s="52">
        <f t="shared" si="13"/>
        <v>2.0846304235038225E-2</v>
      </c>
      <c r="K69" s="52">
        <f t="shared" si="14"/>
        <v>60.307237244816747</v>
      </c>
    </row>
    <row r="70" spans="4:11" x14ac:dyDescent="0.3">
      <c r="D70" s="25" t="s">
        <v>84</v>
      </c>
      <c r="E70" s="44"/>
      <c r="F70" s="44"/>
      <c r="G70" s="44"/>
      <c r="H70" s="44"/>
      <c r="I70" s="44"/>
      <c r="J70" s="44"/>
      <c r="K70" s="44"/>
    </row>
    <row r="71" spans="4:11" x14ac:dyDescent="0.3">
      <c r="D71" s="44"/>
      <c r="E71" s="44"/>
      <c r="F71" s="44"/>
      <c r="G71" s="44"/>
      <c r="H71" s="44"/>
      <c r="I71" s="44"/>
      <c r="J71" s="44"/>
      <c r="K71" s="44"/>
    </row>
    <row r="72" spans="4:11" ht="14.5" thickBot="1" x14ac:dyDescent="0.35">
      <c r="D72" s="44"/>
      <c r="E72" s="44"/>
      <c r="F72" s="44"/>
      <c r="G72" s="44"/>
      <c r="H72" s="44"/>
      <c r="I72" s="44"/>
      <c r="J72" s="44"/>
      <c r="K72" s="44"/>
    </row>
    <row r="73" spans="4:11" ht="56.5" thickBot="1" x14ac:dyDescent="0.35">
      <c r="D73" s="43" t="s">
        <v>42</v>
      </c>
      <c r="E73" s="43" t="s">
        <v>43</v>
      </c>
      <c r="F73" s="43" t="s">
        <v>46</v>
      </c>
      <c r="G73" s="43" t="s">
        <v>47</v>
      </c>
      <c r="H73" s="43" t="s">
        <v>20</v>
      </c>
      <c r="I73" s="43" t="s">
        <v>21</v>
      </c>
      <c r="J73" s="43" t="s">
        <v>23</v>
      </c>
      <c r="K73" s="43" t="s">
        <v>22</v>
      </c>
    </row>
    <row r="74" spans="4:11" x14ac:dyDescent="0.3">
      <c r="D74" s="53">
        <v>7.9412955054113128E-3</v>
      </c>
      <c r="E74" s="53">
        <v>5.8882731491917309E-4</v>
      </c>
      <c r="F74" s="46">
        <v>5.3877097199481055E-3</v>
      </c>
      <c r="G74" s="46">
        <v>2.1797569744618661E-2</v>
      </c>
      <c r="H74" s="45">
        <v>1E-3</v>
      </c>
      <c r="I74" s="37">
        <f>D$74/(H74+F$74*(1-H74))</f>
        <v>1.2442643120614694</v>
      </c>
      <c r="J74" s="37">
        <f>E$74/(H74+G$74*(1-H74))</f>
        <v>2.5853231688397389E-2</v>
      </c>
      <c r="K74" s="37">
        <f>I74/J74</f>
        <v>48.127999124375613</v>
      </c>
    </row>
    <row r="75" spans="4:11" x14ac:dyDescent="0.3">
      <c r="D75" s="37"/>
      <c r="E75" s="37"/>
      <c r="F75" s="37"/>
      <c r="G75" s="37"/>
      <c r="H75" s="45">
        <v>6.0000000000000001E-3</v>
      </c>
      <c r="I75" s="37">
        <f t="shared" ref="I75:I84" si="15">D$74/(H75+F$74*(1-H75))</f>
        <v>0.69934190529506723</v>
      </c>
      <c r="J75" s="37">
        <f t="shared" ref="J75:J84" si="16">E$74/(H75+G$74*(1-H75))</f>
        <v>2.1282824486494697E-2</v>
      </c>
      <c r="K75" s="37">
        <f t="shared" ref="K75:K84" si="17">I75/J75</f>
        <v>32.859449916473444</v>
      </c>
    </row>
    <row r="76" spans="4:11" x14ac:dyDescent="0.3">
      <c r="D76" s="37"/>
      <c r="E76" s="37"/>
      <c r="F76" s="37"/>
      <c r="G76" s="37"/>
      <c r="H76" s="45">
        <v>1.0999999999999999E-2</v>
      </c>
      <c r="I76" s="37">
        <f t="shared" si="15"/>
        <v>0.48634732503368105</v>
      </c>
      <c r="J76" s="37">
        <f t="shared" si="16"/>
        <v>1.8085600950525135E-2</v>
      </c>
      <c r="K76" s="37">
        <f t="shared" si="17"/>
        <v>26.891410817043347</v>
      </c>
    </row>
    <row r="77" spans="4:11" x14ac:dyDescent="0.3">
      <c r="D77" s="37"/>
      <c r="E77" s="37"/>
      <c r="F77" s="37"/>
      <c r="G77" s="37"/>
      <c r="H77" s="45">
        <v>1.6E-2</v>
      </c>
      <c r="I77" s="37">
        <f t="shared" si="15"/>
        <v>0.37280440967650824</v>
      </c>
      <c r="J77" s="37">
        <f t="shared" si="16"/>
        <v>1.5723525967334326E-2</v>
      </c>
      <c r="K77" s="37">
        <f t="shared" si="17"/>
        <v>23.709975132232461</v>
      </c>
    </row>
    <row r="78" spans="4:11" x14ac:dyDescent="0.3">
      <c r="D78" s="37"/>
      <c r="E78" s="37"/>
      <c r="F78" s="37"/>
      <c r="G78" s="37"/>
      <c r="H78" s="45">
        <v>2.1000000000000001E-2</v>
      </c>
      <c r="I78" s="37">
        <f t="shared" si="15"/>
        <v>0.30224266907359193</v>
      </c>
      <c r="J78" s="37">
        <f t="shared" si="16"/>
        <v>1.3907175421903806E-2</v>
      </c>
      <c r="K78" s="37">
        <f t="shared" si="17"/>
        <v>21.732858032232745</v>
      </c>
    </row>
    <row r="79" spans="4:11" x14ac:dyDescent="0.3">
      <c r="D79" s="37"/>
      <c r="E79" s="37"/>
      <c r="F79" s="37"/>
      <c r="G79" s="37"/>
      <c r="H79" s="45">
        <v>2.5999999999999999E-2</v>
      </c>
      <c r="I79" s="37">
        <f t="shared" si="15"/>
        <v>0.25414073616585192</v>
      </c>
      <c r="J79" s="37">
        <f t="shared" si="16"/>
        <v>1.2467011025957837E-2</v>
      </c>
      <c r="K79" s="37">
        <f t="shared" si="17"/>
        <v>20.385057463789831</v>
      </c>
    </row>
    <row r="80" spans="4:11" x14ac:dyDescent="0.3">
      <c r="D80" s="37"/>
      <c r="E80" s="37"/>
      <c r="F80" s="37"/>
      <c r="G80" s="37"/>
      <c r="H80" s="45">
        <v>3.1E-2</v>
      </c>
      <c r="I80" s="37">
        <f t="shared" si="15"/>
        <v>0.21924748942810179</v>
      </c>
      <c r="J80" s="37">
        <f t="shared" si="16"/>
        <v>1.1297131058709817E-2</v>
      </c>
      <c r="K80" s="37">
        <f t="shared" si="17"/>
        <v>19.407360000401805</v>
      </c>
    </row>
    <row r="81" spans="4:11" x14ac:dyDescent="0.3">
      <c r="D81" s="37"/>
      <c r="E81" s="37"/>
      <c r="F81" s="37"/>
      <c r="G81" s="37"/>
      <c r="H81" s="45">
        <v>3.5999999999999997E-2</v>
      </c>
      <c r="I81" s="37">
        <f t="shared" si="15"/>
        <v>0.19277912516036616</v>
      </c>
      <c r="J81" s="37">
        <f t="shared" si="16"/>
        <v>1.0327974135805277E-2</v>
      </c>
      <c r="K81" s="37">
        <f t="shared" si="17"/>
        <v>18.6657250130047</v>
      </c>
    </row>
    <row r="82" spans="4:11" x14ac:dyDescent="0.3">
      <c r="D82" s="37"/>
      <c r="E82" s="37"/>
      <c r="F82" s="37"/>
      <c r="G82" s="37"/>
      <c r="H82" s="45">
        <v>4.1000000000000002E-2</v>
      </c>
      <c r="I82" s="37">
        <f t="shared" si="15"/>
        <v>0.1720130735148902</v>
      </c>
      <c r="J82" s="37">
        <f t="shared" si="16"/>
        <v>9.5119629963067078E-3</v>
      </c>
      <c r="K82" s="37">
        <f t="shared" si="17"/>
        <v>18.08386697695094</v>
      </c>
    </row>
    <row r="83" spans="4:11" x14ac:dyDescent="0.3">
      <c r="D83" s="37"/>
      <c r="E83" s="37"/>
      <c r="F83" s="37"/>
      <c r="G83" s="37"/>
      <c r="H83" s="45">
        <v>4.5999999999999999E-2</v>
      </c>
      <c r="I83" s="37">
        <f t="shared" si="15"/>
        <v>0.15528578226094164</v>
      </c>
      <c r="J83" s="37">
        <f t="shared" si="16"/>
        <v>8.8154556363512441E-3</v>
      </c>
      <c r="K83" s="37">
        <f t="shared" si="17"/>
        <v>17.615173697954777</v>
      </c>
    </row>
    <row r="84" spans="4:11" ht="14.5" thickBot="1" x14ac:dyDescent="0.35">
      <c r="D84" s="52"/>
      <c r="E84" s="52"/>
      <c r="F84" s="52"/>
      <c r="G84" s="52"/>
      <c r="H84" s="52">
        <v>5.0999999999999997E-2</v>
      </c>
      <c r="I84" s="52">
        <f t="shared" si="15"/>
        <v>0.14152343465364878</v>
      </c>
      <c r="J84" s="52">
        <f t="shared" si="16"/>
        <v>8.2139914093122685E-3</v>
      </c>
      <c r="K84" s="52">
        <f t="shared" si="17"/>
        <v>17.229557178888999</v>
      </c>
    </row>
    <row r="85" spans="4:11" x14ac:dyDescent="0.3">
      <c r="D85" s="25" t="s">
        <v>44</v>
      </c>
      <c r="E85" s="44"/>
      <c r="F85" s="44"/>
      <c r="G85" s="44"/>
      <c r="H85" s="44"/>
      <c r="I85" s="44"/>
      <c r="J85" s="44"/>
      <c r="K85" s="44"/>
    </row>
    <row r="86" spans="4:11" ht="14.5" thickBot="1" x14ac:dyDescent="0.35">
      <c r="D86" s="23"/>
      <c r="E86" s="44"/>
      <c r="F86" s="44"/>
      <c r="G86" s="44"/>
      <c r="H86" s="44"/>
      <c r="I86" s="44"/>
      <c r="J86" s="44"/>
      <c r="K86" s="44"/>
    </row>
    <row r="87" spans="4:11" ht="14.5" thickBot="1" x14ac:dyDescent="0.35">
      <c r="D87" s="73"/>
      <c r="E87" s="73" t="s">
        <v>73</v>
      </c>
      <c r="F87" s="73" t="s">
        <v>72</v>
      </c>
      <c r="G87" s="73" t="s">
        <v>82</v>
      </c>
      <c r="H87" s="44"/>
      <c r="I87" s="44"/>
      <c r="J87" s="44"/>
      <c r="K87" s="44"/>
    </row>
    <row r="88" spans="4:11" x14ac:dyDescent="0.3">
      <c r="D88" s="69" t="s">
        <v>74</v>
      </c>
      <c r="E88" s="71">
        <v>1.8251700497679098E-2</v>
      </c>
      <c r="F88" s="71">
        <v>8.0695641696411399E-2</v>
      </c>
      <c r="G88" s="70" t="s">
        <v>79</v>
      </c>
      <c r="H88" s="44"/>
      <c r="I88" s="44"/>
      <c r="J88" s="44"/>
      <c r="K88" s="44"/>
    </row>
    <row r="89" spans="4:11" x14ac:dyDescent="0.3">
      <c r="D89" s="69" t="s">
        <v>75</v>
      </c>
      <c r="E89" s="72">
        <v>1.18262178507355E-3</v>
      </c>
      <c r="F89" s="72">
        <v>1.10398389004952E-3</v>
      </c>
      <c r="G89" s="70" t="s">
        <v>79</v>
      </c>
      <c r="H89" s="44"/>
      <c r="I89" s="44"/>
      <c r="J89" s="44"/>
      <c r="K89" s="44"/>
    </row>
    <row r="90" spans="4:11" x14ac:dyDescent="0.3">
      <c r="D90" s="69" t="s">
        <v>76</v>
      </c>
      <c r="E90" s="69">
        <v>1.2E-2</v>
      </c>
      <c r="F90" s="69">
        <v>7.0000000000000007E-2</v>
      </c>
      <c r="G90" s="70" t="s">
        <v>80</v>
      </c>
      <c r="H90" s="44"/>
      <c r="I90" s="44"/>
      <c r="J90" s="44"/>
      <c r="K90" s="44"/>
    </row>
    <row r="91" spans="4:11" x14ac:dyDescent="0.3">
      <c r="D91" s="69" t="s">
        <v>77</v>
      </c>
      <c r="E91" s="69">
        <v>2.8999999999999998E-3</v>
      </c>
      <c r="F91" s="69">
        <v>2.8999999999999998E-3</v>
      </c>
      <c r="G91" s="70" t="s">
        <v>81</v>
      </c>
      <c r="H91" s="44"/>
      <c r="I91" s="44"/>
      <c r="J91" s="44"/>
      <c r="K91" s="44"/>
    </row>
    <row r="92" spans="4:11" ht="14.5" thickBot="1" x14ac:dyDescent="0.35">
      <c r="D92" s="74" t="s">
        <v>78</v>
      </c>
      <c r="E92" s="74">
        <v>2E-3</v>
      </c>
      <c r="F92" s="74">
        <v>3.0000000000000001E-3</v>
      </c>
      <c r="G92" s="74" t="s">
        <v>81</v>
      </c>
      <c r="H92" s="44"/>
      <c r="I92" s="44"/>
      <c r="J92" s="44"/>
      <c r="K92" s="44"/>
    </row>
    <row r="93" spans="4:11" x14ac:dyDescent="0.3">
      <c r="D93" s="44"/>
      <c r="E93" s="44"/>
      <c r="F93" s="44"/>
      <c r="G93" s="44"/>
      <c r="H93" s="44"/>
      <c r="I93" s="44"/>
      <c r="J93" s="44"/>
      <c r="K93" s="44"/>
    </row>
    <row r="94" spans="4:11" x14ac:dyDescent="0.3">
      <c r="D94" s="44"/>
      <c r="E94" s="44"/>
      <c r="F94" s="44"/>
      <c r="G94" s="44"/>
      <c r="H94" s="44"/>
      <c r="I94" s="44"/>
      <c r="J94" s="44"/>
      <c r="K94" s="44"/>
    </row>
    <row r="95" spans="4:11" x14ac:dyDescent="0.3">
      <c r="D95" s="54" t="s">
        <v>48</v>
      </c>
      <c r="E95" s="44"/>
      <c r="F95" s="44"/>
      <c r="G95" s="44"/>
      <c r="H95" s="44"/>
      <c r="I95" s="44"/>
      <c r="J95" s="44"/>
      <c r="K95" s="44"/>
    </row>
    <row r="96" spans="4:11" x14ac:dyDescent="0.3">
      <c r="D96" s="55" t="s">
        <v>83</v>
      </c>
      <c r="E96" s="44"/>
      <c r="F96" s="44"/>
      <c r="G96" s="44"/>
      <c r="H96" s="44"/>
      <c r="I96" s="44"/>
      <c r="J96" s="44"/>
      <c r="K96" s="44"/>
    </row>
    <row r="97" spans="4:11" x14ac:dyDescent="0.3">
      <c r="D97" s="55" t="s">
        <v>49</v>
      </c>
      <c r="E97" s="44"/>
      <c r="F97" s="44"/>
      <c r="G97" s="44"/>
      <c r="H97" s="44"/>
      <c r="I97" s="44"/>
      <c r="J97" s="44"/>
      <c r="K97" s="44"/>
    </row>
    <row r="98" spans="4:11" ht="17.5" customHeight="1" x14ac:dyDescent="0.3">
      <c r="D98" s="55" t="s">
        <v>50</v>
      </c>
      <c r="E98" s="44"/>
      <c r="F98" s="44"/>
      <c r="G98" s="44"/>
      <c r="H98" s="44"/>
      <c r="I98" s="44"/>
      <c r="J98" s="44"/>
      <c r="K98" s="44"/>
    </row>
    <row r="99" spans="4:11" x14ac:dyDescent="0.3">
      <c r="D99" s="55" t="s">
        <v>51</v>
      </c>
      <c r="E99" s="44"/>
      <c r="F99" s="44"/>
      <c r="G99" s="44"/>
      <c r="H99" s="44"/>
      <c r="I99" s="44"/>
      <c r="J99" s="44"/>
      <c r="K99" s="44"/>
    </row>
    <row r="100" spans="4:11" x14ac:dyDescent="0.3">
      <c r="D100" s="55" t="s">
        <v>52</v>
      </c>
      <c r="E100" s="44"/>
      <c r="F100" s="44"/>
      <c r="G100" s="44"/>
      <c r="H100" s="44"/>
      <c r="I100" s="44"/>
      <c r="J100" s="44"/>
      <c r="K100" s="44"/>
    </row>
    <row r="101" spans="4:11" x14ac:dyDescent="0.3">
      <c r="D101" s="55" t="s">
        <v>54</v>
      </c>
      <c r="E101" s="44"/>
      <c r="F101" s="44"/>
      <c r="G101" s="44"/>
      <c r="H101" s="44"/>
      <c r="I101" s="44"/>
      <c r="J101" s="44"/>
      <c r="K101" s="44"/>
    </row>
    <row r="105" spans="4:11" x14ac:dyDescent="0.3">
      <c r="D105" s="66"/>
      <c r="E105" s="66"/>
      <c r="F105" s="66"/>
      <c r="G105" s="64"/>
    </row>
    <row r="106" spans="4:11" x14ac:dyDescent="0.3">
      <c r="D106" s="67"/>
      <c r="E106" s="65"/>
      <c r="F106" s="65"/>
      <c r="G106" s="64"/>
    </row>
    <row r="107" spans="4:11" x14ac:dyDescent="0.3">
      <c r="D107" s="67"/>
      <c r="E107" s="68"/>
      <c r="F107" s="68"/>
      <c r="G107" s="64"/>
    </row>
    <row r="108" spans="4:11" x14ac:dyDescent="0.3">
      <c r="D108" s="67"/>
      <c r="E108" s="66"/>
      <c r="F108" s="66"/>
      <c r="G108" s="64"/>
    </row>
    <row r="109" spans="4:11" x14ac:dyDescent="0.3">
      <c r="D109" s="67"/>
      <c r="E109" s="66"/>
      <c r="F109" s="66"/>
      <c r="G109" s="64"/>
    </row>
    <row r="110" spans="4:11" x14ac:dyDescent="0.3">
      <c r="D110" s="67"/>
      <c r="E110" s="66"/>
      <c r="F110" s="66"/>
      <c r="G110" s="64"/>
    </row>
  </sheetData>
  <mergeCells count="9">
    <mergeCell ref="D1:K1"/>
    <mergeCell ref="F2:I2"/>
    <mergeCell ref="K2:K4"/>
    <mergeCell ref="E3:E4"/>
    <mergeCell ref="F3:F4"/>
    <mergeCell ref="G3:G4"/>
    <mergeCell ref="H3:H4"/>
    <mergeCell ref="I3:I4"/>
    <mergeCell ref="J3:J4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2025-05-06T02:50:18Z</dcterms:modified>
</cp:coreProperties>
</file>