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Belfast paper/zenodo/"/>
    </mc:Choice>
  </mc:AlternateContent>
  <xr:revisionPtr revIDLastSave="13" documentId="13_ncr:1_{9FAA9C75-4E6F-4B48-86B0-0A2243242D82}" xr6:coauthVersionLast="47" xr6:coauthVersionMax="47" xr10:uidLastSave="{A9B5A48A-3B62-421D-82A5-6814F8521562}"/>
  <bookViews>
    <workbookView xWindow="-110" yWindow="-110" windowWidth="19420" windowHeight="10420" xr2:uid="{9C9DF34D-ED02-4CAD-88B6-22F9AEAA48D3}"/>
  </bookViews>
  <sheets>
    <sheet name="cloversoil_LOI" sheetId="1" r:id="rId1"/>
    <sheet name="Blad2" sheetId="2" r:id="rId2"/>
  </sheets>
  <definedNames>
    <definedName name="_xlchart.v1.0" hidden="1">cloversoil_LOI!$E$22:$E$41</definedName>
    <definedName name="_xlchart.v1.1" hidden="1">cloversoil_LOI!$L$22:$L$41</definedName>
    <definedName name="_xlchart.v1.2" hidden="1">cloversoil_LOI!$E$2:$E$21</definedName>
    <definedName name="_xlchart.v1.3" hidden="1">cloversoil_LOI!$L$2:$L$21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I23" i="1" s="1"/>
  <c r="H22" i="1"/>
  <c r="H21" i="1"/>
  <c r="H20" i="1"/>
  <c r="H19" i="1"/>
  <c r="H18" i="1"/>
  <c r="H17" i="1"/>
  <c r="H16" i="1"/>
  <c r="H15" i="1"/>
  <c r="I15" i="1" s="1"/>
  <c r="H14" i="1"/>
  <c r="H13" i="1"/>
  <c r="H12" i="1"/>
  <c r="I11" i="1"/>
  <c r="I21" i="1"/>
  <c r="I26" i="1"/>
  <c r="I32" i="1"/>
  <c r="I34" i="1"/>
  <c r="I40" i="1"/>
  <c r="H10" i="1"/>
  <c r="H9" i="1"/>
  <c r="H8" i="1"/>
  <c r="H7" i="1"/>
  <c r="H6" i="1"/>
  <c r="H5" i="1"/>
  <c r="H4" i="1"/>
  <c r="H3" i="1"/>
  <c r="I3" i="1" s="1"/>
  <c r="I5" i="1"/>
  <c r="I7" i="1"/>
  <c r="H2" i="1"/>
  <c r="C7" i="1"/>
  <c r="C41" i="1"/>
  <c r="I41" i="1" s="1"/>
  <c r="C40" i="1"/>
  <c r="C39" i="1"/>
  <c r="I39" i="1" s="1"/>
  <c r="C38" i="1"/>
  <c r="I38" i="1" s="1"/>
  <c r="C37" i="1"/>
  <c r="I37" i="1" s="1"/>
  <c r="C36" i="1"/>
  <c r="C35" i="1"/>
  <c r="I35" i="1" s="1"/>
  <c r="C34" i="1"/>
  <c r="C33" i="1"/>
  <c r="C32" i="1"/>
  <c r="C31" i="1"/>
  <c r="I31" i="1" s="1"/>
  <c r="C30" i="1"/>
  <c r="I30" i="1" s="1"/>
  <c r="C29" i="1"/>
  <c r="I29" i="1" s="1"/>
  <c r="C28" i="1"/>
  <c r="C27" i="1"/>
  <c r="I27" i="1" s="1"/>
  <c r="C26" i="1"/>
  <c r="C25" i="1"/>
  <c r="I25" i="1" s="1"/>
  <c r="C24" i="1"/>
  <c r="C23" i="1"/>
  <c r="C22" i="1"/>
  <c r="I22" i="1" s="1"/>
  <c r="C21" i="1"/>
  <c r="C20" i="1"/>
  <c r="I20" i="1" s="1"/>
  <c r="C19" i="1"/>
  <c r="I19" i="1" s="1"/>
  <c r="C18" i="1"/>
  <c r="I18" i="1" s="1"/>
  <c r="C17" i="1"/>
  <c r="I17" i="1" s="1"/>
  <c r="C16" i="1"/>
  <c r="C15" i="1"/>
  <c r="C14" i="1"/>
  <c r="I14" i="1" s="1"/>
  <c r="C13" i="1"/>
  <c r="I13" i="1" s="1"/>
  <c r="C12" i="1"/>
  <c r="I12" i="1" s="1"/>
  <c r="C10" i="1"/>
  <c r="I10" i="1" s="1"/>
  <c r="C9" i="1"/>
  <c r="I9" i="1" s="1"/>
  <c r="C8" i="1"/>
  <c r="I8" i="1" s="1"/>
  <c r="C6" i="1"/>
  <c r="C5" i="1"/>
  <c r="C4" i="1"/>
  <c r="I4" i="1" s="1"/>
  <c r="C3" i="1"/>
  <c r="C2" i="1"/>
  <c r="I2" i="1" s="1"/>
  <c r="F23" i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3" i="1"/>
  <c r="F4" i="1" s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G41" i="1" l="1"/>
  <c r="J36" i="1"/>
  <c r="J3" i="1"/>
  <c r="K3" i="1" s="1"/>
  <c r="L3" i="1" s="1"/>
  <c r="K14" i="1"/>
  <c r="L14" i="1" s="1"/>
  <c r="K22" i="1"/>
  <c r="L22" i="1" s="1"/>
  <c r="J16" i="1"/>
  <c r="J33" i="1"/>
  <c r="G30" i="1"/>
  <c r="I36" i="1"/>
  <c r="K36" i="1" s="1"/>
  <c r="L36" i="1" s="1"/>
  <c r="J31" i="1"/>
  <c r="K31" i="1" s="1"/>
  <c r="L31" i="1" s="1"/>
  <c r="I28" i="1"/>
  <c r="I16" i="1"/>
  <c r="I24" i="1"/>
  <c r="G37" i="1"/>
  <c r="G29" i="1"/>
  <c r="J8" i="1"/>
  <c r="K8" i="1" s="1"/>
  <c r="L8" i="1" s="1"/>
  <c r="I6" i="1"/>
  <c r="J22" i="1"/>
  <c r="I33" i="1"/>
  <c r="G36" i="1"/>
  <c r="G28" i="1"/>
  <c r="G38" i="1"/>
  <c r="G35" i="1"/>
  <c r="G27" i="1"/>
  <c r="G34" i="1"/>
  <c r="G26" i="1"/>
  <c r="J41" i="1"/>
  <c r="K41" i="1" s="1"/>
  <c r="L41" i="1" s="1"/>
  <c r="G25" i="1"/>
  <c r="J12" i="1"/>
  <c r="K12" i="1" s="1"/>
  <c r="L12" i="1" s="1"/>
  <c r="G33" i="1"/>
  <c r="G40" i="1"/>
  <c r="G32" i="1"/>
  <c r="G24" i="1"/>
  <c r="K15" i="1"/>
  <c r="L15" i="1" s="1"/>
  <c r="G39" i="1"/>
  <c r="G31" i="1"/>
  <c r="G23" i="1"/>
  <c r="B41" i="1"/>
  <c r="B40" i="1"/>
  <c r="J40" i="1" s="1"/>
  <c r="K40" i="1" s="1"/>
  <c r="L40" i="1" s="1"/>
  <c r="B39" i="1"/>
  <c r="J39" i="1" s="1"/>
  <c r="K39" i="1" s="1"/>
  <c r="L39" i="1" s="1"/>
  <c r="B38" i="1"/>
  <c r="J38" i="1" s="1"/>
  <c r="K38" i="1" s="1"/>
  <c r="L38" i="1" s="1"/>
  <c r="B37" i="1"/>
  <c r="J37" i="1" s="1"/>
  <c r="K37" i="1" s="1"/>
  <c r="L37" i="1" s="1"/>
  <c r="B36" i="1"/>
  <c r="B35" i="1"/>
  <c r="J35" i="1" s="1"/>
  <c r="K35" i="1" s="1"/>
  <c r="L35" i="1" s="1"/>
  <c r="B34" i="1"/>
  <c r="J34" i="1" s="1"/>
  <c r="K34" i="1" s="1"/>
  <c r="L34" i="1" s="1"/>
  <c r="B33" i="1"/>
  <c r="B32" i="1"/>
  <c r="J32" i="1" s="1"/>
  <c r="K32" i="1" s="1"/>
  <c r="L32" i="1" s="1"/>
  <c r="A32" i="1"/>
  <c r="B31" i="1"/>
  <c r="B30" i="1"/>
  <c r="J30" i="1" s="1"/>
  <c r="K30" i="1" s="1"/>
  <c r="L30" i="1" s="1"/>
  <c r="B29" i="1"/>
  <c r="J29" i="1" s="1"/>
  <c r="K29" i="1" s="1"/>
  <c r="L29" i="1" s="1"/>
  <c r="B28" i="1"/>
  <c r="J28" i="1" s="1"/>
  <c r="B27" i="1"/>
  <c r="J27" i="1" s="1"/>
  <c r="K27" i="1" s="1"/>
  <c r="L27" i="1" s="1"/>
  <c r="B26" i="1"/>
  <c r="J26" i="1" s="1"/>
  <c r="K26" i="1" s="1"/>
  <c r="L26" i="1" s="1"/>
  <c r="B25" i="1"/>
  <c r="J25" i="1" s="1"/>
  <c r="K25" i="1" s="1"/>
  <c r="L25" i="1" s="1"/>
  <c r="B24" i="1"/>
  <c r="J24" i="1" s="1"/>
  <c r="B23" i="1"/>
  <c r="J23" i="1" s="1"/>
  <c r="K23" i="1" s="1"/>
  <c r="L23" i="1" s="1"/>
  <c r="B22" i="1"/>
  <c r="B21" i="1"/>
  <c r="J21" i="1" s="1"/>
  <c r="K21" i="1" s="1"/>
  <c r="L21" i="1" s="1"/>
  <c r="B20" i="1"/>
  <c r="J20" i="1" s="1"/>
  <c r="K20" i="1" s="1"/>
  <c r="L20" i="1" s="1"/>
  <c r="B19" i="1"/>
  <c r="J19" i="1" s="1"/>
  <c r="K19" i="1" s="1"/>
  <c r="L19" i="1" s="1"/>
  <c r="B18" i="1"/>
  <c r="J18" i="1" s="1"/>
  <c r="K18" i="1" s="1"/>
  <c r="L18" i="1" s="1"/>
  <c r="B17" i="1"/>
  <c r="J17" i="1" s="1"/>
  <c r="K17" i="1" s="1"/>
  <c r="L17" i="1" s="1"/>
  <c r="B16" i="1"/>
  <c r="B15" i="1"/>
  <c r="J15" i="1" s="1"/>
  <c r="B14" i="1"/>
  <c r="J14" i="1" s="1"/>
  <c r="B13" i="1"/>
  <c r="J13" i="1" s="1"/>
  <c r="K13" i="1" s="1"/>
  <c r="L13" i="1" s="1"/>
  <c r="B12" i="1"/>
  <c r="B11" i="1"/>
  <c r="J11" i="1" s="1"/>
  <c r="A11" i="1"/>
  <c r="B10" i="1"/>
  <c r="J10" i="1" s="1"/>
  <c r="K10" i="1" s="1"/>
  <c r="L10" i="1" s="1"/>
  <c r="B9" i="1"/>
  <c r="J9" i="1" s="1"/>
  <c r="K9" i="1" s="1"/>
  <c r="L9" i="1" s="1"/>
  <c r="B8" i="1"/>
  <c r="A8" i="1"/>
  <c r="B7" i="1"/>
  <c r="J7" i="1" s="1"/>
  <c r="K7" i="1" s="1"/>
  <c r="L7" i="1" s="1"/>
  <c r="A7" i="1"/>
  <c r="B6" i="1"/>
  <c r="J6" i="1" s="1"/>
  <c r="B5" i="1"/>
  <c r="J5" i="1" s="1"/>
  <c r="K5" i="1" s="1"/>
  <c r="L5" i="1" s="1"/>
  <c r="B4" i="1"/>
  <c r="J4" i="1" s="1"/>
  <c r="K4" i="1" s="1"/>
  <c r="L4" i="1" s="1"/>
  <c r="B3" i="1"/>
  <c r="B2" i="1"/>
  <c r="J2" i="1" s="1"/>
  <c r="K2" i="1" s="1"/>
  <c r="L2" i="1" s="1"/>
  <c r="D4" i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3" i="1"/>
  <c r="K16" i="1" l="1"/>
  <c r="L16" i="1" s="1"/>
  <c r="K6" i="1"/>
  <c r="L6" i="1" s="1"/>
  <c r="K28" i="1"/>
  <c r="L28" i="1" s="1"/>
  <c r="K33" i="1"/>
  <c r="L33" i="1" s="1"/>
  <c r="K24" i="1"/>
  <c r="L24" i="1" s="1"/>
</calcChain>
</file>

<file path=xl/sharedStrings.xml><?xml version="1.0" encoding="utf-8"?>
<sst xmlns="http://schemas.openxmlformats.org/spreadsheetml/2006/main" count="93" uniqueCount="18">
  <si>
    <t>CrucibleNo</t>
  </si>
  <si>
    <t>massCrucible_g</t>
  </si>
  <si>
    <t>masscrucible_and_drysample_g</t>
  </si>
  <si>
    <t>CODE</t>
  </si>
  <si>
    <t>treatment</t>
  </si>
  <si>
    <t>Date</t>
  </si>
  <si>
    <t>Day</t>
  </si>
  <si>
    <t>Mass_postLOI_sampleANDcrucible</t>
  </si>
  <si>
    <t>mass_loss_g</t>
  </si>
  <si>
    <t>sample_mass</t>
  </si>
  <si>
    <t>SOM_percent</t>
  </si>
  <si>
    <t>SOC_percent</t>
  </si>
  <si>
    <t>experiment</t>
  </si>
  <si>
    <t>B</t>
  </si>
  <si>
    <t>C</t>
  </si>
  <si>
    <t>Belfast</t>
  </si>
  <si>
    <t>BBi</t>
  </si>
  <si>
    <t>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</si>
</sst>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00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3" fontId="0" fillId="0" borderId="0" xfId="0" applyNumberFormat="1" applyFill="1"/>
    <xf numFmtId="2" fontId="0" fillId="0" borderId="0" xfId="0" applyNumberFormat="1" applyFill="1"/>
    <xf numFmtId="14" fontId="0" fillId="0" borderId="0" xfId="0" applyNumberFormat="1" applyFill="1"/>
    <xf numFmtId="164" fontId="0" fillId="0" borderId="0" xfId="0" applyNumberFormat="1" applyFill="1"/>
    <xf numFmtId="0" fontId="0" fillId="0" borderId="0" xfId="0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17" fontId="0" fillId="0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F108A-17AE-4E3D-B8D9-30B928505FA4}">
  <dimension ref="A1:O121"/>
  <sheetViews>
    <sheetView tabSelected="1" zoomScale="63" workbookViewId="0">
      <selection activeCell="E16" sqref="E16"/>
    </sheetView>
  </sheetViews>
  <sheetFormatPr defaultRowHeight="14.5" x14ac:dyDescent="0.35"/>
  <cols>
    <col min="1" max="1" width="11.453125" style="1" customWidth="1"/>
    <col min="2" max="2" width="13.453125" style="1" customWidth="1"/>
    <col min="3" max="3" width="31.7265625" style="3" customWidth="1"/>
    <col min="4" max="5" width="8.7265625" style="1"/>
    <col min="6" max="7" width="12" style="1" customWidth="1"/>
    <col min="8" max="8" width="12.81640625" style="1" customWidth="1"/>
    <col min="9" max="9" width="18.54296875" style="1" bestFit="1" customWidth="1"/>
    <col min="10" max="10" width="12.1796875" style="1" customWidth="1"/>
    <col min="11" max="11" width="14.26953125" style="1" customWidth="1"/>
    <col min="12" max="12" width="13.26953125" style="1" customWidth="1"/>
    <col min="13" max="13" width="12.54296875" style="1" customWidth="1"/>
    <col min="14" max="16384" width="8.7265625" style="1"/>
  </cols>
  <sheetData>
    <row r="1" spans="1:13" x14ac:dyDescent="0.35">
      <c r="A1" s="1" t="s">
        <v>0</v>
      </c>
      <c r="B1" s="1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5">
      <c r="A2" s="1">
        <v>38</v>
      </c>
      <c r="B2" s="1">
        <f>12.9652</f>
        <v>12.965199999999999</v>
      </c>
      <c r="C2" s="3">
        <f>21.9442</f>
        <v>21.944199999999999</v>
      </c>
      <c r="D2" s="1">
        <v>1</v>
      </c>
      <c r="E2" s="6" t="s">
        <v>14</v>
      </c>
      <c r="F2" s="4">
        <v>45061</v>
      </c>
      <c r="G2" s="1">
        <v>0</v>
      </c>
      <c r="H2" s="1">
        <f>21.3313</f>
        <v>21.331299999999999</v>
      </c>
      <c r="I2" s="5">
        <f t="shared" ref="I2:I9" si="0">C2-H2</f>
        <v>0.61289999999999978</v>
      </c>
      <c r="J2" s="3">
        <f t="shared" ref="J2:J9" si="1">C2-B2</f>
        <v>8.9789999999999992</v>
      </c>
      <c r="K2" s="1">
        <f t="shared" ref="K2:K9" si="2">I2*100/J2</f>
        <v>6.8259271633812206</v>
      </c>
      <c r="L2" s="7">
        <f t="shared" ref="L2:L9" si="3">K2*0.58</f>
        <v>3.9590377547611078</v>
      </c>
      <c r="M2" s="1" t="s">
        <v>15</v>
      </c>
    </row>
    <row r="3" spans="1:13" x14ac:dyDescent="0.35">
      <c r="A3" s="1">
        <v>37</v>
      </c>
      <c r="B3" s="1">
        <f>12.8978</f>
        <v>12.8978</v>
      </c>
      <c r="C3" s="3">
        <f>24.0938</f>
        <v>24.093800000000002</v>
      </c>
      <c r="D3" s="1">
        <f>D2+1</f>
        <v>2</v>
      </c>
      <c r="E3" s="6" t="s">
        <v>16</v>
      </c>
      <c r="F3" s="4">
        <f>F2</f>
        <v>45061</v>
      </c>
      <c r="G3" s="1">
        <v>0</v>
      </c>
      <c r="H3" s="1">
        <f>23.59</f>
        <v>23.59</v>
      </c>
      <c r="I3" s="5">
        <f t="shared" si="0"/>
        <v>0.5038000000000018</v>
      </c>
      <c r="J3" s="3">
        <f t="shared" si="1"/>
        <v>11.196000000000002</v>
      </c>
      <c r="K3" s="1">
        <f t="shared" si="2"/>
        <v>4.4998213647731484</v>
      </c>
      <c r="L3" s="8">
        <f t="shared" si="3"/>
        <v>2.6098963915684261</v>
      </c>
      <c r="M3" s="1" t="s">
        <v>15</v>
      </c>
    </row>
    <row r="4" spans="1:13" x14ac:dyDescent="0.35">
      <c r="A4" s="1">
        <v>42</v>
      </c>
      <c r="B4" s="1">
        <f>13.476</f>
        <v>13.476000000000001</v>
      </c>
      <c r="C4" s="3">
        <f>23.6589</f>
        <v>23.658899999999999</v>
      </c>
      <c r="D4" s="1">
        <f t="shared" ref="D4:D41" si="4">D3+1</f>
        <v>3</v>
      </c>
      <c r="E4" s="6" t="s">
        <v>13</v>
      </c>
      <c r="F4" s="4">
        <f t="shared" ref="F4:F21" si="5">F3</f>
        <v>45061</v>
      </c>
      <c r="G4" s="1">
        <v>0</v>
      </c>
      <c r="H4" s="1">
        <f>23.1453</f>
        <v>23.145299999999999</v>
      </c>
      <c r="I4" s="5">
        <f t="shared" si="0"/>
        <v>0.51360000000000028</v>
      </c>
      <c r="J4" s="3">
        <f t="shared" si="1"/>
        <v>10.182899999999998</v>
      </c>
      <c r="K4" s="1">
        <f t="shared" si="2"/>
        <v>5.0437498158677823</v>
      </c>
      <c r="L4" s="1">
        <f t="shared" si="3"/>
        <v>2.9253748932033137</v>
      </c>
      <c r="M4" s="1" t="s">
        <v>15</v>
      </c>
    </row>
    <row r="5" spans="1:13" x14ac:dyDescent="0.35">
      <c r="A5" s="1">
        <v>43</v>
      </c>
      <c r="B5" s="1">
        <f>13.0478</f>
        <v>13.047800000000001</v>
      </c>
      <c r="C5" s="3">
        <f>22.4806</f>
        <v>22.480599999999999</v>
      </c>
      <c r="D5" s="1">
        <f t="shared" si="4"/>
        <v>4</v>
      </c>
      <c r="E5" s="6" t="s">
        <v>17</v>
      </c>
      <c r="F5" s="4">
        <f t="shared" si="5"/>
        <v>45061</v>
      </c>
      <c r="G5" s="1">
        <v>0</v>
      </c>
      <c r="H5" s="1">
        <f>21.8952</f>
        <v>21.895199999999999</v>
      </c>
      <c r="I5" s="5">
        <f t="shared" si="0"/>
        <v>0.58539999999999992</v>
      </c>
      <c r="J5" s="3">
        <f t="shared" si="1"/>
        <v>9.4327999999999985</v>
      </c>
      <c r="K5" s="1">
        <f t="shared" si="2"/>
        <v>6.2060045797642269</v>
      </c>
      <c r="L5" s="7">
        <f t="shared" si="3"/>
        <v>3.5994826562632514</v>
      </c>
      <c r="M5" s="1" t="s">
        <v>15</v>
      </c>
    </row>
    <row r="6" spans="1:13" x14ac:dyDescent="0.35">
      <c r="A6" s="1">
        <v>10</v>
      </c>
      <c r="B6" s="2">
        <f>13.4865</f>
        <v>13.486499999999999</v>
      </c>
      <c r="C6" s="3">
        <f>22.0288</f>
        <v>22.0288</v>
      </c>
      <c r="D6" s="1">
        <f t="shared" si="4"/>
        <v>5</v>
      </c>
      <c r="E6" s="6" t="s">
        <v>16</v>
      </c>
      <c r="F6" s="4">
        <f t="shared" si="5"/>
        <v>45061</v>
      </c>
      <c r="G6" s="1">
        <v>0</v>
      </c>
      <c r="H6" s="1">
        <f>21.4698</f>
        <v>21.469799999999999</v>
      </c>
      <c r="I6" s="5">
        <f t="shared" si="0"/>
        <v>0.55900000000000105</v>
      </c>
      <c r="J6" s="3">
        <f t="shared" si="1"/>
        <v>8.5423000000000009</v>
      </c>
      <c r="K6" s="1">
        <f t="shared" si="2"/>
        <v>6.543905037285052</v>
      </c>
      <c r="L6" s="7">
        <f t="shared" si="3"/>
        <v>3.7954649216253298</v>
      </c>
      <c r="M6" s="1" t="s">
        <v>15</v>
      </c>
    </row>
    <row r="7" spans="1:13" x14ac:dyDescent="0.35">
      <c r="A7" s="1">
        <f>2</f>
        <v>2</v>
      </c>
      <c r="B7" s="1">
        <f>13.4516</f>
        <v>13.451599999999999</v>
      </c>
      <c r="C7" s="3">
        <f>20.8046</f>
        <v>20.804600000000001</v>
      </c>
      <c r="D7" s="1">
        <f t="shared" si="4"/>
        <v>6</v>
      </c>
      <c r="E7" s="6" t="s">
        <v>13</v>
      </c>
      <c r="F7" s="4">
        <f t="shared" si="5"/>
        <v>45061</v>
      </c>
      <c r="G7" s="1">
        <v>0</v>
      </c>
      <c r="H7" s="1">
        <f>20.4247</f>
        <v>20.424700000000001</v>
      </c>
      <c r="I7" s="5">
        <f t="shared" si="0"/>
        <v>0.37989999999999924</v>
      </c>
      <c r="J7" s="3">
        <f t="shared" si="1"/>
        <v>7.3530000000000015</v>
      </c>
      <c r="K7" s="1">
        <f t="shared" si="2"/>
        <v>5.1665986672106508</v>
      </c>
      <c r="L7" s="7">
        <f t="shared" si="3"/>
        <v>2.9966272269821772</v>
      </c>
      <c r="M7" s="1" t="s">
        <v>15</v>
      </c>
    </row>
    <row r="8" spans="1:13" x14ac:dyDescent="0.35">
      <c r="A8" s="1">
        <f>14</f>
        <v>14</v>
      </c>
      <c r="B8" s="1">
        <f>12.4725</f>
        <v>12.4725</v>
      </c>
      <c r="C8" s="3">
        <f>22.1332</f>
        <v>22.133199999999999</v>
      </c>
      <c r="D8" s="1">
        <f t="shared" si="4"/>
        <v>7</v>
      </c>
      <c r="E8" s="6" t="s">
        <v>17</v>
      </c>
      <c r="F8" s="4">
        <f t="shared" si="5"/>
        <v>45061</v>
      </c>
      <c r="G8" s="1">
        <v>0</v>
      </c>
      <c r="H8" s="1">
        <f>21.3414</f>
        <v>21.3414</v>
      </c>
      <c r="I8" s="5">
        <f t="shared" si="0"/>
        <v>0.79179999999999851</v>
      </c>
      <c r="J8" s="3">
        <f t="shared" si="1"/>
        <v>9.6606999999999985</v>
      </c>
      <c r="K8" s="1">
        <f t="shared" si="2"/>
        <v>8.196093450785126</v>
      </c>
      <c r="L8" s="7">
        <f t="shared" si="3"/>
        <v>4.753734201455373</v>
      </c>
      <c r="M8" s="1" t="s">
        <v>15</v>
      </c>
    </row>
    <row r="9" spans="1:13" x14ac:dyDescent="0.35">
      <c r="A9" s="1">
        <v>50</v>
      </c>
      <c r="B9" s="1">
        <f>11.7475</f>
        <v>11.7475</v>
      </c>
      <c r="C9" s="3">
        <f>22.0246</f>
        <v>22.0246</v>
      </c>
      <c r="D9" s="1">
        <f t="shared" si="4"/>
        <v>8</v>
      </c>
      <c r="E9" s="6" t="s">
        <v>14</v>
      </c>
      <c r="F9" s="4">
        <f t="shared" si="5"/>
        <v>45061</v>
      </c>
      <c r="G9" s="1">
        <v>0</v>
      </c>
      <c r="H9" s="1">
        <f>21.4616</f>
        <v>21.461600000000001</v>
      </c>
      <c r="I9" s="5">
        <f t="shared" si="0"/>
        <v>0.56299999999999883</v>
      </c>
      <c r="J9" s="3">
        <f t="shared" si="1"/>
        <v>10.277099999999999</v>
      </c>
      <c r="K9" s="1">
        <f t="shared" si="2"/>
        <v>5.4781991028597457</v>
      </c>
      <c r="L9" s="7">
        <f t="shared" si="3"/>
        <v>3.1773554796586523</v>
      </c>
      <c r="M9" s="1" t="s">
        <v>15</v>
      </c>
    </row>
    <row r="10" spans="1:13" x14ac:dyDescent="0.35">
      <c r="A10" s="1">
        <v>48</v>
      </c>
      <c r="B10" s="1">
        <f>13.9045</f>
        <v>13.904500000000001</v>
      </c>
      <c r="C10" s="3">
        <f>22.1426</f>
        <v>22.142600000000002</v>
      </c>
      <c r="D10" s="1">
        <f t="shared" si="4"/>
        <v>9</v>
      </c>
      <c r="E10" s="6" t="s">
        <v>13</v>
      </c>
      <c r="F10" s="4">
        <f t="shared" si="5"/>
        <v>45061</v>
      </c>
      <c r="G10" s="1">
        <v>0</v>
      </c>
      <c r="H10" s="1">
        <f>21.6066</f>
        <v>21.6066</v>
      </c>
      <c r="I10" s="5">
        <f t="shared" ref="I10" si="6">C10-H10</f>
        <v>0.53600000000000136</v>
      </c>
      <c r="J10" s="3">
        <f t="shared" ref="J10" si="7">C10-B10</f>
        <v>8.2381000000000011</v>
      </c>
      <c r="K10" s="1">
        <f t="shared" ref="K10" si="8">I10*100/J10</f>
        <v>6.5063546206042808</v>
      </c>
      <c r="L10" s="7">
        <f t="shared" ref="L10:L41" si="9">K10*0.58</f>
        <v>3.7736856799504825</v>
      </c>
      <c r="M10" s="1" t="s">
        <v>15</v>
      </c>
    </row>
    <row r="11" spans="1:13" x14ac:dyDescent="0.35">
      <c r="A11" s="1">
        <f>17</f>
        <v>17</v>
      </c>
      <c r="B11" s="1">
        <f>13.2094</f>
        <v>13.2094</v>
      </c>
      <c r="D11" s="1">
        <f t="shared" si="4"/>
        <v>10</v>
      </c>
      <c r="E11" s="6" t="s">
        <v>14</v>
      </c>
      <c r="F11" s="4">
        <f t="shared" si="5"/>
        <v>45061</v>
      </c>
      <c r="G11" s="1">
        <v>0</v>
      </c>
      <c r="I11" s="5">
        <f t="shared" ref="I11:I41" si="10">C11-H11</f>
        <v>0</v>
      </c>
      <c r="J11" s="3">
        <f t="shared" ref="J11:J41" si="11">C11-B11</f>
        <v>-13.2094</v>
      </c>
      <c r="L11" s="7"/>
      <c r="M11" s="1" t="s">
        <v>15</v>
      </c>
    </row>
    <row r="12" spans="1:13" x14ac:dyDescent="0.35">
      <c r="A12" s="1">
        <v>1</v>
      </c>
      <c r="B12" s="1">
        <f>13.1117</f>
        <v>13.111700000000001</v>
      </c>
      <c r="C12" s="3">
        <f>22.5568</f>
        <v>22.556799999999999</v>
      </c>
      <c r="D12" s="1">
        <f t="shared" si="4"/>
        <v>11</v>
      </c>
      <c r="E12" s="6" t="s">
        <v>17</v>
      </c>
      <c r="F12" s="4">
        <f t="shared" si="5"/>
        <v>45061</v>
      </c>
      <c r="G12" s="1">
        <v>0</v>
      </c>
      <c r="H12" s="1">
        <f>22.0498</f>
        <v>22.049800000000001</v>
      </c>
      <c r="I12" s="5">
        <f t="shared" si="10"/>
        <v>0.5069999999999979</v>
      </c>
      <c r="J12" s="3">
        <f t="shared" si="11"/>
        <v>9.4450999999999983</v>
      </c>
      <c r="K12" s="1">
        <f t="shared" ref="K12:K41" si="12">I12*100/J12</f>
        <v>5.3678627012948299</v>
      </c>
      <c r="L12" s="7">
        <f t="shared" si="9"/>
        <v>3.1133603667510013</v>
      </c>
      <c r="M12" s="1" t="s">
        <v>15</v>
      </c>
    </row>
    <row r="13" spans="1:13" x14ac:dyDescent="0.35">
      <c r="A13" s="1">
        <v>25</v>
      </c>
      <c r="B13" s="1">
        <f>12.598</f>
        <v>12.598000000000001</v>
      </c>
      <c r="C13" s="3">
        <f>21.5087</f>
        <v>21.508700000000001</v>
      </c>
      <c r="D13" s="1">
        <f t="shared" si="4"/>
        <v>12</v>
      </c>
      <c r="E13" s="6" t="s">
        <v>16</v>
      </c>
      <c r="F13" s="4">
        <f t="shared" si="5"/>
        <v>45061</v>
      </c>
      <c r="G13" s="1">
        <v>0</v>
      </c>
      <c r="H13" s="1">
        <f>20.9246</f>
        <v>20.924600000000002</v>
      </c>
      <c r="I13" s="5">
        <f t="shared" si="10"/>
        <v>0.5840999999999994</v>
      </c>
      <c r="J13" s="3">
        <f t="shared" si="11"/>
        <v>8.9107000000000003</v>
      </c>
      <c r="K13" s="1">
        <f t="shared" si="12"/>
        <v>6.5550405692033102</v>
      </c>
      <c r="L13" s="7">
        <f t="shared" si="9"/>
        <v>3.8019235301379197</v>
      </c>
      <c r="M13" s="1" t="s">
        <v>15</v>
      </c>
    </row>
    <row r="14" spans="1:13" x14ac:dyDescent="0.35">
      <c r="A14" s="1">
        <v>27</v>
      </c>
      <c r="B14" s="1">
        <f>13.5416</f>
        <v>13.541600000000001</v>
      </c>
      <c r="C14" s="3">
        <f>21.8563</f>
        <v>21.856300000000001</v>
      </c>
      <c r="D14" s="1">
        <f t="shared" si="4"/>
        <v>13</v>
      </c>
      <c r="E14" s="6" t="s">
        <v>17</v>
      </c>
      <c r="F14" s="4">
        <f t="shared" si="5"/>
        <v>45061</v>
      </c>
      <c r="G14" s="1">
        <v>0</v>
      </c>
      <c r="H14" s="1">
        <f>21.178</f>
        <v>21.178000000000001</v>
      </c>
      <c r="I14" s="5">
        <f t="shared" si="10"/>
        <v>0.67830000000000013</v>
      </c>
      <c r="J14" s="3">
        <f t="shared" si="11"/>
        <v>8.3147000000000002</v>
      </c>
      <c r="K14" s="1">
        <f t="shared" si="12"/>
        <v>8.1578409323246799</v>
      </c>
      <c r="L14" s="7">
        <f t="shared" si="9"/>
        <v>4.7315477407483142</v>
      </c>
      <c r="M14" s="1" t="s">
        <v>15</v>
      </c>
    </row>
    <row r="15" spans="1:13" x14ac:dyDescent="0.35">
      <c r="A15" s="1">
        <v>24</v>
      </c>
      <c r="B15" s="1">
        <f>14.3358</f>
        <v>14.335800000000001</v>
      </c>
      <c r="C15" s="3">
        <f>21.2241</f>
        <v>21.2241</v>
      </c>
      <c r="D15" s="1">
        <f t="shared" si="4"/>
        <v>14</v>
      </c>
      <c r="E15" s="6" t="s">
        <v>14</v>
      </c>
      <c r="F15" s="4">
        <f t="shared" si="5"/>
        <v>45061</v>
      </c>
      <c r="G15" s="1">
        <v>0</v>
      </c>
      <c r="H15" s="1">
        <f>20.7293</f>
        <v>20.729299999999999</v>
      </c>
      <c r="I15" s="5">
        <f t="shared" si="10"/>
        <v>0.49480000000000146</v>
      </c>
      <c r="J15" s="3">
        <f t="shared" si="11"/>
        <v>6.8882999999999992</v>
      </c>
      <c r="K15" s="1">
        <f t="shared" si="12"/>
        <v>7.183194692449538</v>
      </c>
      <c r="L15" s="7">
        <f t="shared" si="9"/>
        <v>4.1662529216207318</v>
      </c>
      <c r="M15" s="1" t="s">
        <v>15</v>
      </c>
    </row>
    <row r="16" spans="1:13" x14ac:dyDescent="0.35">
      <c r="A16" s="1">
        <v>9</v>
      </c>
      <c r="B16" s="1">
        <f>14.0676</f>
        <v>14.067600000000001</v>
      </c>
      <c r="C16" s="3">
        <f>21.5221</f>
        <v>21.522099999999998</v>
      </c>
      <c r="D16" s="1">
        <f t="shared" si="4"/>
        <v>15</v>
      </c>
      <c r="E16" s="6" t="s">
        <v>16</v>
      </c>
      <c r="F16" s="4">
        <f t="shared" si="5"/>
        <v>45061</v>
      </c>
      <c r="G16" s="1">
        <v>0</v>
      </c>
      <c r="H16" s="1">
        <f>20.9144</f>
        <v>20.914400000000001</v>
      </c>
      <c r="I16" s="5">
        <f t="shared" si="10"/>
        <v>0.60769999999999769</v>
      </c>
      <c r="J16" s="3">
        <f t="shared" si="11"/>
        <v>7.4544999999999977</v>
      </c>
      <c r="K16" s="1">
        <f t="shared" si="12"/>
        <v>8.1521228787980125</v>
      </c>
      <c r="L16" s="7">
        <f t="shared" si="9"/>
        <v>4.7282312697028468</v>
      </c>
      <c r="M16" s="1" t="s">
        <v>15</v>
      </c>
    </row>
    <row r="17" spans="1:13" x14ac:dyDescent="0.35">
      <c r="A17" s="1">
        <v>5</v>
      </c>
      <c r="B17" s="1">
        <f>14.7222</f>
        <v>14.722200000000001</v>
      </c>
      <c r="C17" s="3">
        <f>24.7016</f>
        <v>24.701599999999999</v>
      </c>
      <c r="D17" s="1">
        <f t="shared" si="4"/>
        <v>16</v>
      </c>
      <c r="E17" s="6" t="s">
        <v>13</v>
      </c>
      <c r="F17" s="4">
        <f t="shared" si="5"/>
        <v>45061</v>
      </c>
      <c r="G17" s="1">
        <v>0</v>
      </c>
      <c r="H17" s="1">
        <f>24.315</f>
        <v>24.315000000000001</v>
      </c>
      <c r="I17" s="5">
        <f t="shared" si="10"/>
        <v>0.38659999999999783</v>
      </c>
      <c r="J17" s="3">
        <f t="shared" si="11"/>
        <v>9.9793999999999983</v>
      </c>
      <c r="K17" s="1">
        <f t="shared" si="12"/>
        <v>3.873980399623203</v>
      </c>
      <c r="L17" s="7">
        <f t="shared" si="9"/>
        <v>2.2469086317814577</v>
      </c>
      <c r="M17" s="1" t="s">
        <v>15</v>
      </c>
    </row>
    <row r="18" spans="1:13" x14ac:dyDescent="0.35">
      <c r="A18" s="1">
        <v>29</v>
      </c>
      <c r="B18" s="1">
        <f>13.8896</f>
        <v>13.8896</v>
      </c>
      <c r="C18" s="3">
        <f>22.7709</f>
        <v>22.770900000000001</v>
      </c>
      <c r="D18" s="1">
        <f t="shared" si="4"/>
        <v>17</v>
      </c>
      <c r="E18" s="6" t="s">
        <v>14</v>
      </c>
      <c r="F18" s="4">
        <f t="shared" si="5"/>
        <v>45061</v>
      </c>
      <c r="G18" s="1">
        <v>0</v>
      </c>
      <c r="H18" s="1">
        <f>22.2348</f>
        <v>22.2348</v>
      </c>
      <c r="I18" s="5">
        <f t="shared" si="10"/>
        <v>0.53610000000000113</v>
      </c>
      <c r="J18" s="3">
        <f t="shared" si="11"/>
        <v>8.8813000000000013</v>
      </c>
      <c r="K18" s="1">
        <f t="shared" si="12"/>
        <v>6.036278472746119</v>
      </c>
      <c r="L18" s="7">
        <f t="shared" si="9"/>
        <v>3.5010415141927487</v>
      </c>
      <c r="M18" s="1" t="s">
        <v>15</v>
      </c>
    </row>
    <row r="19" spans="1:13" x14ac:dyDescent="0.35">
      <c r="A19" s="1">
        <v>3</v>
      </c>
      <c r="B19" s="1">
        <f>13.5123</f>
        <v>13.5123</v>
      </c>
      <c r="C19" s="3">
        <f>21.4165</f>
        <v>21.416499999999999</v>
      </c>
      <c r="D19" s="1">
        <f t="shared" si="4"/>
        <v>18</v>
      </c>
      <c r="E19" s="6" t="s">
        <v>16</v>
      </c>
      <c r="F19" s="4">
        <f t="shared" si="5"/>
        <v>45061</v>
      </c>
      <c r="G19" s="1">
        <v>0</v>
      </c>
      <c r="H19" s="1">
        <f>20.9133</f>
        <v>20.9133</v>
      </c>
      <c r="I19" s="5">
        <f t="shared" si="10"/>
        <v>0.50319999999999965</v>
      </c>
      <c r="J19" s="3">
        <f t="shared" si="11"/>
        <v>7.9041999999999994</v>
      </c>
      <c r="K19" s="1">
        <f t="shared" si="12"/>
        <v>6.366235672174283</v>
      </c>
      <c r="L19" s="7">
        <f t="shared" si="9"/>
        <v>3.692416689861084</v>
      </c>
      <c r="M19" s="1" t="s">
        <v>15</v>
      </c>
    </row>
    <row r="20" spans="1:13" x14ac:dyDescent="0.35">
      <c r="A20" s="1">
        <v>28</v>
      </c>
      <c r="B20" s="1">
        <f>12.9325</f>
        <v>12.932499999999999</v>
      </c>
      <c r="C20" s="3">
        <f>19.8406</f>
        <v>19.840599999999998</v>
      </c>
      <c r="D20" s="1">
        <f t="shared" si="4"/>
        <v>19</v>
      </c>
      <c r="E20" s="6" t="s">
        <v>13</v>
      </c>
      <c r="F20" s="4">
        <f t="shared" si="5"/>
        <v>45061</v>
      </c>
      <c r="G20" s="1">
        <v>0</v>
      </c>
      <c r="H20" s="1">
        <f>19.4129</f>
        <v>19.4129</v>
      </c>
      <c r="I20" s="5">
        <f t="shared" si="10"/>
        <v>0.42769999999999797</v>
      </c>
      <c r="J20" s="3">
        <f t="shared" si="11"/>
        <v>6.9080999999999992</v>
      </c>
      <c r="K20" s="1">
        <f t="shared" si="12"/>
        <v>6.1912826971236381</v>
      </c>
      <c r="L20" s="7">
        <f t="shared" si="9"/>
        <v>3.5909439643317098</v>
      </c>
      <c r="M20" s="1" t="s">
        <v>15</v>
      </c>
    </row>
    <row r="21" spans="1:13" x14ac:dyDescent="0.35">
      <c r="A21" s="1">
        <v>41</v>
      </c>
      <c r="B21" s="1">
        <f>12.7686</f>
        <v>12.768599999999999</v>
      </c>
      <c r="C21" s="3">
        <f>21.6066</f>
        <v>21.6066</v>
      </c>
      <c r="D21" s="1">
        <f t="shared" si="4"/>
        <v>20</v>
      </c>
      <c r="E21" s="6" t="s">
        <v>17</v>
      </c>
      <c r="F21" s="4">
        <f t="shared" si="5"/>
        <v>45061</v>
      </c>
      <c r="G21" s="1">
        <v>0</v>
      </c>
      <c r="H21" s="1">
        <f>21.0641</f>
        <v>21.0641</v>
      </c>
      <c r="I21" s="5">
        <f t="shared" si="10"/>
        <v>0.54250000000000043</v>
      </c>
      <c r="J21" s="3">
        <f t="shared" si="11"/>
        <v>8.838000000000001</v>
      </c>
      <c r="K21" s="1">
        <f t="shared" si="12"/>
        <v>6.1382665761484541</v>
      </c>
      <c r="L21" s="7">
        <f t="shared" si="9"/>
        <v>3.5601946141661029</v>
      </c>
      <c r="M21" s="1" t="s">
        <v>15</v>
      </c>
    </row>
    <row r="22" spans="1:13" x14ac:dyDescent="0.35">
      <c r="A22" s="1">
        <v>32</v>
      </c>
      <c r="B22" s="1">
        <f>13.4755</f>
        <v>13.4755</v>
      </c>
      <c r="C22" s="3">
        <f>20.5074</f>
        <v>20.507400000000001</v>
      </c>
      <c r="D22" s="1">
        <v>1</v>
      </c>
      <c r="E22" s="6" t="s">
        <v>14</v>
      </c>
      <c r="F22" s="9">
        <v>45611</v>
      </c>
      <c r="G22" s="1">
        <f>F22-$F$21</f>
        <v>550</v>
      </c>
      <c r="H22" s="1">
        <f>20.079</f>
        <v>20.079000000000001</v>
      </c>
      <c r="I22" s="5">
        <f t="shared" si="10"/>
        <v>0.42839999999999989</v>
      </c>
      <c r="J22" s="3">
        <f t="shared" si="11"/>
        <v>7.0319000000000003</v>
      </c>
      <c r="K22" s="1">
        <f t="shared" si="12"/>
        <v>6.0922368065529922</v>
      </c>
      <c r="L22" s="7">
        <f t="shared" si="9"/>
        <v>3.533497347800735</v>
      </c>
      <c r="M22" s="1" t="s">
        <v>15</v>
      </c>
    </row>
    <row r="23" spans="1:13" x14ac:dyDescent="0.35">
      <c r="A23" s="1">
        <v>23</v>
      </c>
      <c r="B23" s="1">
        <f>12.208</f>
        <v>12.208</v>
      </c>
      <c r="C23" s="3">
        <f>20.5604</f>
        <v>20.560400000000001</v>
      </c>
      <c r="D23" s="1">
        <f t="shared" si="4"/>
        <v>2</v>
      </c>
      <c r="E23" s="6" t="s">
        <v>16</v>
      </c>
      <c r="F23" s="9">
        <f>F22</f>
        <v>45611</v>
      </c>
      <c r="G23" s="1">
        <f>F23-$F$21</f>
        <v>550</v>
      </c>
      <c r="H23" s="1">
        <f>19.9339</f>
        <v>19.933900000000001</v>
      </c>
      <c r="I23" s="5">
        <f t="shared" si="10"/>
        <v>0.62650000000000006</v>
      </c>
      <c r="J23" s="3">
        <f t="shared" si="11"/>
        <v>8.3524000000000012</v>
      </c>
      <c r="K23" s="1">
        <f t="shared" si="12"/>
        <v>7.5008380824673146</v>
      </c>
      <c r="L23" s="7">
        <f t="shared" si="9"/>
        <v>4.3504860878310421</v>
      </c>
      <c r="M23" s="1" t="s">
        <v>15</v>
      </c>
    </row>
    <row r="24" spans="1:13" x14ac:dyDescent="0.35">
      <c r="A24" s="1">
        <v>49</v>
      </c>
      <c r="B24" s="1">
        <f>15.6606</f>
        <v>15.660600000000001</v>
      </c>
      <c r="C24" s="3">
        <f>23.6562</f>
        <v>23.656199999999998</v>
      </c>
      <c r="D24" s="1">
        <f t="shared" si="4"/>
        <v>3</v>
      </c>
      <c r="E24" s="6" t="s">
        <v>13</v>
      </c>
      <c r="F24" s="9">
        <f t="shared" ref="F24:F41" si="13">F23</f>
        <v>45611</v>
      </c>
      <c r="G24" s="1">
        <f>F24-$F$21</f>
        <v>550</v>
      </c>
      <c r="H24" s="1">
        <f>23.176</f>
        <v>23.175999999999998</v>
      </c>
      <c r="I24" s="5">
        <f t="shared" si="10"/>
        <v>0.48019999999999996</v>
      </c>
      <c r="J24" s="3">
        <f t="shared" si="11"/>
        <v>7.9955999999999978</v>
      </c>
      <c r="K24" s="1">
        <f t="shared" si="12"/>
        <v>6.0058031917554668</v>
      </c>
      <c r="L24" s="7">
        <f t="shared" si="9"/>
        <v>3.4833658512181707</v>
      </c>
      <c r="M24" s="1" t="s">
        <v>15</v>
      </c>
    </row>
    <row r="25" spans="1:13" x14ac:dyDescent="0.35">
      <c r="A25" s="1">
        <v>18</v>
      </c>
      <c r="B25" s="1">
        <f>13.9478</f>
        <v>13.947800000000001</v>
      </c>
      <c r="C25" s="3">
        <f>20.1408</f>
        <v>20.140799999999999</v>
      </c>
      <c r="D25" s="1">
        <f t="shared" si="4"/>
        <v>4</v>
      </c>
      <c r="E25" s="6" t="s">
        <v>17</v>
      </c>
      <c r="F25" s="9">
        <f t="shared" si="13"/>
        <v>45611</v>
      </c>
      <c r="G25" s="1">
        <f>F25-$F$21</f>
        <v>550</v>
      </c>
      <c r="H25" s="1">
        <f>19.7748</f>
        <v>19.774799999999999</v>
      </c>
      <c r="I25" s="5">
        <f t="shared" si="10"/>
        <v>0.36599999999999966</v>
      </c>
      <c r="J25" s="3">
        <f t="shared" si="11"/>
        <v>6.1929999999999978</v>
      </c>
      <c r="K25" s="1">
        <f t="shared" si="12"/>
        <v>5.9098982722428515</v>
      </c>
      <c r="L25" s="7">
        <f t="shared" si="9"/>
        <v>3.4277409979008535</v>
      </c>
      <c r="M25" s="1" t="s">
        <v>15</v>
      </c>
    </row>
    <row r="26" spans="1:13" x14ac:dyDescent="0.35">
      <c r="A26" s="1">
        <v>40</v>
      </c>
      <c r="B26" s="1">
        <f>12.6718</f>
        <v>12.671799999999999</v>
      </c>
      <c r="C26" s="3">
        <f>18.6301</f>
        <v>18.630099999999999</v>
      </c>
      <c r="D26" s="1">
        <f t="shared" si="4"/>
        <v>5</v>
      </c>
      <c r="E26" s="6" t="s">
        <v>16</v>
      </c>
      <c r="F26" s="9">
        <f t="shared" si="13"/>
        <v>45611</v>
      </c>
      <c r="G26" s="1">
        <f>F26-$F$21</f>
        <v>550</v>
      </c>
      <c r="H26" s="1">
        <f>18.0378</f>
        <v>18.037800000000001</v>
      </c>
      <c r="I26" s="5">
        <f t="shared" si="10"/>
        <v>0.59229999999999805</v>
      </c>
      <c r="J26" s="3">
        <f t="shared" si="11"/>
        <v>5.9582999999999995</v>
      </c>
      <c r="K26" s="1">
        <f t="shared" si="12"/>
        <v>9.9407549133141693</v>
      </c>
      <c r="L26" s="7">
        <f t="shared" si="9"/>
        <v>5.7656378497222178</v>
      </c>
      <c r="M26" s="1" t="s">
        <v>15</v>
      </c>
    </row>
    <row r="27" spans="1:13" x14ac:dyDescent="0.35">
      <c r="A27" s="1">
        <v>8</v>
      </c>
      <c r="B27" s="1">
        <f>12.5684</f>
        <v>12.5684</v>
      </c>
      <c r="C27" s="3">
        <f>18.2965</f>
        <v>18.296500000000002</v>
      </c>
      <c r="D27" s="1">
        <f t="shared" si="4"/>
        <v>6</v>
      </c>
      <c r="E27" s="6" t="s">
        <v>13</v>
      </c>
      <c r="F27" s="9">
        <f t="shared" si="13"/>
        <v>45611</v>
      </c>
      <c r="G27" s="1">
        <f>F27-$F$21</f>
        <v>550</v>
      </c>
      <c r="H27" s="1">
        <f>17.9186</f>
        <v>17.918600000000001</v>
      </c>
      <c r="I27" s="5">
        <f t="shared" si="10"/>
        <v>0.37790000000000035</v>
      </c>
      <c r="J27" s="3">
        <f t="shared" si="11"/>
        <v>5.7281000000000013</v>
      </c>
      <c r="K27" s="1">
        <f t="shared" si="12"/>
        <v>6.5973010247726167</v>
      </c>
      <c r="L27" s="7">
        <f t="shared" si="9"/>
        <v>3.8264345943681173</v>
      </c>
      <c r="M27" s="1" t="s">
        <v>15</v>
      </c>
    </row>
    <row r="28" spans="1:13" x14ac:dyDescent="0.35">
      <c r="A28" s="1">
        <v>26</v>
      </c>
      <c r="B28" s="1">
        <f>12.4382</f>
        <v>12.4382</v>
      </c>
      <c r="C28" s="3">
        <f>19.9794</f>
        <v>19.979399999999998</v>
      </c>
      <c r="D28" s="1">
        <f t="shared" si="4"/>
        <v>7</v>
      </c>
      <c r="E28" s="6" t="s">
        <v>17</v>
      </c>
      <c r="F28" s="9">
        <f t="shared" si="13"/>
        <v>45611</v>
      </c>
      <c r="G28" s="1">
        <f>F28-$F$21</f>
        <v>550</v>
      </c>
      <c r="H28" s="1">
        <f>19.5145</f>
        <v>19.514500000000002</v>
      </c>
      <c r="I28" s="5">
        <f t="shared" si="10"/>
        <v>0.46489999999999654</v>
      </c>
      <c r="J28" s="3">
        <f t="shared" si="11"/>
        <v>7.5411999999999981</v>
      </c>
      <c r="K28" s="1">
        <f t="shared" si="12"/>
        <v>6.1648013578740342</v>
      </c>
      <c r="L28" s="7">
        <f t="shared" si="9"/>
        <v>3.5755847875669398</v>
      </c>
      <c r="M28" s="1" t="s">
        <v>15</v>
      </c>
    </row>
    <row r="29" spans="1:13" x14ac:dyDescent="0.35">
      <c r="A29" s="1">
        <v>7</v>
      </c>
      <c r="B29" s="1">
        <f>13.1382</f>
        <v>13.138199999999999</v>
      </c>
      <c r="C29" s="3">
        <f>19.1634</f>
        <v>19.163399999999999</v>
      </c>
      <c r="D29" s="1">
        <f t="shared" si="4"/>
        <v>8</v>
      </c>
      <c r="E29" s="6" t="s">
        <v>14</v>
      </c>
      <c r="F29" s="9">
        <f t="shared" si="13"/>
        <v>45611</v>
      </c>
      <c r="G29" s="1">
        <f>F29-$F$21</f>
        <v>550</v>
      </c>
      <c r="H29" s="1">
        <f>18.8267</f>
        <v>18.826699999999999</v>
      </c>
      <c r="I29" s="5">
        <f t="shared" si="10"/>
        <v>0.33670000000000044</v>
      </c>
      <c r="J29" s="3">
        <f t="shared" si="11"/>
        <v>6.0251999999999999</v>
      </c>
      <c r="K29" s="1">
        <f t="shared" si="12"/>
        <v>5.5881962424483911</v>
      </c>
      <c r="L29" s="7">
        <f t="shared" si="9"/>
        <v>3.2411538206200667</v>
      </c>
      <c r="M29" s="1" t="s">
        <v>15</v>
      </c>
    </row>
    <row r="30" spans="1:13" x14ac:dyDescent="0.35">
      <c r="A30" s="1">
        <v>30</v>
      </c>
      <c r="B30" s="1">
        <f>13.5223</f>
        <v>13.5223</v>
      </c>
      <c r="C30" s="3">
        <f>21.4179</f>
        <v>21.417899999999999</v>
      </c>
      <c r="D30" s="1">
        <f t="shared" si="4"/>
        <v>9</v>
      </c>
      <c r="E30" s="6" t="s">
        <v>13</v>
      </c>
      <c r="F30" s="9">
        <f t="shared" si="13"/>
        <v>45611</v>
      </c>
      <c r="G30" s="1">
        <f>F30-$F$21</f>
        <v>550</v>
      </c>
      <c r="H30" s="1">
        <f>20.913</f>
        <v>20.913</v>
      </c>
      <c r="I30" s="5">
        <f t="shared" si="10"/>
        <v>0.50489999999999924</v>
      </c>
      <c r="J30" s="3">
        <f t="shared" si="11"/>
        <v>7.8956</v>
      </c>
      <c r="K30" s="1">
        <f t="shared" si="12"/>
        <v>6.3947008460408234</v>
      </c>
      <c r="L30" s="7">
        <f t="shared" si="9"/>
        <v>3.7089264907036772</v>
      </c>
      <c r="M30" s="1" t="s">
        <v>15</v>
      </c>
    </row>
    <row r="31" spans="1:13" x14ac:dyDescent="0.35">
      <c r="A31" s="1">
        <v>4</v>
      </c>
      <c r="B31" s="1">
        <f>13.9423</f>
        <v>13.942299999999999</v>
      </c>
      <c r="C31" s="3">
        <f>18.9756</f>
        <v>18.9756</v>
      </c>
      <c r="D31" s="1">
        <f t="shared" si="4"/>
        <v>10</v>
      </c>
      <c r="E31" s="6" t="s">
        <v>14</v>
      </c>
      <c r="F31" s="9">
        <f t="shared" si="13"/>
        <v>45611</v>
      </c>
      <c r="G31" s="1">
        <f>F31-$F$21</f>
        <v>550</v>
      </c>
      <c r="H31" s="1">
        <f>18.5404</f>
        <v>18.540400000000002</v>
      </c>
      <c r="I31" s="5">
        <f t="shared" si="10"/>
        <v>0.43519999999999825</v>
      </c>
      <c r="J31" s="3">
        <f t="shared" si="11"/>
        <v>5.0333000000000006</v>
      </c>
      <c r="K31" s="1">
        <f t="shared" si="12"/>
        <v>8.6464148769196782</v>
      </c>
      <c r="L31" s="7">
        <f t="shared" si="9"/>
        <v>5.0149206286134129</v>
      </c>
      <c r="M31" s="1" t="s">
        <v>15</v>
      </c>
    </row>
    <row r="32" spans="1:13" x14ac:dyDescent="0.35">
      <c r="A32" s="1">
        <f>19</f>
        <v>19</v>
      </c>
      <c r="B32" s="1">
        <f>12.9325</f>
        <v>12.932499999999999</v>
      </c>
      <c r="C32" s="3">
        <f>18.8961</f>
        <v>18.896100000000001</v>
      </c>
      <c r="D32" s="1">
        <f t="shared" si="4"/>
        <v>11</v>
      </c>
      <c r="E32" s="6" t="s">
        <v>17</v>
      </c>
      <c r="F32" s="9">
        <f t="shared" si="13"/>
        <v>45611</v>
      </c>
      <c r="G32" s="1">
        <f>F32-$F$21</f>
        <v>550</v>
      </c>
      <c r="H32" s="1">
        <f>18.5668</f>
        <v>18.566800000000001</v>
      </c>
      <c r="I32" s="5">
        <f t="shared" si="10"/>
        <v>0.32929999999999993</v>
      </c>
      <c r="J32" s="3">
        <f t="shared" si="11"/>
        <v>5.9636000000000013</v>
      </c>
      <c r="K32" s="1">
        <f t="shared" si="12"/>
        <v>5.5218324501978646</v>
      </c>
      <c r="L32" s="7">
        <f t="shared" si="9"/>
        <v>3.2026628211147612</v>
      </c>
      <c r="M32" s="1" t="s">
        <v>15</v>
      </c>
    </row>
    <row r="33" spans="1:13" x14ac:dyDescent="0.35">
      <c r="A33" s="1">
        <v>34</v>
      </c>
      <c r="B33" s="1">
        <f>12.9116</f>
        <v>12.9116</v>
      </c>
      <c r="C33" s="3">
        <f>20.1644</f>
        <v>20.164400000000001</v>
      </c>
      <c r="D33" s="1">
        <f t="shared" si="4"/>
        <v>12</v>
      </c>
      <c r="E33" s="6" t="s">
        <v>16</v>
      </c>
      <c r="F33" s="9">
        <f t="shared" si="13"/>
        <v>45611</v>
      </c>
      <c r="G33" s="1">
        <f>F33-$F$21</f>
        <v>550</v>
      </c>
      <c r="H33" s="1">
        <f>19.7215</f>
        <v>19.721499999999999</v>
      </c>
      <c r="I33" s="5">
        <f t="shared" si="10"/>
        <v>0.44290000000000163</v>
      </c>
      <c r="J33" s="3">
        <f t="shared" si="11"/>
        <v>7.2528000000000006</v>
      </c>
      <c r="K33" s="1">
        <f t="shared" si="12"/>
        <v>6.1066071034635119</v>
      </c>
      <c r="L33" s="7">
        <f t="shared" si="9"/>
        <v>3.5418321200088365</v>
      </c>
      <c r="M33" s="1" t="s">
        <v>15</v>
      </c>
    </row>
    <row r="34" spans="1:13" x14ac:dyDescent="0.35">
      <c r="A34" s="1">
        <v>16</v>
      </c>
      <c r="B34" s="1">
        <f>13.5064</f>
        <v>13.506399999999999</v>
      </c>
      <c r="C34" s="3">
        <f>19.6171</f>
        <v>19.617100000000001</v>
      </c>
      <c r="D34" s="1">
        <f t="shared" si="4"/>
        <v>13</v>
      </c>
      <c r="E34" s="6" t="s">
        <v>17</v>
      </c>
      <c r="F34" s="9">
        <f t="shared" si="13"/>
        <v>45611</v>
      </c>
      <c r="G34" s="1">
        <f>F34-$F$21</f>
        <v>550</v>
      </c>
      <c r="H34" s="1">
        <f>19.1915</f>
        <v>19.191500000000001</v>
      </c>
      <c r="I34" s="5">
        <f t="shared" si="10"/>
        <v>0.42559999999999931</v>
      </c>
      <c r="J34" s="3">
        <f t="shared" si="11"/>
        <v>6.1107000000000014</v>
      </c>
      <c r="K34" s="1">
        <f t="shared" si="12"/>
        <v>6.9648321796193438</v>
      </c>
      <c r="L34" s="7">
        <f t="shared" si="9"/>
        <v>4.0396026641792195</v>
      </c>
      <c r="M34" s="1" t="s">
        <v>15</v>
      </c>
    </row>
    <row r="35" spans="1:13" x14ac:dyDescent="0.35">
      <c r="A35" s="1">
        <v>12</v>
      </c>
      <c r="B35" s="1">
        <f>14.20005</f>
        <v>14.200049999999999</v>
      </c>
      <c r="C35" s="3">
        <f>20.8583</f>
        <v>20.8583</v>
      </c>
      <c r="D35" s="1">
        <f t="shared" si="4"/>
        <v>14</v>
      </c>
      <c r="E35" s="6" t="s">
        <v>14</v>
      </c>
      <c r="F35" s="9">
        <f t="shared" si="13"/>
        <v>45611</v>
      </c>
      <c r="G35" s="1">
        <f>F35-$F$21</f>
        <v>550</v>
      </c>
      <c r="H35" s="1">
        <f>20.4625</f>
        <v>20.462499999999999</v>
      </c>
      <c r="I35" s="5">
        <f t="shared" si="10"/>
        <v>0.39580000000000126</v>
      </c>
      <c r="J35" s="3">
        <f t="shared" si="11"/>
        <v>6.6582500000000007</v>
      </c>
      <c r="K35" s="1">
        <f t="shared" si="12"/>
        <v>5.9445049374835914</v>
      </c>
      <c r="L35" s="7">
        <f t="shared" si="9"/>
        <v>3.447812863740483</v>
      </c>
      <c r="M35" s="1" t="s">
        <v>15</v>
      </c>
    </row>
    <row r="36" spans="1:13" x14ac:dyDescent="0.35">
      <c r="A36" s="1">
        <v>46</v>
      </c>
      <c r="B36" s="1">
        <f>12.8244</f>
        <v>12.824400000000001</v>
      </c>
      <c r="C36" s="3">
        <f>18.2083</f>
        <v>18.208300000000001</v>
      </c>
      <c r="D36" s="1">
        <f t="shared" si="4"/>
        <v>15</v>
      </c>
      <c r="E36" s="6" t="s">
        <v>16</v>
      </c>
      <c r="F36" s="9">
        <f t="shared" si="13"/>
        <v>45611</v>
      </c>
      <c r="G36" s="1">
        <f>F36-$F$21</f>
        <v>550</v>
      </c>
      <c r="H36" s="1">
        <f>17.885</f>
        <v>17.885000000000002</v>
      </c>
      <c r="I36" s="5">
        <f t="shared" si="10"/>
        <v>0.3232999999999997</v>
      </c>
      <c r="J36" s="3">
        <f t="shared" si="11"/>
        <v>5.3839000000000006</v>
      </c>
      <c r="K36" s="1">
        <f t="shared" si="12"/>
        <v>6.0049406564014873</v>
      </c>
      <c r="L36" s="7">
        <f t="shared" si="9"/>
        <v>3.4828655807128626</v>
      </c>
      <c r="M36" s="1" t="s">
        <v>15</v>
      </c>
    </row>
    <row r="37" spans="1:13" x14ac:dyDescent="0.35">
      <c r="A37" s="1">
        <v>35</v>
      </c>
      <c r="B37" s="1">
        <f>12.5669</f>
        <v>12.5669</v>
      </c>
      <c r="C37" s="3">
        <f>17.9308</f>
        <v>17.930800000000001</v>
      </c>
      <c r="D37" s="1">
        <f t="shared" si="4"/>
        <v>16</v>
      </c>
      <c r="E37" s="6" t="s">
        <v>13</v>
      </c>
      <c r="F37" s="9">
        <f t="shared" si="13"/>
        <v>45611</v>
      </c>
      <c r="G37" s="1">
        <f>F37-$F$21</f>
        <v>550</v>
      </c>
      <c r="H37" s="1">
        <f>17.6695</f>
        <v>17.669499999999999</v>
      </c>
      <c r="I37" s="5">
        <f t="shared" si="10"/>
        <v>0.26130000000000209</v>
      </c>
      <c r="J37" s="3">
        <f t="shared" si="11"/>
        <v>5.363900000000001</v>
      </c>
      <c r="K37" s="1">
        <f t="shared" si="12"/>
        <v>4.8714554708328279</v>
      </c>
      <c r="L37" s="7">
        <f t="shared" si="9"/>
        <v>2.82544417308304</v>
      </c>
      <c r="M37" s="1" t="s">
        <v>15</v>
      </c>
    </row>
    <row r="38" spans="1:13" x14ac:dyDescent="0.35">
      <c r="A38" s="1">
        <v>20</v>
      </c>
      <c r="B38" s="1">
        <f>14.0464</f>
        <v>14.0464</v>
      </c>
      <c r="C38" s="3">
        <f>19.841</f>
        <v>19.841000000000001</v>
      </c>
      <c r="D38" s="1">
        <f t="shared" si="4"/>
        <v>17</v>
      </c>
      <c r="E38" s="6" t="s">
        <v>14</v>
      </c>
      <c r="F38" s="9">
        <f t="shared" si="13"/>
        <v>45611</v>
      </c>
      <c r="G38" s="1">
        <f>F38-$F$21</f>
        <v>550</v>
      </c>
      <c r="H38" s="1">
        <f>19.3902</f>
        <v>19.3902</v>
      </c>
      <c r="I38" s="5">
        <f t="shared" si="10"/>
        <v>0.45080000000000098</v>
      </c>
      <c r="J38" s="3">
        <f t="shared" si="11"/>
        <v>5.7946000000000009</v>
      </c>
      <c r="K38" s="1">
        <f t="shared" si="12"/>
        <v>7.7796569219618421</v>
      </c>
      <c r="L38" s="7">
        <f t="shared" si="9"/>
        <v>4.5122010147378679</v>
      </c>
      <c r="M38" s="1" t="s">
        <v>15</v>
      </c>
    </row>
    <row r="39" spans="1:13" x14ac:dyDescent="0.35">
      <c r="A39" s="1">
        <v>36</v>
      </c>
      <c r="B39" s="1">
        <f>13.1583</f>
        <v>13.158300000000001</v>
      </c>
      <c r="C39" s="3">
        <f>19.4456</f>
        <v>19.445599999999999</v>
      </c>
      <c r="D39" s="1">
        <f t="shared" si="4"/>
        <v>18</v>
      </c>
      <c r="E39" s="6" t="s">
        <v>16</v>
      </c>
      <c r="F39" s="9">
        <f t="shared" si="13"/>
        <v>45611</v>
      </c>
      <c r="G39" s="1">
        <f>F39-$F$21</f>
        <v>550</v>
      </c>
      <c r="H39" s="1">
        <f>18.9389</f>
        <v>18.9389</v>
      </c>
      <c r="I39" s="5">
        <f t="shared" si="10"/>
        <v>0.5066999999999986</v>
      </c>
      <c r="J39" s="3">
        <f t="shared" si="11"/>
        <v>6.2872999999999983</v>
      </c>
      <c r="K39" s="1">
        <f t="shared" si="12"/>
        <v>8.0591032716746263</v>
      </c>
      <c r="L39" s="7">
        <f t="shared" si="9"/>
        <v>4.6742798975712825</v>
      </c>
      <c r="M39" s="1" t="s">
        <v>15</v>
      </c>
    </row>
    <row r="40" spans="1:13" x14ac:dyDescent="0.35">
      <c r="A40" s="1">
        <v>39</v>
      </c>
      <c r="B40" s="1">
        <f>12.701</f>
        <v>12.701000000000001</v>
      </c>
      <c r="C40" s="3">
        <f>18.2022</f>
        <v>18.202200000000001</v>
      </c>
      <c r="D40" s="1">
        <f t="shared" si="4"/>
        <v>19</v>
      </c>
      <c r="E40" s="6" t="s">
        <v>13</v>
      </c>
      <c r="F40" s="9">
        <f t="shared" si="13"/>
        <v>45611</v>
      </c>
      <c r="G40" s="1">
        <f>F40-$F$21</f>
        <v>550</v>
      </c>
      <c r="H40" s="1">
        <f>17.9171</f>
        <v>17.917100000000001</v>
      </c>
      <c r="I40" s="5">
        <f t="shared" si="10"/>
        <v>0.28509999999999991</v>
      </c>
      <c r="J40" s="3">
        <f t="shared" si="11"/>
        <v>5.5012000000000008</v>
      </c>
      <c r="K40" s="1">
        <f t="shared" si="12"/>
        <v>5.1825056351341505</v>
      </c>
      <c r="L40" s="7">
        <f t="shared" si="9"/>
        <v>3.0058532683778072</v>
      </c>
      <c r="M40" s="1" t="s">
        <v>15</v>
      </c>
    </row>
    <row r="41" spans="1:13" x14ac:dyDescent="0.35">
      <c r="A41" s="1">
        <v>44</v>
      </c>
      <c r="B41" s="1">
        <f>13.4475</f>
        <v>13.4475</v>
      </c>
      <c r="C41" s="3">
        <f>18.8786</f>
        <v>18.878599999999999</v>
      </c>
      <c r="D41" s="1">
        <f t="shared" si="4"/>
        <v>20</v>
      </c>
      <c r="E41" s="6" t="s">
        <v>17</v>
      </c>
      <c r="F41" s="9">
        <f t="shared" si="13"/>
        <v>45611</v>
      </c>
      <c r="G41" s="1">
        <f>F41-$F$21</f>
        <v>550</v>
      </c>
      <c r="H41" s="1">
        <f>18.5937</f>
        <v>18.593699999999998</v>
      </c>
      <c r="I41" s="5">
        <f t="shared" si="10"/>
        <v>0.28490000000000038</v>
      </c>
      <c r="J41" s="3">
        <f t="shared" si="11"/>
        <v>5.4310999999999989</v>
      </c>
      <c r="K41" s="1">
        <f t="shared" si="12"/>
        <v>5.2457144961425941</v>
      </c>
      <c r="L41" s="7">
        <f t="shared" si="9"/>
        <v>3.0425144077627042</v>
      </c>
      <c r="M41" s="1" t="s">
        <v>15</v>
      </c>
    </row>
    <row r="42" spans="1:13" x14ac:dyDescent="0.35">
      <c r="I42" s="5"/>
      <c r="J42" s="3"/>
    </row>
    <row r="43" spans="1:13" x14ac:dyDescent="0.35">
      <c r="B43" s="2"/>
      <c r="F43" s="4"/>
      <c r="G43" s="4"/>
      <c r="I43" s="5"/>
      <c r="J43" s="3"/>
    </row>
    <row r="44" spans="1:13" x14ac:dyDescent="0.35">
      <c r="B44" s="2"/>
      <c r="F44" s="4"/>
      <c r="G44" s="4"/>
      <c r="I44" s="5"/>
      <c r="J44" s="3"/>
    </row>
    <row r="45" spans="1:13" x14ac:dyDescent="0.35">
      <c r="B45" s="2"/>
      <c r="F45" s="4"/>
      <c r="G45" s="4"/>
      <c r="I45" s="5"/>
      <c r="J45" s="3"/>
    </row>
    <row r="46" spans="1:13" x14ac:dyDescent="0.35">
      <c r="B46" s="2"/>
      <c r="F46" s="4"/>
      <c r="G46" s="4"/>
      <c r="I46" s="5"/>
      <c r="J46" s="3"/>
    </row>
    <row r="47" spans="1:13" x14ac:dyDescent="0.35">
      <c r="B47" s="2"/>
      <c r="F47" s="4"/>
      <c r="G47" s="4"/>
      <c r="I47" s="5"/>
      <c r="J47" s="3"/>
    </row>
    <row r="48" spans="1:13" x14ac:dyDescent="0.35">
      <c r="B48" s="2"/>
      <c r="F48" s="4"/>
      <c r="G48" s="4"/>
      <c r="I48" s="5"/>
      <c r="J48" s="3"/>
    </row>
    <row r="49" spans="2:15" x14ac:dyDescent="0.35">
      <c r="B49" s="2"/>
      <c r="F49" s="4"/>
      <c r="G49" s="4"/>
      <c r="I49" s="5"/>
      <c r="J49" s="3"/>
    </row>
    <row r="50" spans="2:15" x14ac:dyDescent="0.35">
      <c r="B50" s="2"/>
      <c r="F50" s="4"/>
      <c r="G50" s="4"/>
      <c r="I50" s="5"/>
      <c r="J50" s="3"/>
    </row>
    <row r="51" spans="2:15" x14ac:dyDescent="0.35">
      <c r="B51" s="2"/>
      <c r="F51" s="4"/>
      <c r="G51" s="4"/>
      <c r="I51" s="5"/>
      <c r="J51" s="3"/>
    </row>
    <row r="52" spans="2:15" x14ac:dyDescent="0.35">
      <c r="B52" s="2"/>
      <c r="F52" s="4"/>
      <c r="G52" s="4"/>
      <c r="I52" s="5"/>
      <c r="J52" s="3"/>
    </row>
    <row r="53" spans="2:15" x14ac:dyDescent="0.35">
      <c r="B53" s="2"/>
      <c r="F53" s="4"/>
      <c r="G53" s="4"/>
      <c r="I53" s="5"/>
      <c r="J53" s="3"/>
    </row>
    <row r="54" spans="2:15" x14ac:dyDescent="0.35">
      <c r="B54" s="2"/>
      <c r="F54" s="4"/>
      <c r="G54" s="4"/>
      <c r="I54" s="5"/>
      <c r="J54" s="3"/>
    </row>
    <row r="55" spans="2:15" x14ac:dyDescent="0.35">
      <c r="B55" s="2"/>
      <c r="F55" s="4"/>
      <c r="G55" s="4"/>
      <c r="I55" s="5"/>
      <c r="J55" s="3"/>
    </row>
    <row r="56" spans="2:15" x14ac:dyDescent="0.35">
      <c r="B56" s="2"/>
      <c r="F56" s="4"/>
      <c r="G56" s="4"/>
      <c r="I56" s="5"/>
      <c r="J56" s="3"/>
    </row>
    <row r="57" spans="2:15" x14ac:dyDescent="0.35">
      <c r="B57" s="2"/>
      <c r="F57" s="4"/>
      <c r="G57" s="4"/>
      <c r="I57" s="5"/>
      <c r="J57" s="3"/>
    </row>
    <row r="58" spans="2:15" x14ac:dyDescent="0.35">
      <c r="B58" s="2"/>
      <c r="F58" s="4"/>
      <c r="G58" s="4"/>
      <c r="I58" s="5"/>
      <c r="J58" s="3"/>
    </row>
    <row r="59" spans="2:15" x14ac:dyDescent="0.35">
      <c r="B59" s="2"/>
      <c r="F59" s="4"/>
      <c r="G59" s="4"/>
      <c r="I59" s="5"/>
      <c r="J59" s="3"/>
      <c r="O59" s="2"/>
    </row>
    <row r="60" spans="2:15" x14ac:dyDescent="0.35">
      <c r="B60" s="2"/>
      <c r="F60" s="4"/>
      <c r="G60" s="4"/>
      <c r="I60" s="5"/>
      <c r="J60" s="3"/>
      <c r="O60" s="2"/>
    </row>
    <row r="61" spans="2:15" x14ac:dyDescent="0.35">
      <c r="B61" s="2"/>
      <c r="F61" s="4"/>
      <c r="G61" s="4"/>
      <c r="I61" s="5"/>
      <c r="J61" s="3"/>
      <c r="O61" s="2"/>
    </row>
    <row r="62" spans="2:15" x14ac:dyDescent="0.35">
      <c r="B62" s="2"/>
      <c r="F62" s="4"/>
      <c r="G62" s="4"/>
      <c r="I62" s="5"/>
      <c r="J62" s="3"/>
      <c r="O62" s="2"/>
    </row>
    <row r="63" spans="2:15" x14ac:dyDescent="0.35">
      <c r="B63" s="2"/>
      <c r="F63" s="4"/>
      <c r="G63" s="4"/>
      <c r="I63" s="5"/>
      <c r="J63" s="3"/>
      <c r="O63" s="2"/>
    </row>
    <row r="64" spans="2:15" x14ac:dyDescent="0.35">
      <c r="B64" s="2"/>
      <c r="F64" s="4"/>
      <c r="G64" s="4"/>
      <c r="I64" s="5"/>
      <c r="J64" s="3"/>
      <c r="O64" s="2"/>
    </row>
    <row r="65" spans="2:15" x14ac:dyDescent="0.35">
      <c r="B65" s="2"/>
      <c r="F65" s="4"/>
      <c r="G65" s="4"/>
      <c r="I65" s="5"/>
      <c r="J65" s="3"/>
      <c r="O65" s="2"/>
    </row>
    <row r="66" spans="2:15" x14ac:dyDescent="0.35">
      <c r="B66" s="2"/>
      <c r="F66" s="4"/>
      <c r="G66" s="4"/>
      <c r="I66" s="5"/>
      <c r="J66" s="3"/>
      <c r="O66" s="2"/>
    </row>
    <row r="67" spans="2:15" x14ac:dyDescent="0.35">
      <c r="B67" s="2"/>
      <c r="F67" s="4"/>
      <c r="G67" s="4"/>
      <c r="I67" s="5"/>
      <c r="J67" s="3"/>
      <c r="O67" s="2"/>
    </row>
    <row r="68" spans="2:15" x14ac:dyDescent="0.35">
      <c r="B68" s="2"/>
      <c r="F68" s="4"/>
      <c r="G68" s="4"/>
      <c r="I68" s="5"/>
      <c r="J68" s="3"/>
      <c r="O68" s="2"/>
    </row>
    <row r="69" spans="2:15" x14ac:dyDescent="0.35">
      <c r="B69" s="2"/>
      <c r="F69" s="4"/>
      <c r="G69" s="4"/>
      <c r="I69" s="5"/>
      <c r="J69" s="3"/>
      <c r="O69" s="2"/>
    </row>
    <row r="70" spans="2:15" x14ac:dyDescent="0.35">
      <c r="B70" s="2"/>
      <c r="F70" s="4"/>
      <c r="G70" s="4"/>
      <c r="I70" s="5"/>
      <c r="J70" s="3"/>
      <c r="O70" s="2"/>
    </row>
    <row r="71" spans="2:15" x14ac:dyDescent="0.35">
      <c r="B71" s="2"/>
      <c r="F71" s="4"/>
      <c r="G71" s="4"/>
      <c r="I71" s="5"/>
      <c r="J71" s="3"/>
      <c r="O71" s="2"/>
    </row>
    <row r="72" spans="2:15" x14ac:dyDescent="0.35">
      <c r="B72" s="2"/>
      <c r="F72" s="4"/>
      <c r="G72" s="4"/>
      <c r="I72" s="5"/>
      <c r="J72" s="3"/>
      <c r="O72" s="2"/>
    </row>
    <row r="73" spans="2:15" x14ac:dyDescent="0.35">
      <c r="B73" s="2"/>
      <c r="F73" s="4"/>
      <c r="G73" s="4"/>
      <c r="I73" s="5"/>
      <c r="J73" s="3"/>
      <c r="O73" s="2"/>
    </row>
    <row r="74" spans="2:15" x14ac:dyDescent="0.35">
      <c r="F74" s="4"/>
      <c r="G74" s="4"/>
      <c r="I74" s="5"/>
      <c r="J74" s="3"/>
      <c r="O74" s="2"/>
    </row>
    <row r="75" spans="2:15" x14ac:dyDescent="0.35">
      <c r="B75" s="2"/>
      <c r="F75" s="4"/>
      <c r="G75" s="4"/>
      <c r="I75" s="5"/>
      <c r="J75" s="3"/>
      <c r="O75" s="2"/>
    </row>
    <row r="76" spans="2:15" x14ac:dyDescent="0.35">
      <c r="B76" s="2"/>
      <c r="F76" s="4"/>
      <c r="G76" s="4"/>
      <c r="I76" s="5"/>
      <c r="J76" s="3"/>
      <c r="O76" s="2"/>
    </row>
    <row r="77" spans="2:15" x14ac:dyDescent="0.35">
      <c r="F77" s="4"/>
      <c r="G77" s="4"/>
      <c r="I77" s="5"/>
      <c r="J77" s="3"/>
      <c r="O77" s="2"/>
    </row>
    <row r="78" spans="2:15" x14ac:dyDescent="0.35">
      <c r="B78" s="2"/>
      <c r="F78" s="4"/>
      <c r="G78" s="4"/>
      <c r="I78" s="5"/>
      <c r="J78" s="3"/>
      <c r="O78" s="2"/>
    </row>
    <row r="79" spans="2:15" x14ac:dyDescent="0.35">
      <c r="B79" s="2"/>
      <c r="F79" s="4"/>
      <c r="G79" s="4"/>
      <c r="I79" s="5"/>
      <c r="J79" s="3"/>
      <c r="O79" s="2"/>
    </row>
    <row r="80" spans="2:15" x14ac:dyDescent="0.35">
      <c r="B80" s="2"/>
      <c r="F80" s="4"/>
      <c r="G80" s="4"/>
      <c r="I80" s="5"/>
      <c r="J80" s="3"/>
      <c r="O80" s="2"/>
    </row>
    <row r="81" spans="2:15" x14ac:dyDescent="0.35">
      <c r="B81" s="2"/>
      <c r="F81" s="4"/>
      <c r="G81" s="4"/>
      <c r="I81" s="5"/>
      <c r="J81" s="3"/>
      <c r="O81" s="2"/>
    </row>
    <row r="82" spans="2:15" x14ac:dyDescent="0.35">
      <c r="C82" s="1"/>
    </row>
    <row r="83" spans="2:15" x14ac:dyDescent="0.35">
      <c r="C83" s="1"/>
      <c r="O83" s="2"/>
    </row>
    <row r="84" spans="2:15" x14ac:dyDescent="0.35">
      <c r="C84" s="1"/>
    </row>
    <row r="85" spans="2:15" x14ac:dyDescent="0.35">
      <c r="C85" s="1"/>
      <c r="O85" s="2"/>
    </row>
    <row r="86" spans="2:15" x14ac:dyDescent="0.35">
      <c r="C86" s="1"/>
    </row>
    <row r="87" spans="2:15" x14ac:dyDescent="0.35">
      <c r="C87" s="1"/>
      <c r="O87" s="2"/>
    </row>
    <row r="88" spans="2:15" x14ac:dyDescent="0.35">
      <c r="C88" s="1"/>
      <c r="O88" s="2"/>
    </row>
    <row r="89" spans="2:15" x14ac:dyDescent="0.35">
      <c r="C89" s="1"/>
    </row>
    <row r="90" spans="2:15" x14ac:dyDescent="0.35">
      <c r="C90" s="1"/>
      <c r="O90" s="2"/>
    </row>
    <row r="91" spans="2:15" x14ac:dyDescent="0.35">
      <c r="C91" s="1"/>
      <c r="O91" s="2"/>
    </row>
    <row r="92" spans="2:15" x14ac:dyDescent="0.35">
      <c r="C92" s="1"/>
      <c r="O92" s="2"/>
    </row>
    <row r="93" spans="2:15" x14ac:dyDescent="0.35">
      <c r="C93" s="1"/>
      <c r="O93" s="2"/>
    </row>
    <row r="94" spans="2:15" x14ac:dyDescent="0.35">
      <c r="C94" s="1"/>
    </row>
    <row r="95" spans="2:15" x14ac:dyDescent="0.35">
      <c r="C95" s="1"/>
      <c r="O95" s="2"/>
    </row>
    <row r="96" spans="2:15" x14ac:dyDescent="0.35">
      <c r="C96" s="1"/>
      <c r="O96" s="2"/>
    </row>
    <row r="97" spans="3:15" x14ac:dyDescent="0.35">
      <c r="C97" s="1"/>
      <c r="O97" s="2"/>
    </row>
    <row r="98" spans="3:15" x14ac:dyDescent="0.35">
      <c r="C98" s="1"/>
      <c r="O98" s="2"/>
    </row>
    <row r="99" spans="3:15" x14ac:dyDescent="0.35">
      <c r="C99" s="1"/>
      <c r="O99" s="2"/>
    </row>
    <row r="100" spans="3:15" x14ac:dyDescent="0.35">
      <c r="C100" s="1"/>
      <c r="O100" s="2"/>
    </row>
    <row r="101" spans="3:15" x14ac:dyDescent="0.35">
      <c r="C101" s="1"/>
      <c r="O101" s="2"/>
    </row>
    <row r="102" spans="3:15" x14ac:dyDescent="0.35">
      <c r="C102" s="1"/>
      <c r="O102" s="2"/>
    </row>
    <row r="103" spans="3:15" x14ac:dyDescent="0.35">
      <c r="C103" s="1"/>
      <c r="O103" s="2"/>
    </row>
    <row r="104" spans="3:15" x14ac:dyDescent="0.35">
      <c r="C104" s="1"/>
    </row>
    <row r="105" spans="3:15" x14ac:dyDescent="0.35">
      <c r="C105" s="1"/>
      <c r="O105" s="2"/>
    </row>
    <row r="106" spans="3:15" x14ac:dyDescent="0.35">
      <c r="C106" s="1"/>
    </row>
    <row r="107" spans="3:15" x14ac:dyDescent="0.35">
      <c r="C107" s="1"/>
      <c r="O107" s="2"/>
    </row>
    <row r="108" spans="3:15" x14ac:dyDescent="0.35">
      <c r="C108" s="1"/>
    </row>
    <row r="109" spans="3:15" x14ac:dyDescent="0.35">
      <c r="C109" s="1"/>
      <c r="O109" s="2"/>
    </row>
    <row r="110" spans="3:15" x14ac:dyDescent="0.35">
      <c r="C110" s="1"/>
      <c r="O110" s="2"/>
    </row>
    <row r="111" spans="3:15" x14ac:dyDescent="0.35">
      <c r="C111" s="1"/>
      <c r="O111" s="2"/>
    </row>
    <row r="112" spans="3:15" x14ac:dyDescent="0.35">
      <c r="C112" s="1"/>
    </row>
    <row r="113" spans="3:15" x14ac:dyDescent="0.35">
      <c r="C113" s="1"/>
      <c r="O113" s="2"/>
    </row>
    <row r="114" spans="3:15" x14ac:dyDescent="0.35">
      <c r="C114" s="1"/>
    </row>
    <row r="115" spans="3:15" x14ac:dyDescent="0.35">
      <c r="C115" s="1"/>
    </row>
    <row r="116" spans="3:15" x14ac:dyDescent="0.35">
      <c r="C116" s="1"/>
    </row>
    <row r="117" spans="3:15" x14ac:dyDescent="0.35">
      <c r="C117" s="1"/>
    </row>
    <row r="118" spans="3:15" x14ac:dyDescent="0.35">
      <c r="C118" s="1"/>
    </row>
    <row r="119" spans="3:15" x14ac:dyDescent="0.35">
      <c r="C119" s="1"/>
    </row>
    <row r="120" spans="3:15" x14ac:dyDescent="0.35">
      <c r="C120" s="1"/>
    </row>
    <row r="121" spans="3:15" x14ac:dyDescent="0.35">
      <c r="C12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59369-1DFC-4504-8078-277A8FF1CA27}">
  <dimension ref="A1"/>
  <sheetViews>
    <sheetView workbookViewId="0">
      <selection activeCell="A9" sqref="A1:A9"/>
    </sheetView>
  </sheetViews>
  <sheetFormatPr defaultRowHeight="14.5" x14ac:dyDescent="0.35"/>
  <cols>
    <col min="1" max="1" width="20.1796875" customWidth="1"/>
  </cols>
  <sheetData/>
  <sortState xmlns:xlrd2="http://schemas.microsoft.com/office/spreadsheetml/2017/richdata2" ref="A1:B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cloversoil_LOI</vt:lpstr>
      <vt:lpstr>Blad2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Arthur</dc:creator>
  <cp:keywords/>
  <dc:description/>
  <cp:lastModifiedBy>Arthur Vienne</cp:lastModifiedBy>
  <cp:revision/>
  <dcterms:created xsi:type="dcterms:W3CDTF">2025-01-06T11:22:16Z</dcterms:created>
  <dcterms:modified xsi:type="dcterms:W3CDTF">2025-03-10T16:29:57Z</dcterms:modified>
  <cp:category/>
  <cp:contentStatus/>
</cp:coreProperties>
</file>