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35d1ce607f8498/Documentos/Geopolitics/Geopolitics final/"/>
    </mc:Choice>
  </mc:AlternateContent>
  <xr:revisionPtr revIDLastSave="66" documentId="14_{A0B69F1D-FC95-4B80-B04B-E62DD156F396}" xr6:coauthVersionLast="47" xr6:coauthVersionMax="47" xr10:uidLastSave="{5683604C-5000-4181-BB66-7786CC5D11F2}"/>
  <bookViews>
    <workbookView xWindow="-120" yWindow="-120" windowWidth="20730" windowHeight="11160" activeTab="1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Hoja1!$A$3:$V$134</definedName>
    <definedName name="_xlcn.WorksheetConnection_Hoja2I94J1341" hidden="1">Hoja2!$I$93:$J$133</definedName>
    <definedName name="_xlnm.Print_Area" localSheetId="0">Hoja1!$I$138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o" name="Rango" connection="WorksheetConnection_Hoja2!$I$94:$J$134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76" i="1" l="1"/>
  <c r="M53" i="1"/>
  <c r="M50" i="1"/>
  <c r="M58" i="1"/>
  <c r="M46" i="1"/>
  <c r="M45" i="1"/>
  <c r="M44" i="1"/>
  <c r="M42" i="1"/>
  <c r="M41" i="1"/>
  <c r="M38" i="1"/>
  <c r="M36" i="1" l="1"/>
  <c r="M35" i="1"/>
  <c r="M33" i="1"/>
  <c r="M19" i="1"/>
  <c r="M16" i="1"/>
  <c r="M14" i="1"/>
  <c r="M28" i="1"/>
  <c r="M27" i="1"/>
  <c r="M25" i="1"/>
  <c r="M24" i="1"/>
  <c r="M23" i="1"/>
  <c r="M22" i="1"/>
  <c r="M21" i="1"/>
  <c r="M20" i="1" l="1"/>
  <c r="M18" i="1"/>
  <c r="M17" i="1"/>
  <c r="M15" i="1"/>
  <c r="M12" i="1"/>
  <c r="M11" i="1"/>
  <c r="M10" i="1"/>
  <c r="M13" i="1"/>
  <c r="M29" i="1"/>
  <c r="M30" i="1"/>
  <c r="M31" i="1"/>
  <c r="M68" i="1"/>
  <c r="M74" i="1"/>
  <c r="M91" i="1"/>
  <c r="M93" i="1"/>
  <c r="M94" i="1"/>
  <c r="M96" i="1"/>
  <c r="M99" i="1"/>
  <c r="M98" i="1"/>
  <c r="M100" i="1"/>
  <c r="M108" i="1" l="1"/>
  <c r="M102" i="1"/>
  <c r="M105" i="1"/>
  <c r="M109" i="1"/>
  <c r="M110" i="1"/>
  <c r="M111" i="1"/>
  <c r="M113" i="1"/>
  <c r="M116" i="1"/>
  <c r="M125" i="1"/>
  <c r="M134" i="1"/>
  <c r="M126" i="1"/>
  <c r="M127" i="1"/>
  <c r="M12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Hoja2!$I$94:$J$134" type="102" refreshedVersion="6" minRefreshableVersion="5">
    <extLst>
      <ext xmlns:x15="http://schemas.microsoft.com/office/spreadsheetml/2010/11/main" uri="{DE250136-89BD-433C-8126-D09CA5730AF9}">
        <x15:connection id="Rango">
          <x15:rangePr sourceName="_xlcn.WorksheetConnection_Hoja2I94J1341"/>
        </x15:connection>
      </ext>
    </extLst>
  </connection>
</connections>
</file>

<file path=xl/sharedStrings.xml><?xml version="1.0" encoding="utf-8"?>
<sst xmlns="http://schemas.openxmlformats.org/spreadsheetml/2006/main" count="462" uniqueCount="174">
  <si>
    <t>Cases</t>
  </si>
  <si>
    <t>Year</t>
  </si>
  <si>
    <t>Entity</t>
  </si>
  <si>
    <t>Host-state</t>
  </si>
  <si>
    <t>Iceland</t>
  </si>
  <si>
    <t>Denmark</t>
  </si>
  <si>
    <t>Faroe Islands</t>
  </si>
  <si>
    <t>France</t>
  </si>
  <si>
    <t>Cyprus</t>
  </si>
  <si>
    <t>United Kingdom</t>
  </si>
  <si>
    <t>Malta</t>
  </si>
  <si>
    <t>Northern Ireland</t>
  </si>
  <si>
    <t>Northern Cyprus</t>
  </si>
  <si>
    <t>Slovenia</t>
  </si>
  <si>
    <t>Yugoslavia</t>
  </si>
  <si>
    <t>Lithuania</t>
  </si>
  <si>
    <t>Russia</t>
  </si>
  <si>
    <t>Estonia, Russian North-East</t>
  </si>
  <si>
    <t>Estonia</t>
  </si>
  <si>
    <t>Latvia</t>
  </si>
  <si>
    <t>USSR</t>
  </si>
  <si>
    <t>Galicia (Western Ukraine)</t>
  </si>
  <si>
    <t>Banija</t>
  </si>
  <si>
    <t>Krajina</t>
  </si>
  <si>
    <t>Slavonia, Baranja, West Srem</t>
  </si>
  <si>
    <t>Croatia</t>
  </si>
  <si>
    <t>Macedonia</t>
  </si>
  <si>
    <t>Kosovo</t>
  </si>
  <si>
    <t>Republika Srpska</t>
  </si>
  <si>
    <t>Gagauzia</t>
  </si>
  <si>
    <t>Moldova</t>
  </si>
  <si>
    <t>Ukraine</t>
  </si>
  <si>
    <t>Bosnia-Herzegovina</t>
  </si>
  <si>
    <t>Montenegro</t>
  </si>
  <si>
    <t>Presevo Valley</t>
  </si>
  <si>
    <t>Spain</t>
  </si>
  <si>
    <t>Northern Kosovo</t>
  </si>
  <si>
    <t>State agreement</t>
  </si>
  <si>
    <t>Level of democracy</t>
  </si>
  <si>
    <t>Previous violence</t>
  </si>
  <si>
    <t>Level of decentralization</t>
  </si>
  <si>
    <t>Competition/proximity</t>
  </si>
  <si>
    <t>Time</t>
  </si>
  <si>
    <t>% of host state GDP pc</t>
  </si>
  <si>
    <t>% of host state population</t>
  </si>
  <si>
    <t>% of host state area</t>
  </si>
  <si>
    <t>Capitals' distance</t>
  </si>
  <si>
    <t>Reputation</t>
  </si>
  <si>
    <t>Nagaland</t>
  </si>
  <si>
    <t>Benin (Dahomey)</t>
  </si>
  <si>
    <t>Burkina Faso (Upper Volta)</t>
  </si>
  <si>
    <t>Central African Republic (Ubangi-Shari)</t>
  </si>
  <si>
    <t>Chad</t>
  </si>
  <si>
    <t>Comoros</t>
  </si>
  <si>
    <t>Congo (French Congo)</t>
  </si>
  <si>
    <t>Djibouti (French Somaliland)</t>
  </si>
  <si>
    <t>French Polynesia</t>
  </si>
  <si>
    <t>Gabon</t>
  </si>
  <si>
    <t>Guinea (French Guinea)</t>
  </si>
  <si>
    <t>Ivory Coast</t>
  </si>
  <si>
    <t>Madagascar</t>
  </si>
  <si>
    <t>Mali (French Sudan)</t>
  </si>
  <si>
    <t>Mauritania</t>
  </si>
  <si>
    <t>New Caledonia</t>
  </si>
  <si>
    <t>Niger</t>
  </si>
  <si>
    <t>Saint Pierre et Miquelon</t>
  </si>
  <si>
    <t>Senegal</t>
  </si>
  <si>
    <t>Western Samoa</t>
  </si>
  <si>
    <t>Jamaica</t>
  </si>
  <si>
    <t>Algeria</t>
  </si>
  <si>
    <t>Rhodesia (Southern Rhodesia)</t>
  </si>
  <si>
    <t>Equatorial Guinea (Spanish Guinea)</t>
  </si>
  <si>
    <t>Anguilla</t>
  </si>
  <si>
    <t>Niue</t>
  </si>
  <si>
    <t>Palau</t>
  </si>
  <si>
    <t>Aruba</t>
  </si>
  <si>
    <t>Namibia (South-West Africa)</t>
  </si>
  <si>
    <t>Nevis</t>
  </si>
  <si>
    <t>Marshall Islands</t>
  </si>
  <si>
    <t>Quebec</t>
  </si>
  <si>
    <t>Ciskei</t>
  </si>
  <si>
    <t>Micronesia</t>
  </si>
  <si>
    <t>Rehoboth Gebied</t>
  </si>
  <si>
    <t>Georgia</t>
  </si>
  <si>
    <t>Armenia</t>
  </si>
  <si>
    <t>Turkmenistan</t>
  </si>
  <si>
    <t>Nagorno-Karabakh</t>
  </si>
  <si>
    <t>Azerbaijan</t>
  </si>
  <si>
    <t>South Ossetia</t>
  </si>
  <si>
    <t>Eritrea</t>
  </si>
  <si>
    <t>Bermuda</t>
  </si>
  <si>
    <t>South-West Cameroon</t>
  </si>
  <si>
    <t>Anjouan</t>
  </si>
  <si>
    <t>East Timor</t>
  </si>
  <si>
    <t>Abkhazia</t>
  </si>
  <si>
    <t>Somaliland</t>
  </si>
  <si>
    <t>Tokelau</t>
  </si>
  <si>
    <t>South Sudan</t>
  </si>
  <si>
    <t>India</t>
  </si>
  <si>
    <t>New Zealand</t>
  </si>
  <si>
    <t>United States of America</t>
  </si>
  <si>
    <t>Netherlands</t>
  </si>
  <si>
    <t>South Africa</t>
  </si>
  <si>
    <t>Canada</t>
  </si>
  <si>
    <t>Namibia</t>
  </si>
  <si>
    <t>Ethiopia</t>
  </si>
  <si>
    <t>Cameroon</t>
  </si>
  <si>
    <t>St. Kitts and Nevis</t>
  </si>
  <si>
    <t>Indonesia</t>
  </si>
  <si>
    <t>Somalia</t>
  </si>
  <si>
    <t>Sudan</t>
  </si>
  <si>
    <t>Europe</t>
  </si>
  <si>
    <t>Southern &amp; Eastern Asia</t>
  </si>
  <si>
    <t>North Africa &amp; Middle East</t>
  </si>
  <si>
    <t>Sub-Saharan Africa</t>
  </si>
  <si>
    <t>Oceania</t>
  </si>
  <si>
    <t>North America</t>
  </si>
  <si>
    <t>Latin America</t>
  </si>
  <si>
    <t>Central Asia</t>
  </si>
  <si>
    <t>Crimea</t>
  </si>
  <si>
    <t>Sevastopol</t>
  </si>
  <si>
    <t>Donetsk</t>
  </si>
  <si>
    <t>Luhansk</t>
  </si>
  <si>
    <t>Veneto</t>
  </si>
  <si>
    <t>Italy</t>
  </si>
  <si>
    <t>Scotland</t>
  </si>
  <si>
    <t>Catalonia</t>
  </si>
  <si>
    <t>Catalan municipalities</t>
  </si>
  <si>
    <t>Transnistria</t>
  </si>
  <si>
    <t>Serbia and Montenegro</t>
  </si>
  <si>
    <t>Algeria/France</t>
  </si>
  <si>
    <t>Puerto Rico</t>
  </si>
  <si>
    <t>Sint Eustatius</t>
  </si>
  <si>
    <t>South Brazil</t>
  </si>
  <si>
    <t>Kurdistan</t>
  </si>
  <si>
    <t>Macro-region</t>
  </si>
  <si>
    <t>Brazil</t>
  </si>
  <si>
    <t>Bougainville</t>
  </si>
  <si>
    <t>Papua New Guinea</t>
  </si>
  <si>
    <t>ID</t>
  </si>
  <si>
    <t>Iraq</t>
  </si>
  <si>
    <t>Mongolia</t>
  </si>
  <si>
    <t>Uzbekistan</t>
  </si>
  <si>
    <t>China</t>
  </si>
  <si>
    <t>Inner Mongolia</t>
  </si>
  <si>
    <t>Dependent variable</t>
  </si>
  <si>
    <t>Democratic experience</t>
  </si>
  <si>
    <t>Territorial contiguity</t>
  </si>
  <si>
    <t>GDP growth</t>
  </si>
  <si>
    <t>Independent variables</t>
  </si>
  <si>
    <t>Insularity</t>
  </si>
  <si>
    <t>State creation</t>
  </si>
  <si>
    <t>Hydrocarbons</t>
  </si>
  <si>
    <t>Code of cases</t>
  </si>
  <si>
    <t>Seceding region</t>
  </si>
  <si>
    <t>Host state</t>
  </si>
  <si>
    <t>Regional Authority Index (Hooghe et al. 2016)</t>
  </si>
  <si>
    <t>Contiguity=1 / no contiguity=0</t>
  </si>
  <si>
    <t>Insularity=1 / no insularity=0</t>
  </si>
  <si>
    <t>Year of the referendum (Centre for Direct Democracy C2D, 2022)</t>
  </si>
  <si>
    <t>Yes=1 / No=0 (Centre for Direct Democracy C2D, 2022)</t>
  </si>
  <si>
    <t>0= no competition and no proximity / 1=competition or proximity / 2=competition and proximity (Centre for Direct Democracy C2D, 2022)</t>
  </si>
  <si>
    <t>Liberal Democracy Index (V-dem, 2022)</t>
  </si>
  <si>
    <t>Number of years of continuous democratic experience (International Institute for Democracy and Electoral Assistance IDEAS, 2022)</t>
  </si>
  <si>
    <t>Number of years of a violent conflict prior to the referendum (UCDP/PRIO Armed Conflict Dataset version 20.1, 2022)</t>
  </si>
  <si>
    <t>Percentage of the gross domestic product per capita of the separatist region with respect the host state (Maddison Database Project, 2022)</t>
  </si>
  <si>
    <t xml:space="preserve">Rise=1 / drop=0 of the gross domestic product per capita of the separatist region with respect the host state (Maddison Database Project, 2022) </t>
  </si>
  <si>
    <t>Distance between the capital of seceding region and the capital of the host state in kilometers (Distance Calculator application of the European Commission, 2022)</t>
  </si>
  <si>
    <t xml:space="preserve">Number of secessionist movements in a country during the referendum (Self-determination Movements dataset by Sambanis et al. 2018). </t>
  </si>
  <si>
    <t>Number of years since 1944</t>
  </si>
  <si>
    <t xml:space="preserve">Percentage of the host state population represented by the secedin regions (Central Intelligence Agency World Factbooks CIA, 2020) </t>
  </si>
  <si>
    <t xml:space="preserve">Percentage of the host state territory represented by the secedin regions (Central Intelligence Agency World Factbooks CIA, 2020) </t>
  </si>
  <si>
    <t>Presence of hydrocarbons (Oil and Gas Map hosted by the WorldMap system of Harvard University, 2020)</t>
  </si>
  <si>
    <t>Continent (Contested sovereignty dataset by Mendez and Germann, 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</si>
</sst>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5" xfId="0" applyBorder="1"/>
    <xf numFmtId="2" fontId="0" fillId="0" borderId="0" xfId="0" applyNumberFormat="1"/>
    <xf numFmtId="2" fontId="0" fillId="0" borderId="5" xfId="0" applyNumberFormat="1" applyBorder="1"/>
    <xf numFmtId="2" fontId="0" fillId="0" borderId="10" xfId="0" applyNumberFormat="1" applyBorder="1"/>
    <xf numFmtId="0" fontId="3" fillId="0" borderId="5" xfId="0" applyFont="1" applyBorder="1"/>
    <xf numFmtId="0" fontId="1" fillId="3" borderId="13" xfId="0" applyFont="1" applyFill="1" applyBorder="1" applyAlignment="1">
      <alignment horizontal="center"/>
    </xf>
    <xf numFmtId="0" fontId="0" fillId="0" borderId="8" xfId="0" applyBorder="1"/>
    <xf numFmtId="0" fontId="0" fillId="0" borderId="21" xfId="0" applyBorder="1"/>
    <xf numFmtId="0" fontId="0" fillId="0" borderId="13" xfId="0" applyBorder="1"/>
    <xf numFmtId="0" fontId="0" fillId="0" borderId="11" xfId="0" applyBorder="1"/>
    <xf numFmtId="0" fontId="0" fillId="0" borderId="6" xfId="0" applyBorder="1"/>
    <xf numFmtId="0" fontId="0" fillId="0" borderId="12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5" xfId="0" applyBorder="1"/>
    <xf numFmtId="0" fontId="0" fillId="0" borderId="17" xfId="0" applyBorder="1"/>
    <xf numFmtId="2" fontId="0" fillId="0" borderId="6" xfId="0" applyNumberFormat="1" applyBorder="1"/>
    <xf numFmtId="2" fontId="0" fillId="0" borderId="9" xfId="0" applyNumberFormat="1" applyBorder="1"/>
    <xf numFmtId="2" fontId="0" fillId="0" borderId="15" xfId="0" applyNumberFormat="1" applyBorder="1"/>
    <xf numFmtId="2" fontId="0" fillId="0" borderId="16" xfId="0" applyNumberFormat="1" applyBorder="1"/>
    <xf numFmtId="2" fontId="0" fillId="0" borderId="11" xfId="0" applyNumberFormat="1" applyBorder="1"/>
    <xf numFmtId="2" fontId="0" fillId="0" borderId="18" xfId="0" applyNumberFormat="1" applyBorder="1"/>
    <xf numFmtId="2" fontId="0" fillId="0" borderId="20" xfId="0" applyNumberFormat="1" applyBorder="1"/>
    <xf numFmtId="2" fontId="4" fillId="0" borderId="0" xfId="0" applyNumberFormat="1" applyFont="1"/>
    <xf numFmtId="0" fontId="2" fillId="3" borderId="8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2" fontId="1" fillId="4" borderId="27" xfId="0" applyNumberFormat="1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2" fontId="1" fillId="4" borderId="28" xfId="0" applyNumberFormat="1" applyFont="1" applyFill="1" applyBorder="1" applyAlignment="1">
      <alignment horizontal="center"/>
    </xf>
    <xf numFmtId="0" fontId="1" fillId="4" borderId="29" xfId="0" applyFont="1" applyFill="1" applyBorder="1"/>
    <xf numFmtId="2" fontId="2" fillId="4" borderId="30" xfId="0" applyNumberFormat="1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0" fillId="0" borderId="32" xfId="0" applyBorder="1"/>
    <xf numFmtId="0" fontId="2" fillId="2" borderId="23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33" xfId="0" applyBorder="1"/>
    <xf numFmtId="2" fontId="0" fillId="0" borderId="3" xfId="0" applyNumberFormat="1" applyBorder="1"/>
    <xf numFmtId="2" fontId="0" fillId="0" borderId="4" xfId="0" applyNumberFormat="1" applyBorder="1"/>
    <xf numFmtId="2" fontId="0" fillId="0" borderId="35" xfId="0" applyNumberFormat="1" applyBorder="1"/>
    <xf numFmtId="0" fontId="0" fillId="0" borderId="36" xfId="0" applyBorder="1"/>
    <xf numFmtId="0" fontId="0" fillId="0" borderId="37" xfId="0" applyBorder="1"/>
    <xf numFmtId="0" fontId="0" fillId="0" borderId="24" xfId="0" applyBorder="1"/>
    <xf numFmtId="0" fontId="0" fillId="0" borderId="38" xfId="0" applyBorder="1"/>
    <xf numFmtId="0" fontId="0" fillId="0" borderId="25" xfId="0" applyBorder="1"/>
    <xf numFmtId="1" fontId="0" fillId="0" borderId="7" xfId="0" applyNumberFormat="1" applyBorder="1"/>
    <xf numFmtId="1" fontId="0" fillId="0" borderId="26" xfId="0" applyNumberFormat="1" applyBorder="1"/>
    <xf numFmtId="1" fontId="0" fillId="0" borderId="34" xfId="0" applyNumberFormat="1" applyBorder="1"/>
    <xf numFmtId="1" fontId="0" fillId="0" borderId="14" xfId="0" applyNumberFormat="1" applyBorder="1"/>
    <xf numFmtId="1" fontId="0" fillId="0" borderId="6" xfId="0" applyNumberFormat="1" applyBorder="1"/>
    <xf numFmtId="1" fontId="0" fillId="0" borderId="5" xfId="0" applyNumberFormat="1" applyBorder="1"/>
    <xf numFmtId="1" fontId="0" fillId="0" borderId="4" xfId="0" applyNumberFormat="1" applyBorder="1"/>
    <xf numFmtId="1" fontId="0" fillId="0" borderId="15" xfId="0" applyNumberFormat="1" applyBorder="1"/>
    <xf numFmtId="0" fontId="2" fillId="2" borderId="39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40" xfId="0" applyFont="1" applyFill="1" applyBorder="1" applyAlignment="1">
      <alignment horizontal="center"/>
    </xf>
    <xf numFmtId="0" fontId="2" fillId="3" borderId="41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4"/>
  <sheetViews>
    <sheetView zoomScale="70" zoomScaleNormal="70" workbookViewId="0">
      <selection activeCell="A3" sqref="A3:V3"/>
    </sheetView>
  </sheetViews>
  <sheetFormatPr baseColWidth="10" defaultRowHeight="15" x14ac:dyDescent="0.25"/>
  <cols>
    <col min="1" max="1" width="5.85546875" customWidth="1"/>
    <col min="2" max="2" width="9.5703125" customWidth="1"/>
    <col min="3" max="3" width="24.85546875" customWidth="1"/>
    <col min="4" max="5" width="15.42578125" customWidth="1"/>
    <col min="6" max="6" width="27.28515625" customWidth="1"/>
    <col min="7" max="7" width="27.85546875" customWidth="1"/>
    <col min="8" max="8" width="33" bestFit="1" customWidth="1"/>
    <col min="9" max="9" width="30.5703125" style="4" bestFit="1" customWidth="1"/>
    <col min="10" max="10" width="34.85546875" style="4" bestFit="1" customWidth="1"/>
    <col min="11" max="11" width="28.5703125" bestFit="1" customWidth="1"/>
    <col min="12" max="12" width="36.7109375" style="4" bestFit="1" customWidth="1"/>
    <col min="13" max="13" width="34.5703125" style="4" bestFit="1" customWidth="1"/>
    <col min="14" max="14" width="34.5703125" style="4" customWidth="1"/>
    <col min="15" max="15" width="28.7109375" style="4" bestFit="1" customWidth="1"/>
    <col min="16" max="17" width="28.7109375" style="4" customWidth="1"/>
    <col min="18" max="18" width="18.5703125" customWidth="1"/>
    <col min="19" max="19" width="19.5703125" customWidth="1"/>
    <col min="20" max="20" width="31.5703125" style="4" bestFit="1" customWidth="1"/>
    <col min="21" max="21" width="24.42578125" style="4" bestFit="1" customWidth="1"/>
    <col min="22" max="22" width="18.140625" customWidth="1"/>
  </cols>
  <sheetData>
    <row r="1" spans="1:22" ht="18.75" x14ac:dyDescent="0.3">
      <c r="A1" s="1"/>
      <c r="B1" s="1"/>
      <c r="C1" s="2" t="s">
        <v>0</v>
      </c>
      <c r="D1" s="2"/>
      <c r="E1" s="2"/>
      <c r="F1" s="39"/>
      <c r="G1" s="28" t="s">
        <v>145</v>
      </c>
      <c r="H1" s="35"/>
      <c r="I1" s="34"/>
      <c r="J1" s="34"/>
      <c r="K1" s="35" t="s">
        <v>149</v>
      </c>
      <c r="L1" s="34"/>
      <c r="M1" s="34"/>
      <c r="N1" s="34"/>
      <c r="O1" s="34"/>
      <c r="P1" s="34"/>
      <c r="Q1" s="34"/>
      <c r="R1" s="35"/>
      <c r="S1" s="35"/>
      <c r="T1" s="34"/>
      <c r="U1" s="34"/>
      <c r="V1" s="36"/>
    </row>
    <row r="2" spans="1:22" ht="18.75" x14ac:dyDescent="0.3">
      <c r="A2" s="62"/>
      <c r="B2" s="62"/>
      <c r="C2" s="63"/>
      <c r="D2" s="63"/>
      <c r="E2" s="63"/>
      <c r="F2" s="64"/>
      <c r="G2" s="65"/>
      <c r="H2" s="67"/>
      <c r="I2" s="67"/>
      <c r="J2" s="66"/>
      <c r="K2" s="67"/>
      <c r="L2" s="66"/>
      <c r="M2" s="66"/>
      <c r="N2" s="66"/>
      <c r="O2" s="66"/>
      <c r="P2" s="66"/>
      <c r="Q2" s="66"/>
      <c r="R2" s="66"/>
      <c r="S2" s="67"/>
      <c r="T2" s="66"/>
      <c r="U2" s="66"/>
      <c r="V2" s="66"/>
    </row>
    <row r="3" spans="1:22" ht="15.75" thickBot="1" x14ac:dyDescent="0.3">
      <c r="A3" s="37" t="s">
        <v>139</v>
      </c>
      <c r="B3" s="40" t="s">
        <v>1</v>
      </c>
      <c r="C3" s="41" t="s">
        <v>2</v>
      </c>
      <c r="D3" s="41" t="s">
        <v>3</v>
      </c>
      <c r="E3" s="29" t="s">
        <v>135</v>
      </c>
      <c r="F3" s="42" t="s">
        <v>151</v>
      </c>
      <c r="G3" s="8" t="s">
        <v>37</v>
      </c>
      <c r="H3" s="31" t="s">
        <v>41</v>
      </c>
      <c r="I3" s="30" t="s">
        <v>38</v>
      </c>
      <c r="J3" s="30" t="s">
        <v>146</v>
      </c>
      <c r="K3" s="31" t="s">
        <v>39</v>
      </c>
      <c r="L3" s="32" t="s">
        <v>40</v>
      </c>
      <c r="M3" s="32" t="s">
        <v>43</v>
      </c>
      <c r="N3" s="32" t="s">
        <v>148</v>
      </c>
      <c r="O3" s="32" t="s">
        <v>46</v>
      </c>
      <c r="P3" s="32" t="s">
        <v>147</v>
      </c>
      <c r="Q3" s="32" t="s">
        <v>150</v>
      </c>
      <c r="R3" s="31" t="s">
        <v>47</v>
      </c>
      <c r="S3" s="31" t="s">
        <v>42</v>
      </c>
      <c r="T3" s="32" t="s">
        <v>44</v>
      </c>
      <c r="U3" s="32" t="s">
        <v>45</v>
      </c>
      <c r="V3" s="33" t="s">
        <v>152</v>
      </c>
    </row>
    <row r="4" spans="1:22" x14ac:dyDescent="0.25">
      <c r="A4" s="12">
        <v>1</v>
      </c>
      <c r="B4" s="38">
        <v>1944</v>
      </c>
      <c r="C4" s="38" t="s">
        <v>4</v>
      </c>
      <c r="D4" s="38" t="s">
        <v>5</v>
      </c>
      <c r="E4" s="38" t="s">
        <v>111</v>
      </c>
      <c r="F4" s="50">
        <v>1</v>
      </c>
      <c r="G4" s="9">
        <v>0</v>
      </c>
      <c r="H4" s="13">
        <v>1</v>
      </c>
      <c r="I4" s="24">
        <v>0.17</v>
      </c>
      <c r="J4" s="54">
        <v>95</v>
      </c>
      <c r="K4" s="13">
        <v>0</v>
      </c>
      <c r="L4" s="20">
        <v>6.1</v>
      </c>
      <c r="M4" s="20">
        <v>92.288822525597269</v>
      </c>
      <c r="N4" s="58">
        <v>1</v>
      </c>
      <c r="O4" s="20">
        <v>2016</v>
      </c>
      <c r="P4" s="58">
        <v>0</v>
      </c>
      <c r="Q4" s="58">
        <v>1</v>
      </c>
      <c r="R4" s="13">
        <v>0</v>
      </c>
      <c r="S4" s="13">
        <v>77</v>
      </c>
      <c r="T4" s="20">
        <v>3.3422421760362289</v>
      </c>
      <c r="U4" s="21">
        <v>239.89022148380693</v>
      </c>
      <c r="V4" s="14">
        <v>0</v>
      </c>
    </row>
    <row r="5" spans="1:22" x14ac:dyDescent="0.25">
      <c r="A5" s="15">
        <v>2</v>
      </c>
      <c r="B5" s="3">
        <v>1945</v>
      </c>
      <c r="C5" s="3" t="s">
        <v>141</v>
      </c>
      <c r="D5" s="3" t="s">
        <v>141</v>
      </c>
      <c r="E5" s="3" t="s">
        <v>112</v>
      </c>
      <c r="F5" s="51">
        <v>1</v>
      </c>
      <c r="G5" s="10">
        <v>1</v>
      </c>
      <c r="H5" s="3">
        <v>2</v>
      </c>
      <c r="I5" s="25">
        <v>0.04</v>
      </c>
      <c r="J5" s="55">
        <v>0</v>
      </c>
      <c r="K5" s="3">
        <v>0</v>
      </c>
      <c r="L5" s="5">
        <v>2</v>
      </c>
      <c r="M5" s="5">
        <v>100</v>
      </c>
      <c r="N5" s="59">
        <v>1</v>
      </c>
      <c r="O5" s="5">
        <v>0</v>
      </c>
      <c r="P5" s="59">
        <v>1</v>
      </c>
      <c r="Q5" s="59">
        <v>0</v>
      </c>
      <c r="R5" s="3">
        <v>1</v>
      </c>
      <c r="S5" s="3">
        <v>76</v>
      </c>
      <c r="T5" s="5">
        <v>100</v>
      </c>
      <c r="U5" s="27">
        <v>100</v>
      </c>
      <c r="V5" s="16">
        <v>0</v>
      </c>
    </row>
    <row r="6" spans="1:22" x14ac:dyDescent="0.25">
      <c r="A6" s="15">
        <v>3</v>
      </c>
      <c r="B6" s="3">
        <v>1945</v>
      </c>
      <c r="C6" s="3" t="s">
        <v>144</v>
      </c>
      <c r="D6" s="3" t="s">
        <v>143</v>
      </c>
      <c r="E6" s="3" t="s">
        <v>112</v>
      </c>
      <c r="F6" s="51">
        <v>0</v>
      </c>
      <c r="G6" s="10">
        <v>0</v>
      </c>
      <c r="H6" s="3">
        <v>1</v>
      </c>
      <c r="I6" s="25">
        <v>0.06</v>
      </c>
      <c r="J6" s="55">
        <v>0</v>
      </c>
      <c r="K6" s="3">
        <v>0</v>
      </c>
      <c r="L6" s="5">
        <v>6.92</v>
      </c>
      <c r="M6" s="5"/>
      <c r="N6" s="59">
        <v>1</v>
      </c>
      <c r="O6" s="5">
        <v>1166.1600000000001</v>
      </c>
      <c r="P6" s="59">
        <v>1</v>
      </c>
      <c r="Q6" s="59">
        <v>0</v>
      </c>
      <c r="R6" s="3">
        <v>3</v>
      </c>
      <c r="S6" s="3">
        <v>76</v>
      </c>
      <c r="T6" s="5">
        <v>1.1200000000000001</v>
      </c>
      <c r="U6" s="5">
        <v>12.33</v>
      </c>
      <c r="V6" s="16">
        <v>0</v>
      </c>
    </row>
    <row r="7" spans="1:22" x14ac:dyDescent="0.25">
      <c r="A7" s="15">
        <v>4</v>
      </c>
      <c r="B7" s="3">
        <v>1946</v>
      </c>
      <c r="C7" s="3" t="s">
        <v>6</v>
      </c>
      <c r="D7" s="3" t="s">
        <v>5</v>
      </c>
      <c r="E7" s="3" t="s">
        <v>111</v>
      </c>
      <c r="F7" s="51">
        <v>0</v>
      </c>
      <c r="G7" s="10">
        <v>1</v>
      </c>
      <c r="H7" s="3">
        <v>1</v>
      </c>
      <c r="I7" s="25">
        <v>0.84</v>
      </c>
      <c r="J7" s="55">
        <v>95</v>
      </c>
      <c r="K7" s="3">
        <v>0</v>
      </c>
      <c r="L7" s="5">
        <v>6.1</v>
      </c>
      <c r="M7" s="5">
        <v>84.30304530824462</v>
      </c>
      <c r="N7" s="59">
        <v>1</v>
      </c>
      <c r="O7" s="5">
        <v>1309</v>
      </c>
      <c r="P7" s="59">
        <v>0</v>
      </c>
      <c r="Q7" s="59">
        <v>1</v>
      </c>
      <c r="R7" s="3">
        <v>1</v>
      </c>
      <c r="S7" s="3">
        <v>75</v>
      </c>
      <c r="T7" s="5">
        <v>0.73808627764843893</v>
      </c>
      <c r="U7" s="6">
        <v>3.2608948827242448</v>
      </c>
      <c r="V7" s="16">
        <v>0</v>
      </c>
    </row>
    <row r="8" spans="1:22" x14ac:dyDescent="0.25">
      <c r="A8" s="15">
        <v>5</v>
      </c>
      <c r="B8" s="3">
        <v>1950</v>
      </c>
      <c r="C8" s="3" t="s">
        <v>8</v>
      </c>
      <c r="D8" s="3" t="s">
        <v>9</v>
      </c>
      <c r="E8" s="3" t="s">
        <v>113</v>
      </c>
      <c r="F8" s="51">
        <v>1</v>
      </c>
      <c r="G8" s="10">
        <v>1</v>
      </c>
      <c r="H8" s="3">
        <v>1</v>
      </c>
      <c r="I8" s="25">
        <v>0.7</v>
      </c>
      <c r="J8" s="55">
        <v>118</v>
      </c>
      <c r="K8" s="3">
        <v>0</v>
      </c>
      <c r="L8" s="5">
        <v>10.5</v>
      </c>
      <c r="M8" s="5">
        <v>37.983264484694416</v>
      </c>
      <c r="N8" s="59">
        <v>1</v>
      </c>
      <c r="O8" s="5">
        <v>3219</v>
      </c>
      <c r="P8" s="59">
        <v>0</v>
      </c>
      <c r="Q8" s="59">
        <v>1</v>
      </c>
      <c r="R8" s="3">
        <v>3</v>
      </c>
      <c r="S8" s="3">
        <v>71</v>
      </c>
      <c r="T8" s="5">
        <v>0.97600307629343652</v>
      </c>
      <c r="U8" s="6">
        <v>3.8149240190519391</v>
      </c>
      <c r="V8" s="16">
        <v>0</v>
      </c>
    </row>
    <row r="9" spans="1:22" x14ac:dyDescent="0.25">
      <c r="A9" s="15">
        <v>6</v>
      </c>
      <c r="B9" s="3">
        <v>1951</v>
      </c>
      <c r="C9" s="3" t="s">
        <v>48</v>
      </c>
      <c r="D9" s="3" t="s">
        <v>98</v>
      </c>
      <c r="E9" s="3" t="s">
        <v>112</v>
      </c>
      <c r="F9" s="51">
        <v>0</v>
      </c>
      <c r="G9" s="10">
        <v>0</v>
      </c>
      <c r="H9" s="3">
        <v>1</v>
      </c>
      <c r="I9" s="25">
        <v>0.28999999999999998</v>
      </c>
      <c r="J9" s="55">
        <v>2</v>
      </c>
      <c r="K9" s="3">
        <v>0</v>
      </c>
      <c r="L9" s="5">
        <v>14.92</v>
      </c>
      <c r="M9" s="5"/>
      <c r="N9" s="59">
        <v>1</v>
      </c>
      <c r="O9" s="5">
        <v>1706.98</v>
      </c>
      <c r="P9" s="59">
        <v>1</v>
      </c>
      <c r="Q9" s="59">
        <v>0</v>
      </c>
      <c r="R9" s="3">
        <v>14</v>
      </c>
      <c r="S9" s="3">
        <v>70</v>
      </c>
      <c r="T9" s="5">
        <v>5.6147933944267148E-2</v>
      </c>
      <c r="U9" s="6">
        <v>0.50434054105193282</v>
      </c>
      <c r="V9" s="16">
        <v>1</v>
      </c>
    </row>
    <row r="10" spans="1:22" x14ac:dyDescent="0.25">
      <c r="A10" s="15">
        <v>7</v>
      </c>
      <c r="B10" s="3">
        <v>1958</v>
      </c>
      <c r="C10" s="3" t="s">
        <v>49</v>
      </c>
      <c r="D10" s="3" t="s">
        <v>7</v>
      </c>
      <c r="E10" s="3" t="s">
        <v>114</v>
      </c>
      <c r="F10" s="51">
        <v>1</v>
      </c>
      <c r="G10" s="10">
        <v>1</v>
      </c>
      <c r="H10" s="3">
        <v>1</v>
      </c>
      <c r="I10" s="25">
        <v>0.63</v>
      </c>
      <c r="J10" s="55">
        <v>88</v>
      </c>
      <c r="K10" s="3">
        <v>0</v>
      </c>
      <c r="L10" s="5">
        <v>7</v>
      </c>
      <c r="M10" s="5">
        <f>(93.02*100)/1334.69</f>
        <v>6.9694086267223101</v>
      </c>
      <c r="N10" s="59">
        <v>0</v>
      </c>
      <c r="O10" s="5">
        <v>4710.04</v>
      </c>
      <c r="P10" s="59">
        <v>0</v>
      </c>
      <c r="Q10" s="59">
        <v>0</v>
      </c>
      <c r="R10" s="3">
        <v>5</v>
      </c>
      <c r="S10" s="3">
        <v>63</v>
      </c>
      <c r="T10" s="5">
        <v>5.2881718987560173</v>
      </c>
      <c r="U10" s="6">
        <v>16.991428998677854</v>
      </c>
      <c r="V10" s="16">
        <v>1</v>
      </c>
    </row>
    <row r="11" spans="1:22" x14ac:dyDescent="0.25">
      <c r="A11" s="15">
        <v>8</v>
      </c>
      <c r="B11" s="3">
        <v>1958</v>
      </c>
      <c r="C11" s="3" t="s">
        <v>50</v>
      </c>
      <c r="D11" s="3" t="s">
        <v>7</v>
      </c>
      <c r="E11" s="3" t="s">
        <v>114</v>
      </c>
      <c r="F11" s="51">
        <v>1</v>
      </c>
      <c r="G11" s="10">
        <v>1</v>
      </c>
      <c r="H11" s="3">
        <v>1</v>
      </c>
      <c r="I11" s="25">
        <v>0.63</v>
      </c>
      <c r="J11" s="55">
        <v>88</v>
      </c>
      <c r="K11" s="3">
        <v>0</v>
      </c>
      <c r="L11" s="5">
        <v>7</v>
      </c>
      <c r="M11" s="5">
        <f>(68.42*100)/1334.69</f>
        <v>5.1262840060238704</v>
      </c>
      <c r="N11" s="59">
        <v>1</v>
      </c>
      <c r="O11" s="5">
        <v>4072.67</v>
      </c>
      <c r="P11" s="59">
        <v>0</v>
      </c>
      <c r="Q11" s="59">
        <v>0</v>
      </c>
      <c r="R11" s="3">
        <v>5</v>
      </c>
      <c r="S11" s="3">
        <v>63</v>
      </c>
      <c r="T11" s="5">
        <v>10.465303401756344</v>
      </c>
      <c r="U11" s="6">
        <v>40.597142209923646</v>
      </c>
      <c r="V11" s="16">
        <v>0</v>
      </c>
    </row>
    <row r="12" spans="1:22" x14ac:dyDescent="0.25">
      <c r="A12" s="15">
        <v>9</v>
      </c>
      <c r="B12" s="3">
        <v>1958</v>
      </c>
      <c r="C12" s="3" t="s">
        <v>51</v>
      </c>
      <c r="D12" s="3" t="s">
        <v>7</v>
      </c>
      <c r="E12" s="3" t="s">
        <v>114</v>
      </c>
      <c r="F12" s="51">
        <v>1</v>
      </c>
      <c r="G12" s="10">
        <v>1</v>
      </c>
      <c r="H12" s="3">
        <v>1</v>
      </c>
      <c r="I12" s="25">
        <v>0.63</v>
      </c>
      <c r="J12" s="55">
        <v>88</v>
      </c>
      <c r="K12" s="3">
        <v>0</v>
      </c>
      <c r="L12" s="5">
        <v>7</v>
      </c>
      <c r="M12" s="5">
        <f>(74.69*100)/1334.69</f>
        <v>5.5960560130067654</v>
      </c>
      <c r="N12" s="59">
        <v>1</v>
      </c>
      <c r="O12" s="5">
        <v>5180.9399999999996</v>
      </c>
      <c r="P12" s="59">
        <v>0</v>
      </c>
      <c r="Q12" s="59">
        <v>0</v>
      </c>
      <c r="R12" s="3">
        <v>5</v>
      </c>
      <c r="S12" s="3">
        <v>63</v>
      </c>
      <c r="T12" s="5">
        <v>3.2437744829623423</v>
      </c>
      <c r="U12" s="6">
        <v>92.236943991637759</v>
      </c>
      <c r="V12" s="16">
        <v>0</v>
      </c>
    </row>
    <row r="13" spans="1:22" x14ac:dyDescent="0.25">
      <c r="A13" s="15">
        <v>10</v>
      </c>
      <c r="B13" s="3">
        <v>1958</v>
      </c>
      <c r="C13" s="3" t="s">
        <v>52</v>
      </c>
      <c r="D13" s="3" t="s">
        <v>7</v>
      </c>
      <c r="E13" s="3" t="s">
        <v>114</v>
      </c>
      <c r="F13" s="51">
        <v>1</v>
      </c>
      <c r="G13" s="10">
        <v>1</v>
      </c>
      <c r="H13" s="3">
        <v>1</v>
      </c>
      <c r="I13" s="25">
        <v>0.63</v>
      </c>
      <c r="J13" s="55">
        <v>88</v>
      </c>
      <c r="K13" s="3">
        <v>0</v>
      </c>
      <c r="L13" s="5">
        <v>7</v>
      </c>
      <c r="M13" s="5">
        <f>(104.47*100)/1334.69</f>
        <v>7.8272857367628434</v>
      </c>
      <c r="N13" s="59">
        <v>1</v>
      </c>
      <c r="O13" s="5">
        <v>4251.0600000000004</v>
      </c>
      <c r="P13" s="59">
        <v>0</v>
      </c>
      <c r="Q13" s="59">
        <v>0</v>
      </c>
      <c r="R13" s="3">
        <v>5</v>
      </c>
      <c r="S13" s="3">
        <v>63</v>
      </c>
      <c r="T13" s="5">
        <v>6.4239253233889828</v>
      </c>
      <c r="U13" s="6">
        <v>190.10477971386567</v>
      </c>
      <c r="V13" s="16">
        <v>1</v>
      </c>
    </row>
    <row r="14" spans="1:22" x14ac:dyDescent="0.25">
      <c r="A14" s="15">
        <v>11</v>
      </c>
      <c r="B14" s="3">
        <v>1958</v>
      </c>
      <c r="C14" s="3" t="s">
        <v>53</v>
      </c>
      <c r="D14" s="3" t="s">
        <v>7</v>
      </c>
      <c r="E14" s="3" t="s">
        <v>114</v>
      </c>
      <c r="F14" s="51">
        <v>1</v>
      </c>
      <c r="G14" s="10">
        <v>1</v>
      </c>
      <c r="H14" s="3">
        <v>1</v>
      </c>
      <c r="I14" s="25">
        <v>0.63</v>
      </c>
      <c r="J14" s="55">
        <v>88</v>
      </c>
      <c r="K14" s="3">
        <v>0</v>
      </c>
      <c r="L14" s="5">
        <v>7</v>
      </c>
      <c r="M14" s="5">
        <f>(689.4*100)/12713.36</f>
        <v>5.4226420080922741</v>
      </c>
      <c r="N14" s="59">
        <v>1</v>
      </c>
      <c r="O14" s="5">
        <v>7836.75</v>
      </c>
      <c r="P14" s="59">
        <v>0</v>
      </c>
      <c r="Q14" s="59">
        <v>1</v>
      </c>
      <c r="R14" s="3">
        <v>5</v>
      </c>
      <c r="S14" s="3">
        <v>63</v>
      </c>
      <c r="T14" s="5">
        <v>0.4057125372675503</v>
      </c>
      <c r="U14" s="6">
        <v>0.27568154192150923</v>
      </c>
      <c r="V14" s="16">
        <v>0</v>
      </c>
    </row>
    <row r="15" spans="1:22" x14ac:dyDescent="0.25">
      <c r="A15" s="15">
        <v>12</v>
      </c>
      <c r="B15" s="3">
        <v>1958</v>
      </c>
      <c r="C15" s="3" t="s">
        <v>54</v>
      </c>
      <c r="D15" s="3" t="s">
        <v>7</v>
      </c>
      <c r="E15" s="3" t="s">
        <v>114</v>
      </c>
      <c r="F15" s="51">
        <v>1</v>
      </c>
      <c r="G15" s="10">
        <v>1</v>
      </c>
      <c r="H15" s="3">
        <v>1</v>
      </c>
      <c r="I15" s="25">
        <v>0.63</v>
      </c>
      <c r="J15" s="55">
        <v>88</v>
      </c>
      <c r="K15" s="3">
        <v>0</v>
      </c>
      <c r="L15" s="5">
        <v>7</v>
      </c>
      <c r="M15" s="5">
        <f>(220.31*100)/1334.69</f>
        <v>16.506454682360697</v>
      </c>
      <c r="N15" s="59">
        <v>1</v>
      </c>
      <c r="O15" s="5">
        <v>6039.37</v>
      </c>
      <c r="P15" s="59">
        <v>0</v>
      </c>
      <c r="Q15" s="59">
        <v>0</v>
      </c>
      <c r="R15" s="3">
        <v>5</v>
      </c>
      <c r="S15" s="3">
        <v>63</v>
      </c>
      <c r="T15" s="5">
        <v>2.1368948344390817</v>
      </c>
      <c r="U15" s="6">
        <v>50.635385250889449</v>
      </c>
      <c r="V15" s="16">
        <v>1</v>
      </c>
    </row>
    <row r="16" spans="1:22" x14ac:dyDescent="0.25">
      <c r="A16" s="15">
        <v>13</v>
      </c>
      <c r="B16" s="3">
        <v>1958</v>
      </c>
      <c r="C16" s="3" t="s">
        <v>55</v>
      </c>
      <c r="D16" s="3" t="s">
        <v>7</v>
      </c>
      <c r="E16" s="3" t="s">
        <v>114</v>
      </c>
      <c r="F16" s="51">
        <v>1</v>
      </c>
      <c r="G16" s="10">
        <v>1</v>
      </c>
      <c r="H16" s="3">
        <v>1</v>
      </c>
      <c r="I16" s="25">
        <v>0.63</v>
      </c>
      <c r="J16" s="55">
        <v>88</v>
      </c>
      <c r="K16" s="3">
        <v>0</v>
      </c>
      <c r="L16" s="5">
        <v>7</v>
      </c>
      <c r="M16" s="5">
        <f>(801.17*100)/9763.33</f>
        <v>8.2059092543220391</v>
      </c>
      <c r="N16" s="59">
        <v>1</v>
      </c>
      <c r="O16" s="5">
        <v>5588.56</v>
      </c>
      <c r="P16" s="59">
        <v>0</v>
      </c>
      <c r="Q16" s="59">
        <v>0</v>
      </c>
      <c r="R16" s="3">
        <v>5</v>
      </c>
      <c r="S16" s="3">
        <v>63</v>
      </c>
      <c r="T16" s="5">
        <v>0.16820953084362272</v>
      </c>
      <c r="U16" s="6">
        <v>3.4349150228673544</v>
      </c>
      <c r="V16" s="16">
        <v>0</v>
      </c>
    </row>
    <row r="17" spans="1:22" x14ac:dyDescent="0.25">
      <c r="A17" s="15">
        <v>14</v>
      </c>
      <c r="B17" s="3">
        <v>1958</v>
      </c>
      <c r="C17" s="3" t="s">
        <v>56</v>
      </c>
      <c r="D17" s="3" t="s">
        <v>7</v>
      </c>
      <c r="E17" s="3" t="s">
        <v>115</v>
      </c>
      <c r="F17" s="51">
        <v>1</v>
      </c>
      <c r="G17" s="10">
        <v>1</v>
      </c>
      <c r="H17" s="3">
        <v>1</v>
      </c>
      <c r="I17" s="25">
        <v>0.63</v>
      </c>
      <c r="J17" s="55">
        <v>88</v>
      </c>
      <c r="K17" s="3">
        <v>0</v>
      </c>
      <c r="L17" s="5">
        <v>7</v>
      </c>
      <c r="M17" s="5">
        <f>(1889.32*100)/2038.16</f>
        <v>92.697334851042115</v>
      </c>
      <c r="N17" s="59">
        <v>1</v>
      </c>
      <c r="O17" s="5">
        <v>15711.38</v>
      </c>
      <c r="P17" s="59">
        <v>0</v>
      </c>
      <c r="Q17" s="59">
        <v>1</v>
      </c>
      <c r="R17" s="3">
        <v>5</v>
      </c>
      <c r="S17" s="3">
        <v>63</v>
      </c>
      <c r="T17" s="5">
        <v>0.16355304874253909</v>
      </c>
      <c r="U17" s="6">
        <v>0.61695219397794254</v>
      </c>
      <c r="V17" s="16">
        <v>0</v>
      </c>
    </row>
    <row r="18" spans="1:22" x14ac:dyDescent="0.25">
      <c r="A18" s="15">
        <v>15</v>
      </c>
      <c r="B18" s="3">
        <v>1958</v>
      </c>
      <c r="C18" s="3" t="s">
        <v>57</v>
      </c>
      <c r="D18" s="3" t="s">
        <v>7</v>
      </c>
      <c r="E18" s="3" t="s">
        <v>114</v>
      </c>
      <c r="F18" s="51">
        <v>1</v>
      </c>
      <c r="G18" s="10">
        <v>1</v>
      </c>
      <c r="H18" s="3">
        <v>1</v>
      </c>
      <c r="I18" s="25">
        <v>0.63</v>
      </c>
      <c r="J18" s="55">
        <v>88</v>
      </c>
      <c r="K18" s="3">
        <v>0</v>
      </c>
      <c r="L18" s="5">
        <v>7</v>
      </c>
      <c r="M18" s="5">
        <f>(282.32*100)/1334.69</f>
        <v>21.152477354292007</v>
      </c>
      <c r="N18" s="59">
        <v>1</v>
      </c>
      <c r="O18" s="5">
        <v>5431.98</v>
      </c>
      <c r="P18" s="59">
        <v>0</v>
      </c>
      <c r="Q18" s="59">
        <v>0</v>
      </c>
      <c r="R18" s="3">
        <v>5</v>
      </c>
      <c r="S18" s="3">
        <v>63</v>
      </c>
      <c r="T18" s="5">
        <v>1.0967954614791229</v>
      </c>
      <c r="U18" s="6">
        <v>39.629887906286044</v>
      </c>
      <c r="V18" s="16">
        <v>1</v>
      </c>
    </row>
    <row r="19" spans="1:22" x14ac:dyDescent="0.25">
      <c r="A19" s="15">
        <v>16</v>
      </c>
      <c r="B19" s="3">
        <v>1958</v>
      </c>
      <c r="C19" s="3" t="s">
        <v>58</v>
      </c>
      <c r="D19" s="3" t="s">
        <v>7</v>
      </c>
      <c r="E19" s="3" t="s">
        <v>114</v>
      </c>
      <c r="F19" s="51">
        <v>1</v>
      </c>
      <c r="G19" s="10">
        <v>1</v>
      </c>
      <c r="H19" s="3">
        <v>1</v>
      </c>
      <c r="I19" s="25">
        <v>0.63</v>
      </c>
      <c r="J19" s="55">
        <v>88</v>
      </c>
      <c r="K19" s="3">
        <v>0</v>
      </c>
      <c r="L19" s="5">
        <v>7</v>
      </c>
      <c r="M19" s="5">
        <f>(341.53*100)/13540.25</f>
        <v>2.5223315669947008</v>
      </c>
      <c r="N19" s="59">
        <v>1</v>
      </c>
      <c r="O19" s="5">
        <v>4624</v>
      </c>
      <c r="P19" s="59">
        <v>0</v>
      </c>
      <c r="Q19" s="59">
        <v>0</v>
      </c>
      <c r="R19" s="3">
        <v>5</v>
      </c>
      <c r="S19" s="3">
        <v>63</v>
      </c>
      <c r="T19" s="5">
        <v>7.7140802512966857</v>
      </c>
      <c r="U19" s="6">
        <v>36.400771671426689</v>
      </c>
      <c r="V19" s="16">
        <v>0</v>
      </c>
    </row>
    <row r="20" spans="1:22" x14ac:dyDescent="0.25">
      <c r="A20" s="15">
        <v>17</v>
      </c>
      <c r="B20" s="3">
        <v>1958</v>
      </c>
      <c r="C20" s="3" t="s">
        <v>59</v>
      </c>
      <c r="D20" s="3" t="s">
        <v>7</v>
      </c>
      <c r="E20" s="3" t="s">
        <v>114</v>
      </c>
      <c r="F20" s="51">
        <v>1</v>
      </c>
      <c r="G20" s="10">
        <v>1</v>
      </c>
      <c r="H20" s="3">
        <v>1</v>
      </c>
      <c r="I20" s="25">
        <v>0.63</v>
      </c>
      <c r="J20" s="55">
        <v>88</v>
      </c>
      <c r="K20" s="3">
        <v>0</v>
      </c>
      <c r="L20" s="5">
        <v>7</v>
      </c>
      <c r="M20" s="5">
        <f>(155.9*100)/1334.69</f>
        <v>11.680614974263687</v>
      </c>
      <c r="N20" s="59">
        <v>1</v>
      </c>
      <c r="O20" s="5">
        <v>4728.91</v>
      </c>
      <c r="P20" s="59">
        <v>0</v>
      </c>
      <c r="Q20" s="59">
        <v>0</v>
      </c>
      <c r="R20" s="3">
        <v>5</v>
      </c>
      <c r="S20" s="3">
        <v>63</v>
      </c>
      <c r="T20" s="5">
        <v>7.1807931076352673</v>
      </c>
      <c r="U20" s="6">
        <v>47.742801854261884</v>
      </c>
      <c r="V20" s="16">
        <v>1</v>
      </c>
    </row>
    <row r="21" spans="1:22" x14ac:dyDescent="0.25">
      <c r="A21" s="15">
        <v>18</v>
      </c>
      <c r="B21" s="3">
        <v>1958</v>
      </c>
      <c r="C21" s="3" t="s">
        <v>60</v>
      </c>
      <c r="D21" s="3" t="s">
        <v>7</v>
      </c>
      <c r="E21" s="3" t="s">
        <v>114</v>
      </c>
      <c r="F21" s="51">
        <v>1</v>
      </c>
      <c r="G21" s="10">
        <v>1</v>
      </c>
      <c r="H21" s="3">
        <v>1</v>
      </c>
      <c r="I21" s="25">
        <v>0.63</v>
      </c>
      <c r="J21" s="55">
        <v>88</v>
      </c>
      <c r="K21" s="3">
        <v>0</v>
      </c>
      <c r="L21" s="5">
        <v>7</v>
      </c>
      <c r="M21" s="5">
        <f>(131.99*100)/1334.69</f>
        <v>9.8891877514628863</v>
      </c>
      <c r="N21" s="59">
        <v>0</v>
      </c>
      <c r="O21" s="5">
        <v>8759.42</v>
      </c>
      <c r="P21" s="59">
        <v>0</v>
      </c>
      <c r="Q21" s="59">
        <v>1</v>
      </c>
      <c r="R21" s="3">
        <v>5</v>
      </c>
      <c r="S21" s="3">
        <v>63</v>
      </c>
      <c r="T21" s="5">
        <v>10.783143615503445</v>
      </c>
      <c r="U21" s="6">
        <v>86.915342669787705</v>
      </c>
      <c r="V21" s="16">
        <v>1</v>
      </c>
    </row>
    <row r="22" spans="1:22" x14ac:dyDescent="0.25">
      <c r="A22" s="15">
        <v>19</v>
      </c>
      <c r="B22" s="3">
        <v>1958</v>
      </c>
      <c r="C22" s="3" t="s">
        <v>61</v>
      </c>
      <c r="D22" s="3" t="s">
        <v>7</v>
      </c>
      <c r="E22" s="3" t="s">
        <v>114</v>
      </c>
      <c r="F22" s="51">
        <v>1</v>
      </c>
      <c r="G22" s="10">
        <v>1</v>
      </c>
      <c r="H22" s="3">
        <v>1</v>
      </c>
      <c r="I22" s="25">
        <v>0.63</v>
      </c>
      <c r="J22" s="55">
        <v>88</v>
      </c>
      <c r="K22" s="3">
        <v>0</v>
      </c>
      <c r="L22" s="5">
        <v>7</v>
      </c>
      <c r="M22" s="5">
        <f>(319.64*100)/2343.1</f>
        <v>13.641756647176818</v>
      </c>
      <c r="N22" s="59">
        <v>1</v>
      </c>
      <c r="O22" s="5">
        <v>4136.75</v>
      </c>
      <c r="P22" s="59">
        <v>0</v>
      </c>
      <c r="Q22" s="59">
        <v>0</v>
      </c>
      <c r="R22" s="3">
        <v>5</v>
      </c>
      <c r="S22" s="3">
        <v>63</v>
      </c>
      <c r="T22" s="5">
        <v>11.475136762022691</v>
      </c>
      <c r="U22" s="6">
        <v>183.61871258792715</v>
      </c>
      <c r="V22" s="16">
        <v>0</v>
      </c>
    </row>
    <row r="23" spans="1:22" x14ac:dyDescent="0.25">
      <c r="A23" s="15">
        <v>20</v>
      </c>
      <c r="B23" s="3">
        <v>1958</v>
      </c>
      <c r="C23" s="3" t="s">
        <v>62</v>
      </c>
      <c r="D23" s="3" t="s">
        <v>7</v>
      </c>
      <c r="E23" s="3" t="s">
        <v>114</v>
      </c>
      <c r="F23" s="51">
        <v>1</v>
      </c>
      <c r="G23" s="10">
        <v>1</v>
      </c>
      <c r="H23" s="3">
        <v>1</v>
      </c>
      <c r="I23" s="25">
        <v>0.63</v>
      </c>
      <c r="J23" s="55">
        <v>88</v>
      </c>
      <c r="K23" s="3">
        <v>1</v>
      </c>
      <c r="L23" s="5">
        <v>7</v>
      </c>
      <c r="M23" s="5">
        <f>(108.9*100)/1334.69</f>
        <v>8.159198016018701</v>
      </c>
      <c r="N23" s="59">
        <v>1</v>
      </c>
      <c r="O23" s="5">
        <v>3797.65</v>
      </c>
      <c r="P23" s="59">
        <v>0</v>
      </c>
      <c r="Q23" s="59">
        <v>0</v>
      </c>
      <c r="R23" s="3">
        <v>5</v>
      </c>
      <c r="S23" s="3">
        <v>63</v>
      </c>
      <c r="T23" s="5">
        <v>1.7930303336292079</v>
      </c>
      <c r="U23" s="6">
        <v>152.60202215816304</v>
      </c>
      <c r="V23" s="16">
        <v>0</v>
      </c>
    </row>
    <row r="24" spans="1:22" x14ac:dyDescent="0.25">
      <c r="A24" s="15">
        <v>21</v>
      </c>
      <c r="B24" s="3">
        <v>1958</v>
      </c>
      <c r="C24" s="3" t="s">
        <v>63</v>
      </c>
      <c r="D24" s="3" t="s">
        <v>7</v>
      </c>
      <c r="E24" s="3" t="s">
        <v>115</v>
      </c>
      <c r="F24" s="51">
        <v>1</v>
      </c>
      <c r="G24" s="10">
        <v>1</v>
      </c>
      <c r="H24" s="3">
        <v>1</v>
      </c>
      <c r="I24" s="25">
        <v>0.63</v>
      </c>
      <c r="J24" s="55">
        <v>88</v>
      </c>
      <c r="K24" s="3">
        <v>0</v>
      </c>
      <c r="L24" s="5">
        <v>7</v>
      </c>
      <c r="M24" s="5">
        <f>(1763.48*100)/2038.16</f>
        <v>86.523138517093841</v>
      </c>
      <c r="N24" s="59">
        <v>1</v>
      </c>
      <c r="O24" s="5">
        <v>16741.669999999998</v>
      </c>
      <c r="P24" s="59">
        <v>0</v>
      </c>
      <c r="Q24" s="59">
        <v>1</v>
      </c>
      <c r="R24" s="3">
        <v>5</v>
      </c>
      <c r="S24" s="3">
        <v>63</v>
      </c>
      <c r="T24" s="5">
        <v>0.16234465016166086</v>
      </c>
      <c r="U24" s="6">
        <v>2.7501528685241858</v>
      </c>
      <c r="V24" s="16">
        <v>0</v>
      </c>
    </row>
    <row r="25" spans="1:22" x14ac:dyDescent="0.25">
      <c r="A25" s="15">
        <v>22</v>
      </c>
      <c r="B25" s="3">
        <v>1958</v>
      </c>
      <c r="C25" s="3" t="s">
        <v>64</v>
      </c>
      <c r="D25" s="3" t="s">
        <v>7</v>
      </c>
      <c r="E25" s="3" t="s">
        <v>114</v>
      </c>
      <c r="F25" s="51">
        <v>1</v>
      </c>
      <c r="G25" s="10">
        <v>1</v>
      </c>
      <c r="H25" s="3">
        <v>1</v>
      </c>
      <c r="I25" s="25">
        <v>0.63</v>
      </c>
      <c r="J25" s="55">
        <v>88</v>
      </c>
      <c r="K25" s="3">
        <v>0</v>
      </c>
      <c r="L25" s="5">
        <v>7</v>
      </c>
      <c r="M25" s="5">
        <f>(132.65*100)/1334.69</f>
        <v>9.9386374364084542</v>
      </c>
      <c r="N25" s="59">
        <v>1</v>
      </c>
      <c r="O25" s="5">
        <v>3930.68</v>
      </c>
      <c r="P25" s="59">
        <v>0</v>
      </c>
      <c r="Q25" s="59">
        <v>0</v>
      </c>
      <c r="R25" s="3">
        <v>5</v>
      </c>
      <c r="S25" s="3">
        <v>63</v>
      </c>
      <c r="T25" s="5">
        <v>7.1058477344252893</v>
      </c>
      <c r="U25" s="6">
        <v>187.58781611952321</v>
      </c>
      <c r="V25" s="16">
        <v>1</v>
      </c>
    </row>
    <row r="26" spans="1:22" x14ac:dyDescent="0.25">
      <c r="A26" s="15">
        <v>23</v>
      </c>
      <c r="B26" s="3">
        <v>1958</v>
      </c>
      <c r="C26" s="3" t="s">
        <v>65</v>
      </c>
      <c r="D26" s="3" t="s">
        <v>7</v>
      </c>
      <c r="E26" s="3" t="s">
        <v>116</v>
      </c>
      <c r="F26" s="51">
        <v>1</v>
      </c>
      <c r="G26" s="10">
        <v>1</v>
      </c>
      <c r="H26" s="3">
        <v>1</v>
      </c>
      <c r="I26" s="25">
        <v>0.63</v>
      </c>
      <c r="J26" s="55">
        <v>88</v>
      </c>
      <c r="K26" s="3">
        <v>0</v>
      </c>
      <c r="L26" s="5">
        <v>7</v>
      </c>
      <c r="M26" s="5"/>
      <c r="N26" s="59">
        <v>1</v>
      </c>
      <c r="O26" s="5">
        <v>4266.79</v>
      </c>
      <c r="P26" s="59">
        <v>0</v>
      </c>
      <c r="Q26" s="59">
        <v>1</v>
      </c>
      <c r="R26" s="3">
        <v>5</v>
      </c>
      <c r="S26" s="3">
        <v>63</v>
      </c>
      <c r="T26" s="5">
        <v>1.0812813275650647E-2</v>
      </c>
      <c r="U26" s="6">
        <v>3.5829717048874991E-2</v>
      </c>
      <c r="V26" s="16">
        <v>0</v>
      </c>
    </row>
    <row r="27" spans="1:22" x14ac:dyDescent="0.25">
      <c r="A27" s="15">
        <v>24</v>
      </c>
      <c r="B27" s="3">
        <v>1958</v>
      </c>
      <c r="C27" s="3" t="s">
        <v>66</v>
      </c>
      <c r="D27" s="3" t="s">
        <v>7</v>
      </c>
      <c r="E27" s="3" t="s">
        <v>114</v>
      </c>
      <c r="F27" s="51">
        <v>1</v>
      </c>
      <c r="G27" s="10">
        <v>1</v>
      </c>
      <c r="H27" s="3">
        <v>1</v>
      </c>
      <c r="I27" s="25">
        <v>0.63</v>
      </c>
      <c r="J27" s="55">
        <v>88</v>
      </c>
      <c r="K27" s="3">
        <v>0</v>
      </c>
      <c r="L27" s="5">
        <v>7</v>
      </c>
      <c r="M27" s="5">
        <f>(312.99*100)/1334.69</f>
        <v>23.450389228959533</v>
      </c>
      <c r="N27" s="59">
        <v>1</v>
      </c>
      <c r="O27" s="5">
        <v>4205.75</v>
      </c>
      <c r="P27" s="59">
        <v>0</v>
      </c>
      <c r="Q27" s="59">
        <v>0</v>
      </c>
      <c r="R27" s="3">
        <v>5</v>
      </c>
      <c r="S27" s="3">
        <v>63</v>
      </c>
      <c r="T27" s="5">
        <v>6.6591886448735833</v>
      </c>
      <c r="U27" s="6">
        <v>29.126006600366885</v>
      </c>
      <c r="V27" s="16">
        <v>1</v>
      </c>
    </row>
    <row r="28" spans="1:22" x14ac:dyDescent="0.25">
      <c r="A28" s="15">
        <v>25</v>
      </c>
      <c r="B28" s="3">
        <v>1961</v>
      </c>
      <c r="C28" s="3" t="s">
        <v>67</v>
      </c>
      <c r="D28" s="3" t="s">
        <v>99</v>
      </c>
      <c r="E28" s="3" t="s">
        <v>115</v>
      </c>
      <c r="F28" s="51">
        <v>1</v>
      </c>
      <c r="G28" s="10">
        <v>1</v>
      </c>
      <c r="H28" s="3">
        <v>1</v>
      </c>
      <c r="I28" s="25">
        <v>0.75</v>
      </c>
      <c r="J28" s="55">
        <v>108</v>
      </c>
      <c r="K28" s="3">
        <v>0</v>
      </c>
      <c r="L28" s="5">
        <v>0</v>
      </c>
      <c r="M28" s="5">
        <f>(770.29*100)/2312.95</f>
        <v>33.303357184547878</v>
      </c>
      <c r="N28" s="59">
        <v>1</v>
      </c>
      <c r="O28" s="5">
        <v>3319.03</v>
      </c>
      <c r="P28" s="59">
        <v>0</v>
      </c>
      <c r="Q28" s="59">
        <v>1</v>
      </c>
      <c r="R28" s="3">
        <v>0</v>
      </c>
      <c r="S28" s="3">
        <v>60</v>
      </c>
      <c r="T28" s="5">
        <v>0.84418606202734758</v>
      </c>
      <c r="U28" s="6">
        <v>1.0530505360105342</v>
      </c>
      <c r="V28" s="16">
        <v>0</v>
      </c>
    </row>
    <row r="29" spans="1:22" x14ac:dyDescent="0.25">
      <c r="A29" s="15">
        <v>26</v>
      </c>
      <c r="B29" s="3">
        <v>1961</v>
      </c>
      <c r="C29" s="3" t="s">
        <v>68</v>
      </c>
      <c r="D29" s="3" t="s">
        <v>9</v>
      </c>
      <c r="E29" s="3" t="s">
        <v>117</v>
      </c>
      <c r="F29" s="51">
        <v>1</v>
      </c>
      <c r="G29" s="10">
        <v>1</v>
      </c>
      <c r="H29" s="3">
        <v>1</v>
      </c>
      <c r="I29" s="25">
        <v>0.69</v>
      </c>
      <c r="J29" s="55">
        <v>129</v>
      </c>
      <c r="K29" s="3">
        <v>0</v>
      </c>
      <c r="L29" s="5">
        <v>10.5</v>
      </c>
      <c r="M29" s="5">
        <f>(453.06*100)/1472.39</f>
        <v>30.7703801302644</v>
      </c>
      <c r="N29" s="59">
        <v>1</v>
      </c>
      <c r="O29" s="5">
        <v>7535.21</v>
      </c>
      <c r="P29" s="59">
        <v>0</v>
      </c>
      <c r="Q29" s="59">
        <v>1</v>
      </c>
      <c r="R29" s="3">
        <v>3</v>
      </c>
      <c r="S29" s="3">
        <v>60</v>
      </c>
      <c r="T29" s="5">
        <v>3.1235672809841284</v>
      </c>
      <c r="U29" s="6">
        <v>4.5324645868986986</v>
      </c>
      <c r="V29" s="16">
        <v>0</v>
      </c>
    </row>
    <row r="30" spans="1:22" x14ac:dyDescent="0.25">
      <c r="A30" s="15">
        <v>27</v>
      </c>
      <c r="B30" s="3">
        <v>1962</v>
      </c>
      <c r="C30" s="7" t="s">
        <v>130</v>
      </c>
      <c r="D30" s="3" t="s">
        <v>7</v>
      </c>
      <c r="E30" s="3" t="s">
        <v>111</v>
      </c>
      <c r="F30" s="51">
        <v>1</v>
      </c>
      <c r="G30" s="10">
        <v>1</v>
      </c>
      <c r="H30" s="3">
        <v>2</v>
      </c>
      <c r="I30" s="25">
        <v>0.61</v>
      </c>
      <c r="J30" s="55">
        <v>92</v>
      </c>
      <c r="K30" s="3">
        <v>9</v>
      </c>
      <c r="L30" s="5">
        <v>7</v>
      </c>
      <c r="M30" s="5">
        <f>(172.25*100)/1578.28</f>
        <v>10.913779557492967</v>
      </c>
      <c r="N30" s="59">
        <v>0</v>
      </c>
      <c r="O30" s="5">
        <v>1345.01</v>
      </c>
      <c r="P30" s="59">
        <v>0</v>
      </c>
      <c r="Q30" s="59">
        <v>0</v>
      </c>
      <c r="R30" s="3">
        <v>7</v>
      </c>
      <c r="S30" s="3">
        <v>59</v>
      </c>
      <c r="T30" s="5">
        <v>24.674214532926388</v>
      </c>
      <c r="U30" s="6">
        <v>352.63266989134121</v>
      </c>
      <c r="V30" s="16">
        <v>1</v>
      </c>
    </row>
    <row r="31" spans="1:22" x14ac:dyDescent="0.25">
      <c r="A31" s="15">
        <v>28</v>
      </c>
      <c r="B31" s="3">
        <v>1962</v>
      </c>
      <c r="C31" s="3" t="s">
        <v>69</v>
      </c>
      <c r="D31" s="3" t="s">
        <v>7</v>
      </c>
      <c r="E31" s="3" t="s">
        <v>113</v>
      </c>
      <c r="F31" s="51">
        <v>1</v>
      </c>
      <c r="G31" s="10">
        <v>1</v>
      </c>
      <c r="H31" s="3">
        <v>2</v>
      </c>
      <c r="I31" s="25">
        <v>0.61</v>
      </c>
      <c r="J31" s="55">
        <v>92</v>
      </c>
      <c r="K31" s="3">
        <v>9</v>
      </c>
      <c r="L31" s="5">
        <v>7</v>
      </c>
      <c r="M31" s="5">
        <f>(172.25*100)/1578.28</f>
        <v>10.913779557492967</v>
      </c>
      <c r="N31" s="59">
        <v>0</v>
      </c>
      <c r="O31" s="5">
        <v>1345.01</v>
      </c>
      <c r="P31" s="59">
        <v>0</v>
      </c>
      <c r="Q31" s="59">
        <v>0</v>
      </c>
      <c r="R31" s="3">
        <v>7</v>
      </c>
      <c r="S31" s="3">
        <v>59</v>
      </c>
      <c r="T31" s="5">
        <v>24.674214532926388</v>
      </c>
      <c r="U31" s="6">
        <v>352.63266989134121</v>
      </c>
      <c r="V31" s="16">
        <v>1</v>
      </c>
    </row>
    <row r="32" spans="1:22" x14ac:dyDescent="0.25">
      <c r="A32" s="15">
        <v>29</v>
      </c>
      <c r="B32" s="3">
        <v>1964</v>
      </c>
      <c r="C32" s="3" t="s">
        <v>10</v>
      </c>
      <c r="D32" s="3" t="s">
        <v>9</v>
      </c>
      <c r="E32" s="3" t="s">
        <v>111</v>
      </c>
      <c r="F32" s="51">
        <v>1</v>
      </c>
      <c r="G32" s="10">
        <v>1</v>
      </c>
      <c r="H32" s="3">
        <v>1</v>
      </c>
      <c r="I32" s="25">
        <v>0.7</v>
      </c>
      <c r="J32" s="55">
        <v>132</v>
      </c>
      <c r="K32" s="3">
        <v>0</v>
      </c>
      <c r="L32" s="5">
        <v>10.6</v>
      </c>
      <c r="M32" s="5">
        <v>17.324058314215939</v>
      </c>
      <c r="N32" s="59">
        <v>1</v>
      </c>
      <c r="O32" s="5">
        <v>2087.79</v>
      </c>
      <c r="P32" s="59">
        <v>0</v>
      </c>
      <c r="Q32" s="59">
        <v>1</v>
      </c>
      <c r="R32" s="3">
        <v>3</v>
      </c>
      <c r="S32" s="3">
        <v>57</v>
      </c>
      <c r="T32" s="5">
        <v>0.57342100171960042</v>
      </c>
      <c r="U32" s="6">
        <v>0.13031196519515867</v>
      </c>
      <c r="V32" s="16">
        <v>1</v>
      </c>
    </row>
    <row r="33" spans="1:22" x14ac:dyDescent="0.25">
      <c r="A33" s="15">
        <v>30</v>
      </c>
      <c r="B33" s="3">
        <v>1964</v>
      </c>
      <c r="C33" s="3" t="s">
        <v>70</v>
      </c>
      <c r="D33" s="3" t="s">
        <v>9</v>
      </c>
      <c r="E33" s="3" t="s">
        <v>114</v>
      </c>
      <c r="F33" s="51">
        <v>1</v>
      </c>
      <c r="G33" s="10">
        <v>0</v>
      </c>
      <c r="H33" s="3">
        <v>0</v>
      </c>
      <c r="I33" s="25">
        <v>0.7</v>
      </c>
      <c r="J33" s="55">
        <v>132</v>
      </c>
      <c r="K33" s="3">
        <v>0</v>
      </c>
      <c r="L33" s="5">
        <v>10.6</v>
      </c>
      <c r="M33" s="5">
        <f>(281.56*100)/1748.29</f>
        <v>16.104879625233799</v>
      </c>
      <c r="N33" s="59">
        <v>1</v>
      </c>
      <c r="O33" s="5">
        <v>8282.74</v>
      </c>
      <c r="P33" s="59">
        <v>0</v>
      </c>
      <c r="Q33" s="59">
        <v>0</v>
      </c>
      <c r="R33" s="3">
        <v>3</v>
      </c>
      <c r="S33" s="3">
        <v>57</v>
      </c>
      <c r="T33" s="5">
        <v>7.8357406095475932</v>
      </c>
      <c r="U33" s="6">
        <v>161.14022969545763</v>
      </c>
      <c r="V33" s="16">
        <v>0</v>
      </c>
    </row>
    <row r="34" spans="1:22" x14ac:dyDescent="0.25">
      <c r="A34" s="15">
        <v>31</v>
      </c>
      <c r="B34" s="3">
        <v>1967</v>
      </c>
      <c r="C34" s="3" t="s">
        <v>55</v>
      </c>
      <c r="D34" s="3" t="s">
        <v>7</v>
      </c>
      <c r="E34" s="3" t="s">
        <v>114</v>
      </c>
      <c r="F34" s="51">
        <v>1</v>
      </c>
      <c r="G34" s="10">
        <v>1</v>
      </c>
      <c r="H34" s="3">
        <v>2</v>
      </c>
      <c r="I34" s="25">
        <v>0.65</v>
      </c>
      <c r="J34" s="55">
        <v>97</v>
      </c>
      <c r="K34" s="3">
        <v>0</v>
      </c>
      <c r="L34" s="5">
        <v>8</v>
      </c>
      <c r="M34" s="5">
        <v>8.2100000000000009</v>
      </c>
      <c r="N34" s="59">
        <v>1</v>
      </c>
      <c r="O34" s="5">
        <v>5588.56</v>
      </c>
      <c r="P34" s="59">
        <v>0</v>
      </c>
      <c r="Q34" s="59">
        <v>0</v>
      </c>
      <c r="R34" s="3">
        <v>10</v>
      </c>
      <c r="S34" s="3">
        <v>54</v>
      </c>
      <c r="T34" s="5">
        <v>0.25630376608846112</v>
      </c>
      <c r="U34" s="6">
        <v>3.4349150228673544</v>
      </c>
      <c r="V34" s="16">
        <v>0</v>
      </c>
    </row>
    <row r="35" spans="1:22" x14ac:dyDescent="0.25">
      <c r="A35" s="15">
        <v>32</v>
      </c>
      <c r="B35" s="3">
        <v>1968</v>
      </c>
      <c r="C35" s="3" t="s">
        <v>71</v>
      </c>
      <c r="D35" s="3" t="s">
        <v>35</v>
      </c>
      <c r="E35" s="3" t="s">
        <v>114</v>
      </c>
      <c r="F35" s="51">
        <v>1</v>
      </c>
      <c r="G35" s="10">
        <v>1</v>
      </c>
      <c r="H35" s="3">
        <v>2</v>
      </c>
      <c r="I35" s="25">
        <v>7.0000000000000007E-2</v>
      </c>
      <c r="J35" s="55">
        <v>0</v>
      </c>
      <c r="K35" s="3">
        <v>0</v>
      </c>
      <c r="L35" s="5">
        <v>3.1</v>
      </c>
      <c r="M35" s="5">
        <f>(225.49*100)/950.55</f>
        <v>23.722055651990953</v>
      </c>
      <c r="N35" s="59">
        <v>1</v>
      </c>
      <c r="O35" s="5">
        <v>4264.49</v>
      </c>
      <c r="P35" s="59">
        <v>0</v>
      </c>
      <c r="Q35" s="59">
        <v>0</v>
      </c>
      <c r="R35" s="3">
        <v>3</v>
      </c>
      <c r="S35" s="3">
        <v>53</v>
      </c>
      <c r="T35" s="5">
        <v>0.86422181950600518</v>
      </c>
      <c r="U35" s="6">
        <v>5.5442894865834953</v>
      </c>
      <c r="V35" s="16">
        <v>1</v>
      </c>
    </row>
    <row r="36" spans="1:22" x14ac:dyDescent="0.25">
      <c r="A36" s="15">
        <v>33</v>
      </c>
      <c r="B36" s="3">
        <v>1969</v>
      </c>
      <c r="C36" s="3" t="s">
        <v>72</v>
      </c>
      <c r="D36" s="3" t="s">
        <v>9</v>
      </c>
      <c r="E36" s="3" t="s">
        <v>117</v>
      </c>
      <c r="F36" s="51">
        <v>0</v>
      </c>
      <c r="G36" s="10">
        <v>0</v>
      </c>
      <c r="H36" s="3">
        <v>0</v>
      </c>
      <c r="I36" s="25">
        <v>0.74</v>
      </c>
      <c r="J36" s="55">
        <v>137</v>
      </c>
      <c r="K36" s="3">
        <v>0</v>
      </c>
      <c r="L36" s="5">
        <v>10.6</v>
      </c>
      <c r="M36" s="5">
        <f>(8438.78*100)/10707</f>
        <v>78.815541234706274</v>
      </c>
      <c r="N36" s="59">
        <v>1</v>
      </c>
      <c r="O36" s="5">
        <v>6570.22</v>
      </c>
      <c r="P36" s="59">
        <v>0</v>
      </c>
      <c r="Q36" s="59">
        <v>1</v>
      </c>
      <c r="R36" s="3">
        <v>3</v>
      </c>
      <c r="S36" s="3">
        <v>52</v>
      </c>
      <c r="T36" s="5">
        <v>1.1423393746675826E-2</v>
      </c>
      <c r="U36" s="6">
        <v>4.206272294274109E-2</v>
      </c>
      <c r="V36" s="16">
        <v>0</v>
      </c>
    </row>
    <row r="37" spans="1:22" x14ac:dyDescent="0.25">
      <c r="A37" s="15">
        <v>34</v>
      </c>
      <c r="B37" s="3">
        <v>1973</v>
      </c>
      <c r="C37" s="3" t="s">
        <v>11</v>
      </c>
      <c r="D37" s="3" t="s">
        <v>9</v>
      </c>
      <c r="E37" s="3" t="s">
        <v>111</v>
      </c>
      <c r="F37" s="51">
        <v>0</v>
      </c>
      <c r="G37" s="10">
        <v>1</v>
      </c>
      <c r="H37" s="3">
        <v>1</v>
      </c>
      <c r="I37" s="25">
        <v>0.76</v>
      </c>
      <c r="J37" s="55">
        <v>141</v>
      </c>
      <c r="K37" s="3">
        <v>5</v>
      </c>
      <c r="L37" s="5">
        <v>10.6</v>
      </c>
      <c r="M37" s="5">
        <v>73.00186959569993</v>
      </c>
      <c r="N37" s="59">
        <v>1</v>
      </c>
      <c r="O37" s="5">
        <v>518.45000000000005</v>
      </c>
      <c r="P37" s="59">
        <v>0</v>
      </c>
      <c r="Q37" s="59">
        <v>1</v>
      </c>
      <c r="R37" s="3">
        <v>4</v>
      </c>
      <c r="S37" s="3">
        <v>48</v>
      </c>
      <c r="T37" s="5">
        <v>2.7438225544000199</v>
      </c>
      <c r="U37" s="6">
        <v>5.8269242664797209</v>
      </c>
      <c r="V37" s="16">
        <v>0</v>
      </c>
    </row>
    <row r="38" spans="1:22" x14ac:dyDescent="0.25">
      <c r="A38" s="15">
        <v>35</v>
      </c>
      <c r="B38" s="3">
        <v>1974</v>
      </c>
      <c r="C38" s="3" t="s">
        <v>73</v>
      </c>
      <c r="D38" s="3" t="s">
        <v>99</v>
      </c>
      <c r="E38" s="3" t="s">
        <v>115</v>
      </c>
      <c r="F38" s="51">
        <v>1</v>
      </c>
      <c r="G38" s="10">
        <v>1</v>
      </c>
      <c r="H38" s="3">
        <v>2</v>
      </c>
      <c r="I38" s="25">
        <v>0.78</v>
      </c>
      <c r="J38" s="55">
        <v>121</v>
      </c>
      <c r="K38" s="3">
        <v>0</v>
      </c>
      <c r="L38" s="5">
        <v>9.4</v>
      </c>
      <c r="M38" s="5">
        <f>(2250*100)/13093</f>
        <v>17.184755212709081</v>
      </c>
      <c r="N38" s="59">
        <v>1</v>
      </c>
      <c r="O38" s="5">
        <v>2866.55</v>
      </c>
      <c r="P38" s="59">
        <v>0</v>
      </c>
      <c r="Q38" s="59">
        <v>1</v>
      </c>
      <c r="R38" s="3">
        <v>1</v>
      </c>
      <c r="S38" s="3">
        <v>47</v>
      </c>
      <c r="T38" s="5">
        <v>0.14324230159648368</v>
      </c>
      <c r="U38" s="6">
        <v>9.7456460768194975E-2</v>
      </c>
      <c r="V38" s="16">
        <v>0</v>
      </c>
    </row>
    <row r="39" spans="1:22" x14ac:dyDescent="0.25">
      <c r="A39" s="15">
        <v>36</v>
      </c>
      <c r="B39" s="3">
        <v>1974</v>
      </c>
      <c r="C39" s="3" t="s">
        <v>53</v>
      </c>
      <c r="D39" s="3" t="s">
        <v>7</v>
      </c>
      <c r="E39" s="3" t="s">
        <v>114</v>
      </c>
      <c r="F39" s="51">
        <v>1</v>
      </c>
      <c r="G39" s="10">
        <v>1</v>
      </c>
      <c r="H39" s="3">
        <v>1</v>
      </c>
      <c r="I39" s="25">
        <v>0.76</v>
      </c>
      <c r="J39" s="55">
        <v>104</v>
      </c>
      <c r="K39" s="3">
        <v>0</v>
      </c>
      <c r="L39" s="5">
        <v>9</v>
      </c>
      <c r="M39" s="5">
        <v>6.34</v>
      </c>
      <c r="N39" s="59">
        <v>1</v>
      </c>
      <c r="O39" s="5">
        <v>7836.75</v>
      </c>
      <c r="P39" s="59">
        <v>0</v>
      </c>
      <c r="Q39" s="59">
        <v>1</v>
      </c>
      <c r="R39" s="3">
        <v>13</v>
      </c>
      <c r="S39" s="3">
        <v>47</v>
      </c>
      <c r="T39" s="5">
        <v>0.46025886793846921</v>
      </c>
      <c r="U39" s="6">
        <v>0.27568154192150923</v>
      </c>
      <c r="V39" s="16">
        <v>0</v>
      </c>
    </row>
    <row r="40" spans="1:22" x14ac:dyDescent="0.25">
      <c r="A40" s="15">
        <v>37</v>
      </c>
      <c r="B40" s="3">
        <v>1975</v>
      </c>
      <c r="C40" s="3" t="s">
        <v>12</v>
      </c>
      <c r="D40" s="3" t="s">
        <v>8</v>
      </c>
      <c r="E40" s="3" t="s">
        <v>113</v>
      </c>
      <c r="F40" s="51">
        <v>0</v>
      </c>
      <c r="G40" s="10">
        <v>0</v>
      </c>
      <c r="H40" s="3">
        <v>0</v>
      </c>
      <c r="I40" s="25">
        <v>0.43</v>
      </c>
      <c r="J40" s="55">
        <v>15</v>
      </c>
      <c r="K40" s="3">
        <v>2</v>
      </c>
      <c r="L40" s="5">
        <v>1</v>
      </c>
      <c r="M40" s="5">
        <v>100.06775067750678</v>
      </c>
      <c r="N40" s="59">
        <v>0</v>
      </c>
      <c r="O40" s="5">
        <v>0</v>
      </c>
      <c r="P40" s="59">
        <v>1</v>
      </c>
      <c r="Q40" s="59">
        <v>1</v>
      </c>
      <c r="R40" s="3">
        <v>1</v>
      </c>
      <c r="S40" s="3">
        <v>46</v>
      </c>
      <c r="T40" s="5">
        <v>12.073462374911964</v>
      </c>
      <c r="U40" s="6">
        <v>36.266349583828777</v>
      </c>
      <c r="V40" s="16">
        <v>0</v>
      </c>
    </row>
    <row r="41" spans="1:22" x14ac:dyDescent="0.25">
      <c r="A41" s="15">
        <v>38</v>
      </c>
      <c r="B41" s="3">
        <v>1976</v>
      </c>
      <c r="C41" s="3" t="s">
        <v>74</v>
      </c>
      <c r="D41" s="3" t="s">
        <v>100</v>
      </c>
      <c r="E41" s="3" t="s">
        <v>115</v>
      </c>
      <c r="F41" s="51">
        <v>0</v>
      </c>
      <c r="G41" s="10">
        <v>1</v>
      </c>
      <c r="H41" s="3">
        <v>2</v>
      </c>
      <c r="I41" s="25">
        <v>0.72</v>
      </c>
      <c r="J41" s="55">
        <v>188</v>
      </c>
      <c r="K41" s="3">
        <v>0</v>
      </c>
      <c r="L41" s="5">
        <v>29.7</v>
      </c>
      <c r="M41" s="5">
        <f>(8800*100)/31459</f>
        <v>27.972917130233</v>
      </c>
      <c r="N41" s="59">
        <v>0</v>
      </c>
      <c r="O41" s="5">
        <v>13911.45</v>
      </c>
      <c r="P41" s="59">
        <v>0</v>
      </c>
      <c r="Q41" s="59">
        <v>1</v>
      </c>
      <c r="R41" s="3">
        <v>9</v>
      </c>
      <c r="S41" s="3">
        <v>45</v>
      </c>
      <c r="T41" s="5">
        <v>5.5832763625790031E-3</v>
      </c>
      <c r="U41" s="6">
        <v>5.0177134028590907E-3</v>
      </c>
      <c r="V41" s="16">
        <v>0</v>
      </c>
    </row>
    <row r="42" spans="1:22" x14ac:dyDescent="0.25">
      <c r="A42" s="15">
        <v>39</v>
      </c>
      <c r="B42" s="3">
        <v>1977</v>
      </c>
      <c r="C42" s="3" t="s">
        <v>75</v>
      </c>
      <c r="D42" s="3" t="s">
        <v>101</v>
      </c>
      <c r="E42" s="3" t="s">
        <v>117</v>
      </c>
      <c r="F42" s="51">
        <v>0</v>
      </c>
      <c r="G42" s="10">
        <v>1</v>
      </c>
      <c r="H42" s="3">
        <v>2</v>
      </c>
      <c r="I42" s="25">
        <v>0.8</v>
      </c>
      <c r="J42" s="55">
        <v>162</v>
      </c>
      <c r="K42" s="3">
        <v>0</v>
      </c>
      <c r="L42" s="5">
        <v>15.5</v>
      </c>
      <c r="M42" s="5">
        <f>(6472.5*100)/13783.85</f>
        <v>46.957127362819527</v>
      </c>
      <c r="N42" s="59">
        <v>1</v>
      </c>
      <c r="O42" s="5">
        <v>7886.28</v>
      </c>
      <c r="P42" s="59">
        <v>0</v>
      </c>
      <c r="Q42" s="59">
        <v>1</v>
      </c>
      <c r="R42" s="3">
        <v>1</v>
      </c>
      <c r="S42" s="3">
        <v>44</v>
      </c>
      <c r="T42" s="5">
        <v>0.43904808497777936</v>
      </c>
      <c r="U42" s="6">
        <v>0.43328599282670965</v>
      </c>
      <c r="V42" s="16">
        <v>0</v>
      </c>
    </row>
    <row r="43" spans="1:22" x14ac:dyDescent="0.25">
      <c r="A43" s="15">
        <v>40</v>
      </c>
      <c r="B43" s="3">
        <v>1977</v>
      </c>
      <c r="C43" s="3" t="s">
        <v>55</v>
      </c>
      <c r="D43" s="3" t="s">
        <v>7</v>
      </c>
      <c r="E43" s="3" t="s">
        <v>114</v>
      </c>
      <c r="F43" s="51">
        <v>1</v>
      </c>
      <c r="G43" s="10">
        <v>1</v>
      </c>
      <c r="H43" s="3">
        <v>1</v>
      </c>
      <c r="I43" s="25">
        <v>0.77</v>
      </c>
      <c r="J43" s="55">
        <v>107</v>
      </c>
      <c r="K43" s="3">
        <v>0</v>
      </c>
      <c r="L43" s="5">
        <v>9</v>
      </c>
      <c r="M43" s="5">
        <v>8.2100000000000009</v>
      </c>
      <c r="N43" s="59">
        <v>1</v>
      </c>
      <c r="O43" s="5">
        <v>5588.56</v>
      </c>
      <c r="P43" s="59">
        <v>0</v>
      </c>
      <c r="Q43" s="59">
        <v>0</v>
      </c>
      <c r="R43" s="3">
        <v>13</v>
      </c>
      <c r="S43" s="3">
        <v>44</v>
      </c>
      <c r="T43" s="5">
        <v>0.49271297101103395</v>
      </c>
      <c r="U43" s="6">
        <v>3.4349150228673544</v>
      </c>
      <c r="V43" s="16">
        <v>0</v>
      </c>
    </row>
    <row r="44" spans="1:22" x14ac:dyDescent="0.25">
      <c r="A44" s="15">
        <v>41</v>
      </c>
      <c r="B44" s="3">
        <v>1977</v>
      </c>
      <c r="C44" s="3" t="s">
        <v>76</v>
      </c>
      <c r="D44" s="3" t="s">
        <v>102</v>
      </c>
      <c r="E44" s="3" t="s">
        <v>114</v>
      </c>
      <c r="F44" s="51">
        <v>0</v>
      </c>
      <c r="G44" s="10">
        <v>1</v>
      </c>
      <c r="H44" s="3">
        <v>2</v>
      </c>
      <c r="I44" s="25">
        <v>0.09</v>
      </c>
      <c r="J44" s="55">
        <v>0</v>
      </c>
      <c r="K44" s="3">
        <v>12</v>
      </c>
      <c r="L44" s="5">
        <v>2</v>
      </c>
      <c r="M44" s="5">
        <f>(2289.91*100)/2905.81</f>
        <v>78.804532987359806</v>
      </c>
      <c r="N44" s="59">
        <v>0</v>
      </c>
      <c r="O44" s="5">
        <v>1180.19</v>
      </c>
      <c r="P44" s="59">
        <v>0</v>
      </c>
      <c r="Q44" s="59">
        <v>0</v>
      </c>
      <c r="R44" s="3">
        <v>4</v>
      </c>
      <c r="S44" s="3">
        <v>44</v>
      </c>
      <c r="T44" s="5">
        <v>3.5191620941619406</v>
      </c>
      <c r="U44" s="6">
        <v>67.615352435013008</v>
      </c>
      <c r="V44" s="16">
        <v>0</v>
      </c>
    </row>
    <row r="45" spans="1:22" x14ac:dyDescent="0.25">
      <c r="A45" s="15">
        <v>42</v>
      </c>
      <c r="B45" s="3">
        <v>1977</v>
      </c>
      <c r="C45" s="3" t="s">
        <v>77</v>
      </c>
      <c r="D45" s="3" t="s">
        <v>9</v>
      </c>
      <c r="E45" s="3" t="s">
        <v>117</v>
      </c>
      <c r="F45" s="51">
        <v>0</v>
      </c>
      <c r="G45" s="10">
        <v>0</v>
      </c>
      <c r="H45" s="3">
        <v>0</v>
      </c>
      <c r="I45" s="25">
        <v>0.77</v>
      </c>
      <c r="J45" s="55">
        <v>145</v>
      </c>
      <c r="K45" s="3">
        <v>0</v>
      </c>
      <c r="L45" s="5">
        <v>10</v>
      </c>
      <c r="M45" s="5">
        <f>(1012.62*100)/4681.44</f>
        <v>21.630523941351381</v>
      </c>
      <c r="N45" s="59">
        <v>1</v>
      </c>
      <c r="O45" s="5">
        <v>6626.58</v>
      </c>
      <c r="P45" s="59">
        <v>0</v>
      </c>
      <c r="Q45" s="59">
        <v>1</v>
      </c>
      <c r="R45" s="3">
        <v>7</v>
      </c>
      <c r="S45" s="3">
        <v>44</v>
      </c>
      <c r="T45" s="5">
        <v>7.8341829184502346E-2</v>
      </c>
      <c r="U45" s="6">
        <v>0.3847502010350729</v>
      </c>
      <c r="V45" s="16">
        <v>0</v>
      </c>
    </row>
    <row r="46" spans="1:22" x14ac:dyDescent="0.25">
      <c r="A46" s="15">
        <v>43</v>
      </c>
      <c r="B46" s="3">
        <v>1977</v>
      </c>
      <c r="C46" s="3" t="s">
        <v>78</v>
      </c>
      <c r="D46" s="3" t="s">
        <v>100</v>
      </c>
      <c r="E46" s="3" t="s">
        <v>115</v>
      </c>
      <c r="F46" s="51">
        <v>0</v>
      </c>
      <c r="G46" s="10">
        <v>1</v>
      </c>
      <c r="H46" s="3">
        <v>2</v>
      </c>
      <c r="I46" s="25">
        <v>0.78</v>
      </c>
      <c r="J46" s="55">
        <v>189</v>
      </c>
      <c r="K46" s="3">
        <v>0</v>
      </c>
      <c r="L46" s="5">
        <v>29.7</v>
      </c>
      <c r="M46" s="5">
        <f>(972.43*100)/13976</f>
        <v>6.9578563251287919</v>
      </c>
      <c r="N46" s="59">
        <v>0</v>
      </c>
      <c r="O46" s="5">
        <v>11333.77</v>
      </c>
      <c r="P46" s="59">
        <v>0</v>
      </c>
      <c r="Q46" s="59">
        <v>1</v>
      </c>
      <c r="R46" s="3">
        <v>11</v>
      </c>
      <c r="S46" s="3">
        <v>44</v>
      </c>
      <c r="T46" s="5">
        <v>1.2164364259361198E-2</v>
      </c>
      <c r="U46" s="6">
        <v>1.9786625836982472E-3</v>
      </c>
      <c r="V46" s="16">
        <v>0</v>
      </c>
    </row>
    <row r="47" spans="1:22" x14ac:dyDescent="0.25">
      <c r="A47" s="15">
        <v>44</v>
      </c>
      <c r="B47" s="3">
        <v>1980</v>
      </c>
      <c r="C47" s="3" t="s">
        <v>79</v>
      </c>
      <c r="D47" s="3" t="s">
        <v>103</v>
      </c>
      <c r="E47" s="3" t="s">
        <v>116</v>
      </c>
      <c r="F47" s="51">
        <v>0</v>
      </c>
      <c r="G47" s="10">
        <v>1</v>
      </c>
      <c r="H47" s="3">
        <v>0</v>
      </c>
      <c r="I47" s="25">
        <v>0.76</v>
      </c>
      <c r="J47" s="55">
        <v>113</v>
      </c>
      <c r="K47" s="3">
        <v>0</v>
      </c>
      <c r="L47" s="5">
        <v>25.2</v>
      </c>
      <c r="M47" s="5">
        <v>87</v>
      </c>
      <c r="N47" s="59">
        <v>0</v>
      </c>
      <c r="O47" s="5">
        <v>378.77</v>
      </c>
      <c r="P47" s="59">
        <v>1</v>
      </c>
      <c r="Q47" s="59">
        <v>0</v>
      </c>
      <c r="R47" s="3">
        <v>9</v>
      </c>
      <c r="S47" s="3">
        <v>41</v>
      </c>
      <c r="T47" s="5">
        <v>0.68274945543042309</v>
      </c>
      <c r="U47" s="6">
        <v>15.444236013809169</v>
      </c>
      <c r="V47" s="16">
        <v>0</v>
      </c>
    </row>
    <row r="48" spans="1:22" x14ac:dyDescent="0.25">
      <c r="A48" s="15">
        <v>45</v>
      </c>
      <c r="B48" s="3">
        <v>1980</v>
      </c>
      <c r="C48" s="3" t="s">
        <v>80</v>
      </c>
      <c r="D48" s="3" t="s">
        <v>102</v>
      </c>
      <c r="E48" s="3" t="s">
        <v>114</v>
      </c>
      <c r="F48" s="51">
        <v>0</v>
      </c>
      <c r="G48" s="10">
        <v>1</v>
      </c>
      <c r="H48" s="3">
        <v>2</v>
      </c>
      <c r="I48" s="25">
        <v>0.09</v>
      </c>
      <c r="J48" s="55">
        <v>0</v>
      </c>
      <c r="K48" s="3">
        <v>0</v>
      </c>
      <c r="L48" s="5">
        <v>2</v>
      </c>
      <c r="M48" s="5"/>
      <c r="N48" s="59">
        <v>1</v>
      </c>
      <c r="O48" s="5">
        <v>793.36</v>
      </c>
      <c r="P48" s="59">
        <v>1</v>
      </c>
      <c r="Q48" s="59">
        <v>0</v>
      </c>
      <c r="R48" s="3">
        <v>4</v>
      </c>
      <c r="S48" s="3">
        <v>41</v>
      </c>
      <c r="T48" s="5">
        <v>3.7953991544686367</v>
      </c>
      <c r="U48" s="6">
        <v>0.69724138496747579</v>
      </c>
      <c r="V48" s="16">
        <v>0</v>
      </c>
    </row>
    <row r="49" spans="1:22" x14ac:dyDescent="0.25">
      <c r="A49" s="15">
        <v>46</v>
      </c>
      <c r="B49" s="3">
        <v>1983</v>
      </c>
      <c r="C49" s="3" t="s">
        <v>74</v>
      </c>
      <c r="D49" s="3" t="s">
        <v>100</v>
      </c>
      <c r="E49" s="3" t="s">
        <v>115</v>
      </c>
      <c r="F49" s="51">
        <v>0</v>
      </c>
      <c r="G49" s="10">
        <v>1</v>
      </c>
      <c r="H49" s="3">
        <v>2</v>
      </c>
      <c r="I49" s="25">
        <v>0.8</v>
      </c>
      <c r="J49" s="55">
        <v>195</v>
      </c>
      <c r="K49" s="3">
        <v>0</v>
      </c>
      <c r="L49" s="5">
        <v>29.7</v>
      </c>
      <c r="M49" s="5">
        <v>27.97</v>
      </c>
      <c r="N49" s="59">
        <v>0</v>
      </c>
      <c r="O49" s="5">
        <v>13911.45</v>
      </c>
      <c r="P49" s="59">
        <v>0</v>
      </c>
      <c r="Q49" s="59">
        <v>1</v>
      </c>
      <c r="R49" s="3">
        <v>11</v>
      </c>
      <c r="S49" s="3">
        <v>38</v>
      </c>
      <c r="T49" s="5">
        <v>5.4637597870666075E-3</v>
      </c>
      <c r="U49" s="6">
        <v>5.0177134028590907E-3</v>
      </c>
      <c r="V49" s="16">
        <v>0</v>
      </c>
    </row>
    <row r="50" spans="1:22" x14ac:dyDescent="0.25">
      <c r="A50" s="15">
        <v>47</v>
      </c>
      <c r="B50" s="3">
        <v>1983</v>
      </c>
      <c r="C50" s="3" t="s">
        <v>81</v>
      </c>
      <c r="D50" s="3" t="s">
        <v>100</v>
      </c>
      <c r="E50" s="3" t="s">
        <v>115</v>
      </c>
      <c r="F50" s="51">
        <v>1</v>
      </c>
      <c r="G50" s="10">
        <v>1</v>
      </c>
      <c r="H50" s="3">
        <v>2</v>
      </c>
      <c r="I50" s="25">
        <v>0.8</v>
      </c>
      <c r="J50" s="55">
        <v>195</v>
      </c>
      <c r="K50" s="3">
        <v>0</v>
      </c>
      <c r="L50" s="5">
        <v>29.7</v>
      </c>
      <c r="M50" s="5">
        <f>(1320.86*100)/15543.89</f>
        <v>8.4976154617666495</v>
      </c>
      <c r="N50" s="59">
        <v>1</v>
      </c>
      <c r="O50" s="5">
        <v>12392.71</v>
      </c>
      <c r="P50" s="59">
        <v>0</v>
      </c>
      <c r="Q50" s="59">
        <v>1</v>
      </c>
      <c r="R50" s="3">
        <v>11</v>
      </c>
      <c r="S50" s="3">
        <v>38</v>
      </c>
      <c r="T50" s="5">
        <v>3.3765295240979716E-2</v>
      </c>
      <c r="U50" s="6">
        <v>2.9135205293895345</v>
      </c>
      <c r="V50" s="16">
        <v>0</v>
      </c>
    </row>
    <row r="51" spans="1:22" x14ac:dyDescent="0.25">
      <c r="A51" s="15">
        <v>48</v>
      </c>
      <c r="B51" s="3">
        <v>1983</v>
      </c>
      <c r="C51" s="3" t="s">
        <v>78</v>
      </c>
      <c r="D51" s="3" t="s">
        <v>100</v>
      </c>
      <c r="E51" s="3" t="s">
        <v>115</v>
      </c>
      <c r="F51" s="51">
        <v>1</v>
      </c>
      <c r="G51" s="10">
        <v>1</v>
      </c>
      <c r="H51" s="3">
        <v>2</v>
      </c>
      <c r="I51" s="25">
        <v>0.8</v>
      </c>
      <c r="J51" s="55">
        <v>195</v>
      </c>
      <c r="K51" s="3">
        <v>0</v>
      </c>
      <c r="L51" s="5">
        <v>29.7</v>
      </c>
      <c r="M51" s="5">
        <v>27.97</v>
      </c>
      <c r="N51" s="59">
        <v>1</v>
      </c>
      <c r="O51" s="5">
        <v>11333.77</v>
      </c>
      <c r="P51" s="59">
        <v>0</v>
      </c>
      <c r="Q51" s="59">
        <v>1</v>
      </c>
      <c r="R51" s="3">
        <v>11</v>
      </c>
      <c r="S51" s="3">
        <v>38</v>
      </c>
      <c r="T51" s="5">
        <v>1.4513444299289675E-2</v>
      </c>
      <c r="U51" s="6">
        <v>1.9786625836982472E-3</v>
      </c>
      <c r="V51" s="16">
        <v>0</v>
      </c>
    </row>
    <row r="52" spans="1:22" x14ac:dyDescent="0.25">
      <c r="A52" s="15">
        <v>49</v>
      </c>
      <c r="B52" s="3">
        <v>1984</v>
      </c>
      <c r="C52" s="3" t="s">
        <v>74</v>
      </c>
      <c r="D52" s="3" t="s">
        <v>100</v>
      </c>
      <c r="E52" s="3" t="s">
        <v>115</v>
      </c>
      <c r="F52" s="51">
        <v>0</v>
      </c>
      <c r="G52" s="10">
        <v>1</v>
      </c>
      <c r="H52" s="3">
        <v>2</v>
      </c>
      <c r="I52" s="25">
        <v>0.79</v>
      </c>
      <c r="J52" s="55">
        <v>195</v>
      </c>
      <c r="K52" s="3">
        <v>0</v>
      </c>
      <c r="L52" s="5">
        <v>29.7</v>
      </c>
      <c r="M52" s="5">
        <v>27.97</v>
      </c>
      <c r="N52" s="59">
        <v>0</v>
      </c>
      <c r="O52" s="5">
        <v>13911.45</v>
      </c>
      <c r="P52" s="59">
        <v>0</v>
      </c>
      <c r="Q52" s="59">
        <v>1</v>
      </c>
      <c r="R52" s="3">
        <v>12</v>
      </c>
      <c r="S52" s="3">
        <v>37</v>
      </c>
      <c r="T52" s="5">
        <v>5.5604467595187944E-3</v>
      </c>
      <c r="U52" s="6">
        <v>5.0177134028590907E-3</v>
      </c>
      <c r="V52" s="16">
        <v>0</v>
      </c>
    </row>
    <row r="53" spans="1:22" x14ac:dyDescent="0.25">
      <c r="A53" s="15">
        <v>50</v>
      </c>
      <c r="B53" s="3">
        <v>1985</v>
      </c>
      <c r="C53" s="3" t="s">
        <v>12</v>
      </c>
      <c r="D53" s="3" t="s">
        <v>8</v>
      </c>
      <c r="E53" s="3" t="s">
        <v>113</v>
      </c>
      <c r="F53" s="51">
        <v>0</v>
      </c>
      <c r="G53" s="10">
        <v>0</v>
      </c>
      <c r="H53" s="3">
        <v>0</v>
      </c>
      <c r="I53" s="25">
        <v>0.55000000000000004</v>
      </c>
      <c r="J53" s="55">
        <v>25</v>
      </c>
      <c r="K53" s="3">
        <v>12</v>
      </c>
      <c r="L53" s="5">
        <v>1</v>
      </c>
      <c r="M53" s="5">
        <f>(16900*100)/28237</f>
        <v>59.850550695895457</v>
      </c>
      <c r="N53" s="59">
        <v>0</v>
      </c>
      <c r="O53" s="5">
        <v>0</v>
      </c>
      <c r="P53" s="59">
        <v>1</v>
      </c>
      <c r="Q53" s="59">
        <v>1</v>
      </c>
      <c r="R53" s="3">
        <v>1</v>
      </c>
      <c r="S53" s="3">
        <v>36</v>
      </c>
      <c r="T53" s="5">
        <v>42.0861846283386</v>
      </c>
      <c r="U53" s="6">
        <v>36.266349583828777</v>
      </c>
      <c r="V53" s="16">
        <v>0</v>
      </c>
    </row>
    <row r="54" spans="1:22" x14ac:dyDescent="0.25">
      <c r="A54" s="15">
        <v>51</v>
      </c>
      <c r="B54" s="3">
        <v>1986</v>
      </c>
      <c r="C54" s="3" t="s">
        <v>74</v>
      </c>
      <c r="D54" s="3" t="s">
        <v>100</v>
      </c>
      <c r="E54" s="3" t="s">
        <v>115</v>
      </c>
      <c r="F54" s="51">
        <v>0</v>
      </c>
      <c r="G54" s="10">
        <v>1</v>
      </c>
      <c r="H54" s="3">
        <v>2</v>
      </c>
      <c r="I54" s="25">
        <v>0.8</v>
      </c>
      <c r="J54" s="55">
        <v>198</v>
      </c>
      <c r="K54" s="3">
        <v>0</v>
      </c>
      <c r="L54" s="5">
        <v>29.7</v>
      </c>
      <c r="M54" s="5">
        <v>27.97</v>
      </c>
      <c r="N54" s="59">
        <v>0</v>
      </c>
      <c r="O54" s="5">
        <v>13911.45</v>
      </c>
      <c r="P54" s="59">
        <v>0</v>
      </c>
      <c r="Q54" s="59">
        <v>1</v>
      </c>
      <c r="R54" s="3">
        <v>11</v>
      </c>
      <c r="S54" s="3">
        <v>35</v>
      </c>
      <c r="T54" s="5">
        <v>5.7231033358733927E-3</v>
      </c>
      <c r="U54" s="6">
        <v>5.0177134028590907E-3</v>
      </c>
      <c r="V54" s="16">
        <v>0</v>
      </c>
    </row>
    <row r="55" spans="1:22" x14ac:dyDescent="0.25">
      <c r="A55" s="15">
        <v>52</v>
      </c>
      <c r="B55" s="3">
        <v>1986</v>
      </c>
      <c r="C55" s="3" t="s">
        <v>74</v>
      </c>
      <c r="D55" s="3" t="s">
        <v>100</v>
      </c>
      <c r="E55" s="3" t="s">
        <v>115</v>
      </c>
      <c r="F55" s="51">
        <v>0</v>
      </c>
      <c r="G55" s="10">
        <v>1</v>
      </c>
      <c r="H55" s="3">
        <v>2</v>
      </c>
      <c r="I55" s="25">
        <v>0.8</v>
      </c>
      <c r="J55" s="55">
        <v>198</v>
      </c>
      <c r="K55" s="3">
        <v>0</v>
      </c>
      <c r="L55" s="5">
        <v>29.7</v>
      </c>
      <c r="M55" s="5">
        <v>27.97</v>
      </c>
      <c r="N55" s="59">
        <v>0</v>
      </c>
      <c r="O55" s="5">
        <v>13911.45</v>
      </c>
      <c r="P55" s="59">
        <v>0</v>
      </c>
      <c r="Q55" s="59">
        <v>1</v>
      </c>
      <c r="R55" s="3">
        <v>11</v>
      </c>
      <c r="S55" s="3">
        <v>35</v>
      </c>
      <c r="T55" s="5">
        <v>5.7231033358733927E-3</v>
      </c>
      <c r="U55" s="6">
        <v>5.0177134028590907E-3</v>
      </c>
      <c r="V55" s="16">
        <v>0</v>
      </c>
    </row>
    <row r="56" spans="1:22" x14ac:dyDescent="0.25">
      <c r="A56" s="15">
        <v>53</v>
      </c>
      <c r="B56" s="3">
        <v>1987</v>
      </c>
      <c r="C56" s="3" t="s">
        <v>74</v>
      </c>
      <c r="D56" s="3" t="s">
        <v>100</v>
      </c>
      <c r="E56" s="3" t="s">
        <v>115</v>
      </c>
      <c r="F56" s="51">
        <v>0</v>
      </c>
      <c r="G56" s="10">
        <v>1</v>
      </c>
      <c r="H56" s="3">
        <v>2</v>
      </c>
      <c r="I56" s="25">
        <v>0.8</v>
      </c>
      <c r="J56" s="55">
        <v>199</v>
      </c>
      <c r="K56" s="3">
        <v>0</v>
      </c>
      <c r="L56" s="5">
        <v>29.7</v>
      </c>
      <c r="M56" s="5">
        <v>27.97</v>
      </c>
      <c r="N56" s="59">
        <v>0</v>
      </c>
      <c r="O56" s="5">
        <v>13911.45</v>
      </c>
      <c r="P56" s="59">
        <v>0</v>
      </c>
      <c r="Q56" s="59">
        <v>1</v>
      </c>
      <c r="R56" s="3">
        <v>11</v>
      </c>
      <c r="S56" s="3">
        <v>34</v>
      </c>
      <c r="T56" s="5">
        <v>5.7777809278305456E-3</v>
      </c>
      <c r="U56" s="6">
        <v>5.0177134028590907E-3</v>
      </c>
      <c r="V56" s="16">
        <v>0</v>
      </c>
    </row>
    <row r="57" spans="1:22" x14ac:dyDescent="0.25">
      <c r="A57" s="15">
        <v>54</v>
      </c>
      <c r="B57" s="3">
        <v>1987</v>
      </c>
      <c r="C57" s="3" t="s">
        <v>74</v>
      </c>
      <c r="D57" s="3" t="s">
        <v>100</v>
      </c>
      <c r="E57" s="3" t="s">
        <v>115</v>
      </c>
      <c r="F57" s="51">
        <v>0</v>
      </c>
      <c r="G57" s="10">
        <v>1</v>
      </c>
      <c r="H57" s="3">
        <v>2</v>
      </c>
      <c r="I57" s="25">
        <v>0.8</v>
      </c>
      <c r="J57" s="55">
        <v>199</v>
      </c>
      <c r="K57" s="3">
        <v>0</v>
      </c>
      <c r="L57" s="5">
        <v>29.7</v>
      </c>
      <c r="M57" s="5">
        <v>27.97</v>
      </c>
      <c r="N57" s="59">
        <v>0</v>
      </c>
      <c r="O57" s="5">
        <v>13911.45</v>
      </c>
      <c r="P57" s="59">
        <v>0</v>
      </c>
      <c r="Q57" s="59">
        <v>1</v>
      </c>
      <c r="R57" s="3">
        <v>11</v>
      </c>
      <c r="S57" s="3">
        <v>34</v>
      </c>
      <c r="T57" s="5">
        <v>5.7777809278305456E-3</v>
      </c>
      <c r="U57" s="6">
        <v>5.0177134028590907E-3</v>
      </c>
      <c r="V57" s="16">
        <v>0</v>
      </c>
    </row>
    <row r="58" spans="1:22" x14ac:dyDescent="0.25">
      <c r="A58" s="15">
        <v>55</v>
      </c>
      <c r="B58" s="3">
        <v>1987</v>
      </c>
      <c r="C58" s="3" t="s">
        <v>63</v>
      </c>
      <c r="D58" s="3" t="s">
        <v>7</v>
      </c>
      <c r="E58" s="3" t="s">
        <v>115</v>
      </c>
      <c r="F58" s="51">
        <v>1</v>
      </c>
      <c r="G58" s="10">
        <v>1</v>
      </c>
      <c r="H58" s="3">
        <v>2</v>
      </c>
      <c r="I58" s="25">
        <v>0.78</v>
      </c>
      <c r="J58" s="55">
        <v>117</v>
      </c>
      <c r="K58" s="3">
        <v>12</v>
      </c>
      <c r="L58" s="5">
        <v>20</v>
      </c>
      <c r="M58" s="5">
        <f>(15000*100)/23300</f>
        <v>64.377682403433482</v>
      </c>
      <c r="N58" s="59">
        <v>1</v>
      </c>
      <c r="O58" s="5">
        <v>16741.669999999998</v>
      </c>
      <c r="P58" s="59">
        <v>0</v>
      </c>
      <c r="Q58" s="59">
        <v>1</v>
      </c>
      <c r="R58" s="3">
        <v>13</v>
      </c>
      <c r="S58" s="3">
        <v>34</v>
      </c>
      <c r="T58" s="5">
        <v>0.28265405887081552</v>
      </c>
      <c r="U58" s="6">
        <v>2.7501528685241858</v>
      </c>
      <c r="V58" s="16">
        <v>0</v>
      </c>
    </row>
    <row r="59" spans="1:22" x14ac:dyDescent="0.25">
      <c r="A59" s="15">
        <v>56</v>
      </c>
      <c r="B59" s="3">
        <v>1990</v>
      </c>
      <c r="C59" s="3" t="s">
        <v>74</v>
      </c>
      <c r="D59" s="3" t="s">
        <v>100</v>
      </c>
      <c r="E59" s="3" t="s">
        <v>115</v>
      </c>
      <c r="F59" s="51">
        <v>0</v>
      </c>
      <c r="G59" s="10">
        <v>1</v>
      </c>
      <c r="H59" s="3">
        <v>2</v>
      </c>
      <c r="I59" s="25">
        <v>0.8</v>
      </c>
      <c r="J59" s="55">
        <v>202</v>
      </c>
      <c r="K59" s="3">
        <v>0</v>
      </c>
      <c r="L59" s="5">
        <v>29.7</v>
      </c>
      <c r="M59" s="5">
        <v>27.97</v>
      </c>
      <c r="N59" s="59">
        <v>0</v>
      </c>
      <c r="O59" s="5">
        <v>13911.45</v>
      </c>
      <c r="P59" s="59">
        <v>0</v>
      </c>
      <c r="Q59" s="59">
        <v>1</v>
      </c>
      <c r="R59" s="3">
        <v>11</v>
      </c>
      <c r="S59" s="3">
        <v>31</v>
      </c>
      <c r="T59" s="5">
        <v>5.9329642293212024E-3</v>
      </c>
      <c r="U59" s="6">
        <v>5.0177134028590907E-3</v>
      </c>
      <c r="V59" s="16">
        <v>0</v>
      </c>
    </row>
    <row r="60" spans="1:22" x14ac:dyDescent="0.25">
      <c r="A60" s="15">
        <v>57</v>
      </c>
      <c r="B60" s="3">
        <v>1990</v>
      </c>
      <c r="C60" s="3" t="s">
        <v>82</v>
      </c>
      <c r="D60" s="3" t="s">
        <v>104</v>
      </c>
      <c r="E60" s="3" t="s">
        <v>114</v>
      </c>
      <c r="F60" s="51">
        <v>0</v>
      </c>
      <c r="G60" s="10">
        <v>0</v>
      </c>
      <c r="H60" s="3">
        <v>0</v>
      </c>
      <c r="I60" s="25">
        <v>0.41</v>
      </c>
      <c r="J60" s="55">
        <v>0</v>
      </c>
      <c r="K60" s="3">
        <v>0</v>
      </c>
      <c r="L60" s="5">
        <v>5</v>
      </c>
      <c r="M60" s="5"/>
      <c r="N60" s="59">
        <v>0</v>
      </c>
      <c r="O60" s="5">
        <v>84.32</v>
      </c>
      <c r="P60" s="59">
        <v>1</v>
      </c>
      <c r="Q60" s="59">
        <v>0</v>
      </c>
      <c r="R60" s="3">
        <v>2</v>
      </c>
      <c r="S60" s="3">
        <v>31</v>
      </c>
      <c r="T60" s="5">
        <v>3.9620107997210745</v>
      </c>
      <c r="U60" s="6">
        <v>7.7521072629602131E-2</v>
      </c>
      <c r="V60" s="16">
        <v>0</v>
      </c>
    </row>
    <row r="61" spans="1:22" x14ac:dyDescent="0.25">
      <c r="A61" s="15">
        <v>58</v>
      </c>
      <c r="B61" s="3">
        <v>1990</v>
      </c>
      <c r="C61" s="3" t="s">
        <v>13</v>
      </c>
      <c r="D61" s="3" t="s">
        <v>14</v>
      </c>
      <c r="E61" s="3" t="s">
        <v>111</v>
      </c>
      <c r="F61" s="51">
        <v>1</v>
      </c>
      <c r="G61" s="10">
        <v>0</v>
      </c>
      <c r="H61" s="3">
        <v>0</v>
      </c>
      <c r="I61" s="25">
        <v>0.16</v>
      </c>
      <c r="J61" s="55">
        <v>0</v>
      </c>
      <c r="K61" s="3">
        <v>0</v>
      </c>
      <c r="L61" s="5">
        <v>5</v>
      </c>
      <c r="M61" s="5">
        <v>168.79445900411829</v>
      </c>
      <c r="N61" s="59">
        <v>1</v>
      </c>
      <c r="O61" s="5">
        <v>484.4</v>
      </c>
      <c r="P61" s="59">
        <v>1</v>
      </c>
      <c r="Q61" s="59">
        <v>0</v>
      </c>
      <c r="R61" s="3">
        <v>10</v>
      </c>
      <c r="S61" s="3">
        <v>31</v>
      </c>
      <c r="T61" s="5">
        <v>8.3571557271342556</v>
      </c>
      <c r="U61" s="6">
        <v>7.8929336188436832</v>
      </c>
      <c r="V61" s="16">
        <v>1</v>
      </c>
    </row>
    <row r="62" spans="1:22" x14ac:dyDescent="0.25">
      <c r="A62" s="15">
        <v>59</v>
      </c>
      <c r="B62" s="3">
        <v>1991</v>
      </c>
      <c r="C62" s="3" t="s">
        <v>15</v>
      </c>
      <c r="D62" s="3" t="s">
        <v>16</v>
      </c>
      <c r="E62" s="3" t="s">
        <v>111</v>
      </c>
      <c r="F62" s="51">
        <v>1</v>
      </c>
      <c r="G62" s="10">
        <v>0</v>
      </c>
      <c r="H62" s="3">
        <v>0</v>
      </c>
      <c r="I62" s="25">
        <v>0.13</v>
      </c>
      <c r="J62" s="55">
        <v>0</v>
      </c>
      <c r="K62" s="3">
        <v>0</v>
      </c>
      <c r="L62" s="5">
        <v>0</v>
      </c>
      <c r="M62" s="5">
        <v>56.384915474642391</v>
      </c>
      <c r="N62" s="59">
        <v>1</v>
      </c>
      <c r="O62" s="5">
        <v>790.36</v>
      </c>
      <c r="P62" s="59">
        <v>1</v>
      </c>
      <c r="Q62" s="59">
        <v>0</v>
      </c>
      <c r="R62" s="3">
        <v>67</v>
      </c>
      <c r="S62" s="3">
        <v>30</v>
      </c>
      <c r="T62" s="5">
        <v>1.2749625099542534</v>
      </c>
      <c r="U62" s="6">
        <v>0.28345430359518259</v>
      </c>
      <c r="V62" s="16">
        <v>1</v>
      </c>
    </row>
    <row r="63" spans="1:22" x14ac:dyDescent="0.25">
      <c r="A63" s="15">
        <v>60</v>
      </c>
      <c r="B63" s="3">
        <v>1991</v>
      </c>
      <c r="C63" s="3" t="s">
        <v>17</v>
      </c>
      <c r="D63" s="3" t="s">
        <v>16</v>
      </c>
      <c r="E63" s="3" t="s">
        <v>111</v>
      </c>
      <c r="F63" s="51">
        <v>1</v>
      </c>
      <c r="G63" s="10">
        <v>0</v>
      </c>
      <c r="H63" s="3">
        <v>0</v>
      </c>
      <c r="I63" s="25">
        <v>0.13</v>
      </c>
      <c r="J63" s="55">
        <v>0</v>
      </c>
      <c r="K63" s="3">
        <v>46</v>
      </c>
      <c r="L63" s="5">
        <v>0</v>
      </c>
      <c r="M63" s="5">
        <v>69.726918075422631</v>
      </c>
      <c r="N63" s="59">
        <v>1</v>
      </c>
      <c r="O63" s="5">
        <v>867.24</v>
      </c>
      <c r="P63" s="59">
        <v>1</v>
      </c>
      <c r="Q63" s="59">
        <v>0</v>
      </c>
      <c r="R63" s="3">
        <v>67</v>
      </c>
      <c r="S63" s="3">
        <v>30</v>
      </c>
      <c r="T63" s="5">
        <v>0.53668646600730152</v>
      </c>
      <c r="U63" s="6">
        <v>0.2018908857165814</v>
      </c>
      <c r="V63" s="16">
        <v>0</v>
      </c>
    </row>
    <row r="64" spans="1:22" x14ac:dyDescent="0.25">
      <c r="A64" s="15">
        <v>61</v>
      </c>
      <c r="B64" s="3">
        <v>1991</v>
      </c>
      <c r="C64" s="3" t="s">
        <v>18</v>
      </c>
      <c r="D64" s="3" t="s">
        <v>16</v>
      </c>
      <c r="E64" s="3" t="s">
        <v>111</v>
      </c>
      <c r="F64" s="51">
        <v>1</v>
      </c>
      <c r="G64" s="10">
        <v>0</v>
      </c>
      <c r="H64" s="3">
        <v>0</v>
      </c>
      <c r="I64" s="25">
        <v>0.13</v>
      </c>
      <c r="J64" s="55">
        <v>0</v>
      </c>
      <c r="K64" s="3">
        <v>46</v>
      </c>
      <c r="L64" s="5">
        <v>0</v>
      </c>
      <c r="M64" s="5">
        <v>69.726918075422631</v>
      </c>
      <c r="N64" s="59">
        <v>1</v>
      </c>
      <c r="O64" s="5">
        <v>867.24</v>
      </c>
      <c r="P64" s="59">
        <v>1</v>
      </c>
      <c r="Q64" s="59">
        <v>0</v>
      </c>
      <c r="R64" s="3">
        <v>67</v>
      </c>
      <c r="S64" s="3">
        <v>30</v>
      </c>
      <c r="T64" s="5">
        <v>0.53668646600730152</v>
      </c>
      <c r="U64" s="6">
        <v>0.2018908857165814</v>
      </c>
      <c r="V64" s="16">
        <v>0</v>
      </c>
    </row>
    <row r="65" spans="1:22" x14ac:dyDescent="0.25">
      <c r="A65" s="15">
        <v>62</v>
      </c>
      <c r="B65" s="3">
        <v>1991</v>
      </c>
      <c r="C65" s="3" t="s">
        <v>19</v>
      </c>
      <c r="D65" s="3" t="s">
        <v>16</v>
      </c>
      <c r="E65" s="3" t="s">
        <v>111</v>
      </c>
      <c r="F65" s="51">
        <v>1</v>
      </c>
      <c r="G65" s="10">
        <v>0</v>
      </c>
      <c r="H65" s="3">
        <v>0</v>
      </c>
      <c r="I65" s="25">
        <v>0.13</v>
      </c>
      <c r="J65" s="55">
        <v>0</v>
      </c>
      <c r="K65" s="3">
        <v>46</v>
      </c>
      <c r="L65" s="5">
        <v>0</v>
      </c>
      <c r="M65" s="5">
        <v>60.390117035110535</v>
      </c>
      <c r="N65" s="59">
        <v>1</v>
      </c>
      <c r="O65" s="5">
        <v>841.63</v>
      </c>
      <c r="P65" s="59">
        <v>1</v>
      </c>
      <c r="Q65" s="59">
        <v>0</v>
      </c>
      <c r="R65" s="3">
        <v>67</v>
      </c>
      <c r="S65" s="3">
        <v>30</v>
      </c>
      <c r="T65" s="5">
        <v>0.91510909172392163</v>
      </c>
      <c r="U65" s="6">
        <v>0.28831543330565745</v>
      </c>
      <c r="V65" s="16">
        <v>1</v>
      </c>
    </row>
    <row r="66" spans="1:22" x14ac:dyDescent="0.25">
      <c r="A66" s="15">
        <v>63</v>
      </c>
      <c r="B66" s="3">
        <v>1991</v>
      </c>
      <c r="C66" s="3" t="s">
        <v>20</v>
      </c>
      <c r="D66" s="3" t="s">
        <v>16</v>
      </c>
      <c r="E66" s="3" t="s">
        <v>111</v>
      </c>
      <c r="F66" s="51">
        <v>1</v>
      </c>
      <c r="G66" s="10">
        <v>1</v>
      </c>
      <c r="H66" s="3">
        <v>2</v>
      </c>
      <c r="I66" s="25">
        <v>0.13</v>
      </c>
      <c r="J66" s="55">
        <v>0</v>
      </c>
      <c r="K66" s="3">
        <v>0</v>
      </c>
      <c r="L66" s="5">
        <v>0</v>
      </c>
      <c r="M66" s="5">
        <v>71.469440832249674</v>
      </c>
      <c r="N66" s="59">
        <v>1</v>
      </c>
      <c r="O66" s="5">
        <v>0</v>
      </c>
      <c r="P66" s="59">
        <v>1</v>
      </c>
      <c r="Q66" s="59">
        <v>0</v>
      </c>
      <c r="R66" s="3">
        <v>67</v>
      </c>
      <c r="S66" s="3">
        <v>30</v>
      </c>
      <c r="T66" s="5">
        <v>196.25728055703436</v>
      </c>
      <c r="U66" s="6">
        <v>131.02048736940324</v>
      </c>
      <c r="V66" s="16">
        <v>1</v>
      </c>
    </row>
    <row r="67" spans="1:22" x14ac:dyDescent="0.25">
      <c r="A67" s="15">
        <v>64</v>
      </c>
      <c r="B67" s="3">
        <v>1991</v>
      </c>
      <c r="C67" s="3" t="s">
        <v>21</v>
      </c>
      <c r="D67" s="3" t="s">
        <v>16</v>
      </c>
      <c r="E67" s="3" t="s">
        <v>111</v>
      </c>
      <c r="F67" s="51">
        <v>0</v>
      </c>
      <c r="G67" s="10">
        <v>0</v>
      </c>
      <c r="H67" s="3">
        <v>0</v>
      </c>
      <c r="I67" s="25">
        <v>0.13</v>
      </c>
      <c r="J67" s="55">
        <v>0</v>
      </c>
      <c r="K67" s="3">
        <v>0</v>
      </c>
      <c r="L67" s="5">
        <v>0</v>
      </c>
      <c r="M67" s="5">
        <v>38.751625487646294</v>
      </c>
      <c r="N67" s="59">
        <v>0</v>
      </c>
      <c r="O67" s="5">
        <v>1123</v>
      </c>
      <c r="P67" s="59">
        <v>1</v>
      </c>
      <c r="Q67" s="59">
        <v>0</v>
      </c>
      <c r="R67" s="3">
        <v>67</v>
      </c>
      <c r="S67" s="3">
        <v>30</v>
      </c>
      <c r="T67" s="5">
        <v>0</v>
      </c>
      <c r="U67" s="6">
        <v>0</v>
      </c>
      <c r="V67" s="16">
        <v>1</v>
      </c>
    </row>
    <row r="68" spans="1:22" x14ac:dyDescent="0.25">
      <c r="A68" s="15">
        <v>65</v>
      </c>
      <c r="B68" s="3">
        <v>1991</v>
      </c>
      <c r="C68" s="3" t="s">
        <v>83</v>
      </c>
      <c r="D68" s="3" t="s">
        <v>16</v>
      </c>
      <c r="E68" s="3" t="s">
        <v>118</v>
      </c>
      <c r="F68" s="51">
        <v>1</v>
      </c>
      <c r="G68" s="10">
        <v>0</v>
      </c>
      <c r="H68" s="3">
        <v>0</v>
      </c>
      <c r="I68" s="25">
        <v>0.13</v>
      </c>
      <c r="J68" s="55">
        <v>0</v>
      </c>
      <c r="K68" s="3">
        <v>2</v>
      </c>
      <c r="L68" s="5">
        <v>0</v>
      </c>
      <c r="M68" s="5">
        <f>(1314.67*100)/3485</f>
        <v>37.723672883787664</v>
      </c>
      <c r="N68" s="59">
        <v>0</v>
      </c>
      <c r="O68" s="5">
        <v>1647.92</v>
      </c>
      <c r="P68" s="59">
        <v>1</v>
      </c>
      <c r="Q68" s="59">
        <v>0</v>
      </c>
      <c r="R68" s="3">
        <v>67</v>
      </c>
      <c r="S68" s="3">
        <v>30</v>
      </c>
      <c r="T68" s="5">
        <v>1.875150046366999</v>
      </c>
      <c r="U68" s="6">
        <v>0.31113015685959416</v>
      </c>
      <c r="V68" s="16">
        <v>1</v>
      </c>
    </row>
    <row r="69" spans="1:22" x14ac:dyDescent="0.25">
      <c r="A69" s="15">
        <v>66</v>
      </c>
      <c r="B69" s="3">
        <v>1991</v>
      </c>
      <c r="C69" s="3" t="s">
        <v>22</v>
      </c>
      <c r="D69" s="3" t="s">
        <v>14</v>
      </c>
      <c r="E69" s="3" t="s">
        <v>111</v>
      </c>
      <c r="F69" s="51">
        <v>0</v>
      </c>
      <c r="G69" s="10">
        <v>0</v>
      </c>
      <c r="H69" s="3">
        <v>0</v>
      </c>
      <c r="I69" s="25">
        <v>0.11</v>
      </c>
      <c r="J69" s="55">
        <v>0</v>
      </c>
      <c r="K69" s="3">
        <v>1</v>
      </c>
      <c r="L69" s="5">
        <v>5</v>
      </c>
      <c r="M69" s="5">
        <v>101.29613975767822</v>
      </c>
      <c r="N69" s="59">
        <v>0</v>
      </c>
      <c r="O69" s="5">
        <v>393</v>
      </c>
      <c r="P69" s="59">
        <v>1</v>
      </c>
      <c r="Q69" s="59">
        <v>0</v>
      </c>
      <c r="R69" s="3">
        <v>10</v>
      </c>
      <c r="S69" s="3">
        <v>30</v>
      </c>
      <c r="T69" s="5">
        <v>3.9802235898839008E-2</v>
      </c>
      <c r="U69" s="6">
        <v>1.737590033093245</v>
      </c>
      <c r="V69" s="16">
        <v>1</v>
      </c>
    </row>
    <row r="70" spans="1:22" x14ac:dyDescent="0.25">
      <c r="A70" s="15">
        <v>67</v>
      </c>
      <c r="B70" s="3">
        <v>1991</v>
      </c>
      <c r="C70" s="3" t="s">
        <v>23</v>
      </c>
      <c r="D70" s="3" t="s">
        <v>14</v>
      </c>
      <c r="E70" s="3" t="s">
        <v>111</v>
      </c>
      <c r="F70" s="51">
        <v>0</v>
      </c>
      <c r="G70" s="10">
        <v>0</v>
      </c>
      <c r="H70" s="3">
        <v>0</v>
      </c>
      <c r="I70" s="25">
        <v>0.11</v>
      </c>
      <c r="J70" s="55">
        <v>0</v>
      </c>
      <c r="K70" s="3">
        <v>1</v>
      </c>
      <c r="L70" s="5">
        <v>5</v>
      </c>
      <c r="M70" s="5">
        <v>101.29613975767822</v>
      </c>
      <c r="N70" s="59">
        <v>0</v>
      </c>
      <c r="O70" s="5">
        <v>224</v>
      </c>
      <c r="P70" s="59">
        <v>1</v>
      </c>
      <c r="Q70" s="59">
        <v>0</v>
      </c>
      <c r="R70" s="3">
        <v>10</v>
      </c>
      <c r="S70" s="3">
        <v>30</v>
      </c>
      <c r="T70" s="5">
        <v>1.1194759434835777</v>
      </c>
      <c r="U70" s="6">
        <v>0.97333073778469925</v>
      </c>
      <c r="V70" s="16">
        <v>0</v>
      </c>
    </row>
    <row r="71" spans="1:22" x14ac:dyDescent="0.25">
      <c r="A71" s="15">
        <v>68</v>
      </c>
      <c r="B71" s="3">
        <v>1991</v>
      </c>
      <c r="C71" s="3" t="s">
        <v>24</v>
      </c>
      <c r="D71" s="3" t="s">
        <v>14</v>
      </c>
      <c r="E71" s="3" t="s">
        <v>111</v>
      </c>
      <c r="F71" s="51">
        <v>0</v>
      </c>
      <c r="G71" s="10">
        <v>0</v>
      </c>
      <c r="H71" s="3">
        <v>0</v>
      </c>
      <c r="I71" s="25">
        <v>0.11</v>
      </c>
      <c r="J71" s="55">
        <v>0</v>
      </c>
      <c r="K71" s="3">
        <v>1</v>
      </c>
      <c r="L71" s="5">
        <v>5</v>
      </c>
      <c r="M71" s="5">
        <v>99.295576218653139</v>
      </c>
      <c r="N71" s="59">
        <v>0</v>
      </c>
      <c r="O71" s="5">
        <v>130</v>
      </c>
      <c r="P71" s="59">
        <v>1</v>
      </c>
      <c r="Q71" s="59">
        <v>0</v>
      </c>
      <c r="R71" s="3">
        <v>10</v>
      </c>
      <c r="S71" s="3">
        <v>30</v>
      </c>
      <c r="T71" s="5">
        <v>0.1209540858290193</v>
      </c>
      <c r="U71" s="6">
        <v>4.8884562974498733</v>
      </c>
      <c r="V71" s="16">
        <v>1</v>
      </c>
    </row>
    <row r="72" spans="1:22" x14ac:dyDescent="0.25">
      <c r="A72" s="15">
        <v>69</v>
      </c>
      <c r="B72" s="3">
        <v>1991</v>
      </c>
      <c r="C72" s="3" t="s">
        <v>25</v>
      </c>
      <c r="D72" s="3" t="s">
        <v>14</v>
      </c>
      <c r="E72" s="3" t="s">
        <v>111</v>
      </c>
      <c r="F72" s="51">
        <v>1</v>
      </c>
      <c r="G72" s="10">
        <v>0</v>
      </c>
      <c r="H72" s="3">
        <v>0</v>
      </c>
      <c r="I72" s="25">
        <v>0.11</v>
      </c>
      <c r="J72" s="55">
        <v>0</v>
      </c>
      <c r="K72" s="3">
        <v>1</v>
      </c>
      <c r="L72" s="5">
        <v>5</v>
      </c>
      <c r="M72" s="5">
        <v>111.32713440405747</v>
      </c>
      <c r="N72" s="59">
        <v>1</v>
      </c>
      <c r="O72" s="5">
        <v>368</v>
      </c>
      <c r="P72" s="59">
        <v>1</v>
      </c>
      <c r="Q72" s="59">
        <v>0</v>
      </c>
      <c r="R72" s="3">
        <v>10</v>
      </c>
      <c r="S72" s="3">
        <v>30</v>
      </c>
      <c r="T72" s="5">
        <v>19.796571910957773</v>
      </c>
      <c r="U72" s="6">
        <v>22.033871909674907</v>
      </c>
      <c r="V72" s="16">
        <v>1</v>
      </c>
    </row>
    <row r="73" spans="1:22" x14ac:dyDescent="0.25">
      <c r="A73" s="15">
        <v>70</v>
      </c>
      <c r="B73" s="3">
        <v>1991</v>
      </c>
      <c r="C73" s="3" t="s">
        <v>26</v>
      </c>
      <c r="D73" s="3" t="s">
        <v>14</v>
      </c>
      <c r="E73" s="3" t="s">
        <v>111</v>
      </c>
      <c r="F73" s="51">
        <v>1</v>
      </c>
      <c r="G73" s="10">
        <v>0</v>
      </c>
      <c r="H73" s="3">
        <v>0</v>
      </c>
      <c r="I73" s="25">
        <v>0.11</v>
      </c>
      <c r="J73" s="55">
        <v>0</v>
      </c>
      <c r="K73" s="3">
        <v>1</v>
      </c>
      <c r="L73" s="5">
        <v>5</v>
      </c>
      <c r="M73" s="5">
        <v>69.794308255846715</v>
      </c>
      <c r="N73" s="59">
        <v>1</v>
      </c>
      <c r="O73" s="5">
        <v>323</v>
      </c>
      <c r="P73" s="59">
        <v>1</v>
      </c>
      <c r="Q73" s="59">
        <v>0</v>
      </c>
      <c r="R73" s="3">
        <v>10</v>
      </c>
      <c r="S73" s="3">
        <v>30</v>
      </c>
      <c r="T73" s="5">
        <v>8.3097250421670967</v>
      </c>
      <c r="U73" s="6">
        <v>10.010901304263189</v>
      </c>
      <c r="V73" s="16">
        <v>1</v>
      </c>
    </row>
    <row r="74" spans="1:22" x14ac:dyDescent="0.25">
      <c r="A74" s="15">
        <v>71</v>
      </c>
      <c r="B74" s="3">
        <v>1991</v>
      </c>
      <c r="C74" s="3" t="s">
        <v>84</v>
      </c>
      <c r="D74" s="3" t="s">
        <v>16</v>
      </c>
      <c r="E74" s="3" t="s">
        <v>118</v>
      </c>
      <c r="F74" s="51">
        <v>1</v>
      </c>
      <c r="G74" s="10">
        <v>0</v>
      </c>
      <c r="H74" s="3">
        <v>0</v>
      </c>
      <c r="I74" s="25">
        <v>0.13</v>
      </c>
      <c r="J74" s="55">
        <v>0</v>
      </c>
      <c r="K74" s="3">
        <v>4</v>
      </c>
      <c r="L74" s="5">
        <v>0</v>
      </c>
      <c r="M74" s="5">
        <f>(590.12*100)/3485</f>
        <v>16.933142037302726</v>
      </c>
      <c r="N74" s="59">
        <v>0</v>
      </c>
      <c r="O74" s="5">
        <v>1804.71</v>
      </c>
      <c r="P74" s="59">
        <v>1</v>
      </c>
      <c r="Q74" s="59">
        <v>0</v>
      </c>
      <c r="R74" s="3">
        <v>67</v>
      </c>
      <c r="S74" s="3">
        <v>30</v>
      </c>
      <c r="T74" s="5">
        <v>1.2163335941836133</v>
      </c>
      <c r="U74" s="6">
        <v>0.13276821026506325</v>
      </c>
      <c r="V74" s="16">
        <v>0</v>
      </c>
    </row>
    <row r="75" spans="1:22" x14ac:dyDescent="0.25">
      <c r="A75" s="15">
        <v>72</v>
      </c>
      <c r="B75" s="3">
        <v>1991</v>
      </c>
      <c r="C75" s="3" t="s">
        <v>27</v>
      </c>
      <c r="D75" s="3" t="s">
        <v>14</v>
      </c>
      <c r="E75" s="3" t="s">
        <v>111</v>
      </c>
      <c r="F75" s="51">
        <v>0</v>
      </c>
      <c r="G75" s="10">
        <v>0</v>
      </c>
      <c r="H75" s="3">
        <v>0</v>
      </c>
      <c r="I75" s="25">
        <v>0.11</v>
      </c>
      <c r="J75" s="55">
        <v>0</v>
      </c>
      <c r="K75" s="3">
        <v>1</v>
      </c>
      <c r="L75" s="5">
        <v>5</v>
      </c>
      <c r="M75" s="5">
        <v>57.199211045364891</v>
      </c>
      <c r="N75" s="59">
        <v>0</v>
      </c>
      <c r="O75" s="5">
        <v>255</v>
      </c>
      <c r="P75" s="59">
        <v>1</v>
      </c>
      <c r="Q75" s="59">
        <v>0</v>
      </c>
      <c r="R75" s="3">
        <v>10</v>
      </c>
      <c r="S75" s="3">
        <v>30</v>
      </c>
      <c r="T75" s="5">
        <v>7.916236375982022</v>
      </c>
      <c r="U75" s="6">
        <v>4.2468366751022</v>
      </c>
      <c r="V75" s="16">
        <v>0</v>
      </c>
    </row>
    <row r="76" spans="1:22" x14ac:dyDescent="0.25">
      <c r="A76" s="15">
        <v>73</v>
      </c>
      <c r="B76" s="3">
        <v>1991</v>
      </c>
      <c r="C76" s="3" t="s">
        <v>85</v>
      </c>
      <c r="D76" s="3" t="s">
        <v>16</v>
      </c>
      <c r="E76" s="3" t="s">
        <v>118</v>
      </c>
      <c r="F76" s="51">
        <v>1</v>
      </c>
      <c r="G76" s="10">
        <v>0</v>
      </c>
      <c r="H76" s="3">
        <v>0</v>
      </c>
      <c r="I76" s="25">
        <v>0.13</v>
      </c>
      <c r="J76" s="55">
        <v>0</v>
      </c>
      <c r="K76" s="3">
        <v>0</v>
      </c>
      <c r="L76" s="5">
        <v>0</v>
      </c>
      <c r="M76" s="5">
        <f>(1800*100)/4200</f>
        <v>42.857142857142854</v>
      </c>
      <c r="N76" s="59">
        <v>0</v>
      </c>
      <c r="O76" s="5">
        <v>2512.25</v>
      </c>
      <c r="P76" s="59">
        <v>1</v>
      </c>
      <c r="Q76" s="59">
        <v>0</v>
      </c>
      <c r="R76" s="3">
        <v>67</v>
      </c>
      <c r="S76" s="3">
        <v>30</v>
      </c>
      <c r="T76" s="5">
        <v>1.282478445378296</v>
      </c>
      <c r="U76" s="6">
        <v>2.1788038674773014</v>
      </c>
      <c r="V76" s="16">
        <v>1</v>
      </c>
    </row>
    <row r="77" spans="1:22" x14ac:dyDescent="0.25">
      <c r="A77" s="15">
        <v>74</v>
      </c>
      <c r="B77" s="3">
        <v>1991</v>
      </c>
      <c r="C77" s="3" t="s">
        <v>28</v>
      </c>
      <c r="D77" s="3" t="s">
        <v>14</v>
      </c>
      <c r="E77" s="3" t="s">
        <v>111</v>
      </c>
      <c r="F77" s="51">
        <v>0</v>
      </c>
      <c r="G77" s="10">
        <v>0</v>
      </c>
      <c r="H77" s="3">
        <v>0</v>
      </c>
      <c r="I77" s="25">
        <v>0.11</v>
      </c>
      <c r="J77" s="55">
        <v>0</v>
      </c>
      <c r="K77" s="3">
        <v>1</v>
      </c>
      <c r="L77" s="5">
        <v>5</v>
      </c>
      <c r="M77" s="5">
        <v>53.536207382361226</v>
      </c>
      <c r="N77" s="59">
        <v>0</v>
      </c>
      <c r="O77" s="5">
        <v>258</v>
      </c>
      <c r="P77" s="59">
        <v>1</v>
      </c>
      <c r="Q77" s="59">
        <v>0</v>
      </c>
      <c r="R77" s="3">
        <v>10</v>
      </c>
      <c r="S77" s="3">
        <v>30</v>
      </c>
      <c r="T77" s="5">
        <v>6.0046321244041971</v>
      </c>
      <c r="U77" s="6">
        <v>9.659723574070469</v>
      </c>
      <c r="V77" s="16">
        <v>0</v>
      </c>
    </row>
    <row r="78" spans="1:22" x14ac:dyDescent="0.25">
      <c r="A78" s="15">
        <v>75</v>
      </c>
      <c r="B78" s="3">
        <v>1991</v>
      </c>
      <c r="C78" s="3" t="s">
        <v>29</v>
      </c>
      <c r="D78" s="3" t="s">
        <v>30</v>
      </c>
      <c r="E78" s="3" t="s">
        <v>111</v>
      </c>
      <c r="F78" s="51">
        <v>0</v>
      </c>
      <c r="G78" s="10">
        <v>0</v>
      </c>
      <c r="H78" s="3">
        <v>0</v>
      </c>
      <c r="I78" s="25">
        <v>0.3</v>
      </c>
      <c r="J78" s="55">
        <v>0</v>
      </c>
      <c r="K78" s="3">
        <v>2</v>
      </c>
      <c r="L78" s="5">
        <v>6</v>
      </c>
      <c r="M78" s="5">
        <v>100</v>
      </c>
      <c r="N78" s="59">
        <v>0</v>
      </c>
      <c r="O78" s="5">
        <v>82</v>
      </c>
      <c r="P78" s="59">
        <v>1</v>
      </c>
      <c r="Q78" s="59">
        <v>0</v>
      </c>
      <c r="R78" s="3">
        <v>2</v>
      </c>
      <c r="S78" s="3">
        <v>30</v>
      </c>
      <c r="T78" s="5">
        <v>3.6783151988808034</v>
      </c>
      <c r="U78" s="6">
        <v>5.4592183391923426</v>
      </c>
      <c r="V78" s="16">
        <v>1</v>
      </c>
    </row>
    <row r="79" spans="1:22" x14ac:dyDescent="0.25">
      <c r="A79" s="15">
        <v>76</v>
      </c>
      <c r="B79" s="3">
        <v>1991</v>
      </c>
      <c r="C79" s="3" t="s">
        <v>128</v>
      </c>
      <c r="D79" s="3" t="s">
        <v>30</v>
      </c>
      <c r="E79" s="3" t="s">
        <v>111</v>
      </c>
      <c r="F79" s="51">
        <v>0</v>
      </c>
      <c r="G79" s="10">
        <v>0</v>
      </c>
      <c r="H79" s="3">
        <v>0</v>
      </c>
      <c r="I79" s="25">
        <v>0.3</v>
      </c>
      <c r="J79" s="55">
        <v>0</v>
      </c>
      <c r="K79" s="3">
        <v>2</v>
      </c>
      <c r="L79" s="5">
        <v>6</v>
      </c>
      <c r="M79" s="5">
        <v>139.96138996138995</v>
      </c>
      <c r="N79" s="59">
        <v>0</v>
      </c>
      <c r="O79" s="5">
        <v>64</v>
      </c>
      <c r="P79" s="59">
        <v>1</v>
      </c>
      <c r="Q79" s="59">
        <v>0</v>
      </c>
      <c r="R79" s="3">
        <v>2</v>
      </c>
      <c r="S79" s="3">
        <v>30</v>
      </c>
      <c r="T79" s="5">
        <v>15.541854511761453</v>
      </c>
      <c r="U79" s="6">
        <v>12.298011875572362</v>
      </c>
      <c r="V79" s="16">
        <v>0</v>
      </c>
    </row>
    <row r="80" spans="1:22" x14ac:dyDescent="0.25">
      <c r="A80" s="15">
        <v>77</v>
      </c>
      <c r="B80" s="3">
        <v>1991</v>
      </c>
      <c r="C80" s="3" t="s">
        <v>31</v>
      </c>
      <c r="D80" s="3" t="s">
        <v>16</v>
      </c>
      <c r="E80" s="3" t="s">
        <v>111</v>
      </c>
      <c r="F80" s="51">
        <v>1</v>
      </c>
      <c r="G80" s="10">
        <v>0</v>
      </c>
      <c r="H80" s="3">
        <v>0</v>
      </c>
      <c r="I80" s="25">
        <v>0.13</v>
      </c>
      <c r="J80" s="55">
        <v>0</v>
      </c>
      <c r="K80" s="3">
        <v>0</v>
      </c>
      <c r="L80" s="5">
        <v>16.57</v>
      </c>
      <c r="M80" s="5">
        <v>56.091138081062518</v>
      </c>
      <c r="N80" s="59">
        <v>1</v>
      </c>
      <c r="O80" s="5">
        <v>755</v>
      </c>
      <c r="P80" s="59">
        <v>1</v>
      </c>
      <c r="Q80" s="59">
        <v>0</v>
      </c>
      <c r="R80" s="3">
        <v>67</v>
      </c>
      <c r="S80" s="3">
        <v>30</v>
      </c>
      <c r="T80" s="5">
        <v>17.707493182844555</v>
      </c>
      <c r="U80" s="6">
        <v>2.8153484925587664</v>
      </c>
      <c r="V80" s="16">
        <v>1</v>
      </c>
    </row>
    <row r="81" spans="1:22" x14ac:dyDescent="0.25">
      <c r="A81" s="15">
        <v>78</v>
      </c>
      <c r="B81" s="3">
        <v>1991</v>
      </c>
      <c r="C81" s="3" t="s">
        <v>86</v>
      </c>
      <c r="D81" s="3" t="s">
        <v>87</v>
      </c>
      <c r="E81" s="3" t="s">
        <v>118</v>
      </c>
      <c r="F81" s="51">
        <v>0</v>
      </c>
      <c r="G81" s="10">
        <v>0</v>
      </c>
      <c r="H81" s="3">
        <v>0</v>
      </c>
      <c r="I81" s="25">
        <v>0.12</v>
      </c>
      <c r="J81" s="55">
        <v>0</v>
      </c>
      <c r="K81" s="3">
        <v>4</v>
      </c>
      <c r="L81" s="5">
        <v>5</v>
      </c>
      <c r="M81" s="5"/>
      <c r="N81" s="59">
        <v>0</v>
      </c>
      <c r="O81" s="5">
        <v>270.38</v>
      </c>
      <c r="P81" s="59">
        <v>1</v>
      </c>
      <c r="Q81" s="59">
        <v>0</v>
      </c>
      <c r="R81" s="3">
        <v>2</v>
      </c>
      <c r="S81" s="3">
        <v>30</v>
      </c>
      <c r="T81" s="5">
        <v>1.73</v>
      </c>
      <c r="U81" s="6">
        <v>5.08</v>
      </c>
      <c r="V81" s="16">
        <v>0</v>
      </c>
    </row>
    <row r="82" spans="1:22" x14ac:dyDescent="0.25">
      <c r="A82" s="15">
        <v>79</v>
      </c>
      <c r="B82" s="3">
        <v>1991</v>
      </c>
      <c r="C82" s="3" t="s">
        <v>87</v>
      </c>
      <c r="D82" s="3" t="s">
        <v>87</v>
      </c>
      <c r="E82" s="3" t="s">
        <v>118</v>
      </c>
      <c r="F82" s="51">
        <v>1</v>
      </c>
      <c r="G82" s="10">
        <v>1</v>
      </c>
      <c r="H82" s="3">
        <v>2</v>
      </c>
      <c r="I82" s="25">
        <v>0.12</v>
      </c>
      <c r="J82" s="55">
        <v>0</v>
      </c>
      <c r="K82" s="3">
        <v>0</v>
      </c>
      <c r="L82" s="5">
        <v>5</v>
      </c>
      <c r="M82" s="5">
        <v>100</v>
      </c>
      <c r="N82" s="59">
        <v>0</v>
      </c>
      <c r="O82" s="5">
        <v>0</v>
      </c>
      <c r="P82" s="59">
        <v>1</v>
      </c>
      <c r="Q82" s="59">
        <v>0</v>
      </c>
      <c r="R82" s="3">
        <v>2</v>
      </c>
      <c r="S82" s="3">
        <v>30</v>
      </c>
      <c r="T82" s="5">
        <v>100</v>
      </c>
      <c r="U82" s="6">
        <v>100</v>
      </c>
      <c r="V82" s="16">
        <v>1</v>
      </c>
    </row>
    <row r="83" spans="1:22" x14ac:dyDescent="0.25">
      <c r="A83" s="15">
        <v>80</v>
      </c>
      <c r="B83" s="3">
        <v>1991</v>
      </c>
      <c r="C83" s="3" t="s">
        <v>142</v>
      </c>
      <c r="D83" s="3" t="s">
        <v>142</v>
      </c>
      <c r="E83" s="3" t="s">
        <v>118</v>
      </c>
      <c r="F83" s="51">
        <v>1</v>
      </c>
      <c r="G83" s="10">
        <v>1</v>
      </c>
      <c r="H83" s="3">
        <v>2</v>
      </c>
      <c r="I83" s="25">
        <v>0.08</v>
      </c>
      <c r="J83" s="55">
        <v>0</v>
      </c>
      <c r="K83" s="3">
        <v>0</v>
      </c>
      <c r="L83" s="5">
        <v>5</v>
      </c>
      <c r="M83" s="5">
        <v>100</v>
      </c>
      <c r="N83" s="59">
        <v>0</v>
      </c>
      <c r="O83" s="5">
        <v>0</v>
      </c>
      <c r="P83" s="59">
        <v>1</v>
      </c>
      <c r="Q83" s="59">
        <v>0</v>
      </c>
      <c r="R83" s="3">
        <v>2</v>
      </c>
      <c r="S83" s="3">
        <v>30</v>
      </c>
      <c r="T83" s="5">
        <v>100</v>
      </c>
      <c r="U83" s="6">
        <v>100</v>
      </c>
      <c r="V83" s="16">
        <v>1</v>
      </c>
    </row>
    <row r="84" spans="1:22" x14ac:dyDescent="0.25">
      <c r="A84" s="15">
        <v>81</v>
      </c>
      <c r="B84" s="3">
        <v>1992</v>
      </c>
      <c r="C84" s="3" t="s">
        <v>32</v>
      </c>
      <c r="D84" s="3" t="s">
        <v>14</v>
      </c>
      <c r="E84" s="3" t="s">
        <v>118</v>
      </c>
      <c r="F84" s="51">
        <v>1</v>
      </c>
      <c r="G84" s="10">
        <v>0</v>
      </c>
      <c r="H84" s="3">
        <v>0</v>
      </c>
      <c r="I84" s="25">
        <v>0.14000000000000001</v>
      </c>
      <c r="J84" s="55">
        <v>0</v>
      </c>
      <c r="K84" s="3">
        <v>2</v>
      </c>
      <c r="L84" s="5">
        <v>5</v>
      </c>
      <c r="M84" s="5">
        <v>33.452807646356035</v>
      </c>
      <c r="N84" s="59">
        <v>1</v>
      </c>
      <c r="O84" s="5">
        <v>85</v>
      </c>
      <c r="P84" s="59">
        <v>1</v>
      </c>
      <c r="Q84" s="59">
        <v>0</v>
      </c>
      <c r="R84" s="3">
        <v>6</v>
      </c>
      <c r="S84" s="3">
        <v>29</v>
      </c>
      <c r="T84" s="5">
        <v>18.224585878235104</v>
      </c>
      <c r="U84" s="6">
        <v>19.9326455129453</v>
      </c>
      <c r="V84" s="16">
        <v>1</v>
      </c>
    </row>
    <row r="85" spans="1:22" x14ac:dyDescent="0.25">
      <c r="A85" s="15">
        <v>82</v>
      </c>
      <c r="B85" s="3">
        <v>1992</v>
      </c>
      <c r="C85" s="3" t="s">
        <v>33</v>
      </c>
      <c r="D85" s="3" t="s">
        <v>14</v>
      </c>
      <c r="E85" s="3" t="s">
        <v>118</v>
      </c>
      <c r="F85" s="51">
        <v>1</v>
      </c>
      <c r="G85" s="10">
        <v>0</v>
      </c>
      <c r="H85" s="3">
        <v>0</v>
      </c>
      <c r="I85" s="25">
        <v>0.14000000000000001</v>
      </c>
      <c r="J85" s="55">
        <v>0</v>
      </c>
      <c r="K85" s="3">
        <v>2</v>
      </c>
      <c r="L85" s="5">
        <v>5</v>
      </c>
      <c r="M85" s="5">
        <v>83.632019115890088</v>
      </c>
      <c r="N85" s="59">
        <v>0</v>
      </c>
      <c r="O85" s="5">
        <v>281</v>
      </c>
      <c r="P85" s="59">
        <v>1</v>
      </c>
      <c r="Q85" s="59">
        <v>0</v>
      </c>
      <c r="R85" s="3">
        <v>6</v>
      </c>
      <c r="S85" s="3">
        <v>29</v>
      </c>
      <c r="T85" s="5">
        <v>2.5711460274507383</v>
      </c>
      <c r="U85" s="6">
        <v>5.3774576601129063</v>
      </c>
      <c r="V85" s="16">
        <v>0</v>
      </c>
    </row>
    <row r="86" spans="1:22" x14ac:dyDescent="0.25">
      <c r="A86" s="15">
        <v>83</v>
      </c>
      <c r="B86" s="3">
        <v>1992</v>
      </c>
      <c r="C86" s="3" t="s">
        <v>34</v>
      </c>
      <c r="D86" s="3" t="s">
        <v>14</v>
      </c>
      <c r="E86" s="3" t="s">
        <v>118</v>
      </c>
      <c r="F86" s="51">
        <v>0</v>
      </c>
      <c r="G86" s="10">
        <v>0</v>
      </c>
      <c r="H86" s="3">
        <v>0</v>
      </c>
      <c r="I86" s="25">
        <v>0.14000000000000001</v>
      </c>
      <c r="J86" s="55">
        <v>0</v>
      </c>
      <c r="K86" s="3">
        <v>2</v>
      </c>
      <c r="L86" s="5">
        <v>5</v>
      </c>
      <c r="M86" s="5">
        <v>75.005973715651137</v>
      </c>
      <c r="N86" s="59">
        <v>0</v>
      </c>
      <c r="O86" s="5">
        <v>295</v>
      </c>
      <c r="P86" s="59">
        <v>1</v>
      </c>
      <c r="Q86" s="59">
        <v>0</v>
      </c>
      <c r="R86" s="3">
        <v>6</v>
      </c>
      <c r="S86" s="3">
        <v>29</v>
      </c>
      <c r="T86" s="5">
        <v>0.31406354010086734</v>
      </c>
      <c r="U86" s="6">
        <v>0.28226591395756279</v>
      </c>
      <c r="V86" s="16">
        <v>0</v>
      </c>
    </row>
    <row r="87" spans="1:22" x14ac:dyDescent="0.25">
      <c r="A87" s="15">
        <v>84</v>
      </c>
      <c r="B87" s="3">
        <v>1992</v>
      </c>
      <c r="C87" s="3" t="s">
        <v>88</v>
      </c>
      <c r="D87" s="3" t="s">
        <v>83</v>
      </c>
      <c r="E87" s="3" t="s">
        <v>118</v>
      </c>
      <c r="F87" s="51">
        <v>0</v>
      </c>
      <c r="G87" s="10">
        <v>0</v>
      </c>
      <c r="H87" s="3">
        <v>0</v>
      </c>
      <c r="I87" s="25">
        <v>0.11</v>
      </c>
      <c r="J87" s="55">
        <v>0</v>
      </c>
      <c r="K87" s="3">
        <v>2</v>
      </c>
      <c r="L87" s="5">
        <v>6</v>
      </c>
      <c r="M87" s="5"/>
      <c r="N87" s="59">
        <v>0</v>
      </c>
      <c r="O87" s="5">
        <v>88.92</v>
      </c>
      <c r="P87" s="59">
        <v>1</v>
      </c>
      <c r="Q87" s="59">
        <v>0</v>
      </c>
      <c r="R87" s="3">
        <v>4</v>
      </c>
      <c r="S87" s="3">
        <v>29</v>
      </c>
      <c r="T87" s="5">
        <v>1.8306637431143635</v>
      </c>
      <c r="U87" s="6">
        <v>5.5954088952654235</v>
      </c>
      <c r="V87" s="16">
        <v>0</v>
      </c>
    </row>
    <row r="88" spans="1:22" x14ac:dyDescent="0.25">
      <c r="A88" s="15">
        <v>85</v>
      </c>
      <c r="B88" s="3">
        <v>1992</v>
      </c>
      <c r="C88" s="3" t="s">
        <v>32</v>
      </c>
      <c r="D88" s="3" t="s">
        <v>14</v>
      </c>
      <c r="E88" s="3" t="s">
        <v>111</v>
      </c>
      <c r="F88" s="51">
        <v>1</v>
      </c>
      <c r="G88" s="10">
        <v>0</v>
      </c>
      <c r="H88" s="3">
        <v>0</v>
      </c>
      <c r="I88" s="25">
        <v>0.14000000000000001</v>
      </c>
      <c r="J88" s="55">
        <v>0</v>
      </c>
      <c r="K88" s="3">
        <v>2</v>
      </c>
      <c r="L88" s="5">
        <v>5</v>
      </c>
      <c r="M88" s="5">
        <v>33.452807646356035</v>
      </c>
      <c r="N88" s="59">
        <v>1</v>
      </c>
      <c r="O88" s="5">
        <v>85</v>
      </c>
      <c r="P88" s="59">
        <v>1</v>
      </c>
      <c r="Q88" s="59">
        <v>0</v>
      </c>
      <c r="R88" s="3">
        <v>6</v>
      </c>
      <c r="S88" s="3">
        <v>29</v>
      </c>
      <c r="T88" s="5">
        <v>18.224585878235104</v>
      </c>
      <c r="U88" s="6">
        <v>19.9326455129453</v>
      </c>
      <c r="V88" s="16">
        <v>1</v>
      </c>
    </row>
    <row r="89" spans="1:22" x14ac:dyDescent="0.25">
      <c r="A89" s="15">
        <v>86</v>
      </c>
      <c r="B89" s="3">
        <v>1992</v>
      </c>
      <c r="C89" s="3" t="s">
        <v>33</v>
      </c>
      <c r="D89" s="3" t="s">
        <v>14</v>
      </c>
      <c r="E89" s="3" t="s">
        <v>111</v>
      </c>
      <c r="F89" s="51">
        <v>1</v>
      </c>
      <c r="G89" s="10">
        <v>0</v>
      </c>
      <c r="H89" s="3">
        <v>0</v>
      </c>
      <c r="I89" s="25">
        <v>0.14000000000000001</v>
      </c>
      <c r="J89" s="55">
        <v>0</v>
      </c>
      <c r="K89" s="3">
        <v>2</v>
      </c>
      <c r="L89" s="5">
        <v>5</v>
      </c>
      <c r="M89" s="5">
        <v>83.632019115890088</v>
      </c>
      <c r="N89" s="59">
        <v>1</v>
      </c>
      <c r="O89" s="5">
        <v>281</v>
      </c>
      <c r="P89" s="59">
        <v>1</v>
      </c>
      <c r="Q89" s="59">
        <v>0</v>
      </c>
      <c r="R89" s="3">
        <v>6</v>
      </c>
      <c r="S89" s="3">
        <v>29</v>
      </c>
      <c r="T89" s="5">
        <v>2.5711460274507383</v>
      </c>
      <c r="U89" s="6">
        <v>5.3774576601129063</v>
      </c>
      <c r="V89" s="16">
        <v>0</v>
      </c>
    </row>
    <row r="90" spans="1:22" x14ac:dyDescent="0.25">
      <c r="A90" s="15">
        <v>87</v>
      </c>
      <c r="B90" s="3">
        <v>1992</v>
      </c>
      <c r="C90" s="3" t="s">
        <v>34</v>
      </c>
      <c r="D90" s="3" t="s">
        <v>14</v>
      </c>
      <c r="E90" s="3" t="s">
        <v>111</v>
      </c>
      <c r="F90" s="51">
        <v>0</v>
      </c>
      <c r="G90" s="10">
        <v>0</v>
      </c>
      <c r="H90" s="3">
        <v>0</v>
      </c>
      <c r="I90" s="25">
        <v>0.14000000000000001</v>
      </c>
      <c r="J90" s="55">
        <v>0</v>
      </c>
      <c r="K90" s="3">
        <v>2</v>
      </c>
      <c r="L90" s="5">
        <v>5</v>
      </c>
      <c r="M90" s="5">
        <v>75.005973715651137</v>
      </c>
      <c r="N90" s="59">
        <v>0</v>
      </c>
      <c r="O90" s="5">
        <v>295</v>
      </c>
      <c r="P90" s="59">
        <v>1</v>
      </c>
      <c r="Q90" s="59">
        <v>0</v>
      </c>
      <c r="R90" s="3">
        <v>6</v>
      </c>
      <c r="S90" s="3">
        <v>29</v>
      </c>
      <c r="T90" s="5">
        <v>0.31406354010086734</v>
      </c>
      <c r="U90" s="6">
        <v>0.28226591395756279</v>
      </c>
      <c r="V90" s="16">
        <v>0</v>
      </c>
    </row>
    <row r="91" spans="1:22" x14ac:dyDescent="0.25">
      <c r="A91" s="15">
        <v>88</v>
      </c>
      <c r="B91" s="3">
        <v>1993</v>
      </c>
      <c r="C91" s="3" t="s">
        <v>89</v>
      </c>
      <c r="D91" s="3" t="s">
        <v>105</v>
      </c>
      <c r="E91" s="3" t="s">
        <v>114</v>
      </c>
      <c r="F91" s="51">
        <v>1</v>
      </c>
      <c r="G91" s="10">
        <v>1</v>
      </c>
      <c r="H91" s="3">
        <v>1</v>
      </c>
      <c r="I91" s="25">
        <v>0.1</v>
      </c>
      <c r="J91" s="55">
        <v>0</v>
      </c>
      <c r="K91" s="3">
        <v>31</v>
      </c>
      <c r="L91" s="5">
        <v>4</v>
      </c>
      <c r="M91" s="5">
        <f>(209*100)/165.69</f>
        <v>126.13917556883337</v>
      </c>
      <c r="N91" s="59">
        <v>0</v>
      </c>
      <c r="O91" s="5">
        <v>701.47</v>
      </c>
      <c r="P91" s="59">
        <v>1</v>
      </c>
      <c r="Q91" s="59">
        <v>0</v>
      </c>
      <c r="R91" s="3">
        <v>6</v>
      </c>
      <c r="S91" s="3">
        <v>28</v>
      </c>
      <c r="T91" s="5">
        <v>6.0062664207097169</v>
      </c>
      <c r="U91" s="6">
        <v>9.6243555119076856</v>
      </c>
      <c r="V91" s="16">
        <v>1</v>
      </c>
    </row>
    <row r="92" spans="1:22" x14ac:dyDescent="0.25">
      <c r="A92" s="15">
        <v>89</v>
      </c>
      <c r="B92" s="3">
        <v>1993</v>
      </c>
      <c r="C92" s="3" t="s">
        <v>23</v>
      </c>
      <c r="D92" s="3" t="s">
        <v>25</v>
      </c>
      <c r="E92" s="3" t="s">
        <v>111</v>
      </c>
      <c r="F92" s="51">
        <v>0</v>
      </c>
      <c r="G92" s="10">
        <v>0</v>
      </c>
      <c r="H92" s="3">
        <v>0</v>
      </c>
      <c r="I92" s="25">
        <v>0.24</v>
      </c>
      <c r="J92" s="55">
        <v>3</v>
      </c>
      <c r="K92" s="3">
        <v>3</v>
      </c>
      <c r="L92" s="5">
        <v>9</v>
      </c>
      <c r="M92" s="5">
        <v>99.144079885877318</v>
      </c>
      <c r="N92" s="59">
        <v>0</v>
      </c>
      <c r="O92" s="5">
        <v>145</v>
      </c>
      <c r="P92" s="59">
        <v>1</v>
      </c>
      <c r="Q92" s="59">
        <v>0</v>
      </c>
      <c r="R92" s="3">
        <v>2</v>
      </c>
      <c r="S92" s="3">
        <v>28</v>
      </c>
      <c r="T92" s="5">
        <v>5.6923566338649474</v>
      </c>
      <c r="U92" s="6">
        <v>4.4174294094780366</v>
      </c>
      <c r="V92" s="16">
        <v>0</v>
      </c>
    </row>
    <row r="93" spans="1:22" x14ac:dyDescent="0.25">
      <c r="A93" s="15">
        <v>90</v>
      </c>
      <c r="B93" s="3">
        <v>1993</v>
      </c>
      <c r="C93" s="3" t="s">
        <v>74</v>
      </c>
      <c r="D93" s="3" t="s">
        <v>100</v>
      </c>
      <c r="E93" s="3" t="s">
        <v>115</v>
      </c>
      <c r="F93" s="51">
        <v>1</v>
      </c>
      <c r="G93" s="10">
        <v>1</v>
      </c>
      <c r="H93" s="3">
        <v>2</v>
      </c>
      <c r="I93" s="25">
        <v>0.78</v>
      </c>
      <c r="J93" s="55">
        <v>205</v>
      </c>
      <c r="K93" s="3">
        <v>0</v>
      </c>
      <c r="L93" s="5">
        <v>29.7</v>
      </c>
      <c r="M93" s="5">
        <f>(4659*100)/26364</f>
        <v>17.671825216203914</v>
      </c>
      <c r="N93" s="59">
        <v>1</v>
      </c>
      <c r="O93" s="5">
        <v>13911.45</v>
      </c>
      <c r="P93" s="59">
        <v>0</v>
      </c>
      <c r="Q93" s="59">
        <v>1</v>
      </c>
      <c r="R93" s="3">
        <v>11</v>
      </c>
      <c r="S93" s="3">
        <v>28</v>
      </c>
      <c r="T93" s="5">
        <v>6.219479986122713E-3</v>
      </c>
      <c r="U93" s="6">
        <v>5.0177134028590907E-3</v>
      </c>
      <c r="V93" s="16">
        <v>0</v>
      </c>
    </row>
    <row r="94" spans="1:22" x14ac:dyDescent="0.25">
      <c r="A94" s="15">
        <v>91</v>
      </c>
      <c r="B94" s="3">
        <v>1995</v>
      </c>
      <c r="C94" s="3" t="s">
        <v>90</v>
      </c>
      <c r="D94" s="3" t="s">
        <v>9</v>
      </c>
      <c r="E94" s="3" t="s">
        <v>116</v>
      </c>
      <c r="F94" s="51">
        <v>0</v>
      </c>
      <c r="G94" s="10">
        <v>1</v>
      </c>
      <c r="H94" s="3">
        <v>2</v>
      </c>
      <c r="I94" s="25">
        <v>0.73</v>
      </c>
      <c r="J94" s="55">
        <v>163</v>
      </c>
      <c r="K94" s="3">
        <v>0</v>
      </c>
      <c r="L94" s="5">
        <v>7.6</v>
      </c>
      <c r="M94" s="5">
        <f>(33989*100)/23123</f>
        <v>146.99217229598236</v>
      </c>
      <c r="N94" s="59">
        <v>1</v>
      </c>
      <c r="O94" s="5">
        <v>5555</v>
      </c>
      <c r="P94" s="59">
        <v>0</v>
      </c>
      <c r="Q94" s="59">
        <v>1</v>
      </c>
      <c r="R94" s="3">
        <v>6</v>
      </c>
      <c r="S94" s="3">
        <v>26</v>
      </c>
      <c r="T94" s="5">
        <v>0.10815074845284971</v>
      </c>
      <c r="U94" s="6">
        <v>2.2268500381451162E-2</v>
      </c>
      <c r="V94" s="16">
        <v>0</v>
      </c>
    </row>
    <row r="95" spans="1:22" x14ac:dyDescent="0.25">
      <c r="A95" s="15">
        <v>92</v>
      </c>
      <c r="B95" s="3">
        <v>1995</v>
      </c>
      <c r="C95" s="3" t="s">
        <v>91</v>
      </c>
      <c r="D95" s="3" t="s">
        <v>106</v>
      </c>
      <c r="E95" s="3" t="s">
        <v>114</v>
      </c>
      <c r="F95" s="51">
        <v>0</v>
      </c>
      <c r="G95" s="10">
        <v>0</v>
      </c>
      <c r="H95" s="3">
        <v>1</v>
      </c>
      <c r="I95" s="25">
        <v>0.16</v>
      </c>
      <c r="J95" s="55">
        <v>35</v>
      </c>
      <c r="K95" s="3">
        <v>0</v>
      </c>
      <c r="L95" s="5">
        <v>13</v>
      </c>
      <c r="M95" s="5"/>
      <c r="N95" s="59">
        <v>0</v>
      </c>
      <c r="O95" s="5">
        <v>254.41</v>
      </c>
      <c r="P95" s="59">
        <v>1</v>
      </c>
      <c r="Q95" s="59">
        <v>0</v>
      </c>
      <c r="R95" s="3">
        <v>2</v>
      </c>
      <c r="S95" s="3">
        <v>26</v>
      </c>
      <c r="T95" s="5">
        <v>9.8703403553842826</v>
      </c>
      <c r="U95" s="6">
        <v>5.3783863368669023</v>
      </c>
      <c r="V95" s="16">
        <v>1</v>
      </c>
    </row>
    <row r="96" spans="1:22" x14ac:dyDescent="0.25">
      <c r="A96" s="15">
        <v>93</v>
      </c>
      <c r="B96" s="3">
        <v>1995</v>
      </c>
      <c r="C96" s="3" t="s">
        <v>79</v>
      </c>
      <c r="D96" s="3" t="s">
        <v>103</v>
      </c>
      <c r="E96" s="3" t="s">
        <v>116</v>
      </c>
      <c r="F96" s="51">
        <v>0</v>
      </c>
      <c r="G96" s="10">
        <v>1</v>
      </c>
      <c r="H96" s="3">
        <v>0</v>
      </c>
      <c r="I96" s="25">
        <v>0.77</v>
      </c>
      <c r="J96" s="55">
        <v>128</v>
      </c>
      <c r="K96" s="3">
        <v>0</v>
      </c>
      <c r="L96" s="5">
        <v>25.5</v>
      </c>
      <c r="M96" s="5">
        <f>(23605*100)/25865</f>
        <v>91.262323603324958</v>
      </c>
      <c r="N96" s="59">
        <v>0</v>
      </c>
      <c r="O96" s="5">
        <v>378.77</v>
      </c>
      <c r="P96" s="59">
        <v>1</v>
      </c>
      <c r="Q96" s="59">
        <v>0</v>
      </c>
      <c r="R96" s="3">
        <v>9</v>
      </c>
      <c r="S96" s="3">
        <v>26</v>
      </c>
      <c r="T96" s="5">
        <v>1.6247278940154695</v>
      </c>
      <c r="U96" s="6">
        <v>15.444236013809169</v>
      </c>
      <c r="V96" s="16">
        <v>0</v>
      </c>
    </row>
    <row r="97" spans="1:22" x14ac:dyDescent="0.25">
      <c r="A97" s="15">
        <v>94</v>
      </c>
      <c r="B97" s="3">
        <v>1995</v>
      </c>
      <c r="C97" s="3" t="s">
        <v>128</v>
      </c>
      <c r="D97" s="3" t="s">
        <v>30</v>
      </c>
      <c r="E97" s="3" t="s">
        <v>111</v>
      </c>
      <c r="F97" s="51">
        <v>0</v>
      </c>
      <c r="G97" s="10">
        <v>0</v>
      </c>
      <c r="H97" s="3">
        <v>0</v>
      </c>
      <c r="I97" s="25">
        <v>0.41</v>
      </c>
      <c r="J97" s="55">
        <v>1</v>
      </c>
      <c r="K97" s="3">
        <v>6</v>
      </c>
      <c r="L97" s="5">
        <v>14</v>
      </c>
      <c r="M97" s="5">
        <v>121.95</v>
      </c>
      <c r="N97" s="59">
        <v>0</v>
      </c>
      <c r="O97" s="5">
        <v>133.33000000000001</v>
      </c>
      <c r="P97" s="59">
        <v>1</v>
      </c>
      <c r="Q97" s="59">
        <v>0</v>
      </c>
      <c r="R97" s="3">
        <v>2</v>
      </c>
      <c r="S97" s="3">
        <v>26</v>
      </c>
      <c r="T97" s="5">
        <v>15.615718105700703</v>
      </c>
      <c r="U97" s="6">
        <v>12.298011875572362</v>
      </c>
      <c r="V97" s="16">
        <v>0</v>
      </c>
    </row>
    <row r="98" spans="1:22" x14ac:dyDescent="0.25">
      <c r="A98" s="15">
        <v>95</v>
      </c>
      <c r="B98" s="3">
        <v>1997</v>
      </c>
      <c r="C98" s="3" t="s">
        <v>92</v>
      </c>
      <c r="D98" s="3" t="s">
        <v>53</v>
      </c>
      <c r="E98" s="3" t="s">
        <v>114</v>
      </c>
      <c r="F98" s="51">
        <v>1</v>
      </c>
      <c r="G98" s="10">
        <v>0</v>
      </c>
      <c r="H98" s="3">
        <v>1</v>
      </c>
      <c r="I98" s="25">
        <v>0.23</v>
      </c>
      <c r="J98" s="55">
        <v>20</v>
      </c>
      <c r="K98" s="3">
        <v>1</v>
      </c>
      <c r="L98" s="5">
        <v>10</v>
      </c>
      <c r="M98" s="5">
        <f>(375*100)/450</f>
        <v>83.333333333333329</v>
      </c>
      <c r="N98" s="59">
        <v>1</v>
      </c>
      <c r="O98" s="5">
        <v>134.46</v>
      </c>
      <c r="P98" s="59">
        <v>0</v>
      </c>
      <c r="Q98" s="59">
        <v>1</v>
      </c>
      <c r="R98" s="3">
        <v>1</v>
      </c>
      <c r="S98" s="3">
        <v>24</v>
      </c>
      <c r="T98" s="5">
        <v>55.51932072361182</v>
      </c>
      <c r="U98" s="6">
        <v>22.771213748657356</v>
      </c>
      <c r="V98" s="16">
        <v>0</v>
      </c>
    </row>
    <row r="99" spans="1:22" x14ac:dyDescent="0.25">
      <c r="A99" s="15">
        <v>96</v>
      </c>
      <c r="B99" s="3">
        <v>1998</v>
      </c>
      <c r="C99" s="3" t="s">
        <v>92</v>
      </c>
      <c r="D99" s="3" t="s">
        <v>53</v>
      </c>
      <c r="E99" s="3" t="s">
        <v>114</v>
      </c>
      <c r="F99" s="51">
        <v>1</v>
      </c>
      <c r="G99" s="10">
        <v>0</v>
      </c>
      <c r="H99" s="3">
        <v>1</v>
      </c>
      <c r="I99" s="25">
        <v>0.23</v>
      </c>
      <c r="J99" s="55">
        <v>20</v>
      </c>
      <c r="K99" s="3">
        <v>2</v>
      </c>
      <c r="L99" s="5">
        <v>10</v>
      </c>
      <c r="M99" s="5">
        <f>(375*100)/450</f>
        <v>83.333333333333329</v>
      </c>
      <c r="N99" s="59">
        <v>1</v>
      </c>
      <c r="O99" s="5">
        <v>134.46</v>
      </c>
      <c r="P99" s="59">
        <v>0</v>
      </c>
      <c r="Q99" s="59">
        <v>1</v>
      </c>
      <c r="R99" s="3">
        <v>1</v>
      </c>
      <c r="S99" s="3">
        <v>23</v>
      </c>
      <c r="T99" s="5">
        <v>54.048579447516396</v>
      </c>
      <c r="U99" s="6">
        <v>22.771213748657356</v>
      </c>
      <c r="V99" s="16">
        <v>0</v>
      </c>
    </row>
    <row r="100" spans="1:22" x14ac:dyDescent="0.25">
      <c r="A100" s="15">
        <v>97</v>
      </c>
      <c r="B100" s="3">
        <v>1998</v>
      </c>
      <c r="C100" s="3" t="s">
        <v>128</v>
      </c>
      <c r="D100" s="3" t="s">
        <v>30</v>
      </c>
      <c r="E100" s="3" t="s">
        <v>111</v>
      </c>
      <c r="F100" s="51">
        <v>0</v>
      </c>
      <c r="G100" s="10">
        <v>0</v>
      </c>
      <c r="H100" s="3">
        <v>0</v>
      </c>
      <c r="I100" s="25">
        <v>0.47</v>
      </c>
      <c r="J100" s="55">
        <v>4</v>
      </c>
      <c r="K100" s="3">
        <v>9</v>
      </c>
      <c r="L100" s="5">
        <v>14</v>
      </c>
      <c r="M100" s="5">
        <f>(1500*100)/1230</f>
        <v>121.95121951219512</v>
      </c>
      <c r="N100" s="59">
        <v>0</v>
      </c>
      <c r="O100" s="5">
        <v>133.33000000000001</v>
      </c>
      <c r="P100" s="59">
        <v>1</v>
      </c>
      <c r="Q100" s="59">
        <v>0</v>
      </c>
      <c r="R100" s="3">
        <v>2</v>
      </c>
      <c r="S100" s="3">
        <v>23</v>
      </c>
      <c r="T100" s="5">
        <v>15.904969330815398</v>
      </c>
      <c r="U100" s="6">
        <v>12.298011875572362</v>
      </c>
      <c r="V100" s="16">
        <v>0</v>
      </c>
    </row>
    <row r="101" spans="1:22" x14ac:dyDescent="0.25">
      <c r="A101" s="15">
        <v>98</v>
      </c>
      <c r="B101" s="3">
        <v>1998</v>
      </c>
      <c r="C101" s="3" t="s">
        <v>77</v>
      </c>
      <c r="D101" s="3" t="s">
        <v>107</v>
      </c>
      <c r="E101" s="3" t="s">
        <v>117</v>
      </c>
      <c r="F101" s="51">
        <v>0</v>
      </c>
      <c r="G101" s="10">
        <v>1</v>
      </c>
      <c r="H101" s="3">
        <v>1</v>
      </c>
      <c r="I101" s="25">
        <v>0.8</v>
      </c>
      <c r="J101" s="55">
        <v>15</v>
      </c>
      <c r="K101" s="3">
        <v>0</v>
      </c>
      <c r="L101" s="5">
        <v>24</v>
      </c>
      <c r="M101" s="5">
        <v>100</v>
      </c>
      <c r="N101" s="59">
        <v>1</v>
      </c>
      <c r="O101" s="5">
        <v>20.78</v>
      </c>
      <c r="P101" s="59">
        <v>0</v>
      </c>
      <c r="Q101" s="59">
        <v>1</v>
      </c>
      <c r="R101" s="3">
        <v>1</v>
      </c>
      <c r="S101" s="3">
        <v>23</v>
      </c>
      <c r="T101" s="5">
        <v>22.026527901602954</v>
      </c>
      <c r="U101" s="6">
        <v>357.4712643678161</v>
      </c>
      <c r="V101" s="16">
        <v>0</v>
      </c>
    </row>
    <row r="102" spans="1:22" x14ac:dyDescent="0.25">
      <c r="A102" s="15">
        <v>99</v>
      </c>
      <c r="B102" s="3">
        <v>1999</v>
      </c>
      <c r="C102" s="3" t="s">
        <v>93</v>
      </c>
      <c r="D102" s="3" t="s">
        <v>108</v>
      </c>
      <c r="E102" s="3" t="s">
        <v>112</v>
      </c>
      <c r="F102" s="51">
        <v>1</v>
      </c>
      <c r="G102" s="10">
        <v>1</v>
      </c>
      <c r="H102" s="3">
        <v>1</v>
      </c>
      <c r="I102" s="25">
        <v>0.27</v>
      </c>
      <c r="J102" s="55">
        <v>54</v>
      </c>
      <c r="K102" s="3">
        <v>25</v>
      </c>
      <c r="L102" s="5">
        <v>9.8000000000000007</v>
      </c>
      <c r="M102" s="5">
        <f>(806*100)/3122</f>
        <v>25.816784112748238</v>
      </c>
      <c r="N102" s="59">
        <v>1</v>
      </c>
      <c r="O102" s="5">
        <v>2084.69</v>
      </c>
      <c r="P102" s="59">
        <v>1</v>
      </c>
      <c r="Q102" s="59">
        <v>1</v>
      </c>
      <c r="R102" s="3">
        <v>8</v>
      </c>
      <c r="S102" s="3">
        <v>22</v>
      </c>
      <c r="T102" s="5">
        <v>0.40689668905685578</v>
      </c>
      <c r="U102" s="6">
        <v>0.77491230528856547</v>
      </c>
      <c r="V102" s="16">
        <v>1</v>
      </c>
    </row>
    <row r="103" spans="1:22" x14ac:dyDescent="0.25">
      <c r="A103" s="15">
        <v>100</v>
      </c>
      <c r="B103" s="3">
        <v>1999</v>
      </c>
      <c r="C103" s="3" t="s">
        <v>94</v>
      </c>
      <c r="D103" s="3" t="s">
        <v>83</v>
      </c>
      <c r="E103" s="3" t="s">
        <v>118</v>
      </c>
      <c r="F103" s="51">
        <v>0</v>
      </c>
      <c r="G103" s="10">
        <v>0</v>
      </c>
      <c r="H103" s="3">
        <v>1</v>
      </c>
      <c r="I103" s="25">
        <v>0.2</v>
      </c>
      <c r="J103" s="55">
        <v>4</v>
      </c>
      <c r="K103" s="3">
        <v>8</v>
      </c>
      <c r="L103" s="5">
        <v>6</v>
      </c>
      <c r="M103" s="5">
        <v>29.09</v>
      </c>
      <c r="N103" s="59">
        <v>0</v>
      </c>
      <c r="O103" s="5">
        <v>348.08</v>
      </c>
      <c r="P103" s="59">
        <v>1</v>
      </c>
      <c r="Q103" s="59">
        <v>0</v>
      </c>
      <c r="R103" s="3">
        <v>4</v>
      </c>
      <c r="S103" s="3">
        <v>22</v>
      </c>
      <c r="T103" s="5">
        <v>4.470706349329566</v>
      </c>
      <c r="U103" s="6">
        <v>12.338593974175035</v>
      </c>
      <c r="V103" s="16">
        <v>1</v>
      </c>
    </row>
    <row r="104" spans="1:22" x14ac:dyDescent="0.25">
      <c r="A104" s="15">
        <v>101</v>
      </c>
      <c r="B104" s="3">
        <v>2001</v>
      </c>
      <c r="C104" s="3" t="s">
        <v>88</v>
      </c>
      <c r="D104" s="3" t="s">
        <v>83</v>
      </c>
      <c r="E104" s="3" t="s">
        <v>118</v>
      </c>
      <c r="F104" s="51">
        <v>0</v>
      </c>
      <c r="G104" s="10">
        <v>0</v>
      </c>
      <c r="H104" s="3">
        <v>1</v>
      </c>
      <c r="I104" s="25">
        <v>0.22</v>
      </c>
      <c r="J104" s="55">
        <v>7</v>
      </c>
      <c r="K104" s="3">
        <v>10</v>
      </c>
      <c r="L104" s="5">
        <v>6</v>
      </c>
      <c r="M104" s="5">
        <v>34.43</v>
      </c>
      <c r="N104" s="59">
        <v>0</v>
      </c>
      <c r="O104" s="5">
        <v>88.92</v>
      </c>
      <c r="P104" s="59">
        <v>1</v>
      </c>
      <c r="Q104" s="59">
        <v>0</v>
      </c>
      <c r="R104" s="3">
        <v>4</v>
      </c>
      <c r="S104" s="3">
        <v>20</v>
      </c>
      <c r="T104" s="5">
        <v>1.36806739799944</v>
      </c>
      <c r="U104" s="6">
        <v>5.5954088952654235</v>
      </c>
      <c r="V104" s="16">
        <v>0</v>
      </c>
    </row>
    <row r="105" spans="1:22" x14ac:dyDescent="0.25">
      <c r="A105" s="15">
        <v>102</v>
      </c>
      <c r="B105" s="3">
        <v>2001</v>
      </c>
      <c r="C105" s="3" t="s">
        <v>95</v>
      </c>
      <c r="D105" s="3" t="s">
        <v>109</v>
      </c>
      <c r="E105" s="3" t="s">
        <v>114</v>
      </c>
      <c r="F105" s="51">
        <v>0</v>
      </c>
      <c r="G105" s="10">
        <v>0</v>
      </c>
      <c r="H105" s="3">
        <v>0</v>
      </c>
      <c r="I105" s="25">
        <v>0.03</v>
      </c>
      <c r="J105" s="55">
        <v>0</v>
      </c>
      <c r="K105" s="3">
        <v>0</v>
      </c>
      <c r="L105" s="5">
        <v>6</v>
      </c>
      <c r="M105" s="5">
        <f>(350*100)/314</f>
        <v>111.46496815286625</v>
      </c>
      <c r="N105" s="59">
        <v>0</v>
      </c>
      <c r="O105" s="5">
        <v>847.03</v>
      </c>
      <c r="P105" s="59">
        <v>1</v>
      </c>
      <c r="Q105" s="59">
        <v>0</v>
      </c>
      <c r="R105" s="3">
        <v>2</v>
      </c>
      <c r="S105" s="3">
        <v>20</v>
      </c>
      <c r="T105" s="5">
        <v>46.680764257472426</v>
      </c>
      <c r="U105" s="6">
        <v>21.578999367998783</v>
      </c>
      <c r="V105" s="16">
        <v>0</v>
      </c>
    </row>
    <row r="106" spans="1:22" x14ac:dyDescent="0.25">
      <c r="A106" s="15">
        <v>103</v>
      </c>
      <c r="B106" s="3">
        <v>2006</v>
      </c>
      <c r="C106" s="3" t="s">
        <v>96</v>
      </c>
      <c r="D106" s="3" t="s">
        <v>99</v>
      </c>
      <c r="E106" s="3" t="s">
        <v>115</v>
      </c>
      <c r="F106" s="51">
        <v>0</v>
      </c>
      <c r="G106" s="10">
        <v>1</v>
      </c>
      <c r="H106" s="3">
        <v>2</v>
      </c>
      <c r="I106" s="25">
        <v>0.82</v>
      </c>
      <c r="J106" s="55">
        <v>153</v>
      </c>
      <c r="K106" s="3">
        <v>0</v>
      </c>
      <c r="L106" s="5">
        <v>11</v>
      </c>
      <c r="M106" s="5">
        <v>14.848556554661618</v>
      </c>
      <c r="N106" s="59">
        <v>0</v>
      </c>
      <c r="O106" s="5">
        <v>3824.54</v>
      </c>
      <c r="P106" s="59">
        <v>0</v>
      </c>
      <c r="Q106" s="59">
        <v>1</v>
      </c>
      <c r="R106" s="3">
        <v>1</v>
      </c>
      <c r="S106" s="3">
        <v>15</v>
      </c>
      <c r="T106" s="5">
        <v>3.5228266430465865E-2</v>
      </c>
      <c r="U106" s="6">
        <v>4.4636546916730522E-3</v>
      </c>
      <c r="V106" s="16">
        <v>0</v>
      </c>
    </row>
    <row r="107" spans="1:22" x14ac:dyDescent="0.25">
      <c r="A107" s="15">
        <v>104</v>
      </c>
      <c r="B107" s="3">
        <v>2006</v>
      </c>
      <c r="C107" s="3" t="s">
        <v>33</v>
      </c>
      <c r="D107" s="3" t="s">
        <v>129</v>
      </c>
      <c r="E107" s="3" t="s">
        <v>111</v>
      </c>
      <c r="F107" s="51">
        <v>1</v>
      </c>
      <c r="G107" s="10">
        <v>1</v>
      </c>
      <c r="H107" s="3">
        <v>1</v>
      </c>
      <c r="I107" s="25">
        <v>0.53</v>
      </c>
      <c r="J107" s="55">
        <v>3</v>
      </c>
      <c r="K107" s="3">
        <v>16</v>
      </c>
      <c r="L107" s="5">
        <v>29.9</v>
      </c>
      <c r="M107" s="5">
        <v>86.36363636363636</v>
      </c>
      <c r="N107" s="59">
        <v>1</v>
      </c>
      <c r="O107" s="5">
        <v>281</v>
      </c>
      <c r="P107" s="59">
        <v>1</v>
      </c>
      <c r="Q107" s="59">
        <v>0</v>
      </c>
      <c r="R107" s="3">
        <v>5</v>
      </c>
      <c r="S107" s="3">
        <v>15</v>
      </c>
      <c r="T107" s="5">
        <v>6.7271250042117723</v>
      </c>
      <c r="U107" s="6">
        <v>13.494870542256962</v>
      </c>
      <c r="V107" s="16">
        <v>0</v>
      </c>
    </row>
    <row r="108" spans="1:22" x14ac:dyDescent="0.25">
      <c r="A108" s="15">
        <v>105</v>
      </c>
      <c r="B108" s="3">
        <v>2006</v>
      </c>
      <c r="C108" s="3" t="s">
        <v>128</v>
      </c>
      <c r="D108" s="3" t="s">
        <v>30</v>
      </c>
      <c r="E108" s="3" t="s">
        <v>111</v>
      </c>
      <c r="F108" s="51">
        <v>0</v>
      </c>
      <c r="G108" s="10">
        <v>0</v>
      </c>
      <c r="H108" s="3">
        <v>0</v>
      </c>
      <c r="I108" s="25">
        <v>0.36</v>
      </c>
      <c r="J108" s="55">
        <v>12</v>
      </c>
      <c r="K108" s="3">
        <v>17</v>
      </c>
      <c r="L108" s="5">
        <v>14</v>
      </c>
      <c r="M108" s="5">
        <f>(2000*100)/1230</f>
        <v>162.60162601626016</v>
      </c>
      <c r="N108" s="59">
        <v>0</v>
      </c>
      <c r="O108" s="5">
        <v>133.33000000000001</v>
      </c>
      <c r="P108" s="59">
        <v>1</v>
      </c>
      <c r="Q108" s="59">
        <v>0</v>
      </c>
      <c r="R108" s="3">
        <v>2</v>
      </c>
      <c r="S108" s="3">
        <v>15</v>
      </c>
      <c r="T108" s="5">
        <v>13.378054764682515</v>
      </c>
      <c r="U108" s="6">
        <v>12.298011875572362</v>
      </c>
      <c r="V108" s="16">
        <v>0</v>
      </c>
    </row>
    <row r="109" spans="1:22" x14ac:dyDescent="0.25">
      <c r="A109" s="15">
        <v>106</v>
      </c>
      <c r="B109" s="3">
        <v>2006</v>
      </c>
      <c r="C109" s="3" t="s">
        <v>88</v>
      </c>
      <c r="D109" s="3" t="s">
        <v>83</v>
      </c>
      <c r="E109" s="3" t="s">
        <v>118</v>
      </c>
      <c r="F109" s="51">
        <v>0</v>
      </c>
      <c r="G109" s="10">
        <v>0</v>
      </c>
      <c r="H109" s="3">
        <v>0</v>
      </c>
      <c r="I109" s="25">
        <v>0.41</v>
      </c>
      <c r="J109" s="55">
        <v>12</v>
      </c>
      <c r="K109" s="3">
        <v>15</v>
      </c>
      <c r="L109" s="5">
        <v>6</v>
      </c>
      <c r="M109" s="5">
        <f>(1500*100)/4357</f>
        <v>34.427358274041772</v>
      </c>
      <c r="N109" s="59">
        <v>0</v>
      </c>
      <c r="O109" s="5">
        <v>88.92</v>
      </c>
      <c r="P109" s="59">
        <v>1</v>
      </c>
      <c r="Q109" s="59">
        <v>0</v>
      </c>
      <c r="R109" s="3">
        <v>4</v>
      </c>
      <c r="S109" s="3">
        <v>15</v>
      </c>
      <c r="T109" s="5">
        <v>1.4487122183714678</v>
      </c>
      <c r="U109" s="6">
        <v>5.5954088952654235</v>
      </c>
      <c r="V109" s="16">
        <v>0</v>
      </c>
    </row>
    <row r="110" spans="1:22" x14ac:dyDescent="0.25">
      <c r="A110" s="15">
        <v>107</v>
      </c>
      <c r="B110" s="3">
        <v>2006</v>
      </c>
      <c r="C110" s="3" t="s">
        <v>86</v>
      </c>
      <c r="D110" s="3" t="s">
        <v>87</v>
      </c>
      <c r="E110" s="3" t="s">
        <v>118</v>
      </c>
      <c r="F110" s="51">
        <v>0</v>
      </c>
      <c r="G110" s="10">
        <v>0</v>
      </c>
      <c r="H110" s="3">
        <v>0</v>
      </c>
      <c r="I110" s="25">
        <v>7.0000000000000007E-2</v>
      </c>
      <c r="J110" s="55">
        <v>11</v>
      </c>
      <c r="K110" s="3">
        <v>19</v>
      </c>
      <c r="L110" s="5">
        <v>5</v>
      </c>
      <c r="M110" s="5">
        <f xml:space="preserve"> (3821*100)/4721</f>
        <v>80.936242321542039</v>
      </c>
      <c r="N110" s="59">
        <v>0</v>
      </c>
      <c r="O110" s="5">
        <v>244.36</v>
      </c>
      <c r="P110" s="59">
        <v>1</v>
      </c>
      <c r="Q110" s="59">
        <v>0</v>
      </c>
      <c r="R110" s="3">
        <v>1</v>
      </c>
      <c r="S110" s="3">
        <v>15</v>
      </c>
      <c r="T110" s="5">
        <v>1.6115608826337828</v>
      </c>
      <c r="U110" s="6">
        <v>13.23094688221709</v>
      </c>
      <c r="V110" s="16">
        <v>1</v>
      </c>
    </row>
    <row r="111" spans="1:22" x14ac:dyDescent="0.25">
      <c r="A111" s="15">
        <v>108</v>
      </c>
      <c r="B111" s="3">
        <v>2007</v>
      </c>
      <c r="C111" s="3" t="s">
        <v>96</v>
      </c>
      <c r="D111" s="3" t="s">
        <v>99</v>
      </c>
      <c r="E111" s="3" t="s">
        <v>115</v>
      </c>
      <c r="F111" s="51">
        <v>0</v>
      </c>
      <c r="G111" s="10">
        <v>1</v>
      </c>
      <c r="H111" s="3">
        <v>2</v>
      </c>
      <c r="I111" s="25">
        <v>0.82</v>
      </c>
      <c r="J111" s="55">
        <v>154</v>
      </c>
      <c r="K111" s="3">
        <v>0</v>
      </c>
      <c r="L111" s="5">
        <v>11</v>
      </c>
      <c r="M111" s="5">
        <f>(6275*100)/42260</f>
        <v>14.848556554661618</v>
      </c>
      <c r="N111" s="59">
        <v>0</v>
      </c>
      <c r="O111" s="5">
        <v>3824.54</v>
      </c>
      <c r="P111" s="59">
        <v>0</v>
      </c>
      <c r="Q111" s="59">
        <v>1</v>
      </c>
      <c r="R111" s="3">
        <v>1</v>
      </c>
      <c r="S111" s="3">
        <v>14</v>
      </c>
      <c r="T111" s="5">
        <v>3.4796404244971435E-2</v>
      </c>
      <c r="U111" s="6">
        <v>4.4636546916730522E-3</v>
      </c>
      <c r="V111" s="16">
        <v>0</v>
      </c>
    </row>
    <row r="112" spans="1:22" x14ac:dyDescent="0.25">
      <c r="A112" s="15">
        <v>109</v>
      </c>
      <c r="B112" s="3">
        <v>2009</v>
      </c>
      <c r="C112" s="3" t="s">
        <v>127</v>
      </c>
      <c r="D112" s="3" t="s">
        <v>35</v>
      </c>
      <c r="E112" s="3" t="s">
        <v>111</v>
      </c>
      <c r="F112" s="51">
        <v>0</v>
      </c>
      <c r="G112" s="10">
        <v>0</v>
      </c>
      <c r="H112" s="3">
        <v>0</v>
      </c>
      <c r="I112" s="25">
        <v>0.85</v>
      </c>
      <c r="J112" s="55">
        <v>31</v>
      </c>
      <c r="K112" s="3">
        <v>0</v>
      </c>
      <c r="L112" s="5">
        <v>33.6</v>
      </c>
      <c r="M112" s="5">
        <v>116.53946227233304</v>
      </c>
      <c r="N112" s="59">
        <v>0</v>
      </c>
      <c r="O112" s="5">
        <v>505</v>
      </c>
      <c r="P112" s="59">
        <v>1</v>
      </c>
      <c r="Q112" s="59">
        <v>0</v>
      </c>
      <c r="R112" s="3">
        <v>11</v>
      </c>
      <c r="S112" s="3">
        <v>12</v>
      </c>
      <c r="T112" s="5">
        <v>16.125260005031837</v>
      </c>
      <c r="U112" s="6">
        <v>63.458604114289329</v>
      </c>
      <c r="V112" s="16">
        <v>1</v>
      </c>
    </row>
    <row r="113" spans="1:22" x14ac:dyDescent="0.25">
      <c r="A113" s="15">
        <v>110</v>
      </c>
      <c r="B113" s="3">
        <v>2011</v>
      </c>
      <c r="C113" s="3" t="s">
        <v>97</v>
      </c>
      <c r="D113" s="3" t="s">
        <v>110</v>
      </c>
      <c r="E113" s="3" t="s">
        <v>114</v>
      </c>
      <c r="F113" s="51">
        <v>1</v>
      </c>
      <c r="G113" s="10">
        <v>1</v>
      </c>
      <c r="H113" s="3">
        <v>1</v>
      </c>
      <c r="I113" s="25">
        <v>7.0000000000000007E-2</v>
      </c>
      <c r="J113" s="55">
        <v>38</v>
      </c>
      <c r="K113" s="3">
        <v>49</v>
      </c>
      <c r="L113" s="5">
        <v>8.5</v>
      </c>
      <c r="M113" s="5">
        <f>(1516*100)/1672</f>
        <v>90.669856459330148</v>
      </c>
      <c r="N113" s="59">
        <v>1</v>
      </c>
      <c r="O113" s="5">
        <v>1202.8</v>
      </c>
      <c r="P113" s="59">
        <v>1</v>
      </c>
      <c r="Q113" s="59">
        <v>0</v>
      </c>
      <c r="R113" s="3">
        <v>3</v>
      </c>
      <c r="S113" s="3">
        <v>10</v>
      </c>
      <c r="T113" s="5">
        <v>28.160661666211027</v>
      </c>
      <c r="U113" s="6">
        <v>25.71337126912503</v>
      </c>
      <c r="V113" s="16">
        <v>1</v>
      </c>
    </row>
    <row r="114" spans="1:22" x14ac:dyDescent="0.25">
      <c r="A114" s="15">
        <v>111</v>
      </c>
      <c r="B114" s="3">
        <v>2012</v>
      </c>
      <c r="C114" s="3" t="s">
        <v>36</v>
      </c>
      <c r="D114" s="3" t="s">
        <v>27</v>
      </c>
      <c r="E114" s="3" t="s">
        <v>111</v>
      </c>
      <c r="F114" s="51">
        <v>0</v>
      </c>
      <c r="G114" s="10">
        <v>0</v>
      </c>
      <c r="H114" s="3">
        <v>0</v>
      </c>
      <c r="I114" s="25">
        <v>0.34</v>
      </c>
      <c r="J114" s="55">
        <v>23</v>
      </c>
      <c r="K114" s="3">
        <v>12</v>
      </c>
      <c r="L114" s="5">
        <v>0</v>
      </c>
      <c r="M114" s="5">
        <v>83.333333333333329</v>
      </c>
      <c r="N114" s="59">
        <v>0</v>
      </c>
      <c r="O114" s="5">
        <v>35</v>
      </c>
      <c r="P114" s="59">
        <v>1</v>
      </c>
      <c r="Q114" s="59">
        <v>0</v>
      </c>
      <c r="R114" s="3">
        <v>1</v>
      </c>
      <c r="S114" s="3">
        <v>9</v>
      </c>
      <c r="T114" s="5">
        <v>4.421987420771111</v>
      </c>
      <c r="U114" s="6">
        <v>9.2317565089842315</v>
      </c>
      <c r="V114" s="16">
        <v>0</v>
      </c>
    </row>
    <row r="115" spans="1:22" x14ac:dyDescent="0.25">
      <c r="A115" s="15">
        <v>112</v>
      </c>
      <c r="B115" s="3">
        <v>2012</v>
      </c>
      <c r="C115" s="3" t="s">
        <v>36</v>
      </c>
      <c r="D115" s="3" t="s">
        <v>27</v>
      </c>
      <c r="E115" s="3" t="s">
        <v>111</v>
      </c>
      <c r="F115" s="51">
        <v>0</v>
      </c>
      <c r="G115" s="10">
        <v>0</v>
      </c>
      <c r="H115" s="3">
        <v>0</v>
      </c>
      <c r="I115" s="25">
        <v>0.34</v>
      </c>
      <c r="J115" s="55">
        <v>23</v>
      </c>
      <c r="K115" s="3">
        <v>12</v>
      </c>
      <c r="L115" s="5">
        <v>0</v>
      </c>
      <c r="M115" s="5">
        <v>83.333333333333329</v>
      </c>
      <c r="N115" s="59">
        <v>0</v>
      </c>
      <c r="O115" s="5">
        <v>35</v>
      </c>
      <c r="P115" s="59">
        <v>1</v>
      </c>
      <c r="Q115" s="59">
        <v>0</v>
      </c>
      <c r="R115" s="3">
        <v>1</v>
      </c>
      <c r="S115" s="3">
        <v>9</v>
      </c>
      <c r="T115" s="5">
        <v>4.421987420771111</v>
      </c>
      <c r="U115" s="6">
        <v>9.2317565089842315</v>
      </c>
      <c r="V115" s="16">
        <v>0</v>
      </c>
    </row>
    <row r="116" spans="1:22" x14ac:dyDescent="0.25">
      <c r="A116" s="15">
        <v>113</v>
      </c>
      <c r="B116" s="3">
        <v>2012</v>
      </c>
      <c r="C116" s="3" t="s">
        <v>29</v>
      </c>
      <c r="D116" s="3" t="s">
        <v>30</v>
      </c>
      <c r="E116" s="3" t="s">
        <v>111</v>
      </c>
      <c r="F116" s="51">
        <v>0</v>
      </c>
      <c r="G116" s="10">
        <v>0</v>
      </c>
      <c r="H116" s="3">
        <v>1</v>
      </c>
      <c r="I116" s="25">
        <v>0.61</v>
      </c>
      <c r="J116" s="55">
        <v>18</v>
      </c>
      <c r="K116" s="3">
        <v>13</v>
      </c>
      <c r="L116" s="5">
        <v>14</v>
      </c>
      <c r="M116" s="5">
        <f>(2165*100)/2724</f>
        <v>79.478707782672544</v>
      </c>
      <c r="N116" s="59">
        <v>0</v>
      </c>
      <c r="O116" s="5">
        <v>82.14</v>
      </c>
      <c r="P116" s="59">
        <v>1</v>
      </c>
      <c r="Q116" s="59">
        <v>0</v>
      </c>
      <c r="R116" s="3">
        <v>2</v>
      </c>
      <c r="S116" s="3">
        <v>9</v>
      </c>
      <c r="T116" s="5">
        <v>4.54</v>
      </c>
      <c r="U116" s="6">
        <v>5.41</v>
      </c>
      <c r="V116" s="16">
        <v>1</v>
      </c>
    </row>
    <row r="117" spans="1:22" x14ac:dyDescent="0.25">
      <c r="A117" s="15">
        <v>114</v>
      </c>
      <c r="B117" s="3">
        <v>2012</v>
      </c>
      <c r="C117" s="3" t="s">
        <v>131</v>
      </c>
      <c r="D117" s="3" t="s">
        <v>100</v>
      </c>
      <c r="E117" s="3" t="s">
        <v>115</v>
      </c>
      <c r="F117" s="51">
        <v>0</v>
      </c>
      <c r="G117" s="10">
        <v>1</v>
      </c>
      <c r="H117" s="3">
        <v>1</v>
      </c>
      <c r="I117" s="25">
        <v>0.83</v>
      </c>
      <c r="J117" s="55">
        <v>224</v>
      </c>
      <c r="K117" s="3">
        <v>0</v>
      </c>
      <c r="L117" s="5">
        <v>29.6</v>
      </c>
      <c r="M117" s="5">
        <v>50.238095238095241</v>
      </c>
      <c r="N117" s="59">
        <v>0</v>
      </c>
      <c r="O117" s="5">
        <v>2512.1799999999998</v>
      </c>
      <c r="P117" s="59">
        <v>0</v>
      </c>
      <c r="Q117" s="59">
        <v>1</v>
      </c>
      <c r="R117" s="3">
        <v>15</v>
      </c>
      <c r="S117" s="3">
        <v>9</v>
      </c>
      <c r="T117" s="5">
        <v>1.1794948832030974</v>
      </c>
      <c r="U117" s="6">
        <v>9.9523448408778137E-2</v>
      </c>
      <c r="V117" s="16">
        <v>0</v>
      </c>
    </row>
    <row r="118" spans="1:22" x14ac:dyDescent="0.25">
      <c r="A118" s="15">
        <v>115</v>
      </c>
      <c r="B118" s="3">
        <v>2014</v>
      </c>
      <c r="C118" s="3" t="s">
        <v>119</v>
      </c>
      <c r="D118" s="3" t="s">
        <v>31</v>
      </c>
      <c r="E118" s="3" t="s">
        <v>111</v>
      </c>
      <c r="F118" s="51">
        <v>0</v>
      </c>
      <c r="G118" s="10">
        <v>0</v>
      </c>
      <c r="H118" s="3">
        <v>0</v>
      </c>
      <c r="I118" s="25">
        <v>0.25</v>
      </c>
      <c r="J118" s="55">
        <v>18</v>
      </c>
      <c r="K118" s="3">
        <v>0</v>
      </c>
      <c r="L118" s="5">
        <v>4</v>
      </c>
      <c r="M118" s="5">
        <v>70.487106017191977</v>
      </c>
      <c r="N118" s="59">
        <v>0</v>
      </c>
      <c r="O118" s="5">
        <v>667</v>
      </c>
      <c r="P118" s="59">
        <v>1</v>
      </c>
      <c r="Q118" s="59">
        <v>0</v>
      </c>
      <c r="R118" s="3">
        <v>4</v>
      </c>
      <c r="S118" s="3">
        <v>7</v>
      </c>
      <c r="T118" s="5">
        <v>5.0496707989011158</v>
      </c>
      <c r="U118" s="6">
        <v>4.2809576660853024</v>
      </c>
      <c r="V118" s="16">
        <v>1</v>
      </c>
    </row>
    <row r="119" spans="1:22" x14ac:dyDescent="0.25">
      <c r="A119" s="15">
        <v>116</v>
      </c>
      <c r="B119" s="3">
        <v>2014</v>
      </c>
      <c r="C119" s="3" t="s">
        <v>120</v>
      </c>
      <c r="D119" s="3" t="s">
        <v>31</v>
      </c>
      <c r="E119" s="3" t="s">
        <v>111</v>
      </c>
      <c r="F119" s="51">
        <v>0</v>
      </c>
      <c r="G119" s="10">
        <v>0</v>
      </c>
      <c r="H119" s="3">
        <v>0</v>
      </c>
      <c r="I119" s="25">
        <v>0.25</v>
      </c>
      <c r="J119" s="55">
        <v>18</v>
      </c>
      <c r="K119" s="3">
        <v>0</v>
      </c>
      <c r="L119" s="5">
        <v>4</v>
      </c>
      <c r="M119" s="5">
        <v>85.91212989493792</v>
      </c>
      <c r="N119" s="59">
        <v>0</v>
      </c>
      <c r="O119" s="5">
        <v>895</v>
      </c>
      <c r="P119" s="59">
        <v>1</v>
      </c>
      <c r="Q119" s="59">
        <v>0</v>
      </c>
      <c r="R119" s="3">
        <v>4</v>
      </c>
      <c r="S119" s="3">
        <v>7</v>
      </c>
      <c r="T119" s="5">
        <v>0.76060814350029504</v>
      </c>
      <c r="U119" s="6">
        <v>0.17123830664341208</v>
      </c>
      <c r="V119" s="16">
        <v>0</v>
      </c>
    </row>
    <row r="120" spans="1:22" x14ac:dyDescent="0.25">
      <c r="A120" s="15">
        <v>117</v>
      </c>
      <c r="B120" s="3">
        <v>2014</v>
      </c>
      <c r="C120" s="3" t="s">
        <v>121</v>
      </c>
      <c r="D120" s="3" t="s">
        <v>31</v>
      </c>
      <c r="E120" s="3" t="s">
        <v>111</v>
      </c>
      <c r="F120" s="51">
        <v>0</v>
      </c>
      <c r="G120" s="10">
        <v>0</v>
      </c>
      <c r="H120" s="3">
        <v>0</v>
      </c>
      <c r="I120" s="25">
        <v>0.25</v>
      </c>
      <c r="J120" s="55">
        <v>18</v>
      </c>
      <c r="K120" s="3">
        <v>0</v>
      </c>
      <c r="L120" s="5">
        <v>4</v>
      </c>
      <c r="M120" s="5">
        <v>113.01337153772684</v>
      </c>
      <c r="N120" s="59">
        <v>0</v>
      </c>
      <c r="O120" s="5">
        <v>592</v>
      </c>
      <c r="P120" s="59">
        <v>1</v>
      </c>
      <c r="Q120" s="59">
        <v>0</v>
      </c>
      <c r="R120" s="3">
        <v>4</v>
      </c>
      <c r="S120" s="3">
        <v>7</v>
      </c>
      <c r="T120" s="5">
        <v>5.1108454025668628</v>
      </c>
      <c r="U120" s="6">
        <v>4.2043760900586653</v>
      </c>
      <c r="V120" s="16">
        <v>1</v>
      </c>
    </row>
    <row r="121" spans="1:22" x14ac:dyDescent="0.25">
      <c r="A121" s="15">
        <v>118</v>
      </c>
      <c r="B121" s="3">
        <v>2014</v>
      </c>
      <c r="C121" s="3" t="s">
        <v>122</v>
      </c>
      <c r="D121" s="3" t="s">
        <v>31</v>
      </c>
      <c r="E121" s="3" t="s">
        <v>111</v>
      </c>
      <c r="F121" s="51">
        <v>0</v>
      </c>
      <c r="G121" s="10">
        <v>0</v>
      </c>
      <c r="H121" s="3">
        <v>0</v>
      </c>
      <c r="I121" s="25">
        <v>0.25</v>
      </c>
      <c r="J121" s="55">
        <v>18</v>
      </c>
      <c r="K121" s="3">
        <v>0</v>
      </c>
      <c r="L121" s="5">
        <v>4</v>
      </c>
      <c r="M121" s="5">
        <v>73.209169054441261</v>
      </c>
      <c r="N121" s="59">
        <v>0</v>
      </c>
      <c r="O121" s="5">
        <v>666</v>
      </c>
      <c r="P121" s="59">
        <v>1</v>
      </c>
      <c r="Q121" s="59">
        <v>0</v>
      </c>
      <c r="R121" s="3">
        <v>4</v>
      </c>
      <c r="S121" s="3">
        <v>7</v>
      </c>
      <c r="T121" s="5">
        <v>3.2357384868021191</v>
      </c>
      <c r="U121" s="6">
        <v>4.2043760900586653</v>
      </c>
      <c r="V121" s="16">
        <v>1</v>
      </c>
    </row>
    <row r="122" spans="1:22" x14ac:dyDescent="0.25">
      <c r="A122" s="15">
        <v>119</v>
      </c>
      <c r="B122" s="3">
        <v>2014</v>
      </c>
      <c r="C122" s="3" t="s">
        <v>123</v>
      </c>
      <c r="D122" s="3" t="s">
        <v>124</v>
      </c>
      <c r="E122" s="3" t="s">
        <v>111</v>
      </c>
      <c r="F122" s="51">
        <v>0</v>
      </c>
      <c r="G122" s="10">
        <v>0</v>
      </c>
      <c r="H122" s="3">
        <v>0</v>
      </c>
      <c r="I122" s="25">
        <v>0.82</v>
      </c>
      <c r="J122" s="55">
        <v>166</v>
      </c>
      <c r="K122" s="3">
        <v>0</v>
      </c>
      <c r="L122" s="5">
        <v>27.3</v>
      </c>
      <c r="M122" s="5">
        <v>115.91695501730104</v>
      </c>
      <c r="N122" s="59">
        <v>0</v>
      </c>
      <c r="O122" s="5">
        <v>394</v>
      </c>
      <c r="P122" s="59">
        <v>1</v>
      </c>
      <c r="Q122" s="59">
        <v>0</v>
      </c>
      <c r="R122" s="3">
        <v>16</v>
      </c>
      <c r="S122" s="3">
        <v>7</v>
      </c>
      <c r="T122" s="5">
        <v>6.8059018049902109</v>
      </c>
      <c r="U122" s="6">
        <v>6.1057277493860758</v>
      </c>
      <c r="V122" s="16">
        <v>1</v>
      </c>
    </row>
    <row r="123" spans="1:22" x14ac:dyDescent="0.25">
      <c r="A123" s="15">
        <v>120</v>
      </c>
      <c r="B123" s="3">
        <v>2014</v>
      </c>
      <c r="C123" s="3" t="s">
        <v>125</v>
      </c>
      <c r="D123" s="3" t="s">
        <v>9</v>
      </c>
      <c r="E123" s="3" t="s">
        <v>111</v>
      </c>
      <c r="F123" s="51">
        <v>0</v>
      </c>
      <c r="G123" s="10">
        <v>1</v>
      </c>
      <c r="H123" s="3">
        <v>2</v>
      </c>
      <c r="I123" s="25">
        <v>0.81</v>
      </c>
      <c r="J123" s="55">
        <v>182</v>
      </c>
      <c r="K123" s="3">
        <v>0</v>
      </c>
      <c r="L123" s="5">
        <v>11.2</v>
      </c>
      <c r="M123" s="5">
        <v>111.13229233831403</v>
      </c>
      <c r="N123" s="59">
        <v>1</v>
      </c>
      <c r="O123" s="5">
        <v>534</v>
      </c>
      <c r="P123" s="59">
        <v>1</v>
      </c>
      <c r="Q123" s="59">
        <v>1</v>
      </c>
      <c r="R123" s="3">
        <v>7</v>
      </c>
      <c r="S123" s="3">
        <v>7</v>
      </c>
      <c r="T123" s="5">
        <v>8.3366642991346556</v>
      </c>
      <c r="U123" s="6">
        <v>32.488092537990475</v>
      </c>
      <c r="V123" s="16">
        <v>1</v>
      </c>
    </row>
    <row r="124" spans="1:22" x14ac:dyDescent="0.25">
      <c r="A124" s="15">
        <v>121</v>
      </c>
      <c r="B124" s="3">
        <v>2014</v>
      </c>
      <c r="C124" s="3" t="s">
        <v>126</v>
      </c>
      <c r="D124" s="3" t="s">
        <v>35</v>
      </c>
      <c r="E124" s="3" t="s">
        <v>111</v>
      </c>
      <c r="F124" s="51">
        <v>0</v>
      </c>
      <c r="G124" s="10">
        <v>0</v>
      </c>
      <c r="H124" s="3">
        <v>0</v>
      </c>
      <c r="I124" s="25">
        <v>0.8</v>
      </c>
      <c r="J124" s="55">
        <v>36</v>
      </c>
      <c r="K124" s="3">
        <v>0</v>
      </c>
      <c r="L124" s="5">
        <v>33.6</v>
      </c>
      <c r="M124" s="5">
        <v>125.18901890189019</v>
      </c>
      <c r="N124" s="59">
        <v>1</v>
      </c>
      <c r="O124" s="5">
        <v>505</v>
      </c>
      <c r="P124" s="59">
        <v>1</v>
      </c>
      <c r="Q124" s="59">
        <v>0</v>
      </c>
      <c r="R124" s="3">
        <v>11</v>
      </c>
      <c r="S124" s="3">
        <v>7</v>
      </c>
      <c r="T124" s="5">
        <v>15.954910100918386</v>
      </c>
      <c r="U124" s="6">
        <v>63.458604114289329</v>
      </c>
      <c r="V124" s="16">
        <v>1</v>
      </c>
    </row>
    <row r="125" spans="1:22" x14ac:dyDescent="0.25">
      <c r="A125" s="15">
        <v>122</v>
      </c>
      <c r="B125" s="3">
        <v>2014</v>
      </c>
      <c r="C125" s="3" t="s">
        <v>132</v>
      </c>
      <c r="D125" s="3" t="s">
        <v>101</v>
      </c>
      <c r="E125" s="3" t="s">
        <v>117</v>
      </c>
      <c r="F125" s="51">
        <v>0</v>
      </c>
      <c r="G125" s="10">
        <v>1</v>
      </c>
      <c r="H125" s="3">
        <v>2</v>
      </c>
      <c r="I125" s="25">
        <v>0.83</v>
      </c>
      <c r="J125" s="55">
        <v>199</v>
      </c>
      <c r="K125" s="3">
        <v>0</v>
      </c>
      <c r="L125" s="5">
        <v>17.5</v>
      </c>
      <c r="M125" s="5">
        <f>(26600*100)/45175</f>
        <v>58.88212506917543</v>
      </c>
      <c r="N125" s="59">
        <v>0</v>
      </c>
      <c r="O125" s="5">
        <v>7800.44</v>
      </c>
      <c r="P125" s="59">
        <v>0</v>
      </c>
      <c r="Q125" s="59">
        <v>1</v>
      </c>
      <c r="R125" s="3">
        <v>1</v>
      </c>
      <c r="S125" s="3">
        <v>7</v>
      </c>
      <c r="T125" s="5">
        <v>2.2567211540111824E-2</v>
      </c>
      <c r="U125" s="6">
        <v>5.055003249644946E-2</v>
      </c>
      <c r="V125" s="16">
        <v>0</v>
      </c>
    </row>
    <row r="126" spans="1:22" x14ac:dyDescent="0.25">
      <c r="A126" s="15">
        <v>123</v>
      </c>
      <c r="B126" s="3">
        <v>2016</v>
      </c>
      <c r="C126" s="3" t="s">
        <v>133</v>
      </c>
      <c r="D126" s="3" t="s">
        <v>136</v>
      </c>
      <c r="E126" s="3" t="s">
        <v>117</v>
      </c>
      <c r="F126" s="51">
        <v>0</v>
      </c>
      <c r="G126" s="10">
        <v>0</v>
      </c>
      <c r="H126" s="3">
        <v>0</v>
      </c>
      <c r="I126" s="25">
        <v>0.74</v>
      </c>
      <c r="J126" s="55">
        <v>28</v>
      </c>
      <c r="K126" s="3">
        <v>0</v>
      </c>
      <c r="L126" s="5">
        <v>19.5</v>
      </c>
      <c r="M126" s="5">
        <f>(10319*100)/8705</f>
        <v>118.54106835152211</v>
      </c>
      <c r="N126" s="59">
        <v>0</v>
      </c>
      <c r="O126" s="5">
        <v>1082.02</v>
      </c>
      <c r="P126" s="59">
        <v>1</v>
      </c>
      <c r="Q126" s="59">
        <v>0</v>
      </c>
      <c r="R126" s="3">
        <v>1</v>
      </c>
      <c r="S126" s="3">
        <v>5</v>
      </c>
      <c r="T126" s="5">
        <v>14.373682936438017</v>
      </c>
      <c r="U126" s="6">
        <v>67.68731424169512</v>
      </c>
      <c r="V126" s="16">
        <v>1</v>
      </c>
    </row>
    <row r="127" spans="1:22" x14ac:dyDescent="0.25">
      <c r="A127" s="15">
        <v>124</v>
      </c>
      <c r="B127" s="3">
        <v>2017</v>
      </c>
      <c r="C127" s="3" t="s">
        <v>131</v>
      </c>
      <c r="D127" s="3" t="s">
        <v>100</v>
      </c>
      <c r="E127" s="3" t="s">
        <v>115</v>
      </c>
      <c r="F127" s="51">
        <v>0</v>
      </c>
      <c r="G127" s="10">
        <v>1</v>
      </c>
      <c r="H127" s="3">
        <v>1</v>
      </c>
      <c r="I127" s="25">
        <v>0.74</v>
      </c>
      <c r="J127" s="55">
        <v>229</v>
      </c>
      <c r="K127" s="3">
        <v>0</v>
      </c>
      <c r="L127" s="5">
        <v>29.6</v>
      </c>
      <c r="M127" s="5">
        <f>(31650*100)/63000</f>
        <v>50.238095238095241</v>
      </c>
      <c r="N127" s="59">
        <v>0</v>
      </c>
      <c r="O127" s="5">
        <v>2512.1799999999998</v>
      </c>
      <c r="P127" s="59">
        <v>0</v>
      </c>
      <c r="Q127" s="59">
        <v>1</v>
      </c>
      <c r="R127" s="3">
        <v>15</v>
      </c>
      <c r="S127" s="3">
        <v>4</v>
      </c>
      <c r="T127" s="5">
        <v>1.1289783032828755</v>
      </c>
      <c r="U127" s="6">
        <v>9.9523448408778137E-2</v>
      </c>
      <c r="V127" s="16">
        <v>0</v>
      </c>
    </row>
    <row r="128" spans="1:22" x14ac:dyDescent="0.25">
      <c r="A128" s="15">
        <v>125</v>
      </c>
      <c r="B128" s="3">
        <v>2017</v>
      </c>
      <c r="C128" s="3" t="s">
        <v>134</v>
      </c>
      <c r="D128" s="3" t="s">
        <v>140</v>
      </c>
      <c r="E128" s="3" t="s">
        <v>113</v>
      </c>
      <c r="F128" s="51">
        <v>0</v>
      </c>
      <c r="G128" s="10">
        <v>0</v>
      </c>
      <c r="H128" s="3">
        <v>0</v>
      </c>
      <c r="I128" s="25">
        <v>0.28000000000000003</v>
      </c>
      <c r="J128" s="55">
        <v>12</v>
      </c>
      <c r="K128" s="3">
        <v>57</v>
      </c>
      <c r="L128" s="5">
        <v>17</v>
      </c>
      <c r="M128" s="5">
        <f>(7000*100)/6836</f>
        <v>102.3990637799883</v>
      </c>
      <c r="N128" s="59">
        <v>0</v>
      </c>
      <c r="O128" s="5">
        <v>319.22000000000003</v>
      </c>
      <c r="P128" s="59">
        <v>1</v>
      </c>
      <c r="Q128" s="59">
        <v>0</v>
      </c>
      <c r="R128" s="3">
        <v>4</v>
      </c>
      <c r="S128" s="3">
        <v>4</v>
      </c>
      <c r="T128" s="5">
        <v>21.884502558966677</v>
      </c>
      <c r="U128" s="6">
        <v>9.2725128160669108</v>
      </c>
      <c r="V128" s="16">
        <v>1</v>
      </c>
    </row>
    <row r="129" spans="1:22" x14ac:dyDescent="0.25">
      <c r="A129" s="15">
        <v>126</v>
      </c>
      <c r="B129" s="3">
        <v>2017</v>
      </c>
      <c r="C129" s="3" t="s">
        <v>126</v>
      </c>
      <c r="D129" s="3" t="s">
        <v>35</v>
      </c>
      <c r="E129" s="3" t="s">
        <v>111</v>
      </c>
      <c r="F129" s="51">
        <v>0</v>
      </c>
      <c r="G129" s="10">
        <v>0</v>
      </c>
      <c r="H129" s="3">
        <v>0</v>
      </c>
      <c r="I129" s="25">
        <v>0.78</v>
      </c>
      <c r="J129" s="55">
        <v>39</v>
      </c>
      <c r="K129" s="3">
        <v>0</v>
      </c>
      <c r="L129" s="5">
        <v>33.6</v>
      </c>
      <c r="M129" s="5">
        <v>124.98197837404886</v>
      </c>
      <c r="N129" s="59">
        <v>1</v>
      </c>
      <c r="O129" s="5">
        <v>505</v>
      </c>
      <c r="P129" s="59">
        <v>1</v>
      </c>
      <c r="Q129" s="59">
        <v>0</v>
      </c>
      <c r="R129" s="3">
        <v>11</v>
      </c>
      <c r="S129" s="3">
        <v>4</v>
      </c>
      <c r="T129" s="5">
        <v>16.152722298987754</v>
      </c>
      <c r="U129" s="6">
        <v>63.458604114289329</v>
      </c>
      <c r="V129" s="16">
        <v>1</v>
      </c>
    </row>
    <row r="130" spans="1:22" x14ac:dyDescent="0.25">
      <c r="A130" s="15">
        <v>127</v>
      </c>
      <c r="B130" s="3">
        <v>2017</v>
      </c>
      <c r="C130" s="3" t="s">
        <v>133</v>
      </c>
      <c r="D130" s="3" t="s">
        <v>136</v>
      </c>
      <c r="E130" s="3" t="s">
        <v>117</v>
      </c>
      <c r="F130" s="51">
        <v>0</v>
      </c>
      <c r="G130" s="10">
        <v>0</v>
      </c>
      <c r="H130" s="3">
        <v>0</v>
      </c>
      <c r="I130" s="25">
        <v>0.6</v>
      </c>
      <c r="J130" s="55">
        <v>29</v>
      </c>
      <c r="K130" s="3">
        <v>0</v>
      </c>
      <c r="L130" s="5">
        <v>19.5</v>
      </c>
      <c r="M130" s="5">
        <v>118.54106835152211</v>
      </c>
      <c r="N130" s="59">
        <v>0</v>
      </c>
      <c r="O130" s="5">
        <v>1082.02</v>
      </c>
      <c r="P130" s="59">
        <v>1</v>
      </c>
      <c r="Q130" s="59">
        <v>0</v>
      </c>
      <c r="R130" s="3">
        <v>1</v>
      </c>
      <c r="S130" s="3">
        <v>4</v>
      </c>
      <c r="T130" s="5">
        <v>14.257555613377864</v>
      </c>
      <c r="U130" s="6">
        <v>67.68731424169512</v>
      </c>
      <c r="V130" s="16">
        <v>1</v>
      </c>
    </row>
    <row r="131" spans="1:22" x14ac:dyDescent="0.25">
      <c r="A131" s="15">
        <v>128</v>
      </c>
      <c r="B131" s="3">
        <v>2018</v>
      </c>
      <c r="C131" s="3" t="s">
        <v>63</v>
      </c>
      <c r="D131" s="3" t="s">
        <v>7</v>
      </c>
      <c r="E131" s="3" t="s">
        <v>115</v>
      </c>
      <c r="F131" s="51">
        <v>0</v>
      </c>
      <c r="G131" s="10">
        <v>1</v>
      </c>
      <c r="H131" s="3">
        <v>2</v>
      </c>
      <c r="I131" s="25">
        <v>0.77</v>
      </c>
      <c r="J131" s="55">
        <v>148</v>
      </c>
      <c r="K131" s="3">
        <v>43</v>
      </c>
      <c r="L131" s="5">
        <v>20</v>
      </c>
      <c r="M131" s="5">
        <v>94.925869746048832</v>
      </c>
      <c r="N131" s="59">
        <v>1</v>
      </c>
      <c r="O131" s="5">
        <v>16741.669999999998</v>
      </c>
      <c r="P131" s="59">
        <v>0</v>
      </c>
      <c r="Q131" s="59">
        <v>1</v>
      </c>
      <c r="R131" s="3">
        <v>13</v>
      </c>
      <c r="S131" s="3">
        <v>3</v>
      </c>
      <c r="T131" s="5">
        <v>0.41706892878433016</v>
      </c>
      <c r="U131" s="6">
        <v>2.7501528685241858</v>
      </c>
      <c r="V131" s="16">
        <v>0</v>
      </c>
    </row>
    <row r="132" spans="1:22" x14ac:dyDescent="0.25">
      <c r="A132" s="15">
        <v>129</v>
      </c>
      <c r="B132" s="3">
        <v>2019</v>
      </c>
      <c r="C132" s="3" t="s">
        <v>137</v>
      </c>
      <c r="D132" s="3" t="s">
        <v>138</v>
      </c>
      <c r="E132" s="3" t="s">
        <v>115</v>
      </c>
      <c r="F132" s="51">
        <v>1</v>
      </c>
      <c r="G132" s="10">
        <v>1</v>
      </c>
      <c r="H132" s="3">
        <v>1</v>
      </c>
      <c r="I132" s="25">
        <v>0.37</v>
      </c>
      <c r="J132" s="55">
        <v>44</v>
      </c>
      <c r="K132" s="3">
        <v>30</v>
      </c>
      <c r="L132" s="5">
        <v>8.68</v>
      </c>
      <c r="M132" s="5">
        <v>40.29</v>
      </c>
      <c r="N132" s="59">
        <v>1</v>
      </c>
      <c r="O132" s="5">
        <v>1221.8599999999999</v>
      </c>
      <c r="P132" s="59">
        <v>0</v>
      </c>
      <c r="Q132" s="59">
        <v>1</v>
      </c>
      <c r="R132" s="3">
        <v>1</v>
      </c>
      <c r="S132" s="3">
        <v>2</v>
      </c>
      <c r="T132" s="5">
        <v>2.8752476536449758</v>
      </c>
      <c r="U132" s="6">
        <v>2.0132227119522947</v>
      </c>
      <c r="V132" s="16">
        <v>0</v>
      </c>
    </row>
    <row r="133" spans="1:22" x14ac:dyDescent="0.25">
      <c r="A133" s="43">
        <v>130</v>
      </c>
      <c r="B133" s="44">
        <v>2020</v>
      </c>
      <c r="C133" s="44" t="s">
        <v>63</v>
      </c>
      <c r="D133" s="44" t="s">
        <v>7</v>
      </c>
      <c r="E133" s="3" t="s">
        <v>115</v>
      </c>
      <c r="F133" s="52">
        <v>0</v>
      </c>
      <c r="G133" s="45">
        <v>1</v>
      </c>
      <c r="H133" s="44">
        <v>2</v>
      </c>
      <c r="I133" s="46">
        <v>0.78</v>
      </c>
      <c r="J133" s="56">
        <v>150</v>
      </c>
      <c r="K133" s="44">
        <v>45</v>
      </c>
      <c r="L133" s="47">
        <v>20</v>
      </c>
      <c r="M133" s="47">
        <v>94.925869746048832</v>
      </c>
      <c r="N133" s="60">
        <v>0</v>
      </c>
      <c r="O133" s="47">
        <v>16741.669999999998</v>
      </c>
      <c r="P133" s="60">
        <v>0</v>
      </c>
      <c r="Q133" s="60">
        <v>1</v>
      </c>
      <c r="R133" s="44">
        <v>13</v>
      </c>
      <c r="S133" s="44">
        <v>1</v>
      </c>
      <c r="T133" s="47">
        <v>0.42375434928707528</v>
      </c>
      <c r="U133" s="48">
        <v>2.7501528685241858</v>
      </c>
      <c r="V133" s="49">
        <v>0</v>
      </c>
    </row>
    <row r="134" spans="1:22" ht="15.75" thickBot="1" x14ac:dyDescent="0.3">
      <c r="A134" s="17">
        <v>131</v>
      </c>
      <c r="B134" s="18">
        <v>2021</v>
      </c>
      <c r="C134" s="18" t="s">
        <v>63</v>
      </c>
      <c r="D134" s="18" t="s">
        <v>7</v>
      </c>
      <c r="E134" s="18" t="s">
        <v>115</v>
      </c>
      <c r="F134" s="53">
        <v>0</v>
      </c>
      <c r="G134" s="11">
        <v>1</v>
      </c>
      <c r="H134" s="18">
        <v>2</v>
      </c>
      <c r="I134" s="26">
        <v>0.78</v>
      </c>
      <c r="J134" s="57">
        <v>151</v>
      </c>
      <c r="K134" s="18">
        <v>46</v>
      </c>
      <c r="L134" s="22">
        <v>20</v>
      </c>
      <c r="M134" s="22">
        <f>(38800*100)/40874</f>
        <v>94.925869746048832</v>
      </c>
      <c r="N134" s="61">
        <v>0</v>
      </c>
      <c r="O134" s="22">
        <v>16741.669999999998</v>
      </c>
      <c r="P134" s="61">
        <v>0</v>
      </c>
      <c r="Q134" s="61">
        <v>1</v>
      </c>
      <c r="R134" s="18">
        <v>13</v>
      </c>
      <c r="S134" s="18">
        <v>0</v>
      </c>
      <c r="T134" s="22">
        <v>0.42375434928707528</v>
      </c>
      <c r="U134" s="23">
        <v>2.7501528685241858</v>
      </c>
      <c r="V134" s="19">
        <v>0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2326E-8898-4B70-B643-99EB3329E8D5}">
  <dimension ref="A2:B23"/>
  <sheetViews>
    <sheetView tabSelected="1" topLeftCell="A13" workbookViewId="0">
      <selection activeCell="I4" sqref="I4"/>
    </sheetView>
  </sheetViews>
  <sheetFormatPr baseColWidth="10" defaultRowHeight="15" x14ac:dyDescent="0.25"/>
  <cols>
    <col min="1" max="1" width="23.140625" customWidth="1"/>
  </cols>
  <sheetData>
    <row r="2" spans="1:2" x14ac:dyDescent="0.25">
      <c r="A2" s="68" t="s">
        <v>139</v>
      </c>
      <c r="B2" t="s">
        <v>153</v>
      </c>
    </row>
    <row r="3" spans="1:2" x14ac:dyDescent="0.25">
      <c r="A3" s="68" t="s">
        <v>1</v>
      </c>
      <c r="B3" t="s">
        <v>159</v>
      </c>
    </row>
    <row r="4" spans="1:2" x14ac:dyDescent="0.25">
      <c r="A4" s="68" t="s">
        <v>2</v>
      </c>
      <c r="B4" t="s">
        <v>154</v>
      </c>
    </row>
    <row r="5" spans="1:2" x14ac:dyDescent="0.25">
      <c r="A5" s="68" t="s">
        <v>3</v>
      </c>
      <c r="B5" t="s">
        <v>155</v>
      </c>
    </row>
    <row r="6" spans="1:2" x14ac:dyDescent="0.25">
      <c r="A6" s="68" t="s">
        <v>135</v>
      </c>
      <c r="B6" t="s">
        <v>173</v>
      </c>
    </row>
    <row r="7" spans="1:2" x14ac:dyDescent="0.25">
      <c r="A7" s="68" t="s">
        <v>151</v>
      </c>
      <c r="B7" t="s">
        <v>160</v>
      </c>
    </row>
    <row r="8" spans="1:2" x14ac:dyDescent="0.25">
      <c r="A8" s="68" t="s">
        <v>37</v>
      </c>
      <c r="B8" t="s">
        <v>160</v>
      </c>
    </row>
    <row r="9" spans="1:2" x14ac:dyDescent="0.25">
      <c r="A9" s="68" t="s">
        <v>41</v>
      </c>
      <c r="B9" t="s">
        <v>161</v>
      </c>
    </row>
    <row r="10" spans="1:2" x14ac:dyDescent="0.25">
      <c r="A10" s="69" t="s">
        <v>38</v>
      </c>
      <c r="B10" t="s">
        <v>162</v>
      </c>
    </row>
    <row r="11" spans="1:2" x14ac:dyDescent="0.25">
      <c r="A11" s="69" t="s">
        <v>146</v>
      </c>
      <c r="B11" t="s">
        <v>163</v>
      </c>
    </row>
    <row r="12" spans="1:2" x14ac:dyDescent="0.25">
      <c r="A12" s="68" t="s">
        <v>39</v>
      </c>
      <c r="B12" t="s">
        <v>164</v>
      </c>
    </row>
    <row r="13" spans="1:2" x14ac:dyDescent="0.25">
      <c r="A13" s="69" t="s">
        <v>40</v>
      </c>
      <c r="B13" t="s">
        <v>156</v>
      </c>
    </row>
    <row r="14" spans="1:2" x14ac:dyDescent="0.25">
      <c r="A14" s="69" t="s">
        <v>43</v>
      </c>
      <c r="B14" t="s">
        <v>165</v>
      </c>
    </row>
    <row r="15" spans="1:2" x14ac:dyDescent="0.25">
      <c r="A15" s="69" t="s">
        <v>148</v>
      </c>
      <c r="B15" t="s">
        <v>166</v>
      </c>
    </row>
    <row r="16" spans="1:2" x14ac:dyDescent="0.25">
      <c r="A16" s="69" t="s">
        <v>46</v>
      </c>
      <c r="B16" t="s">
        <v>167</v>
      </c>
    </row>
    <row r="17" spans="1:2" x14ac:dyDescent="0.25">
      <c r="A17" s="69" t="s">
        <v>147</v>
      </c>
      <c r="B17" t="s">
        <v>157</v>
      </c>
    </row>
    <row r="18" spans="1:2" x14ac:dyDescent="0.25">
      <c r="A18" s="69" t="s">
        <v>150</v>
      </c>
      <c r="B18" t="s">
        <v>158</v>
      </c>
    </row>
    <row r="19" spans="1:2" x14ac:dyDescent="0.25">
      <c r="A19" s="68" t="s">
        <v>47</v>
      </c>
      <c r="B19" t="s">
        <v>168</v>
      </c>
    </row>
    <row r="20" spans="1:2" x14ac:dyDescent="0.25">
      <c r="A20" s="68" t="s">
        <v>42</v>
      </c>
      <c r="B20" t="s">
        <v>169</v>
      </c>
    </row>
    <row r="21" spans="1:2" x14ac:dyDescent="0.25">
      <c r="A21" s="69" t="s">
        <v>44</v>
      </c>
      <c r="B21" t="s">
        <v>170</v>
      </c>
    </row>
    <row r="22" spans="1:2" x14ac:dyDescent="0.25">
      <c r="A22" s="69" t="s">
        <v>45</v>
      </c>
      <c r="B22" t="s">
        <v>171</v>
      </c>
    </row>
    <row r="23" spans="1:2" x14ac:dyDescent="0.25">
      <c r="A23" s="68" t="s">
        <v>152</v>
      </c>
      <c r="B23" t="s">
        <v>172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3A47615-2578-40D6-9CC6-41C7EE2406E8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48A386A7-7C39-4872-9016-B3607DAFF65E}">
  <ds:schemaRefs>
    <ds:schemaRef ds:uri="http://www.w3.org/2001/XMLSchema"/>
    <ds:schemaRef ds:uri="http://microsoft.data.visualization.engine.tours/1.0"/>
  </ds:schemaRefs>
</ds:datastoreItem>
</file>

<file path=customXml/itemProps3.xml><?xml version="1.0" encoding="utf-8"?>
<ds:datastoreItem xmlns:ds="http://schemas.openxmlformats.org/officeDocument/2006/customXml" ds:itemID="{03A34E82-FFCB-4219-9A51-BC0946DDC7F8}">
  <ds:schemaRefs>
    <ds:schemaRef ds:uri="http://www.w3.org/2001/XMLSchema"/>
    <ds:schemaRef ds:uri="http://microsoft.data.visualization.Client.Excel.L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Jean-Baptiste Harguindeguy</cp:lastModifiedBy>
  <dcterms:created xsi:type="dcterms:W3CDTF">2020-06-19T09:00:21Z</dcterms:created>
  <dcterms:modified xsi:type="dcterms:W3CDTF">2024-04-10T17:19:25Z</dcterms:modified>
</cp:coreProperties>
</file>