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/>
  <mc:AlternateContent xmlns:mc="http://schemas.openxmlformats.org/markup-compatibility/2006">
    <mc:Choice Requires="x15">
      <x15ac:absPath xmlns:x15ac="http://schemas.microsoft.com/office/spreadsheetml/2010/11/ac" url="/Users/morfeldt/Downloads/"/>
    </mc:Choice>
  </mc:AlternateContent>
  <xr:revisionPtr revIDLastSave="0" documentId="13_ncr:1_{6AD1E945-1BAF-ED43-B1D7-6F922E85E01E}" xr6:coauthVersionLast="47" xr6:coauthVersionMax="47" xr10:uidLastSave="{00000000-0000-0000-0000-000000000000}"/>
  <bookViews>
    <workbookView xWindow="3920" yWindow="500" windowWidth="33600" windowHeight="20500" xr2:uid="{00000000-000D-0000-FFFF-FFFF00000000}"/>
  </bookViews>
  <sheets>
    <sheet name="INFO" sheetId="13" r:id="rId1"/>
    <sheet name="CalculationSheet" sheetId="4" r:id="rId2"/>
    <sheet name="Table 2" sheetId="10" r:id="rId3"/>
    <sheet name="Table 3" sheetId="9" r:id="rId4"/>
    <sheet name="Table 4" sheetId="8" r:id="rId5"/>
    <sheet name="SupplementaryTable1" sheetId="11" r:id="rId6"/>
    <sheet name="DataFromRScriptForCalculations" sheetId="12" r:id="rId7"/>
  </sheets>
  <definedNames>
    <definedName name="_xlnm._FilterDatabase" localSheetId="4" hidden="1">'Table 4'!$A$1:$I$39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" i="4" l="1"/>
  <c r="C4" i="4"/>
  <c r="D4" i="4"/>
  <c r="E4" i="4"/>
  <c r="F4" i="4"/>
  <c r="G4" i="4"/>
  <c r="H4" i="4"/>
  <c r="I4" i="4"/>
  <c r="J4" i="4"/>
  <c r="K4" i="4"/>
  <c r="L4" i="4"/>
  <c r="M4" i="4"/>
  <c r="N4" i="4"/>
  <c r="O4" i="4"/>
  <c r="P4" i="4"/>
  <c r="Q4" i="4"/>
  <c r="R4" i="4"/>
  <c r="B5" i="4"/>
  <c r="C5" i="4"/>
  <c r="D5" i="4"/>
  <c r="E5" i="4"/>
  <c r="F5" i="4"/>
  <c r="G5" i="4"/>
  <c r="H5" i="4"/>
  <c r="I5" i="4"/>
  <c r="J5" i="4"/>
  <c r="K5" i="4"/>
  <c r="L5" i="4"/>
  <c r="M5" i="4"/>
  <c r="N5" i="4"/>
  <c r="O5" i="4"/>
  <c r="P5" i="4"/>
  <c r="Q5" i="4"/>
  <c r="R5" i="4"/>
  <c r="B6" i="4"/>
  <c r="C6" i="4"/>
  <c r="D6" i="4"/>
  <c r="E6" i="4"/>
  <c r="F6" i="4"/>
  <c r="G6" i="4"/>
  <c r="H6" i="4"/>
  <c r="I6" i="4"/>
  <c r="J6" i="4"/>
  <c r="K6" i="4"/>
  <c r="L6" i="4"/>
  <c r="M6" i="4"/>
  <c r="N6" i="4"/>
  <c r="O6" i="4"/>
  <c r="P6" i="4"/>
  <c r="Q6" i="4"/>
  <c r="R6" i="4"/>
  <c r="B7" i="4"/>
  <c r="C7" i="4"/>
  <c r="D7" i="4"/>
  <c r="E7" i="4"/>
  <c r="F7" i="4"/>
  <c r="G7" i="4"/>
  <c r="H7" i="4"/>
  <c r="I7" i="4"/>
  <c r="J7" i="4"/>
  <c r="K7" i="4"/>
  <c r="L7" i="4"/>
  <c r="M7" i="4"/>
  <c r="N7" i="4"/>
  <c r="O7" i="4"/>
  <c r="P7" i="4"/>
  <c r="Q7" i="4"/>
  <c r="R7" i="4"/>
  <c r="B8" i="4"/>
  <c r="C8" i="4"/>
  <c r="D8" i="4"/>
  <c r="E8" i="4"/>
  <c r="F8" i="4"/>
  <c r="G8" i="4"/>
  <c r="H8" i="4"/>
  <c r="I8" i="4"/>
  <c r="J8" i="4"/>
  <c r="K8" i="4"/>
  <c r="L8" i="4"/>
  <c r="M8" i="4"/>
  <c r="N8" i="4"/>
  <c r="O8" i="4"/>
  <c r="P8" i="4"/>
  <c r="Q8" i="4"/>
  <c r="R8" i="4"/>
  <c r="B9" i="4"/>
  <c r="C9" i="4"/>
  <c r="D9" i="4"/>
  <c r="E9" i="4"/>
  <c r="F9" i="4"/>
  <c r="G9" i="4"/>
  <c r="H9" i="4"/>
  <c r="I9" i="4"/>
  <c r="J9" i="4"/>
  <c r="K9" i="4"/>
  <c r="L9" i="4"/>
  <c r="M9" i="4"/>
  <c r="N9" i="4"/>
  <c r="O9" i="4"/>
  <c r="P9" i="4"/>
  <c r="Q9" i="4"/>
  <c r="R9" i="4"/>
  <c r="B10" i="4"/>
  <c r="C10" i="4"/>
  <c r="D10" i="4"/>
  <c r="E10" i="4"/>
  <c r="F10" i="4"/>
  <c r="G10" i="4"/>
  <c r="H10" i="4"/>
  <c r="I10" i="4"/>
  <c r="J10" i="4"/>
  <c r="K10" i="4"/>
  <c r="L10" i="4"/>
  <c r="M10" i="4"/>
  <c r="N10" i="4"/>
  <c r="O10" i="4"/>
  <c r="P10" i="4"/>
  <c r="Q10" i="4"/>
  <c r="R10" i="4"/>
  <c r="B11" i="4"/>
  <c r="C11" i="4"/>
  <c r="D11" i="4"/>
  <c r="E11" i="4"/>
  <c r="F11" i="4"/>
  <c r="G11" i="4"/>
  <c r="H11" i="4"/>
  <c r="I11" i="4"/>
  <c r="J11" i="4"/>
  <c r="K11" i="4"/>
  <c r="L11" i="4"/>
  <c r="M11" i="4"/>
  <c r="N11" i="4"/>
  <c r="O11" i="4"/>
  <c r="P11" i="4"/>
  <c r="Q11" i="4"/>
  <c r="R11" i="4"/>
  <c r="B12" i="4"/>
  <c r="C12" i="4"/>
  <c r="D12" i="4"/>
  <c r="E12" i="4"/>
  <c r="F12" i="4"/>
  <c r="G12" i="4"/>
  <c r="H12" i="4"/>
  <c r="I12" i="4"/>
  <c r="J12" i="4"/>
  <c r="K12" i="4"/>
  <c r="L12" i="4"/>
  <c r="M12" i="4"/>
  <c r="N12" i="4"/>
  <c r="O12" i="4"/>
  <c r="P12" i="4"/>
  <c r="Q12" i="4"/>
  <c r="R12" i="4"/>
  <c r="B13" i="4"/>
  <c r="C13" i="4"/>
  <c r="D13" i="4"/>
  <c r="E13" i="4"/>
  <c r="F13" i="4"/>
  <c r="G13" i="4"/>
  <c r="H13" i="4"/>
  <c r="I13" i="4"/>
  <c r="J13" i="4"/>
  <c r="C34" i="8" s="1"/>
  <c r="K13" i="4"/>
  <c r="L13" i="4"/>
  <c r="M13" i="4"/>
  <c r="N13" i="4"/>
  <c r="O13" i="4"/>
  <c r="P13" i="4"/>
  <c r="Q13" i="4"/>
  <c r="R13" i="4"/>
  <c r="B14" i="4"/>
  <c r="C14" i="4"/>
  <c r="D14" i="4"/>
  <c r="E14" i="4"/>
  <c r="F14" i="4"/>
  <c r="G14" i="4"/>
  <c r="H14" i="4"/>
  <c r="I14" i="4"/>
  <c r="J14" i="4"/>
  <c r="K14" i="4"/>
  <c r="L14" i="4"/>
  <c r="M14" i="4"/>
  <c r="N14" i="4"/>
  <c r="O14" i="4"/>
  <c r="P14" i="4"/>
  <c r="Q14" i="4"/>
  <c r="R14" i="4"/>
  <c r="B15" i="4"/>
  <c r="C15" i="4"/>
  <c r="D15" i="4"/>
  <c r="E15" i="4"/>
  <c r="F15" i="4"/>
  <c r="G15" i="4"/>
  <c r="H15" i="4"/>
  <c r="I15" i="4"/>
  <c r="J15" i="4"/>
  <c r="C8" i="8" s="1"/>
  <c r="K15" i="4"/>
  <c r="L15" i="4"/>
  <c r="M15" i="4"/>
  <c r="N15" i="4"/>
  <c r="O15" i="4"/>
  <c r="P15" i="4"/>
  <c r="Q15" i="4"/>
  <c r="R15" i="4"/>
  <c r="B16" i="4"/>
  <c r="C16" i="4"/>
  <c r="D16" i="4"/>
  <c r="E16" i="4"/>
  <c r="F16" i="4"/>
  <c r="G16" i="4"/>
  <c r="H16" i="4"/>
  <c r="I16" i="4"/>
  <c r="J16" i="4"/>
  <c r="K16" i="4"/>
  <c r="L16" i="4"/>
  <c r="M16" i="4"/>
  <c r="N16" i="4"/>
  <c r="O16" i="4"/>
  <c r="P16" i="4"/>
  <c r="Q16" i="4"/>
  <c r="R16" i="4"/>
  <c r="B17" i="4"/>
  <c r="C17" i="4"/>
  <c r="D17" i="4"/>
  <c r="E17" i="4"/>
  <c r="F17" i="4"/>
  <c r="G17" i="4"/>
  <c r="H17" i="4"/>
  <c r="I17" i="4"/>
  <c r="J17" i="4"/>
  <c r="C22" i="8" s="1"/>
  <c r="K17" i="4"/>
  <c r="L17" i="4"/>
  <c r="M17" i="4"/>
  <c r="N17" i="4"/>
  <c r="O17" i="4"/>
  <c r="P17" i="4"/>
  <c r="Q17" i="4"/>
  <c r="R17" i="4"/>
  <c r="B18" i="4"/>
  <c r="C18" i="4"/>
  <c r="D18" i="4"/>
  <c r="E18" i="4"/>
  <c r="F18" i="4"/>
  <c r="G18" i="4"/>
  <c r="H18" i="4"/>
  <c r="I18" i="4"/>
  <c r="J18" i="4"/>
  <c r="K18" i="4"/>
  <c r="L18" i="4"/>
  <c r="M18" i="4"/>
  <c r="N18" i="4"/>
  <c r="O18" i="4"/>
  <c r="P18" i="4"/>
  <c r="Q18" i="4"/>
  <c r="R18" i="4"/>
  <c r="B19" i="4"/>
  <c r="C19" i="4"/>
  <c r="D19" i="4"/>
  <c r="E19" i="4"/>
  <c r="F19" i="4"/>
  <c r="G19" i="4"/>
  <c r="H19" i="4"/>
  <c r="I19" i="4"/>
  <c r="J19" i="4"/>
  <c r="C23" i="8" s="1"/>
  <c r="K19" i="4"/>
  <c r="L19" i="4"/>
  <c r="M19" i="4"/>
  <c r="N19" i="4"/>
  <c r="O19" i="4"/>
  <c r="P19" i="4"/>
  <c r="Q19" i="4"/>
  <c r="R19" i="4"/>
  <c r="B20" i="4"/>
  <c r="C20" i="4"/>
  <c r="D20" i="4"/>
  <c r="E20" i="4"/>
  <c r="F20" i="4"/>
  <c r="G20" i="4"/>
  <c r="H20" i="4"/>
  <c r="I20" i="4"/>
  <c r="J20" i="4"/>
  <c r="K20" i="4"/>
  <c r="L20" i="4"/>
  <c r="M20" i="4"/>
  <c r="N20" i="4"/>
  <c r="O20" i="4"/>
  <c r="P20" i="4"/>
  <c r="Q20" i="4"/>
  <c r="R20" i="4"/>
  <c r="B21" i="4"/>
  <c r="C21" i="4"/>
  <c r="D21" i="4"/>
  <c r="E21" i="4"/>
  <c r="F21" i="4"/>
  <c r="G21" i="4"/>
  <c r="H21" i="4"/>
  <c r="I21" i="4"/>
  <c r="J21" i="4"/>
  <c r="C17" i="8" s="1"/>
  <c r="K21" i="4"/>
  <c r="L21" i="4"/>
  <c r="M21" i="4"/>
  <c r="N21" i="4"/>
  <c r="O21" i="4"/>
  <c r="P21" i="4"/>
  <c r="Q21" i="4"/>
  <c r="R21" i="4"/>
  <c r="B22" i="4"/>
  <c r="C22" i="4"/>
  <c r="D22" i="4"/>
  <c r="E22" i="4"/>
  <c r="F22" i="4"/>
  <c r="G22" i="4"/>
  <c r="H22" i="4"/>
  <c r="I22" i="4"/>
  <c r="J22" i="4"/>
  <c r="K22" i="4"/>
  <c r="L22" i="4"/>
  <c r="M22" i="4"/>
  <c r="N22" i="4"/>
  <c r="O22" i="4"/>
  <c r="P22" i="4"/>
  <c r="Q22" i="4"/>
  <c r="R22" i="4"/>
  <c r="B23" i="4"/>
  <c r="C23" i="4"/>
  <c r="D23" i="4"/>
  <c r="E23" i="4"/>
  <c r="F23" i="4"/>
  <c r="G23" i="4"/>
  <c r="H23" i="4"/>
  <c r="I23" i="4"/>
  <c r="J23" i="4"/>
  <c r="K23" i="4"/>
  <c r="L23" i="4"/>
  <c r="M23" i="4"/>
  <c r="N23" i="4"/>
  <c r="O23" i="4"/>
  <c r="P23" i="4"/>
  <c r="Q23" i="4"/>
  <c r="R23" i="4"/>
  <c r="B24" i="4"/>
  <c r="C24" i="4"/>
  <c r="D24" i="4"/>
  <c r="E24" i="4"/>
  <c r="F24" i="4"/>
  <c r="G24" i="4"/>
  <c r="H24" i="4"/>
  <c r="I24" i="4"/>
  <c r="J24" i="4"/>
  <c r="K24" i="4"/>
  <c r="L24" i="4"/>
  <c r="M24" i="4"/>
  <c r="N24" i="4"/>
  <c r="O24" i="4"/>
  <c r="P24" i="4"/>
  <c r="Q24" i="4"/>
  <c r="R24" i="4"/>
  <c r="B25" i="4"/>
  <c r="C25" i="4"/>
  <c r="D25" i="4"/>
  <c r="E25" i="4"/>
  <c r="F25" i="4"/>
  <c r="G25" i="4"/>
  <c r="H25" i="4"/>
  <c r="I25" i="4"/>
  <c r="J25" i="4"/>
  <c r="C38" i="8" s="1"/>
  <c r="K25" i="4"/>
  <c r="L25" i="4"/>
  <c r="M25" i="4"/>
  <c r="N25" i="4"/>
  <c r="O25" i="4"/>
  <c r="P25" i="4"/>
  <c r="Q25" i="4"/>
  <c r="R25" i="4"/>
  <c r="B26" i="4"/>
  <c r="C26" i="4"/>
  <c r="D26" i="4"/>
  <c r="E26" i="4"/>
  <c r="F26" i="4"/>
  <c r="G26" i="4"/>
  <c r="H26" i="4"/>
  <c r="I26" i="4"/>
  <c r="J26" i="4"/>
  <c r="K26" i="4"/>
  <c r="L26" i="4"/>
  <c r="M26" i="4"/>
  <c r="N26" i="4"/>
  <c r="O26" i="4"/>
  <c r="P26" i="4"/>
  <c r="Q26" i="4"/>
  <c r="R26" i="4"/>
  <c r="B27" i="4"/>
  <c r="C27" i="4"/>
  <c r="D27" i="4"/>
  <c r="E27" i="4"/>
  <c r="F27" i="4"/>
  <c r="G27" i="4"/>
  <c r="H27" i="4"/>
  <c r="I27" i="4"/>
  <c r="J27" i="4"/>
  <c r="K27" i="4"/>
  <c r="L27" i="4"/>
  <c r="M27" i="4"/>
  <c r="N27" i="4"/>
  <c r="O27" i="4"/>
  <c r="P27" i="4"/>
  <c r="Q27" i="4"/>
  <c r="R27" i="4"/>
  <c r="B28" i="4"/>
  <c r="C28" i="4"/>
  <c r="D28" i="4"/>
  <c r="E28" i="4"/>
  <c r="F28" i="4"/>
  <c r="G28" i="4"/>
  <c r="H28" i="4"/>
  <c r="I28" i="4"/>
  <c r="J28" i="4"/>
  <c r="K28" i="4"/>
  <c r="L28" i="4"/>
  <c r="M28" i="4"/>
  <c r="N28" i="4"/>
  <c r="O28" i="4"/>
  <c r="P28" i="4"/>
  <c r="Q28" i="4"/>
  <c r="R28" i="4"/>
  <c r="B29" i="4"/>
  <c r="C29" i="4"/>
  <c r="D29" i="4"/>
  <c r="E29" i="4"/>
  <c r="F29" i="4"/>
  <c r="G29" i="4"/>
  <c r="H29" i="4"/>
  <c r="I29" i="4"/>
  <c r="J29" i="4"/>
  <c r="C24" i="8" s="1"/>
  <c r="K29" i="4"/>
  <c r="L29" i="4"/>
  <c r="M29" i="4"/>
  <c r="N29" i="4"/>
  <c r="O29" i="4"/>
  <c r="P29" i="4"/>
  <c r="Q29" i="4"/>
  <c r="R29" i="4"/>
  <c r="B30" i="4"/>
  <c r="C30" i="4"/>
  <c r="D30" i="4"/>
  <c r="E30" i="4"/>
  <c r="F30" i="4"/>
  <c r="G30" i="4"/>
  <c r="H30" i="4"/>
  <c r="I30" i="4"/>
  <c r="J30" i="4"/>
  <c r="C25" i="8" s="1"/>
  <c r="K30" i="4"/>
  <c r="L30" i="4"/>
  <c r="M30" i="4"/>
  <c r="N30" i="4"/>
  <c r="O30" i="4"/>
  <c r="P30" i="4"/>
  <c r="Q30" i="4"/>
  <c r="R30" i="4"/>
  <c r="B31" i="4"/>
  <c r="C31" i="4"/>
  <c r="D31" i="4"/>
  <c r="E31" i="4"/>
  <c r="F31" i="4"/>
  <c r="G31" i="4"/>
  <c r="H31" i="4"/>
  <c r="I31" i="4"/>
  <c r="J31" i="4"/>
  <c r="C35" i="8" s="1"/>
  <c r="K31" i="4"/>
  <c r="L31" i="4"/>
  <c r="M31" i="4"/>
  <c r="N31" i="4"/>
  <c r="O31" i="4"/>
  <c r="P31" i="4"/>
  <c r="Q31" i="4"/>
  <c r="R31" i="4"/>
  <c r="B32" i="4"/>
  <c r="C32" i="4"/>
  <c r="D32" i="4"/>
  <c r="E32" i="4"/>
  <c r="F32" i="4"/>
  <c r="G32" i="4"/>
  <c r="H32" i="4"/>
  <c r="I32" i="4"/>
  <c r="J32" i="4"/>
  <c r="C27" i="8" s="1"/>
  <c r="K32" i="4"/>
  <c r="L32" i="4"/>
  <c r="M32" i="4"/>
  <c r="N32" i="4"/>
  <c r="O32" i="4"/>
  <c r="P32" i="4"/>
  <c r="Q32" i="4"/>
  <c r="R32" i="4"/>
  <c r="B33" i="4"/>
  <c r="C33" i="4"/>
  <c r="D33" i="4"/>
  <c r="E33" i="4"/>
  <c r="F33" i="4"/>
  <c r="G33" i="4"/>
  <c r="H33" i="4"/>
  <c r="I33" i="4"/>
  <c r="J33" i="4"/>
  <c r="C30" i="8" s="1"/>
  <c r="K33" i="4"/>
  <c r="L33" i="4"/>
  <c r="M33" i="4"/>
  <c r="N33" i="4"/>
  <c r="O33" i="4"/>
  <c r="P33" i="4"/>
  <c r="Q33" i="4"/>
  <c r="R33" i="4"/>
  <c r="B34" i="4"/>
  <c r="C34" i="4"/>
  <c r="D34" i="4"/>
  <c r="E34" i="4"/>
  <c r="F34" i="4"/>
  <c r="G34" i="4"/>
  <c r="H34" i="4"/>
  <c r="I34" i="4"/>
  <c r="J34" i="4"/>
  <c r="C21" i="8" s="1"/>
  <c r="K34" i="4"/>
  <c r="L34" i="4"/>
  <c r="M34" i="4"/>
  <c r="N34" i="4"/>
  <c r="O34" i="4"/>
  <c r="P34" i="4"/>
  <c r="Q34" i="4"/>
  <c r="R34" i="4"/>
  <c r="B35" i="4"/>
  <c r="C35" i="4"/>
  <c r="D35" i="4"/>
  <c r="E35" i="4"/>
  <c r="F35" i="4"/>
  <c r="G35" i="4"/>
  <c r="H35" i="4"/>
  <c r="I35" i="4"/>
  <c r="J35" i="4"/>
  <c r="C18" i="8" s="1"/>
  <c r="K35" i="4"/>
  <c r="L35" i="4"/>
  <c r="M35" i="4"/>
  <c r="N35" i="4"/>
  <c r="O35" i="4"/>
  <c r="P35" i="4"/>
  <c r="Q35" i="4"/>
  <c r="R35" i="4"/>
  <c r="B36" i="4"/>
  <c r="C36" i="4"/>
  <c r="D36" i="4"/>
  <c r="E36" i="4"/>
  <c r="F36" i="4"/>
  <c r="G36" i="4"/>
  <c r="H36" i="4"/>
  <c r="I36" i="4"/>
  <c r="J36" i="4"/>
  <c r="C39" i="8" s="1"/>
  <c r="K36" i="4"/>
  <c r="L36" i="4"/>
  <c r="M36" i="4"/>
  <c r="N36" i="4"/>
  <c r="O36" i="4"/>
  <c r="P36" i="4"/>
  <c r="Q36" i="4"/>
  <c r="R36" i="4"/>
  <c r="B37" i="4"/>
  <c r="C37" i="4"/>
  <c r="D37" i="4"/>
  <c r="E37" i="4"/>
  <c r="F37" i="4"/>
  <c r="G37" i="4"/>
  <c r="H37" i="4"/>
  <c r="I37" i="4"/>
  <c r="J37" i="4"/>
  <c r="C26" i="8" s="1"/>
  <c r="K37" i="4"/>
  <c r="L37" i="4"/>
  <c r="M37" i="4"/>
  <c r="N37" i="4"/>
  <c r="O37" i="4"/>
  <c r="P37" i="4"/>
  <c r="Q37" i="4"/>
  <c r="R37" i="4"/>
  <c r="B38" i="4"/>
  <c r="C38" i="4"/>
  <c r="D38" i="4"/>
  <c r="E38" i="4"/>
  <c r="F38" i="4"/>
  <c r="G38" i="4"/>
  <c r="H38" i="4"/>
  <c r="I38" i="4"/>
  <c r="J38" i="4"/>
  <c r="C36" i="8" s="1"/>
  <c r="K38" i="4"/>
  <c r="L38" i="4"/>
  <c r="M38" i="4"/>
  <c r="N38" i="4"/>
  <c r="O38" i="4"/>
  <c r="P38" i="4"/>
  <c r="Q38" i="4"/>
  <c r="R38" i="4"/>
  <c r="B39" i="4"/>
  <c r="C39" i="4"/>
  <c r="D39" i="4"/>
  <c r="E39" i="4"/>
  <c r="F39" i="4"/>
  <c r="G39" i="4"/>
  <c r="H39" i="4"/>
  <c r="I39" i="4"/>
  <c r="J39" i="4"/>
  <c r="C32" i="8" s="1"/>
  <c r="K39" i="4"/>
  <c r="L39" i="4"/>
  <c r="M39" i="4"/>
  <c r="N39" i="4"/>
  <c r="O39" i="4"/>
  <c r="P39" i="4"/>
  <c r="Q39" i="4"/>
  <c r="R39" i="4"/>
  <c r="B40" i="4"/>
  <c r="C40" i="4"/>
  <c r="D40" i="4"/>
  <c r="E40" i="4"/>
  <c r="F40" i="4"/>
  <c r="G40" i="4"/>
  <c r="H40" i="4"/>
  <c r="I40" i="4"/>
  <c r="J40" i="4"/>
  <c r="K40" i="4"/>
  <c r="L40" i="4"/>
  <c r="M40" i="4"/>
  <c r="N40" i="4"/>
  <c r="O40" i="4"/>
  <c r="P40" i="4"/>
  <c r="Q40" i="4"/>
  <c r="R40" i="4"/>
  <c r="I21" i="8"/>
  <c r="F21" i="8" s="1"/>
  <c r="D21" i="8"/>
  <c r="A21" i="8"/>
  <c r="I20" i="8"/>
  <c r="F20" i="8" s="1"/>
  <c r="D20" i="8"/>
  <c r="C20" i="8"/>
  <c r="A20" i="8"/>
  <c r="I38" i="8"/>
  <c r="F38" i="8" s="1"/>
  <c r="D38" i="8"/>
  <c r="A38" i="8"/>
  <c r="I37" i="8"/>
  <c r="F37" i="8"/>
  <c r="D37" i="8"/>
  <c r="C37" i="8"/>
  <c r="A37" i="8"/>
  <c r="I36" i="8"/>
  <c r="F36" i="8" s="1"/>
  <c r="D36" i="8"/>
  <c r="A36" i="8"/>
  <c r="I35" i="8"/>
  <c r="F35" i="8" s="1"/>
  <c r="D35" i="8"/>
  <c r="A35" i="8"/>
  <c r="I19" i="8"/>
  <c r="F19" i="8"/>
  <c r="D19" i="8"/>
  <c r="A19" i="8"/>
  <c r="I34" i="8"/>
  <c r="F34" i="8" s="1"/>
  <c r="D34" i="8"/>
  <c r="A34" i="8"/>
  <c r="I18" i="8"/>
  <c r="F18" i="8" s="1"/>
  <c r="D18" i="8"/>
  <c r="A18" i="8"/>
  <c r="I33" i="8"/>
  <c r="F33" i="8"/>
  <c r="D33" i="8"/>
  <c r="C33" i="8"/>
  <c r="A33" i="8"/>
  <c r="I17" i="8"/>
  <c r="F17" i="8" s="1"/>
  <c r="D17" i="8"/>
  <c r="A17" i="8"/>
  <c r="I32" i="8"/>
  <c r="F32" i="8" s="1"/>
  <c r="D32" i="8"/>
  <c r="A32" i="8"/>
  <c r="I39" i="8"/>
  <c r="F39" i="8"/>
  <c r="D39" i="8"/>
  <c r="A39" i="8"/>
  <c r="I31" i="8"/>
  <c r="F31" i="8" s="1"/>
  <c r="D31" i="8"/>
  <c r="C31" i="8"/>
  <c r="A31" i="8"/>
  <c r="I30" i="8"/>
  <c r="F30" i="8"/>
  <c r="D30" i="8"/>
  <c r="A30" i="8"/>
  <c r="I29" i="8"/>
  <c r="F29" i="8" s="1"/>
  <c r="D29" i="8"/>
  <c r="C29" i="8"/>
  <c r="A29" i="8"/>
  <c r="I28" i="8"/>
  <c r="F28" i="8" s="1"/>
  <c r="D28" i="8"/>
  <c r="C28" i="8"/>
  <c r="A28" i="8"/>
  <c r="I26" i="8"/>
  <c r="F26" i="8" s="1"/>
  <c r="D26" i="8"/>
  <c r="A26" i="8"/>
  <c r="I27" i="8"/>
  <c r="F27" i="8"/>
  <c r="D27" i="8"/>
  <c r="A27" i="8"/>
  <c r="I25" i="8"/>
  <c r="F25" i="8" s="1"/>
  <c r="D25" i="8"/>
  <c r="A25" i="8"/>
  <c r="I24" i="8"/>
  <c r="F24" i="8" s="1"/>
  <c r="D24" i="8"/>
  <c r="A24" i="8"/>
  <c r="I23" i="8"/>
  <c r="F23" i="8" s="1"/>
  <c r="D23" i="8"/>
  <c r="A23" i="8"/>
  <c r="I22" i="8"/>
  <c r="F22" i="8"/>
  <c r="D22" i="8"/>
  <c r="A22" i="8"/>
  <c r="I16" i="8"/>
  <c r="F16" i="8" s="1"/>
  <c r="C16" i="8"/>
  <c r="A16" i="8"/>
  <c r="I15" i="8"/>
  <c r="F15" i="8"/>
  <c r="D15" i="8"/>
  <c r="C15" i="8"/>
  <c r="A15" i="8"/>
  <c r="I14" i="8"/>
  <c r="F14" i="8" s="1"/>
  <c r="D14" i="8"/>
  <c r="C14" i="8"/>
  <c r="A14" i="8"/>
  <c r="I13" i="8"/>
  <c r="F13" i="8" s="1"/>
  <c r="D13" i="8"/>
  <c r="C13" i="8"/>
  <c r="A13" i="8"/>
  <c r="I12" i="8"/>
  <c r="F12" i="8" s="1"/>
  <c r="D12" i="8"/>
  <c r="C12" i="8"/>
  <c r="A12" i="8"/>
  <c r="I11" i="8"/>
  <c r="F11" i="8" s="1"/>
  <c r="D11" i="8"/>
  <c r="C11" i="8"/>
  <c r="A11" i="8"/>
  <c r="I10" i="8"/>
  <c r="F10" i="8" s="1"/>
  <c r="D10" i="8"/>
  <c r="C10" i="8"/>
  <c r="A10" i="8"/>
  <c r="I9" i="8"/>
  <c r="F9" i="8" s="1"/>
  <c r="D9" i="8"/>
  <c r="C9" i="8"/>
  <c r="A9" i="8"/>
  <c r="I8" i="8"/>
  <c r="F8" i="8" s="1"/>
  <c r="D8" i="8"/>
  <c r="A8" i="8"/>
  <c r="I7" i="8"/>
  <c r="F7" i="8"/>
  <c r="D7" i="8"/>
  <c r="C7" i="8"/>
  <c r="A7" i="8"/>
  <c r="I6" i="8"/>
  <c r="F6" i="8" s="1"/>
  <c r="D6" i="8"/>
  <c r="C6" i="8"/>
  <c r="A6" i="8"/>
  <c r="I5" i="8"/>
  <c r="F5" i="8" s="1"/>
  <c r="D5" i="8"/>
  <c r="C5" i="8"/>
  <c r="A5" i="8"/>
  <c r="I4" i="8"/>
  <c r="F4" i="8" s="1"/>
  <c r="D4" i="8"/>
  <c r="C4" i="8"/>
  <c r="A4" i="8"/>
  <c r="I3" i="8"/>
  <c r="F3" i="8" s="1"/>
  <c r="D3" i="8"/>
  <c r="C3" i="8"/>
  <c r="A3" i="8"/>
  <c r="I2" i="8"/>
  <c r="F2" i="8" s="1"/>
  <c r="D2" i="8"/>
  <c r="C2" i="8"/>
  <c r="A2" i="8"/>
  <c r="F17" i="9"/>
  <c r="B17" i="9"/>
  <c r="F16" i="9"/>
  <c r="F15" i="9"/>
  <c r="B14" i="9"/>
  <c r="F13" i="9"/>
  <c r="F12" i="9"/>
  <c r="B12" i="9"/>
  <c r="F11" i="9"/>
  <c r="B11" i="9"/>
  <c r="F10" i="9"/>
  <c r="F9" i="9"/>
  <c r="B9" i="9"/>
  <c r="F6" i="9"/>
  <c r="B6" i="9"/>
  <c r="F5" i="9"/>
  <c r="B5" i="9"/>
  <c r="B4" i="9"/>
  <c r="B3" i="9"/>
  <c r="B2" i="9"/>
  <c r="AC41" i="4"/>
  <c r="U41" i="4"/>
  <c r="R41" i="4"/>
  <c r="Q41" i="4"/>
  <c r="P41" i="4"/>
  <c r="O41" i="4"/>
  <c r="N41" i="4"/>
  <c r="M41" i="4"/>
  <c r="L41" i="4"/>
  <c r="K41" i="4"/>
  <c r="I41" i="4"/>
  <c r="H41" i="4"/>
  <c r="G41" i="4"/>
  <c r="S41" i="4" s="1"/>
  <c r="F41" i="4"/>
  <c r="E41" i="4"/>
  <c r="D41" i="4"/>
  <c r="C41" i="4"/>
  <c r="B41" i="4"/>
  <c r="R3" i="4"/>
  <c r="Q3" i="4"/>
  <c r="P3" i="4"/>
  <c r="O3" i="4"/>
  <c r="N3" i="4"/>
  <c r="M3" i="4"/>
  <c r="L3" i="4"/>
  <c r="K3" i="4"/>
  <c r="J3" i="4"/>
  <c r="C19" i="8" s="1"/>
  <c r="I3" i="4"/>
  <c r="H3" i="4"/>
  <c r="G3" i="4"/>
  <c r="S3" i="4" s="1"/>
  <c r="F3" i="4"/>
  <c r="E3" i="4"/>
  <c r="D3" i="4"/>
  <c r="C3" i="4"/>
  <c r="B3" i="4"/>
  <c r="AC3" i="4" l="1"/>
  <c r="U3" i="4"/>
  <c r="T3" i="4"/>
  <c r="AD3" i="4"/>
  <c r="V3" i="4"/>
  <c r="W3" i="4" s="1"/>
  <c r="S5" i="4"/>
  <c r="T5" i="4" s="1"/>
  <c r="C9" i="9" s="1"/>
  <c r="S7" i="4"/>
  <c r="S9" i="4"/>
  <c r="T9" i="4" s="1"/>
  <c r="S11" i="4"/>
  <c r="T11" i="4" s="1"/>
  <c r="C16" i="9" s="1"/>
  <c r="S13" i="4"/>
  <c r="T13" i="4" s="1"/>
  <c r="C3" i="9" s="1"/>
  <c r="S15" i="4"/>
  <c r="T15" i="4" s="1"/>
  <c r="S17" i="4"/>
  <c r="T17" i="4" s="1"/>
  <c r="C15" i="9" s="1"/>
  <c r="S19" i="4"/>
  <c r="T19" i="4" s="1"/>
  <c r="S21" i="4"/>
  <c r="T21" i="4" s="1"/>
  <c r="S23" i="4"/>
  <c r="T23" i="4" s="1"/>
  <c r="S25" i="4"/>
  <c r="T25" i="4" s="1"/>
  <c r="S27" i="4"/>
  <c r="T27" i="4" s="1"/>
  <c r="S29" i="4"/>
  <c r="T29" i="4" s="1"/>
  <c r="C10" i="9" s="1"/>
  <c r="S31" i="4"/>
  <c r="T31" i="4" s="1"/>
  <c r="S33" i="4"/>
  <c r="T33" i="4" s="1"/>
  <c r="S35" i="4"/>
  <c r="T35" i="4" s="1"/>
  <c r="S37" i="4"/>
  <c r="T37" i="4" s="1"/>
  <c r="S39" i="4"/>
  <c r="T39" i="4" s="1"/>
  <c r="T41" i="4"/>
  <c r="AD41" i="4"/>
  <c r="V41" i="4"/>
  <c r="W41" i="4" s="1"/>
  <c r="U5" i="4"/>
  <c r="U6" i="4"/>
  <c r="U7" i="4"/>
  <c r="U9" i="4"/>
  <c r="U16" i="4"/>
  <c r="V16" i="4" s="1"/>
  <c r="U19" i="4"/>
  <c r="U20" i="4"/>
  <c r="V20" i="4" s="1"/>
  <c r="U22" i="4"/>
  <c r="V22" i="4" s="1"/>
  <c r="U23" i="4"/>
  <c r="U24" i="4"/>
  <c r="V24" i="4" s="1"/>
  <c r="U25" i="4"/>
  <c r="V25" i="4" s="1"/>
  <c r="W25" i="4" s="1"/>
  <c r="U26" i="4"/>
  <c r="V26" i="4" s="1"/>
  <c r="U35" i="4"/>
  <c r="V35" i="4" s="1"/>
  <c r="U36" i="4"/>
  <c r="V36" i="4" s="1"/>
  <c r="U38" i="4"/>
  <c r="V38" i="4" s="1"/>
  <c r="AC5" i="4"/>
  <c r="AC6" i="4"/>
  <c r="AD6" i="4" s="1"/>
  <c r="AC7" i="4"/>
  <c r="AC9" i="4"/>
  <c r="AC10" i="4"/>
  <c r="AC12" i="4"/>
  <c r="AD12" i="4" s="1"/>
  <c r="AC13" i="4"/>
  <c r="AC15" i="4"/>
  <c r="AC16" i="4"/>
  <c r="AC19" i="4"/>
  <c r="AC20" i="4"/>
  <c r="AC21" i="4"/>
  <c r="AC22" i="4"/>
  <c r="AD22" i="4" s="1"/>
  <c r="AC23" i="4"/>
  <c r="AC24" i="4"/>
  <c r="AC25" i="4"/>
  <c r="AC26" i="4"/>
  <c r="AD26" i="4" s="1"/>
  <c r="AC33" i="4"/>
  <c r="AC34" i="4"/>
  <c r="AD34" i="4" s="1"/>
  <c r="AC35" i="4"/>
  <c r="AD35" i="4" s="1"/>
  <c r="AC36" i="4"/>
  <c r="AD36" i="4" s="1"/>
  <c r="AC37" i="4"/>
  <c r="AD37" i="4" s="1"/>
  <c r="AC38" i="4"/>
  <c r="AC39" i="4"/>
  <c r="AD39" i="4" s="1"/>
  <c r="S40" i="4"/>
  <c r="U39" i="4"/>
  <c r="V39" i="4" s="1"/>
  <c r="F2" i="9"/>
  <c r="AD38" i="4"/>
  <c r="S38" i="4"/>
  <c r="T38" i="4" s="1"/>
  <c r="U37" i="4"/>
  <c r="V37" i="4" s="1"/>
  <c r="F14" i="9"/>
  <c r="S36" i="4"/>
  <c r="T36" i="4" s="1"/>
  <c r="AE36" i="4" s="1"/>
  <c r="U34" i="4"/>
  <c r="V34" i="4" s="1"/>
  <c r="S34" i="4"/>
  <c r="T34" i="4" s="1"/>
  <c r="AD33" i="4"/>
  <c r="U33" i="4"/>
  <c r="V33" i="4" s="1"/>
  <c r="W33" i="4" s="1"/>
  <c r="S32" i="4"/>
  <c r="T32" i="4" s="1"/>
  <c r="S30" i="4"/>
  <c r="T30" i="4" s="1"/>
  <c r="S28" i="4"/>
  <c r="S26" i="4"/>
  <c r="T26" i="4" s="1"/>
  <c r="AE26" i="4" s="1"/>
  <c r="AF26" i="4" s="1"/>
  <c r="AG26" i="4" s="1"/>
  <c r="AH26" i="4" s="1"/>
  <c r="AI26" i="4" s="1"/>
  <c r="AJ26" i="4" s="1"/>
  <c r="AK26" i="4" s="1"/>
  <c r="AD25" i="4"/>
  <c r="AD24" i="4"/>
  <c r="S24" i="4"/>
  <c r="T24" i="4" s="1"/>
  <c r="AE24" i="4" s="1"/>
  <c r="AF24" i="4" s="1"/>
  <c r="AG24" i="4" s="1"/>
  <c r="AH24" i="4" s="1"/>
  <c r="AI24" i="4" s="1"/>
  <c r="AJ24" i="4" s="1"/>
  <c r="AK24" i="4" s="1"/>
  <c r="AD23" i="4"/>
  <c r="S22" i="4"/>
  <c r="T22" i="4" s="1"/>
  <c r="AE22" i="4" s="1"/>
  <c r="AF22" i="4" s="1"/>
  <c r="AG22" i="4" s="1"/>
  <c r="AH22" i="4" s="1"/>
  <c r="AI22" i="4" s="1"/>
  <c r="AJ22" i="4" s="1"/>
  <c r="AK22" i="4" s="1"/>
  <c r="U21" i="4"/>
  <c r="AD20" i="4"/>
  <c r="S20" i="4"/>
  <c r="T20" i="4" s="1"/>
  <c r="AE20" i="4" s="1"/>
  <c r="AF20" i="4" s="1"/>
  <c r="AG20" i="4" s="1"/>
  <c r="AH20" i="4" s="1"/>
  <c r="AI20" i="4" s="1"/>
  <c r="AJ20" i="4" s="1"/>
  <c r="AK20" i="4" s="1"/>
  <c r="U18" i="4"/>
  <c r="V18" i="4" s="1"/>
  <c r="S18" i="4"/>
  <c r="T18" i="4" s="1"/>
  <c r="C6" i="9" s="1"/>
  <c r="AD16" i="4"/>
  <c r="S16" i="4"/>
  <c r="T16" i="4" s="1"/>
  <c r="U15" i="4"/>
  <c r="S14" i="4"/>
  <c r="U13" i="4"/>
  <c r="F3" i="9"/>
  <c r="U12" i="4"/>
  <c r="V12" i="4" s="1"/>
  <c r="S12" i="4"/>
  <c r="T12" i="4" s="1"/>
  <c r="C17" i="9" s="1"/>
  <c r="AD10" i="4"/>
  <c r="U10" i="4"/>
  <c r="S10" i="4"/>
  <c r="T10" i="4" s="1"/>
  <c r="S8" i="4"/>
  <c r="T8" i="4" s="1"/>
  <c r="C12" i="9" s="1"/>
  <c r="T7" i="4"/>
  <c r="S6" i="4"/>
  <c r="T6" i="4" s="1"/>
  <c r="C5" i="9" s="1"/>
  <c r="S4" i="4"/>
  <c r="T4" i="4" s="1"/>
  <c r="C4" i="9"/>
  <c r="AE38" i="4"/>
  <c r="W38" i="4"/>
  <c r="E4" i="9" s="1"/>
  <c r="D4" i="9"/>
  <c r="AE39" i="4"/>
  <c r="C2" i="9"/>
  <c r="C7" i="9" s="1"/>
  <c r="B15" i="9"/>
  <c r="AC17" i="4"/>
  <c r="U17" i="4"/>
  <c r="C14" i="9"/>
  <c r="W37" i="4"/>
  <c r="D14" i="9"/>
  <c r="W36" i="4"/>
  <c r="V23" i="4"/>
  <c r="W23" i="4" s="1"/>
  <c r="AC8" i="4"/>
  <c r="AD8" i="4" s="1"/>
  <c r="AE8" i="4" s="1"/>
  <c r="U8" i="4"/>
  <c r="AE6" i="4"/>
  <c r="U4" i="4"/>
  <c r="V4" i="4" s="1"/>
  <c r="W4" i="4" s="1"/>
  <c r="AC4" i="4"/>
  <c r="AD4" i="4" s="1"/>
  <c r="AC30" i="4"/>
  <c r="U30" i="4"/>
  <c r="V30" i="4" s="1"/>
  <c r="W30" i="4" s="1"/>
  <c r="AC28" i="4"/>
  <c r="AD28" i="4" s="1"/>
  <c r="U28" i="4"/>
  <c r="V28" i="4" s="1"/>
  <c r="AC27" i="4"/>
  <c r="AD27" i="4" s="1"/>
  <c r="AE27" i="4" s="1"/>
  <c r="AF27" i="4" s="1"/>
  <c r="AG27" i="4" s="1"/>
  <c r="AH27" i="4" s="1"/>
  <c r="AI27" i="4" s="1"/>
  <c r="AJ27" i="4" s="1"/>
  <c r="AK27" i="4" s="1"/>
  <c r="U27" i="4"/>
  <c r="V27" i="4" s="1"/>
  <c r="W27" i="4" s="1"/>
  <c r="X27" i="4" s="1"/>
  <c r="Y27" i="4" s="1"/>
  <c r="Z27" i="4" s="1"/>
  <c r="AA27" i="4" s="1"/>
  <c r="W22" i="4"/>
  <c r="X22" i="4" s="1"/>
  <c r="Y22" i="4" s="1"/>
  <c r="Z22" i="4" s="1"/>
  <c r="AA22" i="4" s="1"/>
  <c r="C11" i="9"/>
  <c r="AC14" i="4"/>
  <c r="AD14" i="4" s="1"/>
  <c r="U14" i="4"/>
  <c r="V14" i="4" s="1"/>
  <c r="AE4" i="4"/>
  <c r="AC40" i="4"/>
  <c r="AD40" i="4" s="1"/>
  <c r="U40" i="4"/>
  <c r="V40" i="4" s="1"/>
  <c r="AE34" i="4"/>
  <c r="AC29" i="4"/>
  <c r="B10" i="9"/>
  <c r="U29" i="4"/>
  <c r="V29" i="4" s="1"/>
  <c r="AE23" i="4"/>
  <c r="V10" i="4"/>
  <c r="W10" i="4" s="1"/>
  <c r="X10" i="4" s="1"/>
  <c r="Y10" i="4" s="1"/>
  <c r="Z10" i="4" s="1"/>
  <c r="AA10" i="4" s="1"/>
  <c r="U32" i="4"/>
  <c r="V32" i="4" s="1"/>
  <c r="B13" i="9"/>
  <c r="AC31" i="4"/>
  <c r="U31" i="4"/>
  <c r="AC18" i="4"/>
  <c r="AD18" i="4" s="1"/>
  <c r="AE18" i="4"/>
  <c r="W39" i="4"/>
  <c r="E2" i="9" s="1"/>
  <c r="D2" i="9"/>
  <c r="C13" i="9"/>
  <c r="AD30" i="4"/>
  <c r="AE12" i="4"/>
  <c r="AF12" i="4" s="1"/>
  <c r="AG12" i="4" s="1"/>
  <c r="AH12" i="4" s="1"/>
  <c r="AI12" i="4" s="1"/>
  <c r="AJ12" i="4" s="1"/>
  <c r="AK12" i="4" s="1"/>
  <c r="V7" i="4"/>
  <c r="W7" i="4" s="1"/>
  <c r="AD7" i="4"/>
  <c r="AE7" i="4" s="1"/>
  <c r="AF7" i="4" s="1"/>
  <c r="AG7" i="4" s="1"/>
  <c r="AH7" i="4" s="1"/>
  <c r="AI7" i="4" s="1"/>
  <c r="AJ7" i="4" s="1"/>
  <c r="AK7" i="4" s="1"/>
  <c r="F4" i="9"/>
  <c r="B7" i="9"/>
  <c r="W34" i="4"/>
  <c r="AE30" i="4"/>
  <c r="AD29" i="4"/>
  <c r="AE29" i="4" s="1"/>
  <c r="T28" i="4"/>
  <c r="T14" i="4"/>
  <c r="AE14" i="4" s="1"/>
  <c r="AF14" i="4" s="1"/>
  <c r="AG14" i="4" s="1"/>
  <c r="AH14" i="4" s="1"/>
  <c r="AI14" i="4" s="1"/>
  <c r="AJ14" i="4" s="1"/>
  <c r="AK14" i="4" s="1"/>
  <c r="AC11" i="4"/>
  <c r="AD11" i="4" s="1"/>
  <c r="AE11" i="4" s="1"/>
  <c r="AF11" i="4" s="1"/>
  <c r="AG11" i="4" s="1"/>
  <c r="AH11" i="4" s="1"/>
  <c r="AI11" i="4" s="1"/>
  <c r="AJ11" i="4" s="1"/>
  <c r="AK11" i="4" s="1"/>
  <c r="U11" i="4"/>
  <c r="B16" i="9"/>
  <c r="T40" i="4"/>
  <c r="AC32" i="4"/>
  <c r="V19" i="4"/>
  <c r="W19" i="4" s="1"/>
  <c r="AD19" i="4"/>
  <c r="AE19" i="4" s="1"/>
  <c r="AE25" i="4"/>
  <c r="V17" i="4"/>
  <c r="AD17" i="4"/>
  <c r="AE17" i="4" s="1"/>
  <c r="V11" i="4"/>
  <c r="V9" i="4"/>
  <c r="W9" i="4" s="1"/>
  <c r="X9" i="4" s="1"/>
  <c r="Y9" i="4" s="1"/>
  <c r="Z9" i="4" s="1"/>
  <c r="AA9" i="4" s="1"/>
  <c r="AD9" i="4"/>
  <c r="V8" i="4"/>
  <c r="AD32" i="4"/>
  <c r="AE32" i="4" s="1"/>
  <c r="V31" i="4"/>
  <c r="W31" i="4" s="1"/>
  <c r="V21" i="4"/>
  <c r="W21" i="4" s="1"/>
  <c r="AD21" i="4"/>
  <c r="AE21" i="4" s="1"/>
  <c r="AE9" i="4"/>
  <c r="AF9" i="4" s="1"/>
  <c r="AG9" i="4" s="1"/>
  <c r="AH9" i="4" s="1"/>
  <c r="AI9" i="4" s="1"/>
  <c r="AJ9" i="4" s="1"/>
  <c r="AK9" i="4" s="1"/>
  <c r="V5" i="4"/>
  <c r="AD5" i="4"/>
  <c r="W35" i="4"/>
  <c r="AD31" i="4"/>
  <c r="AE31" i="4"/>
  <c r="V15" i="4"/>
  <c r="AD15" i="4"/>
  <c r="AE15" i="4" s="1"/>
  <c r="AF15" i="4" s="1"/>
  <c r="AG15" i="4" s="1"/>
  <c r="AH15" i="4" s="1"/>
  <c r="AI15" i="4" s="1"/>
  <c r="AJ15" i="4" s="1"/>
  <c r="AK15" i="4" s="1"/>
  <c r="AE5" i="4"/>
  <c r="AF5" i="4" s="1"/>
  <c r="AG5" i="4" s="1"/>
  <c r="AH5" i="4" s="1"/>
  <c r="AI5" i="4" s="1"/>
  <c r="AJ5" i="4" s="1"/>
  <c r="AK5" i="4" s="1"/>
  <c r="AE33" i="4"/>
  <c r="V13" i="4"/>
  <c r="AD13" i="4"/>
  <c r="AE13" i="4" s="1"/>
  <c r="V6" i="4"/>
  <c r="W28" i="4" l="1"/>
  <c r="X28" i="4" s="1"/>
  <c r="Y28" i="4" s="1"/>
  <c r="Z28" i="4" s="1"/>
  <c r="AA28" i="4" s="1"/>
  <c r="AE10" i="4"/>
  <c r="AF10" i="4" s="1"/>
  <c r="AG10" i="4" s="1"/>
  <c r="AH10" i="4" s="1"/>
  <c r="AI10" i="4" s="1"/>
  <c r="AJ10" i="4" s="1"/>
  <c r="AK10" i="4" s="1"/>
  <c r="W12" i="4"/>
  <c r="D17" i="9"/>
  <c r="AE16" i="4"/>
  <c r="AF16" i="4" s="1"/>
  <c r="AG16" i="4" s="1"/>
  <c r="AH16" i="4" s="1"/>
  <c r="AI16" i="4" s="1"/>
  <c r="AJ16" i="4" s="1"/>
  <c r="AK16" i="4" s="1"/>
  <c r="W18" i="4"/>
  <c r="E6" i="9" s="1"/>
  <c r="D6" i="9"/>
  <c r="W26" i="4"/>
  <c r="X26" i="4" s="1"/>
  <c r="Y26" i="4" s="1"/>
  <c r="Z26" i="4" s="1"/>
  <c r="AA26" i="4" s="1"/>
  <c r="W24" i="4"/>
  <c r="X24" i="4" s="1"/>
  <c r="Y24" i="4" s="1"/>
  <c r="Z24" i="4" s="1"/>
  <c r="AA24" i="4" s="1"/>
  <c r="W20" i="4"/>
  <c r="X20" i="4" s="1"/>
  <c r="Y20" i="4" s="1"/>
  <c r="Z20" i="4" s="1"/>
  <c r="AA20" i="4" s="1"/>
  <c r="W16" i="4"/>
  <c r="X16" i="4" s="1"/>
  <c r="Y16" i="4" s="1"/>
  <c r="Z16" i="4" s="1"/>
  <c r="AA16" i="4" s="1"/>
  <c r="AE41" i="4"/>
  <c r="AE37" i="4"/>
  <c r="AE35" i="4"/>
  <c r="AF35" i="4" s="1"/>
  <c r="AG35" i="4" s="1"/>
  <c r="AH35" i="4" s="1"/>
  <c r="AI35" i="4" s="1"/>
  <c r="AJ35" i="4" s="1"/>
  <c r="AK35" i="4" s="1"/>
  <c r="AE3" i="4"/>
  <c r="AF3" i="4" s="1"/>
  <c r="AG3" i="4" s="1"/>
  <c r="B18" i="9"/>
  <c r="C18" i="9"/>
  <c r="D13" i="9"/>
  <c r="W32" i="4"/>
  <c r="AB27" i="4"/>
  <c r="G14" i="8"/>
  <c r="AB28" i="4"/>
  <c r="G15" i="8"/>
  <c r="AE40" i="4"/>
  <c r="AF40" i="4" s="1"/>
  <c r="AG40" i="4" s="1"/>
  <c r="AH40" i="4" s="1"/>
  <c r="AI40" i="4" s="1"/>
  <c r="AJ40" i="4" s="1"/>
  <c r="AK40" i="4" s="1"/>
  <c r="W15" i="4"/>
  <c r="D11" i="9"/>
  <c r="D5" i="9"/>
  <c r="W6" i="4"/>
  <c r="E5" i="9" s="1"/>
  <c r="AE28" i="4"/>
  <c r="AF28" i="4" s="1"/>
  <c r="AG28" i="4" s="1"/>
  <c r="AH28" i="4" s="1"/>
  <c r="AI28" i="4" s="1"/>
  <c r="AJ28" i="4" s="1"/>
  <c r="AK28" i="4" s="1"/>
  <c r="AH3" i="4"/>
  <c r="AB22" i="4"/>
  <c r="G11" i="8"/>
  <c r="W8" i="4"/>
  <c r="D12" i="9"/>
  <c r="W14" i="4"/>
  <c r="X14" i="4" s="1"/>
  <c r="Y14" i="4" s="1"/>
  <c r="Z14" i="4" s="1"/>
  <c r="AA14" i="4" s="1"/>
  <c r="W5" i="4"/>
  <c r="D9" i="9"/>
  <c r="W40" i="4"/>
  <c r="X40" i="4" s="1"/>
  <c r="Y40" i="4" s="1"/>
  <c r="Z40" i="4" s="1"/>
  <c r="AA40" i="4" s="1"/>
  <c r="W13" i="4"/>
  <c r="E3" i="9" s="1"/>
  <c r="D3" i="9"/>
  <c r="D7" i="9" s="1"/>
  <c r="W17" i="4"/>
  <c r="D15" i="9"/>
  <c r="AB10" i="4"/>
  <c r="G4" i="8"/>
  <c r="AB9" i="4"/>
  <c r="G3" i="8"/>
  <c r="W29" i="4"/>
  <c r="D10" i="9"/>
  <c r="W11" i="4"/>
  <c r="D16" i="9"/>
  <c r="E14" i="9"/>
  <c r="W47" i="4" l="1"/>
  <c r="AB16" i="4"/>
  <c r="G9" i="8"/>
  <c r="AB20" i="4"/>
  <c r="G10" i="8"/>
  <c r="AB24" i="4"/>
  <c r="G12" i="8"/>
  <c r="AB26" i="4"/>
  <c r="G13" i="8"/>
  <c r="X12" i="4"/>
  <c r="Y12" i="4" s="1"/>
  <c r="Z12" i="4" s="1"/>
  <c r="AA12" i="4" s="1"/>
  <c r="E17" i="9"/>
  <c r="X3" i="4"/>
  <c r="X25" i="4"/>
  <c r="X33" i="4"/>
  <c r="X18" i="4"/>
  <c r="X19" i="4"/>
  <c r="X4" i="4"/>
  <c r="X38" i="4"/>
  <c r="X31" i="4"/>
  <c r="X23" i="4"/>
  <c r="X30" i="4"/>
  <c r="X37" i="4"/>
  <c r="X36" i="4"/>
  <c r="X35" i="4"/>
  <c r="Y35" i="4" s="1"/>
  <c r="Z35" i="4" s="1"/>
  <c r="AA35" i="4" s="1"/>
  <c r="G18" i="8" s="1"/>
  <c r="X7" i="4"/>
  <c r="Y7" i="4" s="1"/>
  <c r="Z7" i="4" s="1"/>
  <c r="AA7" i="4" s="1"/>
  <c r="G20" i="8" s="1"/>
  <c r="X39" i="4"/>
  <c r="X21" i="4"/>
  <c r="E4" i="8"/>
  <c r="B4" i="8"/>
  <c r="G7" i="8"/>
  <c r="AB14" i="4"/>
  <c r="E16" i="9"/>
  <c r="X11" i="4"/>
  <c r="Y11" i="4" s="1"/>
  <c r="Z11" i="4" s="1"/>
  <c r="AA11" i="4" s="1"/>
  <c r="AI3" i="4"/>
  <c r="E7" i="9"/>
  <c r="X32" i="4"/>
  <c r="E13" i="9"/>
  <c r="X15" i="4"/>
  <c r="Y15" i="4" s="1"/>
  <c r="Z15" i="4" s="1"/>
  <c r="AA15" i="4" s="1"/>
  <c r="E11" i="9"/>
  <c r="E14" i="8"/>
  <c r="B14" i="8"/>
  <c r="X8" i="4"/>
  <c r="E12" i="9"/>
  <c r="G16" i="8"/>
  <c r="AB40" i="4"/>
  <c r="X6" i="4"/>
  <c r="X29" i="4"/>
  <c r="E10" i="9"/>
  <c r="E15" i="9"/>
  <c r="X17" i="4"/>
  <c r="E3" i="8"/>
  <c r="B3" i="8"/>
  <c r="D18" i="9"/>
  <c r="E11" i="8"/>
  <c r="B11" i="8"/>
  <c r="X13" i="4"/>
  <c r="X5" i="4"/>
  <c r="Y5" i="4" s="1"/>
  <c r="Z5" i="4" s="1"/>
  <c r="AA5" i="4" s="1"/>
  <c r="E9" i="9"/>
  <c r="AE47" i="4"/>
  <c r="AE42" i="4" s="1"/>
  <c r="E15" i="8"/>
  <c r="B15" i="8"/>
  <c r="AB12" i="4" l="1"/>
  <c r="G6" i="8"/>
  <c r="E13" i="8"/>
  <c r="B13" i="8"/>
  <c r="E12" i="8"/>
  <c r="B12" i="8"/>
  <c r="E10" i="8"/>
  <c r="B10" i="8"/>
  <c r="E9" i="8"/>
  <c r="B9" i="8"/>
  <c r="X34" i="4"/>
  <c r="Y34" i="4" s="1"/>
  <c r="Z34" i="4" s="1"/>
  <c r="AA34" i="4" s="1"/>
  <c r="G21" i="8" s="1"/>
  <c r="W42" i="4"/>
  <c r="AB34" i="4"/>
  <c r="E7" i="8"/>
  <c r="B7" i="8"/>
  <c r="AF36" i="4"/>
  <c r="AG36" i="4" s="1"/>
  <c r="AH36" i="4" s="1"/>
  <c r="AI36" i="4" s="1"/>
  <c r="AJ36" i="4" s="1"/>
  <c r="AK36" i="4" s="1"/>
  <c r="AF37" i="4"/>
  <c r="AF21" i="4"/>
  <c r="AG21" i="4" s="1"/>
  <c r="AH21" i="4" s="1"/>
  <c r="AI21" i="4" s="1"/>
  <c r="AJ21" i="4" s="1"/>
  <c r="AK21" i="4" s="1"/>
  <c r="AF17" i="4"/>
  <c r="AF8" i="4"/>
  <c r="AG8" i="4" s="1"/>
  <c r="AH8" i="4" s="1"/>
  <c r="AI8" i="4" s="1"/>
  <c r="AJ8" i="4" s="1"/>
  <c r="AK8" i="4" s="1"/>
  <c r="AF6" i="4"/>
  <c r="AF13" i="4"/>
  <c r="AG13" i="4" s="1"/>
  <c r="AH13" i="4" s="1"/>
  <c r="AI13" i="4" s="1"/>
  <c r="AJ13" i="4" s="1"/>
  <c r="AK13" i="4" s="1"/>
  <c r="AF32" i="4"/>
  <c r="AG32" i="4" s="1"/>
  <c r="AH32" i="4" s="1"/>
  <c r="AI32" i="4" s="1"/>
  <c r="AJ32" i="4" s="1"/>
  <c r="AK32" i="4" s="1"/>
  <c r="AF30" i="4"/>
  <c r="AF29" i="4"/>
  <c r="AF39" i="4"/>
  <c r="AF23" i="4"/>
  <c r="AG23" i="4" s="1"/>
  <c r="AH23" i="4" s="1"/>
  <c r="AI23" i="4" s="1"/>
  <c r="AJ23" i="4" s="1"/>
  <c r="AK23" i="4" s="1"/>
  <c r="AF38" i="4"/>
  <c r="AG38" i="4" s="1"/>
  <c r="AH38" i="4" s="1"/>
  <c r="AI38" i="4" s="1"/>
  <c r="AJ38" i="4" s="1"/>
  <c r="AK38" i="4" s="1"/>
  <c r="AF31" i="4"/>
  <c r="AF25" i="4"/>
  <c r="AG25" i="4" s="1"/>
  <c r="AH25" i="4" s="1"/>
  <c r="AI25" i="4" s="1"/>
  <c r="AJ25" i="4" s="1"/>
  <c r="AK25" i="4" s="1"/>
  <c r="AF4" i="4"/>
  <c r="AF33" i="4"/>
  <c r="AF19" i="4"/>
  <c r="AF34" i="4"/>
  <c r="AG34" i="4" s="1"/>
  <c r="AH34" i="4" s="1"/>
  <c r="AI34" i="4" s="1"/>
  <c r="AJ34" i="4" s="1"/>
  <c r="AK34" i="4" s="1"/>
  <c r="AF18" i="4"/>
  <c r="E18" i="9"/>
  <c r="B16" i="8"/>
  <c r="E16" i="8"/>
  <c r="AJ3" i="4"/>
  <c r="AK3" i="4" s="1"/>
  <c r="G8" i="8"/>
  <c r="AB15" i="4"/>
  <c r="AB7" i="4"/>
  <c r="AB35" i="4"/>
  <c r="G2" i="8"/>
  <c r="AB5" i="4"/>
  <c r="AB11" i="4"/>
  <c r="G5" i="8"/>
  <c r="X41" i="4"/>
  <c r="Y3" i="4"/>
  <c r="X42" i="4"/>
  <c r="E6" i="8" l="1"/>
  <c r="B6" i="8"/>
  <c r="Y39" i="4"/>
  <c r="Y8" i="4"/>
  <c r="Y30" i="4"/>
  <c r="E20" i="8"/>
  <c r="B20" i="8"/>
  <c r="Y29" i="4"/>
  <c r="Y4" i="4"/>
  <c r="Y32" i="4"/>
  <c r="Y25" i="4"/>
  <c r="E8" i="8"/>
  <c r="B8" i="8"/>
  <c r="Y6" i="4"/>
  <c r="Y33" i="4"/>
  <c r="B18" i="8"/>
  <c r="E18" i="8"/>
  <c r="Y18" i="4"/>
  <c r="E21" i="8"/>
  <c r="B21" i="8"/>
  <c r="Y36" i="4"/>
  <c r="Z3" i="4"/>
  <c r="E2" i="8"/>
  <c r="B2" i="8"/>
  <c r="Y23" i="4"/>
  <c r="Y31" i="4"/>
  <c r="Y21" i="4"/>
  <c r="Z21" i="4" s="1"/>
  <c r="AA21" i="4" s="1"/>
  <c r="G17" i="8" s="1"/>
  <c r="Y37" i="4"/>
  <c r="Y38" i="4"/>
  <c r="Y13" i="4"/>
  <c r="E5" i="8"/>
  <c r="B5" i="8"/>
  <c r="Y17" i="4"/>
  <c r="AF41" i="4"/>
  <c r="AF42" i="4"/>
  <c r="AG19" i="4" s="1"/>
  <c r="AH19" i="4" s="1"/>
  <c r="AI19" i="4" s="1"/>
  <c r="AJ19" i="4" s="1"/>
  <c r="AK19" i="4" s="1"/>
  <c r="Y19" i="4"/>
  <c r="AG17" i="4" l="1"/>
  <c r="AH17" i="4" s="1"/>
  <c r="AI17" i="4" s="1"/>
  <c r="AJ17" i="4" s="1"/>
  <c r="AK17" i="4" s="1"/>
  <c r="AG18" i="4"/>
  <c r="AH18" i="4" s="1"/>
  <c r="AI18" i="4" s="1"/>
  <c r="AJ18" i="4" s="1"/>
  <c r="AK18" i="4" s="1"/>
  <c r="AG39" i="4"/>
  <c r="AG6" i="4"/>
  <c r="AH6" i="4" s="1"/>
  <c r="AI6" i="4" s="1"/>
  <c r="AJ6" i="4" s="1"/>
  <c r="AK6" i="4" s="1"/>
  <c r="AG37" i="4"/>
  <c r="AG33" i="4"/>
  <c r="AH33" i="4" s="1"/>
  <c r="AI33" i="4" s="1"/>
  <c r="AJ33" i="4" s="1"/>
  <c r="AK33" i="4" s="1"/>
  <c r="AG29" i="4"/>
  <c r="AG31" i="4"/>
  <c r="AH31" i="4" s="1"/>
  <c r="AI31" i="4" s="1"/>
  <c r="AJ31" i="4" s="1"/>
  <c r="AK31" i="4" s="1"/>
  <c r="AG30" i="4"/>
  <c r="AG4" i="4"/>
  <c r="Y41" i="4"/>
  <c r="AB21" i="4"/>
  <c r="AA3" i="4"/>
  <c r="G19" i="8" s="1"/>
  <c r="Y42" i="4"/>
  <c r="Z36" i="4" s="1"/>
  <c r="AA36" i="4" s="1"/>
  <c r="G39" i="8" s="1"/>
  <c r="AB36" i="4" l="1"/>
  <c r="Z37" i="4"/>
  <c r="AA37" i="4" s="1"/>
  <c r="G26" i="8" s="1"/>
  <c r="Z25" i="4"/>
  <c r="AA25" i="4" s="1"/>
  <c r="G38" i="8" s="1"/>
  <c r="Z38" i="4"/>
  <c r="AA38" i="4" s="1"/>
  <c r="G36" i="8" s="1"/>
  <c r="Z19" i="4"/>
  <c r="AA19" i="4" s="1"/>
  <c r="G23" i="8" s="1"/>
  <c r="Z32" i="4"/>
  <c r="AA32" i="4" s="1"/>
  <c r="G27" i="8" s="1"/>
  <c r="AG42" i="4"/>
  <c r="AH4" i="4" s="1"/>
  <c r="AG41" i="4"/>
  <c r="Z4" i="4"/>
  <c r="Z33" i="4"/>
  <c r="AA33" i="4" s="1"/>
  <c r="G30" i="8" s="1"/>
  <c r="AH37" i="4"/>
  <c r="Z39" i="4"/>
  <c r="AA39" i="4" s="1"/>
  <c r="G32" i="8" s="1"/>
  <c r="Z8" i="4"/>
  <c r="AA8" i="4" s="1"/>
  <c r="G28" i="8" s="1"/>
  <c r="Z30" i="4"/>
  <c r="AA30" i="4" s="1"/>
  <c r="G25" i="8" s="1"/>
  <c r="Z18" i="4"/>
  <c r="AA18" i="4" s="1"/>
  <c r="G33" i="8" s="1"/>
  <c r="AB3" i="4"/>
  <c r="Z29" i="4"/>
  <c r="AA29" i="4" s="1"/>
  <c r="G24" i="8" s="1"/>
  <c r="Z31" i="4"/>
  <c r="AA31" i="4" s="1"/>
  <c r="G35" i="8" s="1"/>
  <c r="AH29" i="4"/>
  <c r="Z17" i="4"/>
  <c r="AA17" i="4" s="1"/>
  <c r="G22" i="8" s="1"/>
  <c r="AH30" i="4"/>
  <c r="Z23" i="4"/>
  <c r="AA23" i="4" s="1"/>
  <c r="G37" i="8" s="1"/>
  <c r="E17" i="8"/>
  <c r="B17" i="8"/>
  <c r="Z6" i="4"/>
  <c r="AA6" i="4" s="1"/>
  <c r="G29" i="8" s="1"/>
  <c r="Z13" i="4"/>
  <c r="AA13" i="4" s="1"/>
  <c r="G34" i="8" s="1"/>
  <c r="AI4" i="4" l="1"/>
  <c r="AB32" i="4"/>
  <c r="AB13" i="4"/>
  <c r="AB29" i="4"/>
  <c r="B19" i="8"/>
  <c r="E19" i="8"/>
  <c r="AA4" i="4"/>
  <c r="G31" i="8" s="1"/>
  <c r="Z42" i="4"/>
  <c r="Z41" i="4"/>
  <c r="AA41" i="4" s="1"/>
  <c r="AB41" i="4" s="1"/>
  <c r="AB37" i="4"/>
  <c r="AB8" i="4"/>
  <c r="AB19" i="4"/>
  <c r="AB33" i="4"/>
  <c r="AH39" i="4"/>
  <c r="AH41" i="4" s="1"/>
  <c r="AB6" i="4"/>
  <c r="AB23" i="4"/>
  <c r="AB18" i="4"/>
  <c r="AB17" i="4"/>
  <c r="AB39" i="4"/>
  <c r="AB31" i="4"/>
  <c r="AB38" i="4"/>
  <c r="AB25" i="4"/>
  <c r="AB30" i="4"/>
  <c r="E39" i="8"/>
  <c r="B39" i="8"/>
  <c r="E38" i="8" l="1"/>
  <c r="B38" i="8"/>
  <c r="E36" i="8"/>
  <c r="B36" i="8"/>
  <c r="E26" i="8"/>
  <c r="B26" i="8"/>
  <c r="B34" i="8"/>
  <c r="E34" i="8"/>
  <c r="B33" i="8"/>
  <c r="E33" i="8"/>
  <c r="E30" i="8"/>
  <c r="B30" i="8"/>
  <c r="E35" i="8"/>
  <c r="B35" i="8"/>
  <c r="E37" i="8"/>
  <c r="B37" i="8"/>
  <c r="E23" i="8"/>
  <c r="B23" i="8"/>
  <c r="AB4" i="4"/>
  <c r="E27" i="8"/>
  <c r="B27" i="8"/>
  <c r="B25" i="8"/>
  <c r="E25" i="8"/>
  <c r="AH42" i="4"/>
  <c r="AI39" i="4" s="1"/>
  <c r="AJ39" i="4" s="1"/>
  <c r="AK39" i="4" s="1"/>
  <c r="E29" i="8"/>
  <c r="B29" i="8"/>
  <c r="E32" i="8"/>
  <c r="B32" i="8"/>
  <c r="E28" i="8"/>
  <c r="B28" i="8"/>
  <c r="E22" i="8"/>
  <c r="B22" i="8"/>
  <c r="B24" i="8"/>
  <c r="E24" i="8"/>
  <c r="AJ4" i="4"/>
  <c r="AK4" i="4" s="1"/>
  <c r="E31" i="8" l="1"/>
  <c r="B31" i="8"/>
  <c r="AI37" i="4"/>
  <c r="AJ37" i="4" s="1"/>
  <c r="AK37" i="4" s="1"/>
  <c r="AI30" i="4"/>
  <c r="AJ30" i="4" s="1"/>
  <c r="AK30" i="4" s="1"/>
  <c r="AI29" i="4"/>
  <c r="AJ29" i="4" l="1"/>
  <c r="AK29" i="4" s="1"/>
  <c r="AI42" i="4"/>
  <c r="AI41" i="4"/>
  <c r="AJ41" i="4" s="1"/>
  <c r="AK41" i="4" s="1"/>
</calcChain>
</file>

<file path=xl/sharedStrings.xml><?xml version="1.0" encoding="utf-8"?>
<sst xmlns="http://schemas.openxmlformats.org/spreadsheetml/2006/main" count="526" uniqueCount="140">
  <si>
    <t>Detailed data for article Hahn et al. (2024) 'Estimating countries’ additional carbon accountability for closing the mitigation gap based on past and future emissions'.</t>
  </si>
  <si>
    <t>Article DOI:</t>
  </si>
  <si>
    <t>Data DOI (Zenodo):</t>
  </si>
  <si>
    <t>10.5281/zenodo.10171891</t>
  </si>
  <si>
    <t>Code available:</t>
  </si>
  <si>
    <t>https://github.com/morfeldt/AdditionalCarbonAccountability</t>
  </si>
  <si>
    <t>Excel-Calculation of main case</t>
  </si>
  <si>
    <t xml:space="preserve">Go to tab </t>
  </si>
  <si>
    <t>Table 2</t>
  </si>
  <si>
    <t>Table 3</t>
  </si>
  <si>
    <t>Table 4</t>
  </si>
  <si>
    <t>Supplementary Table 1</t>
  </si>
  <si>
    <t>Population</t>
  </si>
  <si>
    <t>Historic emissions</t>
  </si>
  <si>
    <t>Carbon debt</t>
  </si>
  <si>
    <t xml:space="preserve">1.5C - Excessive Claims and Additional Carbon Accountability </t>
  </si>
  <si>
    <t xml:space="preserve">2C - Excessive Claims and Additional Carbon Accountability </t>
  </si>
  <si>
    <t xml:space="preserve">Countries </t>
  </si>
  <si>
    <t>Population 2022</t>
  </si>
  <si>
    <t>Aggregated population 1990-2022</t>
  </si>
  <si>
    <t>Aggregated population 2023-2070</t>
  </si>
  <si>
    <t>Aggregated population 1990-2070</t>
  </si>
  <si>
    <t>Share of world population 2022</t>
  </si>
  <si>
    <t>Share of world population 1990-2022</t>
  </si>
  <si>
    <t>Share of world population 2023-2070</t>
  </si>
  <si>
    <t>Share of world population 1990-2070</t>
  </si>
  <si>
    <t>Net zero year</t>
  </si>
  <si>
    <t>Emissions 2022 (MtCO₂)</t>
  </si>
  <si>
    <t>Historic CO2 emissions 1990-2022  (MtCO₂)</t>
  </si>
  <si>
    <t>Future Carbon Claims: Planned emissions 2023-2070  (MtCO₂)</t>
  </si>
  <si>
    <t>Total emissions 1990-2070  (MtCO₂)</t>
  </si>
  <si>
    <t>Share of emissions 2022</t>
  </si>
  <si>
    <t>Share of emissions 1990-2022</t>
  </si>
  <si>
    <t>Share of emissions 2023-2070</t>
  </si>
  <si>
    <t>Share of emissions 1990-2070</t>
  </si>
  <si>
    <t>Equal share of emissions 1990-2022  (MtCO₂)</t>
  </si>
  <si>
    <t xml:space="preserve">Carbon Debt (MtCO₂) = Actual emissions 1990-2022 minus equal share of emissions 1990-2022 </t>
  </si>
  <si>
    <t>Equal share of 1.5C carbon budget 2023-2070 (MtCO₂)</t>
  </si>
  <si>
    <t xml:space="preserve">Excessive Carbon Claim (MtCO₂) = Future carbon claims 2023-2070 minus Equal share of 1.5 budget </t>
  </si>
  <si>
    <t>Total Excessive Carbon Claims (MtCO₂) = Carbon Debt 1990-2022 + Excessive Carbon Claims 2023-2070</t>
  </si>
  <si>
    <t>Iterative Calculation of Additional Carbon Acountability</t>
  </si>
  <si>
    <t>Additional Carbon Accountability (MtCO₂) = Responsibility for additional emission reductions or negative emissions to stay within the budget</t>
  </si>
  <si>
    <t xml:space="preserve">Additional Carbon Accountability per capita (tCO₂) for an average population 2023-2070 </t>
  </si>
  <si>
    <t>Equal share of 2C carbon budget 2023-2070  (MtCO₂)</t>
  </si>
  <si>
    <t>Excessive Carbon Claim (MtCO₂) = Future carbon claims 2022-2070 minus Equal share of 2.0 budget</t>
  </si>
  <si>
    <t>Total excessive carbon claims (MtCO₂) = Carbon Debt 1990-2022 + Excessive carbon claims  2023-2070</t>
  </si>
  <si>
    <t>Iterative Calculation of Additional Carbon Accountability</t>
  </si>
  <si>
    <t>Argentina</t>
  </si>
  <si>
    <t>Australia</t>
  </si>
  <si>
    <t>Brazil</t>
  </si>
  <si>
    <t>Canada</t>
  </si>
  <si>
    <t>Chile</t>
  </si>
  <si>
    <t>China</t>
  </si>
  <si>
    <t>Colombia</t>
  </si>
  <si>
    <t>Costa Rica</t>
  </si>
  <si>
    <t>Egypt</t>
  </si>
  <si>
    <t>Ethiopia</t>
  </si>
  <si>
    <t>European Union</t>
  </si>
  <si>
    <t>Gambia</t>
  </si>
  <si>
    <t>India</t>
  </si>
  <si>
    <t>Indonesia</t>
  </si>
  <si>
    <t>Iran</t>
  </si>
  <si>
    <t>Japan</t>
  </si>
  <si>
    <t>Kazakhstan</t>
  </si>
  <si>
    <t>Kenya</t>
  </si>
  <si>
    <t>Mexico</t>
  </si>
  <si>
    <t>Morocco</t>
  </si>
  <si>
    <t>New Zealand</t>
  </si>
  <si>
    <t>Nigeria</t>
  </si>
  <si>
    <t>Norway</t>
  </si>
  <si>
    <t>Peru</t>
  </si>
  <si>
    <t>Philippines</t>
  </si>
  <si>
    <t>Rest of world</t>
  </si>
  <si>
    <t>Russia</t>
  </si>
  <si>
    <t>Saudi Arabia</t>
  </si>
  <si>
    <t>Singapore</t>
  </si>
  <si>
    <t>South Africa</t>
  </si>
  <si>
    <t>South Korea</t>
  </si>
  <si>
    <t>Switzerland</t>
  </si>
  <si>
    <t>Thailand</t>
  </si>
  <si>
    <t>Türkiye</t>
  </si>
  <si>
    <t>United Arab Emirates</t>
  </si>
  <si>
    <t>United Kingdom</t>
  </si>
  <si>
    <t>United States</t>
  </si>
  <si>
    <t>Viet Nam</t>
  </si>
  <si>
    <t>World</t>
  </si>
  <si>
    <t>Emission allowances pool:</t>
  </si>
  <si>
    <t xml:space="preserve"> </t>
  </si>
  <si>
    <t>Sum of countries with positive total excessive carbon claims:</t>
  </si>
  <si>
    <t>Country</t>
  </si>
  <si>
    <t>Economic Development</t>
  </si>
  <si>
    <t>Temperature Target</t>
  </si>
  <si>
    <t>Allocation principle for remaining carbon budget</t>
  </si>
  <si>
    <t>Redistribution principle for emission allowances pool</t>
  </si>
  <si>
    <t>Assumed starting year for carbon debt (0 = no carbon debt)</t>
  </si>
  <si>
    <t>GDP per capita in 2022 ( current USD)</t>
  </si>
  <si>
    <t>Carbon debt (MtCO₂)</t>
  </si>
  <si>
    <t>Planned emissions (future carbon claim) (MtCO₂)</t>
  </si>
  <si>
    <t>Excessive carbon claim (MtCO₂)</t>
  </si>
  <si>
    <t>Total excessive carbon claim (MtCO₂)</t>
  </si>
  <si>
    <t>Additional Carbon Accountability (MtCO₂)</t>
  </si>
  <si>
    <t>Additional Carbon Accountability per capita (tCO₂)</t>
  </si>
  <si>
    <t>High</t>
  </si>
  <si>
    <t>Upper-middle</t>
  </si>
  <si>
    <t>Lower-middle</t>
  </si>
  <si>
    <t>Low</t>
  </si>
  <si>
    <t xml:space="preserve">Carbon Debt 1990-2022 (MtCO₂) </t>
  </si>
  <si>
    <t>Excessive Carbon Claim 2023-2070 (MtCO₂)</t>
  </si>
  <si>
    <t>Total Excessive Carbon Claims (MtCO₂)</t>
  </si>
  <si>
    <t>Planned emissions 2023-2070 per capita (tCO₂)</t>
  </si>
  <si>
    <t>Sum G7</t>
  </si>
  <si>
    <t xml:space="preserve">Sum BRICS+ </t>
  </si>
  <si>
    <r>
      <t>Cost of Accountability if 150 USD per tonne as share of 2021 GDP </t>
    </r>
    <r>
      <rPr>
        <sz val="10"/>
        <color rgb="FF000000"/>
        <rFont val="Aptos Narrow"/>
      </rPr>
      <t> </t>
    </r>
  </si>
  <si>
    <t>Year of Net-Zero Target (NZT) * </t>
  </si>
  <si>
    <t>GDP per capita for 2021 (current USD per capita)</t>
  </si>
  <si>
    <r>
      <t>Cost of Accountability per year (NZT to 2100) as percentage of GDP (2021) </t>
    </r>
    <r>
      <rPr>
        <sz val="10"/>
        <color rgb="FF498205"/>
        <rFont val="Aptos Narrow"/>
      </rPr>
      <t> </t>
    </r>
  </si>
  <si>
    <t>Military expenditures per year as percentage of GDP (2021)</t>
  </si>
  <si>
    <t>Military expenditures for 2021 (million USD current)</t>
  </si>
  <si>
    <t>GDP for 2021 (current USD)</t>
  </si>
  <si>
    <t>Population2022</t>
  </si>
  <si>
    <t>AggregatedPopulation19902022</t>
  </si>
  <si>
    <t>AggregatedPopulation20232070</t>
  </si>
  <si>
    <t>AggregatedPopulation19902070</t>
  </si>
  <si>
    <t>ShareinWorldPopulation2022</t>
  </si>
  <si>
    <t>ShareinWorldPopulation19902022</t>
  </si>
  <si>
    <t>ShareinWorldPopulation20232070</t>
  </si>
  <si>
    <t>ShareinWorldPopulation19902070</t>
  </si>
  <si>
    <t>NetZeroYear</t>
  </si>
  <si>
    <t>HistoricEmissions2022MtCO2</t>
  </si>
  <si>
    <t>HistoricEmissions19902022MtCO2</t>
  </si>
  <si>
    <t>PlannedEmissions20232070MtCO2</t>
  </si>
  <si>
    <t>TotalEmissions19902070MtCO2</t>
  </si>
  <si>
    <t>ShareinWorldEmissions2022MtCO2</t>
  </si>
  <si>
    <t>ShareinWorldEmissions19902022MtCO2</t>
  </si>
  <si>
    <t>ShareinWorldEmissions20232070MtCO2</t>
  </si>
  <si>
    <t>ShareinWorldEmissions19902070MtCO2</t>
  </si>
  <si>
    <t>GDP2021</t>
  </si>
  <si>
    <t>GDPpercapita2021</t>
  </si>
  <si>
    <t>Equal cumulative per capita (main case)</t>
  </si>
  <si>
    <t>10.1038/s41467-024-54039-x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</si>
</sst>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%"/>
    <numFmt numFmtId="165" formatCode="0_ ;[Red]\-0\ "/>
    <numFmt numFmtId="166" formatCode="#,##0_ ;[Red]\-#,##0\ "/>
  </numFmts>
  <fonts count="19" x14ac:knownFonts="1">
    <font>
      <sz val="11"/>
      <color indexed="8"/>
      <name val="Aptos Narrow"/>
      <family val="2"/>
      <scheme val="minor"/>
    </font>
    <font>
      <sz val="11"/>
      <color indexed="8"/>
      <name val="Aptos Narrow"/>
      <family val="2"/>
      <scheme val="minor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sz val="10"/>
      <color theme="1"/>
      <name val="Aptos Narrow"/>
      <family val="2"/>
      <scheme val="minor"/>
    </font>
    <font>
      <b/>
      <sz val="11"/>
      <color theme="1"/>
      <name val="Aptos Narrow"/>
      <scheme val="minor"/>
    </font>
    <font>
      <b/>
      <sz val="10"/>
      <color indexed="8"/>
      <name val="Aptos Narrow"/>
      <family val="2"/>
      <scheme val="minor"/>
    </font>
    <font>
      <b/>
      <sz val="11"/>
      <color indexed="8"/>
      <name val="Aptos Narrow"/>
      <family val="2"/>
      <scheme val="minor"/>
    </font>
    <font>
      <b/>
      <sz val="10"/>
      <color rgb="FF000000"/>
      <name val="Aptos Narrow"/>
    </font>
    <font>
      <sz val="10"/>
      <color rgb="FF000000"/>
      <name val="Aptos Narrow"/>
    </font>
    <font>
      <b/>
      <sz val="10"/>
      <name val="Aptos Narrow"/>
    </font>
    <font>
      <sz val="10"/>
      <color rgb="FF498205"/>
      <name val="Aptos Narrow"/>
    </font>
    <font>
      <b/>
      <sz val="10"/>
      <color indexed="8"/>
      <name val="Calibri"/>
      <family val="2"/>
    </font>
    <font>
      <sz val="10"/>
      <name val="Calibri"/>
      <family val="2"/>
    </font>
    <font>
      <i/>
      <sz val="10"/>
      <color theme="0" tint="-0.499984740745262"/>
      <name val="Calibri"/>
      <family val="2"/>
    </font>
    <font>
      <i/>
      <sz val="11"/>
      <color theme="0" tint="-0.499984740745262"/>
      <name val="Aptos Narrow"/>
      <family val="2"/>
      <scheme val="minor"/>
    </font>
    <font>
      <i/>
      <sz val="11"/>
      <color theme="0" tint="-0.499984740745262"/>
      <name val="Aptos Narrow"/>
      <scheme val="minor"/>
    </font>
    <font>
      <b/>
      <sz val="11"/>
      <color indexed="8"/>
      <name val="Aptos Narrow"/>
      <scheme val="minor"/>
    </font>
    <font>
      <u/>
      <sz val="11"/>
      <color theme="10"/>
      <name val="Aptos Narrow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rgb="FFF2F2F2"/>
        <bgColor rgb="FFF2F2F2"/>
      </patternFill>
    </fill>
    <fill>
      <patternFill patternType="solid">
        <fgColor rgb="FFFBD4B4"/>
        <bgColor rgb="FFFBD4B4"/>
      </patternFill>
    </fill>
    <fill>
      <patternFill patternType="solid">
        <fgColor rgb="FFDD7E6B"/>
        <bgColor rgb="FFDD7E6B"/>
      </patternFill>
    </fill>
    <fill>
      <patternFill patternType="solid">
        <fgColor rgb="FFD8D8D8"/>
        <bgColor rgb="FFD8D8D8"/>
      </patternFill>
    </fill>
    <fill>
      <patternFill patternType="solid">
        <fgColor rgb="FFFDE9D9"/>
        <bgColor rgb="FFFDE9D9"/>
      </patternFill>
    </fill>
    <fill>
      <patternFill patternType="solid">
        <fgColor rgb="FFE6B8AF"/>
        <bgColor rgb="FFE6B8AF"/>
      </patternFill>
    </fill>
    <fill>
      <patternFill patternType="solid">
        <fgColor theme="8" tint="0.59999389629810485"/>
        <bgColor rgb="FFE6B8AF"/>
      </patternFill>
    </fill>
    <fill>
      <patternFill patternType="solid">
        <fgColor theme="8" tint="0.79998168889431442"/>
        <bgColor rgb="FFF2DBDB"/>
      </patternFill>
    </fill>
    <fill>
      <patternFill patternType="solid">
        <fgColor theme="7" tint="0.39997558519241921"/>
        <bgColor rgb="FFF9CB9C"/>
      </patternFill>
    </fill>
    <fill>
      <patternFill patternType="solid">
        <fgColor theme="7" tint="0.79998168889431442"/>
        <bgColor rgb="FFF9CB9C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8" fillId="0" borderId="0" applyNumberFormat="0" applyFill="0" applyBorder="0" applyAlignment="0" applyProtection="0"/>
  </cellStyleXfs>
  <cellXfs count="53">
    <xf numFmtId="0" fontId="0" fillId="0" borderId="0" xfId="0"/>
    <xf numFmtId="0" fontId="2" fillId="0" borderId="0" xfId="0" applyFont="1" applyAlignment="1">
      <alignment horizontal="center" vertical="center" wrapText="1"/>
    </xf>
    <xf numFmtId="0" fontId="2" fillId="3" borderId="0" xfId="0" applyFont="1" applyFill="1" applyAlignment="1">
      <alignment horizontal="right" wrapText="1"/>
    </xf>
    <xf numFmtId="0" fontId="3" fillId="6" borderId="0" xfId="0" applyFont="1" applyFill="1" applyAlignment="1">
      <alignment wrapText="1"/>
    </xf>
    <xf numFmtId="10" fontId="3" fillId="6" borderId="0" xfId="0" applyNumberFormat="1" applyFont="1" applyFill="1" applyAlignment="1">
      <alignment wrapText="1"/>
    </xf>
    <xf numFmtId="0" fontId="2" fillId="7" borderId="0" xfId="0" applyFont="1" applyFill="1" applyAlignment="1">
      <alignment wrapText="1"/>
    </xf>
    <xf numFmtId="0" fontId="3" fillId="8" borderId="0" xfId="0" applyFont="1" applyFill="1" applyAlignment="1">
      <alignment wrapText="1"/>
    </xf>
    <xf numFmtId="3" fontId="3" fillId="8" borderId="0" xfId="0" applyNumberFormat="1" applyFont="1" applyFill="1" applyAlignment="1">
      <alignment wrapText="1"/>
    </xf>
    <xf numFmtId="1" fontId="0" fillId="0" borderId="0" xfId="0" applyNumberFormat="1"/>
    <xf numFmtId="10" fontId="0" fillId="0" borderId="0" xfId="1" applyNumberFormat="1" applyFont="1"/>
    <xf numFmtId="0" fontId="0" fillId="0" borderId="0" xfId="0" applyAlignment="1">
      <alignment wrapText="1"/>
    </xf>
    <xf numFmtId="0" fontId="2" fillId="7" borderId="0" xfId="0" applyFont="1" applyFill="1" applyAlignment="1">
      <alignment horizontal="left" wrapText="1"/>
    </xf>
    <xf numFmtId="0" fontId="2" fillId="8" borderId="0" xfId="0" applyFont="1" applyFill="1" applyAlignment="1">
      <alignment wrapText="1"/>
    </xf>
    <xf numFmtId="3" fontId="2" fillId="10" borderId="0" xfId="0" applyNumberFormat="1" applyFont="1" applyFill="1" applyAlignment="1">
      <alignment wrapText="1"/>
    </xf>
    <xf numFmtId="0" fontId="3" fillId="10" borderId="0" xfId="0" applyFont="1" applyFill="1" applyAlignment="1">
      <alignment wrapText="1"/>
    </xf>
    <xf numFmtId="0" fontId="2" fillId="12" borderId="0" xfId="0" applyFont="1" applyFill="1" applyAlignment="1">
      <alignment wrapText="1"/>
    </xf>
    <xf numFmtId="0" fontId="2" fillId="0" borderId="0" xfId="0" applyFont="1" applyAlignment="1">
      <alignment horizontal="left" wrapText="1"/>
    </xf>
    <xf numFmtId="0" fontId="5" fillId="0" borderId="0" xfId="0" applyFont="1" applyAlignment="1">
      <alignment horizontal="left" wrapText="1"/>
    </xf>
    <xf numFmtId="0" fontId="6" fillId="0" borderId="0" xfId="0" applyFont="1" applyAlignment="1">
      <alignment horizontal="right" wrapText="1"/>
    </xf>
    <xf numFmtId="0" fontId="7" fillId="0" borderId="0" xfId="0" applyFont="1"/>
    <xf numFmtId="10" fontId="0" fillId="0" borderId="0" xfId="0" applyNumberFormat="1"/>
    <xf numFmtId="3" fontId="0" fillId="0" borderId="0" xfId="1" applyNumberFormat="1" applyFont="1"/>
    <xf numFmtId="3" fontId="0" fillId="0" borderId="0" xfId="0" applyNumberFormat="1"/>
    <xf numFmtId="0" fontId="8" fillId="0" borderId="1" xfId="0" applyFont="1" applyBorder="1" applyAlignment="1">
      <alignment wrapText="1"/>
    </xf>
    <xf numFmtId="0" fontId="10" fillId="0" borderId="2" xfId="0" applyFont="1" applyBorder="1" applyAlignment="1">
      <alignment wrapText="1"/>
    </xf>
    <xf numFmtId="9" fontId="0" fillId="0" borderId="0" xfId="1" applyFont="1"/>
    <xf numFmtId="0" fontId="12" fillId="0" borderId="0" xfId="0" applyFont="1" applyAlignment="1">
      <alignment wrapText="1"/>
    </xf>
    <xf numFmtId="0" fontId="13" fillId="0" borderId="0" xfId="0" applyFont="1" applyAlignment="1">
      <alignment horizontal="right"/>
    </xf>
    <xf numFmtId="0" fontId="13" fillId="0" borderId="0" xfId="0" applyFont="1"/>
    <xf numFmtId="164" fontId="0" fillId="0" borderId="0" xfId="1" applyNumberFormat="1" applyFont="1"/>
    <xf numFmtId="1" fontId="0" fillId="0" borderId="0" xfId="0" applyNumberFormat="1" applyAlignment="1">
      <alignment horizontal="left" wrapText="1"/>
    </xf>
    <xf numFmtId="3" fontId="15" fillId="0" borderId="0" xfId="0" applyNumberFormat="1" applyFont="1"/>
    <xf numFmtId="165" fontId="15" fillId="0" borderId="0" xfId="0" applyNumberFormat="1" applyFont="1"/>
    <xf numFmtId="3" fontId="16" fillId="0" borderId="0" xfId="0" applyNumberFormat="1" applyFont="1"/>
    <xf numFmtId="166" fontId="0" fillId="0" borderId="0" xfId="0" applyNumberFormat="1"/>
    <xf numFmtId="0" fontId="17" fillId="0" borderId="0" xfId="0" applyFont="1" applyAlignment="1">
      <alignment horizontal="left" wrapText="1"/>
    </xf>
    <xf numFmtId="0" fontId="17" fillId="0" borderId="0" xfId="0" applyFont="1"/>
    <xf numFmtId="0" fontId="18" fillId="0" borderId="0" xfId="2"/>
    <xf numFmtId="0" fontId="0" fillId="0" borderId="3" xfId="0" applyBorder="1"/>
    <xf numFmtId="0" fontId="0" fillId="0" borderId="4" xfId="0" applyBorder="1"/>
    <xf numFmtId="166" fontId="15" fillId="0" borderId="4" xfId="0" applyNumberFormat="1" applyFont="1" applyBorder="1"/>
    <xf numFmtId="166" fontId="15" fillId="0" borderId="5" xfId="0" applyNumberFormat="1" applyFont="1" applyBorder="1"/>
    <xf numFmtId="166" fontId="0" fillId="0" borderId="4" xfId="0" applyNumberFormat="1" applyBorder="1"/>
    <xf numFmtId="166" fontId="16" fillId="0" borderId="4" xfId="0" applyNumberFormat="1" applyFont="1" applyBorder="1"/>
    <xf numFmtId="166" fontId="16" fillId="0" borderId="5" xfId="0" applyNumberFormat="1" applyFont="1" applyBorder="1"/>
    <xf numFmtId="1" fontId="0" fillId="0" borderId="0" xfId="0" applyNumberFormat="1" applyAlignment="1">
      <alignment horizontal="left" wrapText="1"/>
    </xf>
    <xf numFmtId="0" fontId="3" fillId="2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0" fontId="4" fillId="11" borderId="0" xfId="0" applyFont="1" applyFill="1" applyAlignment="1">
      <alignment horizontal="center"/>
    </xf>
    <xf numFmtId="0" fontId="3" fillId="9" borderId="0" xfId="0" applyFont="1" applyFill="1" applyAlignment="1">
      <alignment horizontal="center"/>
    </xf>
    <xf numFmtId="0" fontId="3" fillId="5" borderId="0" xfId="0" applyFont="1" applyFill="1" applyAlignment="1">
      <alignment horizontal="center"/>
    </xf>
    <xf numFmtId="0" fontId="14" fillId="10" borderId="0" xfId="0" applyFont="1" applyFill="1" applyAlignment="1">
      <alignment horizontal="center" wrapText="1"/>
    </xf>
    <xf numFmtId="3" fontId="14" fillId="8" borderId="0" xfId="0" applyNumberFormat="1" applyFont="1" applyFill="1" applyAlignment="1">
      <alignment horizontal="center" wrapText="1"/>
    </xf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oi.org/10.1038/s41467-024-54039-x" TargetMode="External"/><Relationship Id="rId2" Type="http://schemas.openxmlformats.org/officeDocument/2006/relationships/hyperlink" Target="https://doi.org/10.5281/zenodo.10171891" TargetMode="External"/><Relationship Id="rId1" Type="http://schemas.openxmlformats.org/officeDocument/2006/relationships/hyperlink" Target="https://github.com/morfeldt/AdditionalCarbonAccountability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013976-A515-0747-9465-C516B25B3602}">
  <dimension ref="A1:B10"/>
  <sheetViews>
    <sheetView tabSelected="1" workbookViewId="0"/>
  </sheetViews>
  <sheetFormatPr baseColWidth="10" defaultColWidth="11.5" defaultRowHeight="15" x14ac:dyDescent="0.2"/>
  <cols>
    <col min="1" max="1" width="25.6640625" customWidth="1"/>
  </cols>
  <sheetData>
    <row r="1" spans="1:2" x14ac:dyDescent="0.2">
      <c r="A1" s="36" t="s">
        <v>0</v>
      </c>
    </row>
    <row r="2" spans="1:2" x14ac:dyDescent="0.2">
      <c r="A2" s="36" t="s">
        <v>1</v>
      </c>
      <c r="B2" s="37" t="s">
        <v>139</v>
      </c>
    </row>
    <row r="3" spans="1:2" x14ac:dyDescent="0.2">
      <c r="A3" s="36" t="s">
        <v>2</v>
      </c>
      <c r="B3" s="37" t="s">
        <v>3</v>
      </c>
    </row>
    <row r="4" spans="1:2" x14ac:dyDescent="0.2">
      <c r="A4" s="36" t="s">
        <v>4</v>
      </c>
      <c r="B4" s="37" t="s">
        <v>5</v>
      </c>
    </row>
    <row r="6" spans="1:2" x14ac:dyDescent="0.2">
      <c r="A6" s="36" t="s">
        <v>6</v>
      </c>
      <c r="B6" s="37" t="s">
        <v>7</v>
      </c>
    </row>
    <row r="7" spans="1:2" x14ac:dyDescent="0.2">
      <c r="A7" s="36" t="s">
        <v>8</v>
      </c>
      <c r="B7" s="37" t="s">
        <v>7</v>
      </c>
    </row>
    <row r="8" spans="1:2" x14ac:dyDescent="0.2">
      <c r="A8" s="36" t="s">
        <v>9</v>
      </c>
      <c r="B8" s="37" t="s">
        <v>7</v>
      </c>
    </row>
    <row r="9" spans="1:2" x14ac:dyDescent="0.2">
      <c r="A9" s="36" t="s">
        <v>10</v>
      </c>
      <c r="B9" s="37" t="s">
        <v>7</v>
      </c>
    </row>
    <row r="10" spans="1:2" x14ac:dyDescent="0.2">
      <c r="A10" s="36" t="s">
        <v>11</v>
      </c>
      <c r="B10" s="37" t="s">
        <v>7</v>
      </c>
    </row>
  </sheetData>
  <hyperlinks>
    <hyperlink ref="B6" location="CalculationSheet!A1" display="Go to tab " xr:uid="{2E58BD8A-1053-884D-B812-7CE90AD0DC31}"/>
    <hyperlink ref="B7" location="'Table 2'!A1" display="Go to tab " xr:uid="{16F80A94-5070-B745-8574-A328FA54F47C}"/>
    <hyperlink ref="B8" location="'Table 3'!A1" display="Go to tab " xr:uid="{21EDC3D8-2710-0C46-A322-848ECB68D081}"/>
    <hyperlink ref="B9" location="'Table 4'!A1" display="Go to tab " xr:uid="{9C80202D-FF82-5E49-A394-8B7BC1CF79F0}"/>
    <hyperlink ref="B10" location="SupplementaryTable1!A1" display="Go to tab " xr:uid="{5DA87D6D-23C6-434F-8E96-BAA923276892}"/>
    <hyperlink ref="B4" r:id="rId1" xr:uid="{05C0206F-A0A2-554E-A1D8-D66ADE82C4AE}"/>
    <hyperlink ref="B3" r:id="rId2" xr:uid="{D59A94E3-5C11-3D4A-8383-67D9E3C064CD}"/>
    <hyperlink ref="B2" r:id="rId3" xr:uid="{73097F30-B106-194A-A390-1CC1E368595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BD3994-787C-7043-98B4-0536DDBEFAB4}">
  <dimension ref="A1:AK47"/>
  <sheetViews>
    <sheetView workbookViewId="0">
      <pane xSplit="1" ySplit="2" topLeftCell="R3" activePane="bottomRight" state="frozen"/>
      <selection pane="topRight" activeCell="B1" sqref="B1"/>
      <selection pane="bottomLeft" activeCell="A3" sqref="A3"/>
      <selection pane="bottomRight" activeCell="A35" sqref="A35"/>
    </sheetView>
  </sheetViews>
  <sheetFormatPr baseColWidth="10" defaultColWidth="8.83203125" defaultRowHeight="15" x14ac:dyDescent="0.2"/>
  <cols>
    <col min="1" max="1" width="16.5" bestFit="1" customWidth="1" collapsed="1"/>
    <col min="2" max="2" width="13.6640625" bestFit="1" customWidth="1" collapsed="1"/>
    <col min="3" max="5" width="15.6640625" bestFit="1" customWidth="1" collapsed="1"/>
    <col min="11" max="11" width="9.6640625" bestFit="1" customWidth="1" collapsed="1"/>
    <col min="12" max="13" width="10.6640625" bestFit="1" customWidth="1" collapsed="1"/>
    <col min="14" max="14" width="11.6640625" bestFit="1" customWidth="1" collapsed="1"/>
    <col min="19" max="19" width="9.6640625" bestFit="1" customWidth="1" collapsed="1"/>
    <col min="20" max="37" width="13.33203125" customWidth="1" collapsed="1"/>
  </cols>
  <sheetData>
    <row r="1" spans="1:37" x14ac:dyDescent="0.2">
      <c r="A1" s="1"/>
      <c r="B1" s="46" t="s">
        <v>12</v>
      </c>
      <c r="C1" s="46"/>
      <c r="D1" s="46"/>
      <c r="E1" s="46"/>
      <c r="F1" s="46"/>
      <c r="G1" s="46"/>
      <c r="H1" s="46"/>
      <c r="I1" s="46"/>
      <c r="J1" s="2"/>
      <c r="K1" s="47" t="s">
        <v>13</v>
      </c>
      <c r="L1" s="47"/>
      <c r="M1" s="47"/>
      <c r="N1" s="47"/>
      <c r="O1" s="47"/>
      <c r="P1" s="47"/>
      <c r="Q1" s="47"/>
      <c r="R1" s="47"/>
      <c r="S1" s="48" t="s">
        <v>14</v>
      </c>
      <c r="T1" s="48"/>
      <c r="U1" s="49" t="s">
        <v>15</v>
      </c>
      <c r="V1" s="49"/>
      <c r="W1" s="49"/>
      <c r="X1" s="49"/>
      <c r="Y1" s="49"/>
      <c r="Z1" s="49"/>
      <c r="AA1" s="49"/>
      <c r="AB1" s="49"/>
      <c r="AC1" s="50" t="s">
        <v>16</v>
      </c>
      <c r="AD1" s="50"/>
      <c r="AE1" s="50"/>
      <c r="AF1" s="50"/>
      <c r="AG1" s="50"/>
      <c r="AH1" s="50"/>
      <c r="AI1" s="50"/>
      <c r="AJ1" s="50"/>
      <c r="AK1" s="50"/>
    </row>
    <row r="2" spans="1:37" ht="150" x14ac:dyDescent="0.2">
      <c r="A2" s="16" t="s">
        <v>17</v>
      </c>
      <c r="B2" s="3" t="s">
        <v>18</v>
      </c>
      <c r="C2" s="3" t="s">
        <v>19</v>
      </c>
      <c r="D2" s="3" t="s">
        <v>20</v>
      </c>
      <c r="E2" s="3" t="s">
        <v>21</v>
      </c>
      <c r="F2" s="4" t="s">
        <v>22</v>
      </c>
      <c r="G2" s="3" t="s">
        <v>23</v>
      </c>
      <c r="H2" s="3" t="s">
        <v>24</v>
      </c>
      <c r="I2" s="3" t="s">
        <v>25</v>
      </c>
      <c r="J2" s="2" t="s">
        <v>26</v>
      </c>
      <c r="K2" s="5" t="s">
        <v>27</v>
      </c>
      <c r="L2" s="5" t="s">
        <v>28</v>
      </c>
      <c r="M2" s="5" t="s">
        <v>29</v>
      </c>
      <c r="N2" s="5" t="s">
        <v>30</v>
      </c>
      <c r="O2" s="11" t="s">
        <v>31</v>
      </c>
      <c r="P2" s="5" t="s">
        <v>32</v>
      </c>
      <c r="Q2" s="5" t="s">
        <v>33</v>
      </c>
      <c r="R2" s="5" t="s">
        <v>34</v>
      </c>
      <c r="S2" s="15" t="s">
        <v>35</v>
      </c>
      <c r="T2" s="15" t="s">
        <v>36</v>
      </c>
      <c r="U2" s="13" t="s">
        <v>37</v>
      </c>
      <c r="V2" s="14" t="s">
        <v>38</v>
      </c>
      <c r="W2" s="14" t="s">
        <v>39</v>
      </c>
      <c r="X2" s="51" t="s">
        <v>40</v>
      </c>
      <c r="Y2" s="51"/>
      <c r="Z2" s="51"/>
      <c r="AA2" s="13" t="s">
        <v>41</v>
      </c>
      <c r="AB2" s="13" t="s">
        <v>42</v>
      </c>
      <c r="AC2" s="12" t="s">
        <v>43</v>
      </c>
      <c r="AD2" s="6" t="s">
        <v>44</v>
      </c>
      <c r="AE2" s="7" t="s">
        <v>45</v>
      </c>
      <c r="AF2" s="52" t="s">
        <v>46</v>
      </c>
      <c r="AG2" s="52"/>
      <c r="AH2" s="52"/>
      <c r="AI2" s="52"/>
      <c r="AJ2" s="7" t="s">
        <v>41</v>
      </c>
      <c r="AK2" s="7" t="s">
        <v>42</v>
      </c>
    </row>
    <row r="3" spans="1:37" x14ac:dyDescent="0.2">
      <c r="A3" t="s">
        <v>47</v>
      </c>
      <c r="B3" s="22">
        <f>DataFromRScriptForCalculations!B2</f>
        <v>45510318</v>
      </c>
      <c r="C3" s="22">
        <f>DataFromRScriptForCalculations!C2</f>
        <v>1301377860</v>
      </c>
      <c r="D3" s="22">
        <f>DataFromRScriptForCalculations!D2</f>
        <v>2416267861</v>
      </c>
      <c r="E3" s="22">
        <f>DataFromRScriptForCalculations!E2</f>
        <v>3717645721</v>
      </c>
      <c r="F3" s="9">
        <f>DataFromRScriptForCalculations!F2</f>
        <v>5.7065477018520203E-3</v>
      </c>
      <c r="G3" s="9">
        <f>DataFromRScriptForCalculations!G2</f>
        <v>5.9233139011402071E-3</v>
      </c>
      <c r="H3" s="9">
        <f>DataFromRScriptForCalculations!H2</f>
        <v>5.3509838177138889E-3</v>
      </c>
      <c r="I3" s="9">
        <f>DataFromRScriptForCalculations!I2</f>
        <v>5.5383082224138291E-3</v>
      </c>
      <c r="J3" s="8">
        <f>DataFromRScriptForCalculations!J2</f>
        <v>2050</v>
      </c>
      <c r="K3" s="22">
        <f>DataFromRScriptForCalculations!K2</f>
        <v>193.00479245337033</v>
      </c>
      <c r="L3" s="22">
        <f>DataFromRScriptForCalculations!L2</f>
        <v>5258.9669280055605</v>
      </c>
      <c r="M3" s="22">
        <f>DataFromRScriptForCalculations!M2</f>
        <v>3695.9878961079612</v>
      </c>
      <c r="N3" s="22">
        <f>DataFromRScriptForCalculations!N2</f>
        <v>8954.9548241135217</v>
      </c>
      <c r="O3" s="9">
        <f>DataFromRScriptForCalculations!O2</f>
        <v>5.1915354751327636E-3</v>
      </c>
      <c r="P3" s="9">
        <f>DataFromRScriptForCalculations!P2</f>
        <v>5.3203140060169331E-3</v>
      </c>
      <c r="Q3" s="9">
        <f>DataFromRScriptForCalculations!Q2</f>
        <v>4.6169058420384183E-3</v>
      </c>
      <c r="R3" s="9">
        <f>DataFromRScriptForCalculations!R2</f>
        <v>5.0055566361498233E-3</v>
      </c>
      <c r="S3" s="22">
        <f>G3*$L$41</f>
        <v>5855.0137971297781</v>
      </c>
      <c r="T3" s="22">
        <f t="shared" ref="T3:T41" si="0">L3-S3</f>
        <v>-596.04686912421766</v>
      </c>
      <c r="U3" s="22">
        <f>H3*$U$41</f>
        <v>1203.9713589856251</v>
      </c>
      <c r="V3" s="22">
        <f>M3-U3</f>
        <v>2492.0165371223361</v>
      </c>
      <c r="W3" s="22">
        <f>V3+T3</f>
        <v>1895.9696679981184</v>
      </c>
      <c r="X3" s="31">
        <f>IF(W3&gt;0,W3-($W$47-$W$41)*(D3/SUMIF($W$3:$W$40,"&gt;0",$D$3:$D$40)),0)</f>
        <v>-1495.0785558788411</v>
      </c>
      <c r="Y3" s="32">
        <f>IF(X3&gt;0,X3-(-$X$42)*($D3/SUMIF($X$3:$X$40,"&gt;0",$D$3:$D$40)),0)</f>
        <v>0</v>
      </c>
      <c r="Z3" s="31">
        <f>IF(Y3&gt;0,Y3-(-$Y$42)*($D3/SUMIF($Y$3:$Y$40,"&gt;0",$D$3:$D$40)),0)</f>
        <v>0</v>
      </c>
      <c r="AA3" s="22">
        <f>Z3</f>
        <v>0</v>
      </c>
      <c r="AB3" s="22">
        <f>AA3*1000000/($D3/48)</f>
        <v>0</v>
      </c>
      <c r="AC3" s="22">
        <f t="shared" ref="AC3" si="1">H3*$AC$41</f>
        <v>4147.0124587282635</v>
      </c>
      <c r="AD3" s="22">
        <f t="shared" ref="AD3:AD41" si="2">M3-AC3</f>
        <v>-451.02456262030228</v>
      </c>
      <c r="AE3" s="22">
        <f t="shared" ref="AE3:AE41" si="3">T3+AD3</f>
        <v>-1047.0714317445199</v>
      </c>
      <c r="AF3" s="31">
        <f>IF(AE3&gt;0,AE3-($AE$47-$AE$41)*($D3/SUMIF($AE$3:$AE$40,"&gt;0",$D$3:$D$40)),0)</f>
        <v>0</v>
      </c>
      <c r="AG3" s="32">
        <f>IF(AF3&gt;0,AF3-(-$AF$42)*($D3/SUMIF($AF$3:$AF$40,"&gt;0",$D$3:$D$40)),0)</f>
        <v>0</v>
      </c>
      <c r="AH3" s="31">
        <f>IF(AG3&gt;0,AG3-(-$AG$42)*($D3/SUMIF($AG$3:$AG$40,"&gt;0",$D$3:$D$40)),0)</f>
        <v>0</v>
      </c>
      <c r="AI3" s="31">
        <f>IF(AH3&gt;0,AH3-(-$AH$42)*($D3/SUMIF($AH$3:$AH$40,"&gt;0",$D$3:$D$40)),0)</f>
        <v>0</v>
      </c>
      <c r="AJ3" s="22">
        <f>AI3</f>
        <v>0</v>
      </c>
      <c r="AK3" s="22">
        <f>AJ3*1000000/($D3/48)</f>
        <v>0</v>
      </c>
    </row>
    <row r="4" spans="1:37" x14ac:dyDescent="0.2">
      <c r="A4" t="s">
        <v>48</v>
      </c>
      <c r="B4" s="22">
        <f>DataFromRScriptForCalculations!B3</f>
        <v>26177414</v>
      </c>
      <c r="C4" s="22">
        <f>DataFromRScriptForCalculations!C3</f>
        <v>695388683</v>
      </c>
      <c r="D4" s="22">
        <f>DataFromRScriptForCalculations!D3</f>
        <v>1502546364</v>
      </c>
      <c r="E4" s="22">
        <f>DataFromRScriptForCalculations!E3</f>
        <v>2197935047</v>
      </c>
      <c r="F4" s="9">
        <f>DataFromRScriptForCalculations!F3</f>
        <v>3.2823910767252585E-3</v>
      </c>
      <c r="G4" s="9">
        <f>DataFromRScriptForCalculations!G3</f>
        <v>3.1651110559922087E-3</v>
      </c>
      <c r="H4" s="9">
        <f>DataFromRScriptForCalculations!H3</f>
        <v>3.3274875724255814E-3</v>
      </c>
      <c r="I4" s="9">
        <f>DataFromRScriptForCalculations!I3</f>
        <v>3.2743415205947284E-3</v>
      </c>
      <c r="J4" s="8">
        <f>DataFromRScriptForCalculations!J3</f>
        <v>2050</v>
      </c>
      <c r="K4" s="22">
        <f>DataFromRScriptForCalculations!K3</f>
        <v>392.56475676856536</v>
      </c>
      <c r="L4" s="22">
        <f>DataFromRScriptForCalculations!L3</f>
        <v>12102.423332388227</v>
      </c>
      <c r="M4" s="22">
        <f>DataFromRScriptForCalculations!M3</f>
        <v>5634.9533240331739</v>
      </c>
      <c r="N4" s="22">
        <f>DataFromRScriptForCalculations!N3</f>
        <v>17737.376656421402</v>
      </c>
      <c r="O4" s="9">
        <f>DataFromRScriptForCalculations!O3</f>
        <v>1.0559395106954418E-2</v>
      </c>
      <c r="P4" s="9">
        <f>DataFromRScriptForCalculations!P3</f>
        <v>1.2243600928380498E-2</v>
      </c>
      <c r="Q4" s="9">
        <f>DataFromRScriptForCalculations!Q3</f>
        <v>7.0389973270038615E-3</v>
      </c>
      <c r="R4" s="9">
        <f>DataFromRScriptForCalculations!R3</f>
        <v>9.914672399168498E-3</v>
      </c>
      <c r="S4" s="22">
        <f t="shared" ref="S4:S40" si="4">G4*$L$41</f>
        <v>3128.615030635995</v>
      </c>
      <c r="T4" s="22">
        <f t="shared" ref="T4:T40" si="5">L4-S4</f>
        <v>8973.8083017522331</v>
      </c>
      <c r="U4" s="22">
        <f t="shared" ref="U4:U40" si="6">H4*$U$41</f>
        <v>748.68470379575581</v>
      </c>
      <c r="V4" s="22">
        <f t="shared" ref="V4:V40" si="7">M4-U4</f>
        <v>4886.268620237418</v>
      </c>
      <c r="W4" s="22">
        <f t="shared" ref="W4:W40" si="8">V4+T4</f>
        <v>13860.07692198965</v>
      </c>
      <c r="X4" s="31">
        <f t="shared" ref="X4:X40" si="9">IF(W4&gt;0,W4-($W$47-$W$41)*(D4/SUMIF($W$3:$W$40,"&gt;0",$D$3:$D$40)),0)</f>
        <v>11751.367345052979</v>
      </c>
      <c r="Y4" s="32">
        <f t="shared" ref="Y4:Y40" si="10">IF(X4&gt;0,X4-(-$X$42)*($D4/SUMIF($X$3:$X$40,"&gt;0",$D$3:$D$40)),0)</f>
        <v>11705.625239224417</v>
      </c>
      <c r="Z4" s="31">
        <f t="shared" ref="Z4:Z40" si="11">IF(Y4&gt;0,Y4-(-$Y$42)*($D4/SUMIF($Y$3:$Y$40,"&gt;0",$D$3:$D$40)),0)</f>
        <v>11704.356070954636</v>
      </c>
      <c r="AA4" s="22">
        <f t="shared" ref="AA4:AA40" si="12">Z4</f>
        <v>11704.356070954636</v>
      </c>
      <c r="AB4" s="22">
        <f t="shared" ref="AB4:AB40" si="13">AA4*1000000/($D4/48)</f>
        <v>373.90466268887963</v>
      </c>
      <c r="AC4" s="22">
        <f t="shared" ref="AC4:AC40" si="14">H4*$AC$41</f>
        <v>2578.8028686298258</v>
      </c>
      <c r="AD4" s="22">
        <f t="shared" ref="AD4:AD40" si="15">M4-AC4</f>
        <v>3056.1504554033481</v>
      </c>
      <c r="AE4" s="22">
        <f t="shared" ref="AE4:AE40" si="16">T4+AD4</f>
        <v>12029.958757155582</v>
      </c>
      <c r="AF4" s="31">
        <f t="shared" ref="AF4:AF40" si="17">IF(AE4&gt;0,AE4-($AE$47-$AE$41)*($D4/SUMIF($AE$3:$AE$40,"&gt;0",$D$3:$D$40)),0)</f>
        <v>6031.7998577971994</v>
      </c>
      <c r="AG4" s="32">
        <f t="shared" ref="AG4:AG40" si="18">IF(AF4&gt;0,AF4-(-$AF$42)*($D4/SUMIF($AF$3:$AF$40,"&gt;0",$D$3:$D$40)),0)</f>
        <v>92.660507105960278</v>
      </c>
      <c r="AH4" s="31">
        <f t="shared" ref="AH4:AH40" si="19">IF(AG4&gt;0,AG4-(-$AG$42)*($D4/SUMIF($AG$3:$AG$40,"&gt;0",$D$3:$D$40)),0)</f>
        <v>-1367.3525882011706</v>
      </c>
      <c r="AI4" s="31">
        <f t="shared" ref="AI4:AI40" si="20">IF(AH4&gt;0,AH4-(-$AH$42)*($D4/SUMIF($AH$3:$AH$40,"&gt;0",$D$3:$D$40)),0)</f>
        <v>0</v>
      </c>
      <c r="AJ4" s="22">
        <f t="shared" ref="AJ4:AJ40" si="21">AI4</f>
        <v>0</v>
      </c>
      <c r="AK4" s="22">
        <f t="shared" ref="AK4:AK40" si="22">AJ4*1000000/($D4/48)</f>
        <v>0</v>
      </c>
    </row>
    <row r="5" spans="1:37" x14ac:dyDescent="0.2">
      <c r="A5" t="s">
        <v>49</v>
      </c>
      <c r="B5" s="22">
        <f>DataFromRScriptForCalculations!B4</f>
        <v>215313498</v>
      </c>
      <c r="C5" s="22">
        <f>DataFromRScriptForCalculations!C4</f>
        <v>6162527373</v>
      </c>
      <c r="D5" s="22">
        <f>DataFromRScriptForCalculations!D4</f>
        <v>10870264040</v>
      </c>
      <c r="E5" s="22">
        <f>DataFromRScriptForCalculations!E4</f>
        <v>17032791413</v>
      </c>
      <c r="F5" s="9">
        <f>DataFromRScriptForCalculations!F4</f>
        <v>2.6998201752613981E-2</v>
      </c>
      <c r="G5" s="9">
        <f>DataFromRScriptForCalculations!G4</f>
        <v>2.8049181699347444E-2</v>
      </c>
      <c r="H5" s="9">
        <f>DataFromRScriptForCalculations!H4</f>
        <v>2.4072913401349587E-2</v>
      </c>
      <c r="I5" s="9">
        <f>DataFromRScriptForCalculations!I4</f>
        <v>2.5374351353711889E-2</v>
      </c>
      <c r="J5" s="8">
        <f>DataFromRScriptForCalculations!J4</f>
        <v>2050</v>
      </c>
      <c r="K5" s="22">
        <f>DataFromRScriptForCalculations!K4</f>
        <v>483.82918799198501</v>
      </c>
      <c r="L5" s="22">
        <f>DataFromRScriptForCalculations!L4</f>
        <v>12752.559928141707</v>
      </c>
      <c r="M5" s="22">
        <f>DataFromRScriptForCalculations!M4</f>
        <v>7614.9240793693189</v>
      </c>
      <c r="N5" s="22">
        <f>DataFromRScriptForCalculations!N4</f>
        <v>20367.484007511026</v>
      </c>
      <c r="O5" s="9">
        <f>DataFromRScriptForCalculations!O4</f>
        <v>1.3014269549663749E-2</v>
      </c>
      <c r="P5" s="9">
        <f>DataFromRScriptForCalculations!P4</f>
        <v>1.2901321519432624E-2</v>
      </c>
      <c r="Q5" s="9">
        <f>DataFromRScriptForCalculations!Q4</f>
        <v>9.5123113107977216E-3</v>
      </c>
      <c r="R5" s="9">
        <f>DataFromRScriptForCalculations!R4</f>
        <v>1.1384825131774422E-2</v>
      </c>
      <c r="S5" s="22">
        <f t="shared" si="4"/>
        <v>27725.754297145431</v>
      </c>
      <c r="T5" s="22">
        <f t="shared" si="5"/>
        <v>-14973.194369003724</v>
      </c>
      <c r="U5" s="22">
        <f t="shared" si="6"/>
        <v>5416.405515303657</v>
      </c>
      <c r="V5" s="22">
        <f t="shared" si="7"/>
        <v>2198.5185640656618</v>
      </c>
      <c r="W5" s="22">
        <f t="shared" si="8"/>
        <v>-12774.675804938062</v>
      </c>
      <c r="X5" s="31">
        <f t="shared" si="9"/>
        <v>0</v>
      </c>
      <c r="Y5" s="32">
        <f t="shared" si="10"/>
        <v>0</v>
      </c>
      <c r="Z5" s="31">
        <f t="shared" si="11"/>
        <v>0</v>
      </c>
      <c r="AA5" s="22">
        <f t="shared" si="12"/>
        <v>0</v>
      </c>
      <c r="AB5" s="22">
        <f t="shared" si="13"/>
        <v>0</v>
      </c>
      <c r="AC5" s="22">
        <f t="shared" si="14"/>
        <v>18656.507886045929</v>
      </c>
      <c r="AD5" s="22">
        <f t="shared" si="15"/>
        <v>-11041.58380667661</v>
      </c>
      <c r="AE5" s="22">
        <f t="shared" si="16"/>
        <v>-26014.778175680334</v>
      </c>
      <c r="AF5" s="31">
        <f t="shared" si="17"/>
        <v>0</v>
      </c>
      <c r="AG5" s="32">
        <f t="shared" si="18"/>
        <v>0</v>
      </c>
      <c r="AH5" s="31">
        <f t="shared" si="19"/>
        <v>0</v>
      </c>
      <c r="AI5" s="31">
        <f t="shared" si="20"/>
        <v>0</v>
      </c>
      <c r="AJ5" s="22">
        <f t="shared" si="21"/>
        <v>0</v>
      </c>
      <c r="AK5" s="22">
        <f t="shared" si="22"/>
        <v>0</v>
      </c>
    </row>
    <row r="6" spans="1:37" x14ac:dyDescent="0.2">
      <c r="A6" t="s">
        <v>50</v>
      </c>
      <c r="B6" s="22">
        <f>DataFromRScriptForCalculations!B5</f>
        <v>38454327</v>
      </c>
      <c r="C6" s="22">
        <f>DataFromRScriptForCalculations!C5</f>
        <v>1082845881</v>
      </c>
      <c r="D6" s="22">
        <f>DataFromRScriptForCalculations!D5</f>
        <v>2150601835</v>
      </c>
      <c r="E6" s="22">
        <f>DataFromRScriptForCalculations!E5</f>
        <v>3233447716</v>
      </c>
      <c r="F6" s="9">
        <f>DataFromRScriptForCalculations!F5</f>
        <v>4.8217956061769578E-3</v>
      </c>
      <c r="G6" s="9">
        <f>DataFromRScriptForCalculations!G5</f>
        <v>4.9286500538127448E-3</v>
      </c>
      <c r="H6" s="9">
        <f>DataFromRScriptForCalculations!H5</f>
        <v>4.7626489608929966E-3</v>
      </c>
      <c r="I6" s="9">
        <f>DataFromRScriptForCalculations!I5</f>
        <v>4.816981341474097E-3</v>
      </c>
      <c r="J6" s="8">
        <f>DataFromRScriptForCalculations!J5</f>
        <v>2050</v>
      </c>
      <c r="K6" s="22">
        <f>DataFromRScriptForCalculations!K5</f>
        <v>548.34267199348994</v>
      </c>
      <c r="L6" s="22">
        <f>DataFromRScriptForCalculations!L5</f>
        <v>17918.066788668752</v>
      </c>
      <c r="M6" s="22">
        <f>DataFromRScriptForCalculations!M5</f>
        <v>6749.3311903353779</v>
      </c>
      <c r="N6" s="22">
        <f>DataFromRScriptForCalculations!N5</f>
        <v>24667.39797900413</v>
      </c>
      <c r="O6" s="9">
        <f>DataFromRScriptForCalculations!O5</f>
        <v>1.4749584183880098E-2</v>
      </c>
      <c r="P6" s="9">
        <f>DataFromRScriptForCalculations!P5</f>
        <v>1.8127085224446275E-2</v>
      </c>
      <c r="Q6" s="9">
        <f>DataFromRScriptForCalculations!Q5</f>
        <v>8.4310413016572532E-3</v>
      </c>
      <c r="R6" s="9">
        <f>DataFromRScriptForCalculations!R5</f>
        <v>1.3788350703664878E-2</v>
      </c>
      <c r="S6" s="22">
        <f t="shared" si="4"/>
        <v>4871.8191451483199</v>
      </c>
      <c r="T6" s="22">
        <f t="shared" si="5"/>
        <v>13046.247643520432</v>
      </c>
      <c r="U6" s="22">
        <f t="shared" si="6"/>
        <v>1071.5960162009242</v>
      </c>
      <c r="V6" s="22">
        <f t="shared" si="7"/>
        <v>5677.7351741344537</v>
      </c>
      <c r="W6" s="22">
        <f t="shared" si="8"/>
        <v>18723.982817654884</v>
      </c>
      <c r="X6" s="31">
        <f t="shared" si="9"/>
        <v>15705.776661560471</v>
      </c>
      <c r="Y6" s="32">
        <f t="shared" si="10"/>
        <v>15640.305765561105</v>
      </c>
      <c r="Z6" s="31">
        <f t="shared" si="11"/>
        <v>15638.489198914436</v>
      </c>
      <c r="AA6" s="22">
        <f t="shared" si="12"/>
        <v>15638.489198914436</v>
      </c>
      <c r="AB6" s="22">
        <f t="shared" si="13"/>
        <v>349.04065891299348</v>
      </c>
      <c r="AC6" s="22">
        <f t="shared" si="14"/>
        <v>3691.0529446920723</v>
      </c>
      <c r="AD6" s="22">
        <f t="shared" si="15"/>
        <v>3058.2782456433056</v>
      </c>
      <c r="AE6" s="22">
        <f t="shared" si="16"/>
        <v>16104.525889163737</v>
      </c>
      <c r="AF6" s="31">
        <f t="shared" si="17"/>
        <v>7519.3322175082794</v>
      </c>
      <c r="AG6" s="32">
        <f t="shared" si="18"/>
        <v>-981.38649037532559</v>
      </c>
      <c r="AH6" s="31">
        <f t="shared" si="19"/>
        <v>0</v>
      </c>
      <c r="AI6" s="31">
        <f t="shared" si="20"/>
        <v>0</v>
      </c>
      <c r="AJ6" s="22">
        <f t="shared" si="21"/>
        <v>0</v>
      </c>
      <c r="AK6" s="22">
        <f t="shared" si="22"/>
        <v>0</v>
      </c>
    </row>
    <row r="7" spans="1:37" x14ac:dyDescent="0.2">
      <c r="A7" t="s">
        <v>51</v>
      </c>
      <c r="B7" s="22">
        <f>DataFromRScriptForCalculations!B6</f>
        <v>19603733</v>
      </c>
      <c r="C7" s="22">
        <f>DataFromRScriptForCalculations!C6</f>
        <v>541035161</v>
      </c>
      <c r="D7" s="22">
        <f>DataFromRScriptForCalculations!D6</f>
        <v>973218785</v>
      </c>
      <c r="E7" s="22">
        <f>DataFromRScriptForCalculations!E6</f>
        <v>1514253946</v>
      </c>
      <c r="F7" s="9">
        <f>DataFromRScriptForCalculations!F6</f>
        <v>2.4581159265657212E-3</v>
      </c>
      <c r="G7" s="9">
        <f>DataFromRScriptForCalculations!G6</f>
        <v>2.4625600209280726E-3</v>
      </c>
      <c r="H7" s="9">
        <f>DataFromRScriptForCalculations!H6</f>
        <v>2.1552568958455275E-3</v>
      </c>
      <c r="I7" s="9">
        <f>DataFromRScriptForCalculations!I6</f>
        <v>2.2558376212617024E-3</v>
      </c>
      <c r="J7" s="8">
        <f>DataFromRScriptForCalculations!J6</f>
        <v>2050</v>
      </c>
      <c r="K7" s="22">
        <f>DataFromRScriptForCalculations!K6</f>
        <v>84.439131499386761</v>
      </c>
      <c r="L7" s="22">
        <f>DataFromRScriptForCalculations!L6</f>
        <v>2115.1080601599742</v>
      </c>
      <c r="M7" s="22">
        <f>DataFromRScriptForCalculations!M6</f>
        <v>1365.1006858851556</v>
      </c>
      <c r="N7" s="22">
        <f>DataFromRScriptForCalculations!N6</f>
        <v>3480.2087460451298</v>
      </c>
      <c r="O7" s="9">
        <f>DataFromRScriptForCalculations!O6</f>
        <v>2.2712842572257682E-3</v>
      </c>
      <c r="P7" s="9">
        <f>DataFromRScriptForCalculations!P6</f>
        <v>2.139781289892249E-3</v>
      </c>
      <c r="Q7" s="9">
        <f>DataFromRScriptForCalculations!Q6</f>
        <v>1.7052386286953703E-3</v>
      </c>
      <c r="R7" s="9">
        <f>DataFromRScriptForCalculations!R6</f>
        <v>1.945334435082128E-3</v>
      </c>
      <c r="S7" s="22">
        <f t="shared" si="4"/>
        <v>2434.1649183945169</v>
      </c>
      <c r="T7" s="22">
        <f t="shared" si="5"/>
        <v>-319.05685823454269</v>
      </c>
      <c r="U7" s="22">
        <f t="shared" si="6"/>
        <v>484.93280156524366</v>
      </c>
      <c r="V7" s="22">
        <f t="shared" si="7"/>
        <v>880.16788431991199</v>
      </c>
      <c r="W7" s="22">
        <f t="shared" si="8"/>
        <v>561.1110260853693</v>
      </c>
      <c r="X7" s="31">
        <f t="shared" si="9"/>
        <v>-804.72754073317219</v>
      </c>
      <c r="Y7" s="32">
        <f t="shared" si="10"/>
        <v>0</v>
      </c>
      <c r="Z7" s="31">
        <f t="shared" si="11"/>
        <v>0</v>
      </c>
      <c r="AA7" s="22">
        <f t="shared" si="12"/>
        <v>0</v>
      </c>
      <c r="AB7" s="22">
        <f t="shared" si="13"/>
        <v>0</v>
      </c>
      <c r="AC7" s="22">
        <f t="shared" si="14"/>
        <v>1670.3240942802838</v>
      </c>
      <c r="AD7" s="22">
        <f t="shared" si="15"/>
        <v>-305.22340839512822</v>
      </c>
      <c r="AE7" s="22">
        <f t="shared" si="16"/>
        <v>-624.2802666296709</v>
      </c>
      <c r="AF7" s="31">
        <f t="shared" si="17"/>
        <v>0</v>
      </c>
      <c r="AG7" s="32">
        <f t="shared" si="18"/>
        <v>0</v>
      </c>
      <c r="AH7" s="31">
        <f t="shared" si="19"/>
        <v>0</v>
      </c>
      <c r="AI7" s="31">
        <f t="shared" si="20"/>
        <v>0</v>
      </c>
      <c r="AJ7" s="22">
        <f t="shared" si="21"/>
        <v>0</v>
      </c>
      <c r="AK7" s="22">
        <f t="shared" si="22"/>
        <v>0</v>
      </c>
    </row>
    <row r="8" spans="1:37" x14ac:dyDescent="0.2">
      <c r="A8" t="s">
        <v>52</v>
      </c>
      <c r="B8" s="22">
        <f>DataFromRScriptForCalculations!B7</f>
        <v>1425887337</v>
      </c>
      <c r="C8" s="22">
        <f>DataFromRScriptForCalculations!C7</f>
        <v>43264697859</v>
      </c>
      <c r="D8" s="22">
        <f>DataFromRScriptForCalculations!D7</f>
        <v>62739096873</v>
      </c>
      <c r="E8" s="22">
        <f>DataFromRScriptForCalculations!E7</f>
        <v>106003794732</v>
      </c>
      <c r="F8" s="9">
        <f>DataFromRScriptForCalculations!F7</f>
        <v>0.17879229290503415</v>
      </c>
      <c r="G8" s="9">
        <f>DataFromRScriptForCalculations!G7</f>
        <v>0.19692234986758239</v>
      </c>
      <c r="H8" s="9">
        <f>DataFromRScriptForCalculations!H7</f>
        <v>0.13893984914671967</v>
      </c>
      <c r="I8" s="9">
        <f>DataFromRScriptForCalculations!I7</f>
        <v>0.15791759947835635</v>
      </c>
      <c r="J8" s="8">
        <f>DataFromRScriptForCalculations!J7</f>
        <v>2060</v>
      </c>
      <c r="K8" s="22">
        <f>DataFromRScriptForCalculations!K7</f>
        <v>11405.072022342312</v>
      </c>
      <c r="L8" s="22">
        <f>DataFromRScriptForCalculations!L7</f>
        <v>219859.38205950629</v>
      </c>
      <c r="M8" s="22">
        <f>DataFromRScriptForCalculations!M7</f>
        <v>246445.75939654111</v>
      </c>
      <c r="N8" s="22">
        <f>DataFromRScriptForCalculations!N7</f>
        <v>466305.14145604742</v>
      </c>
      <c r="O8" s="9">
        <f>DataFromRScriptForCalculations!O7</f>
        <v>0.30677909728453656</v>
      </c>
      <c r="P8" s="9">
        <f>DataFromRScriptForCalculations!P7</f>
        <v>0.22242409312298733</v>
      </c>
      <c r="Q8" s="9">
        <f>DataFromRScriptForCalculations!Q7</f>
        <v>0.30785189191275669</v>
      </c>
      <c r="R8" s="9">
        <f>DataFromRScriptForCalculations!R7</f>
        <v>0.26065087330210646</v>
      </c>
      <c r="S8" s="22">
        <f t="shared" si="4"/>
        <v>194651.6923940109</v>
      </c>
      <c r="T8" s="22">
        <f t="shared" si="5"/>
        <v>25207.689665495389</v>
      </c>
      <c r="U8" s="22">
        <f t="shared" si="6"/>
        <v>31261.466058011927</v>
      </c>
      <c r="V8" s="22">
        <f t="shared" si="7"/>
        <v>215184.29333852918</v>
      </c>
      <c r="W8" s="22">
        <f t="shared" si="8"/>
        <v>240391.98300402457</v>
      </c>
      <c r="X8" s="31">
        <f t="shared" si="9"/>
        <v>152342.43086091836</v>
      </c>
      <c r="Y8" s="32">
        <f t="shared" si="10"/>
        <v>150432.46090756977</v>
      </c>
      <c r="Z8" s="31">
        <f t="shared" si="11"/>
        <v>150379.46655549269</v>
      </c>
      <c r="AA8" s="22">
        <f t="shared" si="12"/>
        <v>150379.46655549269</v>
      </c>
      <c r="AB8" s="22">
        <f t="shared" si="13"/>
        <v>115.05129583352408</v>
      </c>
      <c r="AC8" s="22">
        <f t="shared" si="14"/>
        <v>107678.38308870775</v>
      </c>
      <c r="AD8" s="22">
        <f t="shared" si="15"/>
        <v>138767.37630783336</v>
      </c>
      <c r="AE8" s="22">
        <f t="shared" si="16"/>
        <v>163975.06597332875</v>
      </c>
      <c r="AF8" s="31">
        <f t="shared" si="17"/>
        <v>-86479.150457421347</v>
      </c>
      <c r="AG8" s="32">
        <f t="shared" si="18"/>
        <v>0</v>
      </c>
      <c r="AH8" s="31">
        <f t="shared" si="19"/>
        <v>0</v>
      </c>
      <c r="AI8" s="31">
        <f t="shared" si="20"/>
        <v>0</v>
      </c>
      <c r="AJ8" s="22">
        <f t="shared" si="21"/>
        <v>0</v>
      </c>
      <c r="AK8" s="22">
        <f t="shared" si="22"/>
        <v>0</v>
      </c>
    </row>
    <row r="9" spans="1:37" x14ac:dyDescent="0.2">
      <c r="A9" t="s">
        <v>53</v>
      </c>
      <c r="B9" s="22">
        <f>DataFromRScriptForCalculations!B8</f>
        <v>51874024</v>
      </c>
      <c r="C9" s="22">
        <f>DataFromRScriptForCalculations!C8</f>
        <v>1400496278</v>
      </c>
      <c r="D9" s="22">
        <f>DataFromRScriptForCalculations!D8</f>
        <v>2671471093</v>
      </c>
      <c r="E9" s="22">
        <f>DataFromRScriptForCalculations!E8</f>
        <v>4071967371</v>
      </c>
      <c r="F9" s="9">
        <f>DataFromRScriptForCalculations!F8</f>
        <v>6.5044940455704255E-3</v>
      </c>
      <c r="G9" s="9">
        <f>DataFromRScriptForCalculations!G8</f>
        <v>6.3744584312910623E-3</v>
      </c>
      <c r="H9" s="9">
        <f>DataFromRScriptForCalculations!H8</f>
        <v>5.9161481302893656E-3</v>
      </c>
      <c r="I9" s="9">
        <f>DataFromRScriptForCalculations!I8</f>
        <v>6.0661537071219273E-3</v>
      </c>
      <c r="J9" s="8">
        <f>DataFromRScriptForCalculations!J8</f>
        <v>2050</v>
      </c>
      <c r="K9" s="22">
        <f>DataFromRScriptForCalculations!K8</f>
        <v>99.790447633857198</v>
      </c>
      <c r="L9" s="22">
        <f>DataFromRScriptForCalculations!L8</f>
        <v>2391.4668325284842</v>
      </c>
      <c r="M9" s="22">
        <f>DataFromRScriptForCalculations!M8</f>
        <v>1481.8846295460121</v>
      </c>
      <c r="N9" s="22">
        <f>DataFromRScriptForCalculations!N8</f>
        <v>3873.3514620744963</v>
      </c>
      <c r="O9" s="9">
        <f>DataFromRScriptForCalculations!O8</f>
        <v>2.6842113213106453E-3</v>
      </c>
      <c r="P9" s="9">
        <f>DataFromRScriptForCalculations!P8</f>
        <v>2.4193638519136914E-3</v>
      </c>
      <c r="Q9" s="9">
        <f>DataFromRScriptForCalculations!Q8</f>
        <v>1.8511212687093905E-3</v>
      </c>
      <c r="R9" s="9">
        <f>DataFromRScriptForCalculations!R8</f>
        <v>2.1650896621968076E-3</v>
      </c>
      <c r="S9" s="22">
        <f t="shared" si="4"/>
        <v>6300.9563037432508</v>
      </c>
      <c r="T9" s="22">
        <f t="shared" si="5"/>
        <v>-3909.4894712147666</v>
      </c>
      <c r="U9" s="22">
        <f t="shared" si="6"/>
        <v>1331.1333293151072</v>
      </c>
      <c r="V9" s="22">
        <f t="shared" si="7"/>
        <v>150.75130023090492</v>
      </c>
      <c r="W9" s="22">
        <f t="shared" si="8"/>
        <v>-3758.7381709838619</v>
      </c>
      <c r="X9" s="31">
        <f t="shared" si="9"/>
        <v>0</v>
      </c>
      <c r="Y9" s="32">
        <f t="shared" si="10"/>
        <v>0</v>
      </c>
      <c r="Z9" s="31">
        <f t="shared" si="11"/>
        <v>0</v>
      </c>
      <c r="AA9" s="22">
        <f t="shared" si="12"/>
        <v>0</v>
      </c>
      <c r="AB9" s="22">
        <f t="shared" si="13"/>
        <v>0</v>
      </c>
      <c r="AC9" s="22">
        <f t="shared" si="14"/>
        <v>4585.0148009742579</v>
      </c>
      <c r="AD9" s="22">
        <f t="shared" si="15"/>
        <v>-3103.1301714282458</v>
      </c>
      <c r="AE9" s="22">
        <f t="shared" si="16"/>
        <v>-7012.6196426430124</v>
      </c>
      <c r="AF9" s="31">
        <f t="shared" si="17"/>
        <v>0</v>
      </c>
      <c r="AG9" s="32">
        <f t="shared" si="18"/>
        <v>0</v>
      </c>
      <c r="AH9" s="31">
        <f t="shared" si="19"/>
        <v>0</v>
      </c>
      <c r="AI9" s="31">
        <f t="shared" si="20"/>
        <v>0</v>
      </c>
      <c r="AJ9" s="22">
        <f t="shared" si="21"/>
        <v>0</v>
      </c>
      <c r="AK9" s="22">
        <f t="shared" si="22"/>
        <v>0</v>
      </c>
    </row>
    <row r="10" spans="1:37" x14ac:dyDescent="0.2">
      <c r="A10" t="s">
        <v>54</v>
      </c>
      <c r="B10" s="22">
        <f>DataFromRScriptForCalculations!B9</f>
        <v>5180829</v>
      </c>
      <c r="C10" s="22">
        <f>DataFromRScriptForCalculations!C9</f>
        <v>142193117</v>
      </c>
      <c r="D10" s="22">
        <f>DataFromRScriptForCalculations!D9</f>
        <v>267134950</v>
      </c>
      <c r="E10" s="22">
        <f>DataFromRScriptForCalculations!E9</f>
        <v>409328067</v>
      </c>
      <c r="F10" s="9">
        <f>DataFromRScriptForCalculations!F9</f>
        <v>6.496251646415282E-4</v>
      </c>
      <c r="G10" s="9">
        <f>DataFromRScriptForCalculations!G9</f>
        <v>6.472020866964464E-4</v>
      </c>
      <c r="H10" s="9">
        <f>DataFromRScriptForCalculations!H9</f>
        <v>5.9158788546077043E-4</v>
      </c>
      <c r="I10" s="9">
        <f>DataFromRScriptForCalculations!I9</f>
        <v>6.0979048819129222E-4</v>
      </c>
      <c r="J10" s="8">
        <f>DataFromRScriptForCalculations!J9</f>
        <v>2050</v>
      </c>
      <c r="K10" s="22">
        <f>DataFromRScriptForCalculations!K9</f>
        <v>7.8944352821586632</v>
      </c>
      <c r="L10" s="22">
        <f>DataFromRScriptForCalculations!L9</f>
        <v>211.17329551159091</v>
      </c>
      <c r="M10" s="22">
        <f>DataFromRScriptForCalculations!M9</f>
        <v>123.1563158519177</v>
      </c>
      <c r="N10" s="22">
        <f>DataFromRScriptForCalculations!N9</f>
        <v>334.3296113635086</v>
      </c>
      <c r="O10" s="9">
        <f>DataFromRScriptForCalculations!O9</f>
        <v>2.123483064979755E-4</v>
      </c>
      <c r="P10" s="9">
        <f>DataFromRScriptForCalculations!P9</f>
        <v>2.136366813459227E-4</v>
      </c>
      <c r="Q10" s="9">
        <f>DataFromRScriptForCalculations!Q9</f>
        <v>1.5384279660098714E-4</v>
      </c>
      <c r="R10" s="9">
        <f>DataFromRScriptForCalculations!R9</f>
        <v>1.8688042962714414E-4</v>
      </c>
      <c r="S10" s="22">
        <f t="shared" si="4"/>
        <v>639.73937737951746</v>
      </c>
      <c r="T10" s="22">
        <f t="shared" si="5"/>
        <v>-428.56608186792653</v>
      </c>
      <c r="U10" s="22">
        <f t="shared" si="6"/>
        <v>133.10727422867336</v>
      </c>
      <c r="V10" s="22">
        <f t="shared" si="7"/>
        <v>-9.9509583767556649</v>
      </c>
      <c r="W10" s="22">
        <f t="shared" si="8"/>
        <v>-438.51704024468222</v>
      </c>
      <c r="X10" s="31">
        <f t="shared" si="9"/>
        <v>0</v>
      </c>
      <c r="Y10" s="32">
        <f t="shared" si="10"/>
        <v>0</v>
      </c>
      <c r="Z10" s="31">
        <f t="shared" si="11"/>
        <v>0</v>
      </c>
      <c r="AA10" s="22">
        <f t="shared" si="12"/>
        <v>0</v>
      </c>
      <c r="AB10" s="22">
        <f t="shared" si="13"/>
        <v>0</v>
      </c>
      <c r="AC10" s="22">
        <f t="shared" si="14"/>
        <v>458.48061123209709</v>
      </c>
      <c r="AD10" s="22">
        <f t="shared" si="15"/>
        <v>-335.32429538017936</v>
      </c>
      <c r="AE10" s="22">
        <f t="shared" si="16"/>
        <v>-763.89037724810589</v>
      </c>
      <c r="AF10" s="31">
        <f t="shared" si="17"/>
        <v>0</v>
      </c>
      <c r="AG10" s="32">
        <f t="shared" si="18"/>
        <v>0</v>
      </c>
      <c r="AH10" s="31">
        <f t="shared" si="19"/>
        <v>0</v>
      </c>
      <c r="AI10" s="31">
        <f t="shared" si="20"/>
        <v>0</v>
      </c>
      <c r="AJ10" s="22">
        <f t="shared" si="21"/>
        <v>0</v>
      </c>
      <c r="AK10" s="22">
        <f t="shared" si="22"/>
        <v>0</v>
      </c>
    </row>
    <row r="11" spans="1:37" x14ac:dyDescent="0.2">
      <c r="A11" t="s">
        <v>55</v>
      </c>
      <c r="B11" s="22">
        <f>DataFromRScriptForCalculations!B10</f>
        <v>110990103</v>
      </c>
      <c r="C11" s="22">
        <f>DataFromRScriptForCalculations!C10</f>
        <v>2711464435</v>
      </c>
      <c r="D11" s="22">
        <f>DataFromRScriptForCalculations!D10</f>
        <v>7324397186</v>
      </c>
      <c r="E11" s="22">
        <f>DataFromRScriptForCalculations!E10</f>
        <v>10035861621</v>
      </c>
      <c r="F11" s="9">
        <f>DataFromRScriptForCalculations!F10</f>
        <v>1.3917070788276387E-2</v>
      </c>
      <c r="G11" s="9">
        <f>DataFromRScriptForCalculations!G10</f>
        <v>1.23414232514166E-2</v>
      </c>
      <c r="H11" s="9">
        <f>DataFromRScriptForCalculations!H10</f>
        <v>1.622035845006637E-2</v>
      </c>
      <c r="I11" s="9">
        <f>DataFromRScriptForCalculations!I10</f>
        <v>1.495077775179742E-2</v>
      </c>
      <c r="J11" s="8">
        <f>DataFromRScriptForCalculations!J10</f>
        <v>2070</v>
      </c>
      <c r="K11" s="22">
        <f>DataFromRScriptForCalculations!K10</f>
        <v>259.14012716993938</v>
      </c>
      <c r="L11" s="22">
        <f>DataFromRScriptForCalculations!L10</f>
        <v>5652.7510082432118</v>
      </c>
      <c r="M11" s="22">
        <f>DataFromRScriptForCalculations!M10</f>
        <v>9318.0282604445165</v>
      </c>
      <c r="N11" s="22">
        <f>DataFromRScriptForCalculations!N10</f>
        <v>14970.779268687729</v>
      </c>
      <c r="O11" s="9">
        <f>DataFromRScriptForCalculations!O10</f>
        <v>6.9704754277445571E-3</v>
      </c>
      <c r="P11" s="9">
        <f>DataFromRScriptForCalculations!P10</f>
        <v>5.7186916695610946E-3</v>
      </c>
      <c r="Q11" s="9">
        <f>DataFromRScriptForCalculations!Q10</f>
        <v>1.1639772726860878E-2</v>
      </c>
      <c r="R11" s="9">
        <f>DataFromRScriptForCalculations!R10</f>
        <v>8.3682257463685555E-3</v>
      </c>
      <c r="S11" s="22">
        <f t="shared" si="4"/>
        <v>12199.117693113129</v>
      </c>
      <c r="T11" s="22">
        <f t="shared" si="5"/>
        <v>-6546.3666848699168</v>
      </c>
      <c r="U11" s="22">
        <f t="shared" si="6"/>
        <v>3649.5806512649333</v>
      </c>
      <c r="V11" s="22">
        <f t="shared" si="7"/>
        <v>5668.4476091795832</v>
      </c>
      <c r="W11" s="22">
        <f t="shared" si="8"/>
        <v>-877.91907569033356</v>
      </c>
      <c r="X11" s="31">
        <f t="shared" si="9"/>
        <v>0</v>
      </c>
      <c r="Y11" s="32">
        <f t="shared" si="10"/>
        <v>0</v>
      </c>
      <c r="Z11" s="31">
        <f t="shared" si="11"/>
        <v>0</v>
      </c>
      <c r="AA11" s="22">
        <f t="shared" si="12"/>
        <v>0</v>
      </c>
      <c r="AB11" s="22">
        <f t="shared" si="13"/>
        <v>0</v>
      </c>
      <c r="AC11" s="22">
        <f t="shared" si="14"/>
        <v>12570.777798801437</v>
      </c>
      <c r="AD11" s="22">
        <f t="shared" si="15"/>
        <v>-3252.7495383569203</v>
      </c>
      <c r="AE11" s="22">
        <f t="shared" si="16"/>
        <v>-9799.1162232268362</v>
      </c>
      <c r="AF11" s="31">
        <f t="shared" si="17"/>
        <v>0</v>
      </c>
      <c r="AG11" s="32">
        <f t="shared" si="18"/>
        <v>0</v>
      </c>
      <c r="AH11" s="31">
        <f t="shared" si="19"/>
        <v>0</v>
      </c>
      <c r="AI11" s="31">
        <f t="shared" si="20"/>
        <v>0</v>
      </c>
      <c r="AJ11" s="22">
        <f t="shared" si="21"/>
        <v>0</v>
      </c>
      <c r="AK11" s="22">
        <f t="shared" si="22"/>
        <v>0</v>
      </c>
    </row>
    <row r="12" spans="1:37" x14ac:dyDescent="0.2">
      <c r="A12" t="s">
        <v>56</v>
      </c>
      <c r="B12" s="22">
        <f>DataFromRScriptForCalculations!B11</f>
        <v>123379925</v>
      </c>
      <c r="C12" s="22">
        <f>DataFromRScriptForCalculations!C11</f>
        <v>2705779529</v>
      </c>
      <c r="D12" s="22">
        <f>DataFromRScriptForCalculations!D11</f>
        <v>9710285246</v>
      </c>
      <c r="E12" s="22">
        <f>DataFromRScriptForCalculations!E11</f>
        <v>12416064775</v>
      </c>
      <c r="F12" s="9">
        <f>DataFromRScriptForCalculations!F11</f>
        <v>1.5470632999387626E-2</v>
      </c>
      <c r="G12" s="9">
        <f>DataFromRScriptForCalculations!G11</f>
        <v>1.2315547997371265E-2</v>
      </c>
      <c r="H12" s="9">
        <f>DataFromRScriptForCalculations!H11</f>
        <v>2.1504064203886675E-2</v>
      </c>
      <c r="I12" s="9">
        <f>DataFromRScriptForCalculations!I11</f>
        <v>1.8496650513247011E-2</v>
      </c>
      <c r="J12" s="8">
        <f>DataFromRScriptForCalculations!J11</f>
        <v>2060</v>
      </c>
      <c r="K12" s="22">
        <f>DataFromRScriptForCalculations!K11</f>
        <v>19.087140143624811</v>
      </c>
      <c r="L12" s="22">
        <f>DataFromRScriptForCalculations!L11</f>
        <v>254.77012570312226</v>
      </c>
      <c r="M12" s="22">
        <f>DataFromRScriptForCalculations!M11</f>
        <v>306.57646664526953</v>
      </c>
      <c r="N12" s="22">
        <f>DataFromRScriptForCalculations!N11</f>
        <v>561.34659234839182</v>
      </c>
      <c r="O12" s="9">
        <f>DataFromRScriptForCalculations!O11</f>
        <v>5.1341505003508787E-4</v>
      </c>
      <c r="P12" s="9">
        <f>DataFromRScriptForCalculations!P11</f>
        <v>2.5774207874835732E-4</v>
      </c>
      <c r="Q12" s="9">
        <f>DataFromRScriptForCalculations!Q11</f>
        <v>3.8296518269893593E-4</v>
      </c>
      <c r="R12" s="9">
        <f>DataFromRScriptForCalculations!R11</f>
        <v>3.137762518849712E-4</v>
      </c>
      <c r="S12" s="22">
        <f t="shared" si="4"/>
        <v>12173.540799507926</v>
      </c>
      <c r="T12" s="22">
        <f t="shared" si="5"/>
        <v>-11918.770673804804</v>
      </c>
      <c r="U12" s="22">
        <f t="shared" si="6"/>
        <v>4838.4144458745022</v>
      </c>
      <c r="V12" s="22">
        <f t="shared" si="7"/>
        <v>-4531.8379792292326</v>
      </c>
      <c r="W12" s="22">
        <f t="shared" si="8"/>
        <v>-16450.608653034036</v>
      </c>
      <c r="X12" s="31">
        <f t="shared" si="9"/>
        <v>0</v>
      </c>
      <c r="Y12" s="32">
        <f t="shared" si="10"/>
        <v>0</v>
      </c>
      <c r="Z12" s="31">
        <f t="shared" si="11"/>
        <v>0</v>
      </c>
      <c r="AA12" s="22">
        <f t="shared" si="12"/>
        <v>0</v>
      </c>
      <c r="AB12" s="22">
        <f t="shared" si="13"/>
        <v>0</v>
      </c>
      <c r="AC12" s="22">
        <f t="shared" si="14"/>
        <v>16665.649758012172</v>
      </c>
      <c r="AD12" s="22">
        <f t="shared" si="15"/>
        <v>-16359.073291366904</v>
      </c>
      <c r="AE12" s="22">
        <f t="shared" si="16"/>
        <v>-28277.843965171705</v>
      </c>
      <c r="AF12" s="31">
        <f t="shared" si="17"/>
        <v>0</v>
      </c>
      <c r="AG12" s="32">
        <f t="shared" si="18"/>
        <v>0</v>
      </c>
      <c r="AH12" s="31">
        <f t="shared" si="19"/>
        <v>0</v>
      </c>
      <c r="AI12" s="31">
        <f t="shared" si="20"/>
        <v>0</v>
      </c>
      <c r="AJ12" s="22">
        <f t="shared" si="21"/>
        <v>0</v>
      </c>
      <c r="AK12" s="22">
        <f t="shared" si="22"/>
        <v>0</v>
      </c>
    </row>
    <row r="13" spans="1:37" x14ac:dyDescent="0.2">
      <c r="A13" t="s">
        <v>57</v>
      </c>
      <c r="B13" s="22">
        <f>DataFromRScriptForCalculations!B12</f>
        <v>436930922</v>
      </c>
      <c r="C13" s="22">
        <f>DataFromRScriptForCalculations!C12</f>
        <v>13957030962</v>
      </c>
      <c r="D13" s="22">
        <f>DataFromRScriptForCalculations!D12</f>
        <v>19911902579</v>
      </c>
      <c r="E13" s="22">
        <f>DataFromRScriptForCalculations!E12</f>
        <v>33868933541</v>
      </c>
      <c r="F13" s="9">
        <f>DataFromRScriptForCalculations!F12</f>
        <v>5.4786854023019228E-2</v>
      </c>
      <c r="G13" s="9">
        <f>DataFromRScriptForCalculations!G12</f>
        <v>6.352641923373345E-2</v>
      </c>
      <c r="H13" s="9">
        <f>DataFromRScriptForCalculations!H12</f>
        <v>4.4096215572733827E-2</v>
      </c>
      <c r="I13" s="9">
        <f>DataFromRScriptForCalculations!I12</f>
        <v>5.0455747317431868E-2</v>
      </c>
      <c r="J13" s="8">
        <f>DataFromRScriptForCalculations!J12</f>
        <v>2050</v>
      </c>
      <c r="K13" s="22">
        <f>DataFromRScriptForCalculations!K12</f>
        <v>2763.9172374815575</v>
      </c>
      <c r="L13" s="22">
        <f>DataFromRScriptForCalculations!L12</f>
        <v>113144.93609931841</v>
      </c>
      <c r="M13" s="22">
        <f>DataFromRScriptForCalculations!M12</f>
        <v>35701.911613920543</v>
      </c>
      <c r="N13" s="22">
        <f>DataFromRScriptForCalculations!N12</f>
        <v>148846.84771323897</v>
      </c>
      <c r="O13" s="9">
        <f>DataFromRScriptForCalculations!O12</f>
        <v>7.4345171466056445E-2</v>
      </c>
      <c r="P13" s="9">
        <f>DataFromRScriptForCalculations!P12</f>
        <v>0.114464798216061</v>
      </c>
      <c r="Q13" s="9">
        <f>DataFromRScriptForCalculations!Q12</f>
        <v>4.4597647215193749E-2</v>
      </c>
      <c r="R13" s="9">
        <f>DataFromRScriptForCalculations!R12</f>
        <v>8.3201014519326891E-2</v>
      </c>
      <c r="S13" s="22">
        <f t="shared" si="4"/>
        <v>62793.913559799999</v>
      </c>
      <c r="T13" s="22">
        <f t="shared" si="5"/>
        <v>50351.02253951841</v>
      </c>
      <c r="U13" s="22">
        <f t="shared" si="6"/>
        <v>9921.6485038651117</v>
      </c>
      <c r="V13" s="22">
        <f t="shared" si="7"/>
        <v>25780.263110055432</v>
      </c>
      <c r="W13" s="22">
        <f t="shared" si="8"/>
        <v>76131.285649573838</v>
      </c>
      <c r="X13" s="31">
        <f t="shared" si="9"/>
        <v>48186.444365882649</v>
      </c>
      <c r="Y13" s="32">
        <f t="shared" si="10"/>
        <v>47580.265164468903</v>
      </c>
      <c r="Z13" s="31">
        <f t="shared" si="11"/>
        <v>47563.446012960681</v>
      </c>
      <c r="AA13" s="22">
        <f t="shared" si="12"/>
        <v>47563.446012960681</v>
      </c>
      <c r="AB13" s="22">
        <f t="shared" si="13"/>
        <v>114.65732114569083</v>
      </c>
      <c r="AC13" s="22">
        <f t="shared" si="14"/>
        <v>34174.567068868717</v>
      </c>
      <c r="AD13" s="22">
        <f t="shared" si="15"/>
        <v>1527.3445450518266</v>
      </c>
      <c r="AE13" s="22">
        <f t="shared" si="16"/>
        <v>51878.367084570236</v>
      </c>
      <c r="AF13" s="31">
        <f t="shared" si="17"/>
        <v>-27609.866036857748</v>
      </c>
      <c r="AG13" s="32">
        <f t="shared" si="18"/>
        <v>0</v>
      </c>
      <c r="AH13" s="31">
        <f t="shared" si="19"/>
        <v>0</v>
      </c>
      <c r="AI13" s="31">
        <f t="shared" si="20"/>
        <v>0</v>
      </c>
      <c r="AJ13" s="22">
        <f t="shared" si="21"/>
        <v>0</v>
      </c>
      <c r="AK13" s="22">
        <f t="shared" si="22"/>
        <v>0</v>
      </c>
    </row>
    <row r="14" spans="1:37" x14ac:dyDescent="0.2">
      <c r="A14" t="s">
        <v>58</v>
      </c>
      <c r="B14" s="22">
        <f>DataFromRScriptForCalculations!B13</f>
        <v>2705992</v>
      </c>
      <c r="C14" s="22">
        <f>DataFromRScriptForCalculations!C13</f>
        <v>58804928</v>
      </c>
      <c r="D14" s="22">
        <f>DataFromRScriptForCalculations!D13</f>
        <v>210606063</v>
      </c>
      <c r="E14" s="22">
        <f>DataFromRScriptForCalculations!E13</f>
        <v>269410991</v>
      </c>
      <c r="F14" s="9">
        <f>DataFromRScriptForCalculations!F13</f>
        <v>3.3930486771878746E-4</v>
      </c>
      <c r="G14" s="9">
        <f>DataFromRScriptForCalculations!G13</f>
        <v>2.6765481278277547E-4</v>
      </c>
      <c r="H14" s="9">
        <f>DataFromRScriptForCalculations!H13</f>
        <v>4.6640095380775821E-4</v>
      </c>
      <c r="I14" s="9">
        <f>DataFromRScriptForCalculations!I13</f>
        <v>4.0135107501922129E-4</v>
      </c>
      <c r="J14" s="8">
        <f>DataFromRScriptForCalculations!J13</f>
        <v>2050</v>
      </c>
      <c r="K14" s="22">
        <f>DataFromRScriptForCalculations!K13</f>
        <v>0.77103306564803942</v>
      </c>
      <c r="L14" s="22">
        <f>DataFromRScriptForCalculations!L13</f>
        <v>13.038285038329466</v>
      </c>
      <c r="M14" s="22">
        <f>DataFromRScriptForCalculations!M13</f>
        <v>14.310215729768139</v>
      </c>
      <c r="N14" s="22">
        <f>DataFromRScriptForCalculations!N13</f>
        <v>27.348500768097605</v>
      </c>
      <c r="O14" s="9">
        <f>DataFromRScriptForCalculations!O13</f>
        <v>2.0739617197740038E-5</v>
      </c>
      <c r="P14" s="9">
        <f>DataFromRScriptForCalculations!P13</f>
        <v>1.3190379679792491E-5</v>
      </c>
      <c r="Q14" s="9">
        <f>DataFromRScriptForCalculations!Q13</f>
        <v>1.7875848206421367E-5</v>
      </c>
      <c r="R14" s="9">
        <f>DataFromRScriptForCalculations!R13</f>
        <v>1.5287008387789508E-5</v>
      </c>
      <c r="S14" s="22">
        <f t="shared" si="4"/>
        <v>264.56855872684298</v>
      </c>
      <c r="T14" s="22">
        <f t="shared" si="5"/>
        <v>-251.53027368851352</v>
      </c>
      <c r="U14" s="22">
        <f t="shared" si="6"/>
        <v>104.9402146067456</v>
      </c>
      <c r="V14" s="22">
        <f t="shared" si="7"/>
        <v>-90.629998876977453</v>
      </c>
      <c r="W14" s="22">
        <f t="shared" si="8"/>
        <v>-342.16027256549097</v>
      </c>
      <c r="X14" s="31">
        <f t="shared" si="9"/>
        <v>0</v>
      </c>
      <c r="Y14" s="32">
        <f t="shared" si="10"/>
        <v>0</v>
      </c>
      <c r="Z14" s="31">
        <f t="shared" si="11"/>
        <v>0</v>
      </c>
      <c r="AA14" s="22">
        <f t="shared" si="12"/>
        <v>0</v>
      </c>
      <c r="AB14" s="22">
        <f t="shared" si="13"/>
        <v>0</v>
      </c>
      <c r="AC14" s="22">
        <f t="shared" si="14"/>
        <v>361.46073920101259</v>
      </c>
      <c r="AD14" s="22">
        <f t="shared" si="15"/>
        <v>-347.15052347124447</v>
      </c>
      <c r="AE14" s="22">
        <f t="shared" si="16"/>
        <v>-598.68079715975796</v>
      </c>
      <c r="AF14" s="31">
        <f t="shared" si="17"/>
        <v>0</v>
      </c>
      <c r="AG14" s="32">
        <f t="shared" si="18"/>
        <v>0</v>
      </c>
      <c r="AH14" s="31">
        <f t="shared" si="19"/>
        <v>0</v>
      </c>
      <c r="AI14" s="31">
        <f t="shared" si="20"/>
        <v>0</v>
      </c>
      <c r="AJ14" s="22">
        <f t="shared" si="21"/>
        <v>0</v>
      </c>
      <c r="AK14" s="22">
        <f t="shared" si="22"/>
        <v>0</v>
      </c>
    </row>
    <row r="15" spans="1:37" x14ac:dyDescent="0.2">
      <c r="A15" t="s">
        <v>59</v>
      </c>
      <c r="B15" s="22">
        <f>DataFromRScriptForCalculations!B14</f>
        <v>1417173173</v>
      </c>
      <c r="C15" s="22">
        <f>DataFromRScriptForCalculations!C14</f>
        <v>38348126663</v>
      </c>
      <c r="D15" s="22">
        <f>DataFromRScriptForCalculations!D14</f>
        <v>77780971262</v>
      </c>
      <c r="E15" s="22">
        <f>DataFromRScriptForCalculations!E14</f>
        <v>116129097925</v>
      </c>
      <c r="F15" s="9">
        <f>DataFromRScriptForCalculations!F14</f>
        <v>0.17769962217160262</v>
      </c>
      <c r="G15" s="9">
        <f>DataFromRScriptForCalculations!G14</f>
        <v>0.17454422633687139</v>
      </c>
      <c r="H15" s="9">
        <f>DataFromRScriptForCalculations!H14</f>
        <v>0.17225106755208008</v>
      </c>
      <c r="I15" s="9">
        <f>DataFromRScriptForCalculations!I14</f>
        <v>0.1730016215010737</v>
      </c>
      <c r="J15" s="8">
        <f>DataFromRScriptForCalculations!J14</f>
        <v>2070</v>
      </c>
      <c r="K15" s="22">
        <f>DataFromRScriptForCalculations!K14</f>
        <v>2831.7036201616979</v>
      </c>
      <c r="L15" s="22">
        <f>DataFromRScriptForCalculations!L14</f>
        <v>49349.161597321465</v>
      </c>
      <c r="M15" s="22">
        <f>DataFromRScriptForCalculations!M14</f>
        <v>92093.16066296908</v>
      </c>
      <c r="N15" s="22">
        <f>DataFromRScriptForCalculations!N14</f>
        <v>141442.32226029056</v>
      </c>
      <c r="O15" s="9">
        <f>DataFromRScriptForCalculations!O14</f>
        <v>7.6168522098657432E-2</v>
      </c>
      <c r="P15" s="9">
        <f>DataFromRScriptForCalculations!P14</f>
        <v>4.9924831098147715E-2</v>
      </c>
      <c r="Q15" s="9">
        <f>DataFromRScriptForCalculations!Q14</f>
        <v>0.11503973049381025</v>
      </c>
      <c r="R15" s="9">
        <f>DataFromRScriptForCalculations!R14</f>
        <v>7.9062102347626992E-2</v>
      </c>
      <c r="S15" s="22">
        <f t="shared" si="4"/>
        <v>172531.60485298661</v>
      </c>
      <c r="T15" s="22">
        <f t="shared" si="5"/>
        <v>-123182.44325566514</v>
      </c>
      <c r="U15" s="22">
        <f t="shared" si="6"/>
        <v>38756.490199218017</v>
      </c>
      <c r="V15" s="22">
        <f t="shared" si="7"/>
        <v>53336.670463751063</v>
      </c>
      <c r="W15" s="22">
        <f t="shared" si="8"/>
        <v>-69845.772791914089</v>
      </c>
      <c r="X15" s="31">
        <f t="shared" si="9"/>
        <v>0</v>
      </c>
      <c r="Y15" s="32">
        <f t="shared" si="10"/>
        <v>0</v>
      </c>
      <c r="Z15" s="31">
        <f t="shared" si="11"/>
        <v>0</v>
      </c>
      <c r="AA15" s="22">
        <f t="shared" si="12"/>
        <v>0</v>
      </c>
      <c r="AB15" s="22">
        <f t="shared" si="13"/>
        <v>0</v>
      </c>
      <c r="AC15" s="22">
        <f t="shared" si="14"/>
        <v>133494.57735286208</v>
      </c>
      <c r="AD15" s="22">
        <f t="shared" si="15"/>
        <v>-41401.416689892998</v>
      </c>
      <c r="AE15" s="22">
        <f t="shared" si="16"/>
        <v>-164583.85994555813</v>
      </c>
      <c r="AF15" s="31">
        <f t="shared" si="17"/>
        <v>0</v>
      </c>
      <c r="AG15" s="32">
        <f t="shared" si="18"/>
        <v>0</v>
      </c>
      <c r="AH15" s="31">
        <f t="shared" si="19"/>
        <v>0</v>
      </c>
      <c r="AI15" s="31">
        <f t="shared" si="20"/>
        <v>0</v>
      </c>
      <c r="AJ15" s="22">
        <f t="shared" si="21"/>
        <v>0</v>
      </c>
      <c r="AK15" s="22">
        <f t="shared" si="22"/>
        <v>0</v>
      </c>
    </row>
    <row r="16" spans="1:37" x14ac:dyDescent="0.2">
      <c r="A16" t="s">
        <v>60</v>
      </c>
      <c r="B16" s="22">
        <f>DataFromRScriptForCalculations!B15</f>
        <v>275501339</v>
      </c>
      <c r="C16" s="22">
        <f>DataFromRScriptForCalculations!C15</f>
        <v>7634484538</v>
      </c>
      <c r="D16" s="22">
        <f>DataFromRScriptForCalculations!D15</f>
        <v>14808794586</v>
      </c>
      <c r="E16" s="22">
        <f>DataFromRScriptForCalculations!E15</f>
        <v>22443279124</v>
      </c>
      <c r="F16" s="9">
        <f>DataFromRScriptForCalculations!F15</f>
        <v>3.4545166942749214E-2</v>
      </c>
      <c r="G16" s="9">
        <f>DataFromRScriptForCalculations!G15</f>
        <v>3.4748899441070381E-2</v>
      </c>
      <c r="H16" s="9">
        <f>DataFromRScriptForCalculations!H15</f>
        <v>3.2795047878814231E-2</v>
      </c>
      <c r="I16" s="9">
        <f>DataFromRScriptForCalculations!I15</f>
        <v>3.3434546118327621E-2</v>
      </c>
      <c r="J16" s="8">
        <f>DataFromRScriptForCalculations!J15</f>
        <v>2060</v>
      </c>
      <c r="K16" s="22">
        <f>DataFromRScriptForCalculations!K15</f>
        <v>729.41373727555663</v>
      </c>
      <c r="L16" s="22">
        <f>DataFromRScriptForCalculations!L15</f>
        <v>12972.61927649423</v>
      </c>
      <c r="M16" s="22">
        <f>DataFromRScriptForCalculations!M15</f>
        <v>23574.61960046965</v>
      </c>
      <c r="N16" s="22">
        <f>DataFromRScriptForCalculations!N15</f>
        <v>36547.238876963878</v>
      </c>
      <c r="O16" s="9">
        <f>DataFromRScriptForCalculations!O15</f>
        <v>1.9620120541981367E-2</v>
      </c>
      <c r="P16" s="9">
        <f>DataFromRScriptForCalculations!P15</f>
        <v>1.3123947911502161E-2</v>
      </c>
      <c r="Q16" s="9">
        <f>DataFromRScriptForCalculations!Q15</f>
        <v>2.9448635119140126E-2</v>
      </c>
      <c r="R16" s="9">
        <f>DataFromRScriptForCalculations!R15</f>
        <v>2.0428832717383261E-2</v>
      </c>
      <c r="S16" s="22">
        <f t="shared" si="4"/>
        <v>34348.219435640283</v>
      </c>
      <c r="T16" s="22">
        <f t="shared" si="5"/>
        <v>-21375.600159146052</v>
      </c>
      <c r="U16" s="22">
        <f t="shared" si="6"/>
        <v>7378.8857727332015</v>
      </c>
      <c r="V16" s="22">
        <f t="shared" si="7"/>
        <v>16195.733827736449</v>
      </c>
      <c r="W16" s="22">
        <f t="shared" si="8"/>
        <v>-5179.8663314096029</v>
      </c>
      <c r="X16" s="31">
        <f t="shared" si="9"/>
        <v>0</v>
      </c>
      <c r="Y16" s="32">
        <f t="shared" si="10"/>
        <v>0</v>
      </c>
      <c r="Z16" s="31">
        <f t="shared" si="11"/>
        <v>0</v>
      </c>
      <c r="AA16" s="22">
        <f t="shared" si="12"/>
        <v>0</v>
      </c>
      <c r="AB16" s="22">
        <f t="shared" si="13"/>
        <v>0</v>
      </c>
      <c r="AC16" s="22">
        <f t="shared" si="14"/>
        <v>25416.162106081028</v>
      </c>
      <c r="AD16" s="22">
        <f t="shared" si="15"/>
        <v>-1841.5425056113781</v>
      </c>
      <c r="AE16" s="22">
        <f t="shared" si="16"/>
        <v>-23217.14266475743</v>
      </c>
      <c r="AF16" s="31">
        <f t="shared" si="17"/>
        <v>0</v>
      </c>
      <c r="AG16" s="32">
        <f t="shared" si="18"/>
        <v>0</v>
      </c>
      <c r="AH16" s="31">
        <f t="shared" si="19"/>
        <v>0</v>
      </c>
      <c r="AI16" s="31">
        <f t="shared" si="20"/>
        <v>0</v>
      </c>
      <c r="AJ16" s="22">
        <f t="shared" si="21"/>
        <v>0</v>
      </c>
      <c r="AK16" s="22">
        <f t="shared" si="22"/>
        <v>0</v>
      </c>
    </row>
    <row r="17" spans="1:37" x14ac:dyDescent="0.2">
      <c r="A17" t="s">
        <v>61</v>
      </c>
      <c r="B17" s="22">
        <f>DataFromRScriptForCalculations!B16</f>
        <v>88550570</v>
      </c>
      <c r="C17" s="22">
        <f>DataFromRScriptForCalculations!C16</f>
        <v>2376699157</v>
      </c>
      <c r="D17" s="22">
        <f>DataFromRScriptForCalculations!D16</f>
        <v>4610912549</v>
      </c>
      <c r="E17" s="22">
        <f>DataFromRScriptForCalculations!E16</f>
        <v>6987611706</v>
      </c>
      <c r="F17" s="9">
        <f>DataFromRScriptForCalculations!F16</f>
        <v>1.1103373343407235E-2</v>
      </c>
      <c r="G17" s="9">
        <f>DataFromRScriptForCalculations!G16</f>
        <v>1.081771527562818E-2</v>
      </c>
      <c r="H17" s="9">
        <f>DataFromRScriptForCalculations!H16</f>
        <v>1.0211168568199111E-2</v>
      </c>
      <c r="I17" s="9">
        <f>DataFromRScriptForCalculations!I16</f>
        <v>1.0409692119873443E-2</v>
      </c>
      <c r="J17" s="8">
        <f>DataFromRScriptForCalculations!J16</f>
        <v>2070</v>
      </c>
      <c r="K17" s="22">
        <f>DataFromRScriptForCalculations!K16</f>
        <v>691.13790799763228</v>
      </c>
      <c r="L17" s="22">
        <f>DataFromRScriptForCalculations!L16</f>
        <v>15516.041355047015</v>
      </c>
      <c r="M17" s="22">
        <f>DataFromRScriptForCalculations!M16</f>
        <v>32300.181270649187</v>
      </c>
      <c r="N17" s="22">
        <f>DataFromRScriptForCalculations!N16</f>
        <v>47816.222625696202</v>
      </c>
      <c r="O17" s="9">
        <f>DataFromRScriptForCalculations!O16</f>
        <v>1.8590558928455746E-2</v>
      </c>
      <c r="P17" s="9">
        <f>DataFromRScriptForCalculations!P16</f>
        <v>1.5697039602890484E-2</v>
      </c>
      <c r="Q17" s="9">
        <f>DataFromRScriptForCalculations!Q16</f>
        <v>4.0348318176149159E-2</v>
      </c>
      <c r="R17" s="9">
        <f>DataFromRScriptForCalculations!R16</f>
        <v>2.6727863532618617E-2</v>
      </c>
      <c r="S17" s="22">
        <f t="shared" si="4"/>
        <v>10692.97917505813</v>
      </c>
      <c r="T17" s="22">
        <f t="shared" si="5"/>
        <v>4823.062179988885</v>
      </c>
      <c r="U17" s="22">
        <f t="shared" si="6"/>
        <v>2297.5129278447998</v>
      </c>
      <c r="V17" s="22">
        <f t="shared" si="7"/>
        <v>30002.668342804387</v>
      </c>
      <c r="W17" s="22">
        <f t="shared" si="8"/>
        <v>34825.730522793274</v>
      </c>
      <c r="X17" s="31">
        <f t="shared" si="9"/>
        <v>28354.665347400274</v>
      </c>
      <c r="Y17" s="32">
        <f t="shared" si="10"/>
        <v>28214.295070092408</v>
      </c>
      <c r="Z17" s="31">
        <f t="shared" si="11"/>
        <v>28210.400332437624</v>
      </c>
      <c r="AA17" s="22">
        <f t="shared" si="12"/>
        <v>28210.400332437624</v>
      </c>
      <c r="AB17" s="22">
        <f t="shared" si="13"/>
        <v>293.67271696590268</v>
      </c>
      <c r="AC17" s="22">
        <f t="shared" si="14"/>
        <v>7913.6556403543109</v>
      </c>
      <c r="AD17" s="22">
        <f t="shared" si="15"/>
        <v>24386.525630294876</v>
      </c>
      <c r="AE17" s="22">
        <f t="shared" si="16"/>
        <v>29209.58781028376</v>
      </c>
      <c r="AF17" s="31">
        <f t="shared" si="17"/>
        <v>10802.843897023991</v>
      </c>
      <c r="AG17" s="32">
        <f t="shared" si="18"/>
        <v>-7422.784821320136</v>
      </c>
      <c r="AH17" s="31">
        <f t="shared" si="19"/>
        <v>0</v>
      </c>
      <c r="AI17" s="31">
        <f t="shared" si="20"/>
        <v>0</v>
      </c>
      <c r="AJ17" s="22">
        <f t="shared" si="21"/>
        <v>0</v>
      </c>
      <c r="AK17" s="22">
        <f t="shared" si="22"/>
        <v>0</v>
      </c>
    </row>
    <row r="18" spans="1:37" x14ac:dyDescent="0.2">
      <c r="A18" t="s">
        <v>62</v>
      </c>
      <c r="B18" s="22">
        <f>DataFromRScriptForCalculations!B17</f>
        <v>123951692</v>
      </c>
      <c r="C18" s="22">
        <f>DataFromRScriptForCalculations!C17</f>
        <v>4174287934</v>
      </c>
      <c r="D18" s="22">
        <f>DataFromRScriptForCalculations!D17</f>
        <v>5106968450</v>
      </c>
      <c r="E18" s="22">
        <f>DataFromRScriptForCalculations!E17</f>
        <v>9281256384</v>
      </c>
      <c r="F18" s="9">
        <f>DataFromRScriptForCalculations!F17</f>
        <v>1.5542326975682075E-2</v>
      </c>
      <c r="G18" s="9">
        <f>DataFromRScriptForCalculations!G17</f>
        <v>1.8999568462632396E-2</v>
      </c>
      <c r="H18" s="9">
        <f>DataFromRScriptForCalculations!H17</f>
        <v>1.1309716929403541E-2</v>
      </c>
      <c r="I18" s="9">
        <f>DataFromRScriptForCalculations!I17</f>
        <v>1.3826615660410865E-2</v>
      </c>
      <c r="J18" s="8">
        <f>DataFromRScriptForCalculations!J17</f>
        <v>2050</v>
      </c>
      <c r="K18" s="22">
        <f>DataFromRScriptForCalculations!K17</f>
        <v>1054.5648350468477</v>
      </c>
      <c r="L18" s="22">
        <f>DataFromRScriptForCalculations!L17</f>
        <v>40108.307284230366</v>
      </c>
      <c r="M18" s="22">
        <f>DataFromRScriptForCalculations!M17</f>
        <v>14242.312049685153</v>
      </c>
      <c r="N18" s="22">
        <f>DataFromRScriptForCalculations!N17</f>
        <v>54350.619333915522</v>
      </c>
      <c r="O18" s="9">
        <f>DataFromRScriptForCalculations!O17</f>
        <v>2.8366190716719884E-2</v>
      </c>
      <c r="P18" s="9">
        <f>DataFromRScriptForCalculations!P17</f>
        <v>4.0576180060301031E-2</v>
      </c>
      <c r="Q18" s="9">
        <f>DataFromRScriptForCalculations!Q17</f>
        <v>1.7791025175046948E-2</v>
      </c>
      <c r="R18" s="9">
        <f>DataFromRScriptForCalculations!R17</f>
        <v>3.0380399301753631E-2</v>
      </c>
      <c r="S18" s="22">
        <f t="shared" si="4"/>
        <v>18780.489662519969</v>
      </c>
      <c r="T18" s="22">
        <f t="shared" si="5"/>
        <v>21327.817621710397</v>
      </c>
      <c r="U18" s="22">
        <f t="shared" si="6"/>
        <v>2544.6863091157966</v>
      </c>
      <c r="V18" s="22">
        <f t="shared" si="7"/>
        <v>11697.625740569358</v>
      </c>
      <c r="W18" s="22">
        <f t="shared" si="8"/>
        <v>33025.443362279751</v>
      </c>
      <c r="X18" s="31">
        <f t="shared" si="9"/>
        <v>25858.201447055613</v>
      </c>
      <c r="Y18" s="32">
        <f t="shared" si="10"/>
        <v>25702.729711274267</v>
      </c>
      <c r="Z18" s="31">
        <f t="shared" si="11"/>
        <v>25698.415965977078</v>
      </c>
      <c r="AA18" s="22">
        <f t="shared" si="12"/>
        <v>25698.415965977078</v>
      </c>
      <c r="AB18" s="22">
        <f t="shared" si="13"/>
        <v>241.53741665799788</v>
      </c>
      <c r="AC18" s="22">
        <f t="shared" si="14"/>
        <v>8765.0306202877437</v>
      </c>
      <c r="AD18" s="22">
        <f t="shared" si="15"/>
        <v>5477.2814293974097</v>
      </c>
      <c r="AE18" s="22">
        <f t="shared" si="16"/>
        <v>26805.099051107805</v>
      </c>
      <c r="AF18" s="31">
        <f t="shared" si="17"/>
        <v>6418.1020232344017</v>
      </c>
      <c r="AG18" s="32">
        <f t="shared" si="18"/>
        <v>-13768.294889928435</v>
      </c>
      <c r="AH18" s="31">
        <f t="shared" si="19"/>
        <v>0</v>
      </c>
      <c r="AI18" s="31">
        <f t="shared" si="20"/>
        <v>0</v>
      </c>
      <c r="AJ18" s="22">
        <f t="shared" si="21"/>
        <v>0</v>
      </c>
      <c r="AK18" s="22">
        <f t="shared" si="22"/>
        <v>0</v>
      </c>
    </row>
    <row r="19" spans="1:37" x14ac:dyDescent="0.2">
      <c r="A19" t="s">
        <v>63</v>
      </c>
      <c r="B19" s="22">
        <f>DataFromRScriptForCalculations!B18</f>
        <v>19397998</v>
      </c>
      <c r="C19" s="22">
        <f>DataFromRScriptForCalculations!C18</f>
        <v>555268279</v>
      </c>
      <c r="D19" s="22">
        <f>DataFromRScriptForCalculations!D18</f>
        <v>1187062512</v>
      </c>
      <c r="E19" s="22">
        <f>DataFromRScriptForCalculations!E18</f>
        <v>1742330791</v>
      </c>
      <c r="F19" s="9">
        <f>DataFromRScriptForCalculations!F18</f>
        <v>2.4323187745563563E-3</v>
      </c>
      <c r="G19" s="9">
        <f>DataFromRScriptForCalculations!G18</f>
        <v>2.5273430699542551E-3</v>
      </c>
      <c r="H19" s="9">
        <f>DataFromRScriptForCalculations!H18</f>
        <v>2.6288278691493959E-3</v>
      </c>
      <c r="I19" s="9">
        <f>DataFromRScriptForCalculations!I18</f>
        <v>2.5956117581221478E-3</v>
      </c>
      <c r="J19" s="8">
        <f>DataFromRScriptForCalculations!J18</f>
        <v>2060</v>
      </c>
      <c r="K19" s="22">
        <f>DataFromRScriptForCalculations!K18</f>
        <v>271.37564163940669</v>
      </c>
      <c r="L19" s="22">
        <f>DataFromRScriptForCalculations!L18</f>
        <v>7264.8900482421832</v>
      </c>
      <c r="M19" s="22">
        <f>DataFromRScriptForCalculations!M18</f>
        <v>5727.8237305352186</v>
      </c>
      <c r="N19" s="22">
        <f>DataFromRScriptForCalculations!N18</f>
        <v>12992.713778777401</v>
      </c>
      <c r="O19" s="9">
        <f>DataFromRScriptForCalculations!O18</f>
        <v>7.2995921642633483E-3</v>
      </c>
      <c r="P19" s="9">
        <f>DataFromRScriptForCalculations!P18</f>
        <v>7.3496366881497625E-3</v>
      </c>
      <c r="Q19" s="9">
        <f>DataFromRScriptForCalculations!Q18</f>
        <v>7.1550079672939148E-3</v>
      </c>
      <c r="R19" s="9">
        <f>DataFromRScriptForCalculations!R18</f>
        <v>7.2625452561557238E-3</v>
      </c>
      <c r="S19" s="22">
        <f t="shared" si="4"/>
        <v>2498.2009718941331</v>
      </c>
      <c r="T19" s="22">
        <f t="shared" si="5"/>
        <v>4766.6890763480496</v>
      </c>
      <c r="U19" s="22">
        <f t="shared" si="6"/>
        <v>591.48627055861414</v>
      </c>
      <c r="V19" s="22">
        <f t="shared" si="7"/>
        <v>5136.3374599766048</v>
      </c>
      <c r="W19" s="22">
        <f t="shared" si="8"/>
        <v>9903.0265363246544</v>
      </c>
      <c r="X19" s="31">
        <f t="shared" si="9"/>
        <v>8237.0745581021038</v>
      </c>
      <c r="Y19" s="32">
        <f t="shared" si="10"/>
        <v>8200.9367454195908</v>
      </c>
      <c r="Z19" s="31">
        <f t="shared" si="11"/>
        <v>8199.9340595054819</v>
      </c>
      <c r="AA19" s="22">
        <f t="shared" si="12"/>
        <v>8199.9340595054819</v>
      </c>
      <c r="AB19" s="22">
        <f t="shared" si="13"/>
        <v>331.57212099396423</v>
      </c>
      <c r="AC19" s="22">
        <f t="shared" si="14"/>
        <v>2037.3415985907818</v>
      </c>
      <c r="AD19" s="22">
        <f t="shared" si="15"/>
        <v>3690.4821319444368</v>
      </c>
      <c r="AE19" s="22">
        <f t="shared" si="16"/>
        <v>8457.171208292486</v>
      </c>
      <c r="AF19" s="31">
        <f t="shared" si="17"/>
        <v>3718.422547324366</v>
      </c>
      <c r="AG19" s="32">
        <f t="shared" si="18"/>
        <v>-973.69867147190962</v>
      </c>
      <c r="AH19" s="31">
        <f t="shared" si="19"/>
        <v>0</v>
      </c>
      <c r="AI19" s="31">
        <f t="shared" si="20"/>
        <v>0</v>
      </c>
      <c r="AJ19" s="22">
        <f t="shared" si="21"/>
        <v>0</v>
      </c>
      <c r="AK19" s="22">
        <f t="shared" si="22"/>
        <v>0</v>
      </c>
    </row>
    <row r="20" spans="1:37" x14ac:dyDescent="0.2">
      <c r="A20" t="s">
        <v>64</v>
      </c>
      <c r="B20" s="22">
        <f>DataFromRScriptForCalculations!B19</f>
        <v>54027487</v>
      </c>
      <c r="C20" s="22">
        <f>DataFromRScriptForCalculations!C19</f>
        <v>1241690793</v>
      </c>
      <c r="D20" s="22">
        <f>DataFromRScriptForCalculations!D19</f>
        <v>3863625918</v>
      </c>
      <c r="E20" s="22">
        <f>DataFromRScriptForCalculations!E19</f>
        <v>5105316711</v>
      </c>
      <c r="F20" s="9">
        <f>DataFromRScriptForCalculations!F19</f>
        <v>6.7745171935887135E-3</v>
      </c>
      <c r="G20" s="9">
        <f>DataFromRScriptForCalculations!G19</f>
        <v>5.6516439699494407E-3</v>
      </c>
      <c r="H20" s="9">
        <f>DataFromRScriptForCalculations!H19</f>
        <v>8.5562532609119394E-3</v>
      </c>
      <c r="I20" s="9">
        <f>DataFromRScriptForCalculations!I19</f>
        <v>7.60557074033199E-3</v>
      </c>
      <c r="J20" s="8">
        <f>DataFromRScriptForCalculations!J19</f>
        <v>2070</v>
      </c>
      <c r="K20" s="22">
        <f>DataFromRScriptForCalculations!K19</f>
        <v>24.870007871152989</v>
      </c>
      <c r="L20" s="22">
        <f>DataFromRScriptForCalculations!L19</f>
        <v>395.71580597166434</v>
      </c>
      <c r="M20" s="22">
        <f>DataFromRScriptForCalculations!M19</f>
        <v>682.98675331322818</v>
      </c>
      <c r="N20" s="22">
        <f>DataFromRScriptForCalculations!N19</f>
        <v>1078.7025592848925</v>
      </c>
      <c r="O20" s="9">
        <f>DataFromRScriptForCalculations!O19</f>
        <v>6.6896539971211051E-4</v>
      </c>
      <c r="P20" s="9">
        <f>DataFromRScriptForCalculations!P19</f>
        <v>4.0033192331022371E-4</v>
      </c>
      <c r="Q20" s="9">
        <f>DataFromRScriptForCalculations!Q19</f>
        <v>8.5316446374925753E-4</v>
      </c>
      <c r="R20" s="9">
        <f>DataFromRScriptForCalculations!R19</f>
        <v>6.0296303667783219E-4</v>
      </c>
      <c r="S20" s="22">
        <f t="shared" si="4"/>
        <v>5586.4764172213718</v>
      </c>
      <c r="T20" s="22">
        <f t="shared" si="5"/>
        <v>-5190.7606112497078</v>
      </c>
      <c r="U20" s="22">
        <f t="shared" si="6"/>
        <v>1925.1569837051863</v>
      </c>
      <c r="V20" s="22">
        <f t="shared" si="7"/>
        <v>-1242.1702303919583</v>
      </c>
      <c r="W20" s="22">
        <f t="shared" si="8"/>
        <v>-6432.9308416416661</v>
      </c>
      <c r="X20" s="31">
        <f t="shared" si="9"/>
        <v>0</v>
      </c>
      <c r="Y20" s="32">
        <f t="shared" si="10"/>
        <v>0</v>
      </c>
      <c r="Z20" s="31">
        <f t="shared" si="11"/>
        <v>0</v>
      </c>
      <c r="AA20" s="22">
        <f t="shared" si="12"/>
        <v>0</v>
      </c>
      <c r="AB20" s="22">
        <f t="shared" si="13"/>
        <v>0</v>
      </c>
      <c r="AC20" s="22">
        <f t="shared" si="14"/>
        <v>6631.0962772067533</v>
      </c>
      <c r="AD20" s="22">
        <f t="shared" si="15"/>
        <v>-5948.109523893525</v>
      </c>
      <c r="AE20" s="22">
        <f t="shared" si="16"/>
        <v>-11138.870135143232</v>
      </c>
      <c r="AF20" s="31">
        <f t="shared" si="17"/>
        <v>0</v>
      </c>
      <c r="AG20" s="32">
        <f t="shared" si="18"/>
        <v>0</v>
      </c>
      <c r="AH20" s="31">
        <f t="shared" si="19"/>
        <v>0</v>
      </c>
      <c r="AI20" s="31">
        <f t="shared" si="20"/>
        <v>0</v>
      </c>
      <c r="AJ20" s="22">
        <f t="shared" si="21"/>
        <v>0</v>
      </c>
      <c r="AK20" s="22">
        <f t="shared" si="22"/>
        <v>0</v>
      </c>
    </row>
    <row r="21" spans="1:37" x14ac:dyDescent="0.2">
      <c r="A21" t="s">
        <v>65</v>
      </c>
      <c r="B21" s="22">
        <f>DataFromRScriptForCalculations!B20</f>
        <v>127504126</v>
      </c>
      <c r="C21" s="22">
        <f>DataFromRScriptForCalculations!C20</f>
        <v>3509095905</v>
      </c>
      <c r="D21" s="22">
        <f>DataFromRScriptForCalculations!D20</f>
        <v>6710169531</v>
      </c>
      <c r="E21" s="22">
        <f>DataFromRScriptForCalculations!E20</f>
        <v>10219265436</v>
      </c>
      <c r="F21" s="9">
        <f>DataFromRScriptForCalculations!F20</f>
        <v>1.5987767371828745E-2</v>
      </c>
      <c r="G21" s="9">
        <f>DataFromRScriptForCalculations!G20</f>
        <v>1.5971899625309958E-2</v>
      </c>
      <c r="H21" s="9">
        <f>DataFromRScriptForCalculations!H20</f>
        <v>1.4860110981088696E-2</v>
      </c>
      <c r="I21" s="9">
        <f>DataFromRScriptForCalculations!I20</f>
        <v>1.5224000896998931E-2</v>
      </c>
      <c r="J21" s="8">
        <f>DataFromRScriptForCalculations!J20</f>
        <v>2070</v>
      </c>
      <c r="K21" s="22">
        <f>DataFromRScriptForCalculations!K20</f>
        <v>512.34457256008398</v>
      </c>
      <c r="L21" s="22">
        <f>DataFromRScriptForCalculations!L20</f>
        <v>14121.663954580787</v>
      </c>
      <c r="M21" s="22">
        <f>DataFromRScriptForCalculations!M20</f>
        <v>14514.129574908728</v>
      </c>
      <c r="N21" s="22">
        <f>DataFromRScriptForCalculations!N20</f>
        <v>28635.793529489514</v>
      </c>
      <c r="O21" s="9">
        <f>DataFromRScriptForCalculations!O20</f>
        <v>1.3781290040142528E-2</v>
      </c>
      <c r="P21" s="9">
        <f>DataFromRScriptForCalculations!P20</f>
        <v>1.4286396464241312E-2</v>
      </c>
      <c r="Q21" s="9">
        <f>DataFromRScriptForCalculations!Q20</f>
        <v>1.8130570637707871E-2</v>
      </c>
      <c r="R21" s="9">
        <f>DataFromRScriptForCalculations!R20</f>
        <v>1.6006567218739921E-2</v>
      </c>
      <c r="S21" s="22">
        <f t="shared" si="4"/>
        <v>15787.732042119271</v>
      </c>
      <c r="T21" s="22">
        <f t="shared" si="5"/>
        <v>-1666.0680875384842</v>
      </c>
      <c r="U21" s="22">
        <f t="shared" si="6"/>
        <v>3343.5249707449566</v>
      </c>
      <c r="V21" s="22">
        <f t="shared" si="7"/>
        <v>11170.604604163771</v>
      </c>
      <c r="W21" s="22">
        <f t="shared" si="8"/>
        <v>9504.5365166252868</v>
      </c>
      <c r="X21" s="31">
        <f t="shared" si="9"/>
        <v>87.323782357641903</v>
      </c>
      <c r="Y21" s="32">
        <f t="shared" si="10"/>
        <v>-116.95429662122245</v>
      </c>
      <c r="Z21" s="31">
        <f t="shared" si="11"/>
        <v>0</v>
      </c>
      <c r="AA21" s="22">
        <f t="shared" si="12"/>
        <v>0</v>
      </c>
      <c r="AB21" s="22">
        <f t="shared" si="13"/>
        <v>0</v>
      </c>
      <c r="AC21" s="22">
        <f t="shared" si="14"/>
        <v>11516.586010343739</v>
      </c>
      <c r="AD21" s="22">
        <f t="shared" si="15"/>
        <v>2997.5435645649886</v>
      </c>
      <c r="AE21" s="22">
        <f t="shared" si="16"/>
        <v>1331.4754770265044</v>
      </c>
      <c r="AF21" s="31">
        <f t="shared" si="17"/>
        <v>-25455.493666090813</v>
      </c>
      <c r="AG21" s="32">
        <f t="shared" si="18"/>
        <v>0</v>
      </c>
      <c r="AH21" s="31">
        <f t="shared" si="19"/>
        <v>0</v>
      </c>
      <c r="AI21" s="31">
        <f t="shared" si="20"/>
        <v>0</v>
      </c>
      <c r="AJ21" s="22">
        <f t="shared" si="21"/>
        <v>0</v>
      </c>
      <c r="AK21" s="22">
        <f t="shared" si="22"/>
        <v>0</v>
      </c>
    </row>
    <row r="22" spans="1:37" x14ac:dyDescent="0.2">
      <c r="A22" t="s">
        <v>66</v>
      </c>
      <c r="B22" s="22">
        <f>DataFromRScriptForCalculations!B21</f>
        <v>37457971</v>
      </c>
      <c r="C22" s="22">
        <f>DataFromRScriptForCalculations!C21</f>
        <v>1022132083</v>
      </c>
      <c r="D22" s="22">
        <f>DataFromRScriptForCalculations!D21</f>
        <v>2094620982</v>
      </c>
      <c r="E22" s="22">
        <f>DataFromRScriptForCalculations!E21</f>
        <v>3116753065</v>
      </c>
      <c r="F22" s="9">
        <f>DataFromRScriptForCalculations!F21</f>
        <v>4.6968623318802043E-3</v>
      </c>
      <c r="G22" s="9">
        <f>DataFromRScriptForCalculations!G21</f>
        <v>4.6523068834406758E-3</v>
      </c>
      <c r="H22" s="9">
        <f>DataFromRScriptForCalculations!H21</f>
        <v>4.6386756865140349E-3</v>
      </c>
      <c r="I22" s="9">
        <f>DataFromRScriptForCalculations!I21</f>
        <v>4.6431371955689919E-3</v>
      </c>
      <c r="J22" s="8">
        <f>DataFromRScriptForCalculations!J21</f>
        <v>2070</v>
      </c>
      <c r="K22" s="22">
        <f>DataFromRScriptForCalculations!K21</f>
        <v>68.461593934853894</v>
      </c>
      <c r="L22" s="22">
        <f>DataFromRScriptForCalculations!L21</f>
        <v>1500.6880342920122</v>
      </c>
      <c r="M22" s="22">
        <f>DataFromRScriptForCalculations!M21</f>
        <v>2237.3586268069212</v>
      </c>
      <c r="N22" s="22">
        <f>DataFromRScriptForCalculations!N21</f>
        <v>3738.0466610989333</v>
      </c>
      <c r="O22" s="9">
        <f>DataFromRScriptForCalculations!O21</f>
        <v>1.8415127887707616E-3</v>
      </c>
      <c r="P22" s="9">
        <f>DataFromRScriptForCalculations!P21</f>
        <v>1.5181939108587926E-3</v>
      </c>
      <c r="Q22" s="9">
        <f>DataFromRScriptForCalculations!Q21</f>
        <v>2.7948344002201768E-3</v>
      </c>
      <c r="R22" s="9">
        <f>DataFromRScriptForCalculations!R21</f>
        <v>2.0894582539174021E-3</v>
      </c>
      <c r="S22" s="22">
        <f t="shared" si="4"/>
        <v>4598.6624118947284</v>
      </c>
      <c r="T22" s="22">
        <f t="shared" si="5"/>
        <v>-3097.9743776027162</v>
      </c>
      <c r="U22" s="22">
        <f t="shared" si="6"/>
        <v>1043.7020294656579</v>
      </c>
      <c r="V22" s="22">
        <f t="shared" si="7"/>
        <v>1193.6565973412633</v>
      </c>
      <c r="W22" s="22">
        <f t="shared" si="8"/>
        <v>-1904.317780261453</v>
      </c>
      <c r="X22" s="31">
        <f t="shared" si="9"/>
        <v>0</v>
      </c>
      <c r="Y22" s="32">
        <f t="shared" si="10"/>
        <v>0</v>
      </c>
      <c r="Z22" s="31">
        <f t="shared" si="11"/>
        <v>0</v>
      </c>
      <c r="AA22" s="22">
        <f t="shared" si="12"/>
        <v>0</v>
      </c>
      <c r="AB22" s="22">
        <f t="shared" si="13"/>
        <v>0</v>
      </c>
      <c r="AC22" s="22">
        <f t="shared" si="14"/>
        <v>3594.9736570483769</v>
      </c>
      <c r="AD22" s="22">
        <f t="shared" si="15"/>
        <v>-1357.6150302414558</v>
      </c>
      <c r="AE22" s="22">
        <f t="shared" si="16"/>
        <v>-4455.5894078441725</v>
      </c>
      <c r="AF22" s="31">
        <f t="shared" si="17"/>
        <v>0</v>
      </c>
      <c r="AG22" s="32">
        <f t="shared" si="18"/>
        <v>0</v>
      </c>
      <c r="AH22" s="31">
        <f t="shared" si="19"/>
        <v>0</v>
      </c>
      <c r="AI22" s="31">
        <f t="shared" si="20"/>
        <v>0</v>
      </c>
      <c r="AJ22" s="22">
        <f t="shared" si="21"/>
        <v>0</v>
      </c>
      <c r="AK22" s="22">
        <f t="shared" si="22"/>
        <v>0</v>
      </c>
    </row>
    <row r="23" spans="1:37" x14ac:dyDescent="0.2">
      <c r="A23" t="s">
        <v>67</v>
      </c>
      <c r="B23" s="22">
        <f>DataFromRScriptForCalculations!B22</f>
        <v>5185289</v>
      </c>
      <c r="C23" s="22">
        <f>DataFromRScriptForCalculations!C22</f>
        <v>138601449</v>
      </c>
      <c r="D23" s="22">
        <f>DataFromRScriptForCalculations!D22</f>
        <v>279374070</v>
      </c>
      <c r="E23" s="22">
        <f>DataFromRScriptForCalculations!E22</f>
        <v>417975519</v>
      </c>
      <c r="F23" s="9">
        <f>DataFromRScriptForCalculations!F22</f>
        <v>6.501844049164535E-4</v>
      </c>
      <c r="G23" s="9">
        <f>DataFromRScriptForCalculations!G22</f>
        <v>6.3085435430711525E-4</v>
      </c>
      <c r="H23" s="9">
        <f>DataFromRScriptForCalculations!H22</f>
        <v>6.1869222025747383E-4</v>
      </c>
      <c r="I23" s="9">
        <f>DataFromRScriptForCalculations!I22</f>
        <v>6.226729030604655E-4</v>
      </c>
      <c r="J23" s="8">
        <f>DataFromRScriptForCalculations!J22</f>
        <v>2050</v>
      </c>
      <c r="K23" s="22">
        <f>DataFromRScriptForCalculations!K22</f>
        <v>32.235259744932051</v>
      </c>
      <c r="L23" s="22">
        <f>DataFromRScriptForCalculations!L22</f>
        <v>1097.4536216522017</v>
      </c>
      <c r="M23" s="22">
        <f>DataFromRScriptForCalculations!M22</f>
        <v>434.70545433541827</v>
      </c>
      <c r="N23" s="22">
        <f>DataFromRScriptForCalculations!N22</f>
        <v>1532.1590759876199</v>
      </c>
      <c r="O23" s="9">
        <f>DataFromRScriptForCalculations!O22</f>
        <v>8.6707947708793555E-4</v>
      </c>
      <c r="P23" s="9">
        <f>DataFromRScriptForCalculations!P22</f>
        <v>1.1102556745768613E-3</v>
      </c>
      <c r="Q23" s="9">
        <f>DataFromRScriptForCalculations!Q22</f>
        <v>5.4301967649856512E-4</v>
      </c>
      <c r="R23" s="9">
        <f>DataFromRScriptForCalculations!R22</f>
        <v>8.5643190625545344E-4</v>
      </c>
      <c r="S23" s="22">
        <f t="shared" si="4"/>
        <v>623.58014619764572</v>
      </c>
      <c r="T23" s="22">
        <f t="shared" si="5"/>
        <v>473.873475454556</v>
      </c>
      <c r="U23" s="22">
        <f t="shared" si="6"/>
        <v>139.20574955793163</v>
      </c>
      <c r="V23" s="22">
        <f t="shared" si="7"/>
        <v>295.49970477748661</v>
      </c>
      <c r="W23" s="22">
        <f t="shared" si="8"/>
        <v>769.37318023204261</v>
      </c>
      <c r="X23" s="31">
        <f t="shared" si="9"/>
        <v>377.29291497589787</v>
      </c>
      <c r="Y23" s="32">
        <f t="shared" si="10"/>
        <v>368.78791401095179</v>
      </c>
      <c r="Z23" s="31">
        <f t="shared" si="11"/>
        <v>368.55193280362334</v>
      </c>
      <c r="AA23" s="22">
        <f t="shared" si="12"/>
        <v>368.55193280362334</v>
      </c>
      <c r="AB23" s="22">
        <f t="shared" si="13"/>
        <v>63.321885150522093</v>
      </c>
      <c r="AC23" s="22">
        <f t="shared" si="14"/>
        <v>479.48647069954222</v>
      </c>
      <c r="AD23" s="22">
        <f t="shared" si="15"/>
        <v>-44.781016364123957</v>
      </c>
      <c r="AE23" s="22">
        <f t="shared" si="16"/>
        <v>429.09245909043204</v>
      </c>
      <c r="AF23" s="31">
        <f t="shared" si="17"/>
        <v>-686.16767821370502</v>
      </c>
      <c r="AG23" s="32">
        <f t="shared" si="18"/>
        <v>0</v>
      </c>
      <c r="AH23" s="31">
        <f t="shared" si="19"/>
        <v>0</v>
      </c>
      <c r="AI23" s="31">
        <f t="shared" si="20"/>
        <v>0</v>
      </c>
      <c r="AJ23" s="22">
        <f t="shared" si="21"/>
        <v>0</v>
      </c>
      <c r="AK23" s="22">
        <f t="shared" si="22"/>
        <v>0</v>
      </c>
    </row>
    <row r="24" spans="1:37" x14ac:dyDescent="0.2">
      <c r="A24" t="s">
        <v>68</v>
      </c>
      <c r="B24" s="22">
        <f>DataFromRScriptForCalculations!B23</f>
        <v>218541212</v>
      </c>
      <c r="C24" s="22">
        <f>DataFromRScriptForCalculations!C23</f>
        <v>4919909785</v>
      </c>
      <c r="D24" s="22">
        <f>DataFromRScriptForCalculations!D23</f>
        <v>17018480441</v>
      </c>
      <c r="E24" s="22">
        <f>DataFromRScriptForCalculations!E23</f>
        <v>21938390226</v>
      </c>
      <c r="F24" s="9">
        <f>DataFromRScriptForCalculations!F23</f>
        <v>2.7402925444259811E-2</v>
      </c>
      <c r="G24" s="9">
        <f>DataFromRScriptForCalculations!G23</f>
        <v>2.2393319356029482E-2</v>
      </c>
      <c r="H24" s="9">
        <f>DataFromRScriptForCalculations!H23</f>
        <v>3.7688542281145432E-2</v>
      </c>
      <c r="I24" s="9">
        <f>DataFromRScriptForCalculations!I23</f>
        <v>3.2682395282812637E-2</v>
      </c>
      <c r="J24" s="8">
        <f>DataFromRScriptForCalculations!J23</f>
        <v>2060</v>
      </c>
      <c r="K24" s="22">
        <f>DataFromRScriptForCalculations!K23</f>
        <v>128.85318418966182</v>
      </c>
      <c r="L24" s="22">
        <f>DataFromRScriptForCalculations!L23</f>
        <v>3164.6675067941051</v>
      </c>
      <c r="M24" s="22">
        <f>DataFromRScriptForCalculations!M23</f>
        <v>3035.7397227235892</v>
      </c>
      <c r="N24" s="22">
        <f>DataFromRScriptForCalculations!N23</f>
        <v>6200.4072295176938</v>
      </c>
      <c r="O24" s="9">
        <f>DataFromRScriptForCalculations!O23</f>
        <v>3.4659547480721847E-3</v>
      </c>
      <c r="P24" s="9">
        <f>DataFromRScriptForCalculations!P23</f>
        <v>3.2015840927086285E-3</v>
      </c>
      <c r="Q24" s="9">
        <f>DataFromRScriptForCalculations!Q23</f>
        <v>3.7921456603009457E-3</v>
      </c>
      <c r="R24" s="9">
        <f>DataFromRScriptForCalculations!R23</f>
        <v>3.4658454636722338E-3</v>
      </c>
      <c r="S24" s="22">
        <f t="shared" si="4"/>
        <v>22135.108147459032</v>
      </c>
      <c r="T24" s="22">
        <f t="shared" si="5"/>
        <v>-18970.440640664929</v>
      </c>
      <c r="U24" s="22">
        <f t="shared" si="6"/>
        <v>8479.9220132577229</v>
      </c>
      <c r="V24" s="22">
        <f t="shared" si="7"/>
        <v>-5444.1822905341342</v>
      </c>
      <c r="W24" s="22">
        <f t="shared" si="8"/>
        <v>-24414.622931199061</v>
      </c>
      <c r="X24" s="31">
        <f t="shared" si="9"/>
        <v>0</v>
      </c>
      <c r="Y24" s="32">
        <f t="shared" si="10"/>
        <v>0</v>
      </c>
      <c r="Z24" s="31">
        <f t="shared" si="11"/>
        <v>0</v>
      </c>
      <c r="AA24" s="22">
        <f t="shared" si="12"/>
        <v>0</v>
      </c>
      <c r="AB24" s="22">
        <f t="shared" si="13"/>
        <v>0</v>
      </c>
      <c r="AC24" s="22">
        <f t="shared" si="14"/>
        <v>29208.620267887709</v>
      </c>
      <c r="AD24" s="22">
        <f t="shared" si="15"/>
        <v>-26172.88054516412</v>
      </c>
      <c r="AE24" s="22">
        <f t="shared" si="16"/>
        <v>-45143.321185829045</v>
      </c>
      <c r="AF24" s="31">
        <f t="shared" si="17"/>
        <v>0</v>
      </c>
      <c r="AG24" s="32">
        <f t="shared" si="18"/>
        <v>0</v>
      </c>
      <c r="AH24" s="31">
        <f t="shared" si="19"/>
        <v>0</v>
      </c>
      <c r="AI24" s="31">
        <f t="shared" si="20"/>
        <v>0</v>
      </c>
      <c r="AJ24" s="22">
        <f t="shared" si="21"/>
        <v>0</v>
      </c>
      <c r="AK24" s="22">
        <f t="shared" si="22"/>
        <v>0</v>
      </c>
    </row>
    <row r="25" spans="1:37" x14ac:dyDescent="0.2">
      <c r="A25" t="s">
        <v>69</v>
      </c>
      <c r="B25" s="22">
        <f>DataFromRScriptForCalculations!B24</f>
        <v>5434319</v>
      </c>
      <c r="C25" s="22">
        <f>DataFromRScriptForCalculations!C24</f>
        <v>157435331</v>
      </c>
      <c r="D25" s="22">
        <f>DataFromRScriptForCalculations!D24</f>
        <v>298412713</v>
      </c>
      <c r="E25" s="22">
        <f>DataFromRScriptForCalculations!E24</f>
        <v>455848044</v>
      </c>
      <c r="F25" s="9">
        <f>DataFromRScriptForCalculations!F24</f>
        <v>6.8141032546906774E-4</v>
      </c>
      <c r="G25" s="9">
        <f>DataFromRScriptForCalculations!G24</f>
        <v>7.1657810794699536E-4</v>
      </c>
      <c r="H25" s="9">
        <f>DataFromRScriptForCalculations!H24</f>
        <v>6.6085454515884862E-4</v>
      </c>
      <c r="I25" s="9">
        <f>DataFromRScriptForCalculations!I24</f>
        <v>6.7909294207231985E-4</v>
      </c>
      <c r="J25" s="8">
        <f>DataFromRScriptForCalculations!J24</f>
        <v>2050</v>
      </c>
      <c r="K25" s="22">
        <f>DataFromRScriptForCalculations!K24</f>
        <v>40.83770014556027</v>
      </c>
      <c r="L25" s="22">
        <f>DataFromRScriptForCalculations!L24</f>
        <v>1389.0902474526927</v>
      </c>
      <c r="M25" s="22">
        <f>DataFromRScriptForCalculations!M24</f>
        <v>378.32330422125142</v>
      </c>
      <c r="N25" s="22">
        <f>DataFromRScriptForCalculations!N24</f>
        <v>1767.4135516739441</v>
      </c>
      <c r="O25" s="9">
        <f>DataFromRScriptForCalculations!O24</f>
        <v>1.0984720448313839E-3</v>
      </c>
      <c r="P25" s="9">
        <f>DataFromRScriptForCalculations!P24</f>
        <v>1.4052943097603511E-3</v>
      </c>
      <c r="Q25" s="9">
        <f>DataFromRScriptForCalculations!Q24</f>
        <v>4.7258895930847285E-4</v>
      </c>
      <c r="R25" s="9">
        <f>DataFromRScriptForCalculations!R24</f>
        <v>9.8793224602095314E-4</v>
      </c>
      <c r="S25" s="22">
        <f t="shared" si="4"/>
        <v>708.31544280359401</v>
      </c>
      <c r="T25" s="22">
        <f t="shared" si="5"/>
        <v>680.77480464909866</v>
      </c>
      <c r="U25" s="22">
        <f t="shared" si="6"/>
        <v>148.69227266074094</v>
      </c>
      <c r="V25" s="22">
        <f t="shared" si="7"/>
        <v>229.63103156051048</v>
      </c>
      <c r="W25" s="22">
        <f t="shared" si="8"/>
        <v>910.40583620960911</v>
      </c>
      <c r="X25" s="31">
        <f t="shared" si="9"/>
        <v>491.60628309129072</v>
      </c>
      <c r="Y25" s="32">
        <f t="shared" si="10"/>
        <v>482.52168761678166</v>
      </c>
      <c r="Z25" s="31">
        <f t="shared" si="11"/>
        <v>482.26962488133921</v>
      </c>
      <c r="AA25" s="22">
        <f t="shared" si="12"/>
        <v>482.26962488133921</v>
      </c>
      <c r="AB25" s="22">
        <f t="shared" si="13"/>
        <v>77.57357842292825</v>
      </c>
      <c r="AC25" s="22">
        <f t="shared" si="14"/>
        <v>512.16227249810765</v>
      </c>
      <c r="AD25" s="22">
        <f t="shared" si="15"/>
        <v>-133.83896827685624</v>
      </c>
      <c r="AE25" s="22">
        <f t="shared" si="16"/>
        <v>546.93583637224242</v>
      </c>
      <c r="AF25" s="31">
        <f t="shared" si="17"/>
        <v>-644.32648540901664</v>
      </c>
      <c r="AG25" s="32">
        <f t="shared" si="18"/>
        <v>0</v>
      </c>
      <c r="AH25" s="31">
        <f t="shared" si="19"/>
        <v>0</v>
      </c>
      <c r="AI25" s="31">
        <f t="shared" si="20"/>
        <v>0</v>
      </c>
      <c r="AJ25" s="22">
        <f t="shared" si="21"/>
        <v>0</v>
      </c>
      <c r="AK25" s="22">
        <f t="shared" si="22"/>
        <v>0</v>
      </c>
    </row>
    <row r="26" spans="1:37" x14ac:dyDescent="0.2">
      <c r="A26" t="s">
        <v>70</v>
      </c>
      <c r="B26" s="22">
        <f>DataFromRScriptForCalculations!B25</f>
        <v>34049589</v>
      </c>
      <c r="C26" s="22">
        <f>DataFromRScriptForCalculations!C25</f>
        <v>929892453</v>
      </c>
      <c r="D26" s="22">
        <f>DataFromRScriptForCalculations!D25</f>
        <v>1946919450</v>
      </c>
      <c r="E26" s="22">
        <f>DataFromRScriptForCalculations!E25</f>
        <v>2876811903</v>
      </c>
      <c r="F26" s="9">
        <f>DataFromRScriptForCalculations!F25</f>
        <v>4.2694846442724449E-3</v>
      </c>
      <c r="G26" s="9">
        <f>DataFromRScriptForCalculations!G25</f>
        <v>4.2324716461829672E-3</v>
      </c>
      <c r="H26" s="9">
        <f>DataFromRScriptForCalculations!H25</f>
        <v>4.3115809465887793E-3</v>
      </c>
      <c r="I26" s="9">
        <f>DataFromRScriptForCalculations!I25</f>
        <v>4.285688366356003E-3</v>
      </c>
      <c r="J26" s="8">
        <f>DataFromRScriptForCalculations!J25</f>
        <v>2050</v>
      </c>
      <c r="K26" s="22">
        <f>DataFromRScriptForCalculations!K25</f>
        <v>60.96545177249596</v>
      </c>
      <c r="L26" s="22">
        <f>DataFromRScriptForCalculations!L25</f>
        <v>1205.4795005782205</v>
      </c>
      <c r="M26" s="22">
        <f>DataFromRScriptForCalculations!M25</f>
        <v>1064.9505283930807</v>
      </c>
      <c r="N26" s="22">
        <f>DataFromRScriptForCalculations!N25</f>
        <v>2270.430028971301</v>
      </c>
      <c r="O26" s="9">
        <f>DataFromRScriptForCalculations!O25</f>
        <v>1.6398779616359806E-3</v>
      </c>
      <c r="P26" s="9">
        <f>DataFromRScriptForCalculations!P25</f>
        <v>1.2195417006215907E-3</v>
      </c>
      <c r="Q26" s="9">
        <f>DataFromRScriptForCalculations!Q25</f>
        <v>1.3303009788526359E-3</v>
      </c>
      <c r="R26" s="9">
        <f>DataFromRScriptForCalculations!R25</f>
        <v>1.2691036774220873E-3</v>
      </c>
      <c r="S26" s="22">
        <f t="shared" si="4"/>
        <v>4183.6681793263751</v>
      </c>
      <c r="T26" s="22">
        <f t="shared" si="5"/>
        <v>-2978.1886787481544</v>
      </c>
      <c r="U26" s="22">
        <f t="shared" si="6"/>
        <v>970.10571298247532</v>
      </c>
      <c r="V26" s="22">
        <f t="shared" si="7"/>
        <v>94.844815410605406</v>
      </c>
      <c r="W26" s="22">
        <f t="shared" si="8"/>
        <v>-2883.343863337549</v>
      </c>
      <c r="X26" s="31">
        <f t="shared" si="9"/>
        <v>0</v>
      </c>
      <c r="Y26" s="32">
        <f t="shared" si="10"/>
        <v>0</v>
      </c>
      <c r="Z26" s="31">
        <f t="shared" si="11"/>
        <v>0</v>
      </c>
      <c r="AA26" s="22">
        <f t="shared" si="12"/>
        <v>0</v>
      </c>
      <c r="AB26" s="22">
        <f t="shared" si="13"/>
        <v>0</v>
      </c>
      <c r="AC26" s="22">
        <f t="shared" si="14"/>
        <v>3341.4752336063038</v>
      </c>
      <c r="AD26" s="22">
        <f t="shared" si="15"/>
        <v>-2276.5247052132231</v>
      </c>
      <c r="AE26" s="22">
        <f t="shared" si="16"/>
        <v>-5254.713383961378</v>
      </c>
      <c r="AF26" s="31">
        <f t="shared" si="17"/>
        <v>0</v>
      </c>
      <c r="AG26" s="32">
        <f t="shared" si="18"/>
        <v>0</v>
      </c>
      <c r="AH26" s="31">
        <f t="shared" si="19"/>
        <v>0</v>
      </c>
      <c r="AI26" s="31">
        <f t="shared" si="20"/>
        <v>0</v>
      </c>
      <c r="AJ26" s="22">
        <f t="shared" si="21"/>
        <v>0</v>
      </c>
      <c r="AK26" s="22">
        <f t="shared" si="22"/>
        <v>0</v>
      </c>
    </row>
    <row r="27" spans="1:37" x14ac:dyDescent="0.2">
      <c r="A27" t="s">
        <v>71</v>
      </c>
      <c r="B27" s="22">
        <f>DataFromRScriptForCalculations!B26</f>
        <v>115559009</v>
      </c>
      <c r="C27" s="22">
        <f>DataFromRScriptForCalculations!C26</f>
        <v>2906132330</v>
      </c>
      <c r="D27" s="22">
        <f>DataFromRScriptForCalculations!D26</f>
        <v>7251908030</v>
      </c>
      <c r="E27" s="22">
        <f>DataFromRScriptForCalculations!E26</f>
        <v>10158040360</v>
      </c>
      <c r="F27" s="9">
        <f>DataFromRScriptForCalculations!F26</f>
        <v>1.4489966807905999E-2</v>
      </c>
      <c r="G27" s="9">
        <f>DataFromRScriptForCalculations!G26</f>
        <v>1.3227468022886128E-2</v>
      </c>
      <c r="H27" s="9">
        <f>DataFromRScriptForCalculations!H26</f>
        <v>1.6059826454844946E-2</v>
      </c>
      <c r="I27" s="9">
        <f>DataFromRScriptForCalculations!I26</f>
        <v>1.51327917374189E-2</v>
      </c>
      <c r="J27" s="8">
        <f>DataFromRScriptForCalculations!J26</f>
        <v>2070</v>
      </c>
      <c r="K27" s="22">
        <f>DataFromRScriptForCalculations!K26</f>
        <v>150.50544398656359</v>
      </c>
      <c r="L27" s="22">
        <f>DataFromRScriptForCalculations!L26</f>
        <v>2820.8291601800984</v>
      </c>
      <c r="M27" s="22">
        <f>DataFromRScriptForCalculations!M26</f>
        <v>4895.7564109713448</v>
      </c>
      <c r="N27" s="22">
        <f>DataFromRScriptForCalculations!N26</f>
        <v>7716.5855711514432</v>
      </c>
      <c r="O27" s="9">
        <f>DataFromRScriptForCalculations!O26</f>
        <v>4.0483676168073706E-3</v>
      </c>
      <c r="P27" s="9">
        <f>DataFromRScriptForCalculations!P26</f>
        <v>2.8537347914410183E-3</v>
      </c>
      <c r="Q27" s="9">
        <f>DataFromRScriptForCalculations!Q26</f>
        <v>6.1156169907409224E-3</v>
      </c>
      <c r="R27" s="9">
        <f>DataFromRScriptForCalculations!R26</f>
        <v>4.3133446089627563E-3</v>
      </c>
      <c r="S27" s="22">
        <f t="shared" si="4"/>
        <v>13074.945725936133</v>
      </c>
      <c r="T27" s="22">
        <f t="shared" si="5"/>
        <v>-10254.116565756034</v>
      </c>
      <c r="U27" s="22">
        <f t="shared" si="6"/>
        <v>3613.4609523401127</v>
      </c>
      <c r="V27" s="22">
        <f t="shared" si="7"/>
        <v>1282.2954586312321</v>
      </c>
      <c r="W27" s="22">
        <f t="shared" si="8"/>
        <v>-8971.8211071248024</v>
      </c>
      <c r="X27" s="31">
        <f t="shared" si="9"/>
        <v>0</v>
      </c>
      <c r="Y27" s="32">
        <f t="shared" si="10"/>
        <v>0</v>
      </c>
      <c r="Z27" s="31">
        <f t="shared" si="11"/>
        <v>0</v>
      </c>
      <c r="AA27" s="22">
        <f t="shared" si="12"/>
        <v>0</v>
      </c>
      <c r="AB27" s="22">
        <f t="shared" si="13"/>
        <v>0</v>
      </c>
      <c r="AC27" s="22">
        <f t="shared" si="14"/>
        <v>12446.365502504834</v>
      </c>
      <c r="AD27" s="22">
        <f t="shared" si="15"/>
        <v>-7550.6090915334889</v>
      </c>
      <c r="AE27" s="22">
        <f t="shared" si="16"/>
        <v>-17804.725657289524</v>
      </c>
      <c r="AF27" s="31">
        <f t="shared" si="17"/>
        <v>0</v>
      </c>
      <c r="AG27" s="32">
        <f t="shared" si="18"/>
        <v>0</v>
      </c>
      <c r="AH27" s="31">
        <f t="shared" si="19"/>
        <v>0</v>
      </c>
      <c r="AI27" s="31">
        <f t="shared" si="20"/>
        <v>0</v>
      </c>
      <c r="AJ27" s="22">
        <f t="shared" si="21"/>
        <v>0</v>
      </c>
      <c r="AK27" s="22">
        <f t="shared" si="22"/>
        <v>0</v>
      </c>
    </row>
    <row r="28" spans="1:37" x14ac:dyDescent="0.2">
      <c r="A28" t="s">
        <v>72</v>
      </c>
      <c r="B28" s="22">
        <f>DataFromRScriptForCalculations!B27</f>
        <v>1972749920</v>
      </c>
      <c r="C28" s="22">
        <f>DataFromRScriptForCalculations!C27</f>
        <v>49154047434</v>
      </c>
      <c r="D28" s="22">
        <f>DataFromRScriptForCalculations!D27</f>
        <v>138436502439</v>
      </c>
      <c r="E28" s="22">
        <f>DataFromRScriptForCalculations!E27</f>
        <v>187590549873</v>
      </c>
      <c r="F28" s="9">
        <f>DataFromRScriptForCalculations!F27</f>
        <v>0.2473634994663135</v>
      </c>
      <c r="G28" s="9">
        <f>DataFromRScriptForCalculations!G27</f>
        <v>0.22372814338728439</v>
      </c>
      <c r="H28" s="9">
        <f>DataFromRScriptForCalculations!H27</f>
        <v>0.30657672366896505</v>
      </c>
      <c r="I28" s="9">
        <f>DataFromRScriptForCalculations!I27</f>
        <v>0.27946027211256352</v>
      </c>
      <c r="J28" s="8">
        <f>DataFromRScriptForCalculations!J27</f>
        <v>2070</v>
      </c>
      <c r="K28" s="22">
        <f>DataFromRScriptForCalculations!K27</f>
        <v>4236.0619220805384</v>
      </c>
      <c r="L28" s="22">
        <f>DataFromRScriptForCalculations!L27</f>
        <v>117552.73093932748</v>
      </c>
      <c r="M28" s="22">
        <f>DataFromRScriptForCalculations!M27</f>
        <v>116491.70285721481</v>
      </c>
      <c r="N28" s="22">
        <f>DataFromRScriptForCalculations!N27</f>
        <v>234044.43379654229</v>
      </c>
      <c r="O28" s="9">
        <f>DataFromRScriptForCalculations!O27</f>
        <v>0.11394362525300168</v>
      </c>
      <c r="P28" s="9">
        <f>DataFromRScriptForCalculations!P27</f>
        <v>0.11892401101279236</v>
      </c>
      <c r="Q28" s="9">
        <f>DataFromRScriptForCalculations!Q27</f>
        <v>0.14551758246742058</v>
      </c>
      <c r="R28" s="9">
        <f>DataFromRScriptForCalculations!R27</f>
        <v>0.13082396190202811</v>
      </c>
      <c r="S28" s="22">
        <f t="shared" si="4"/>
        <v>221148.39567874742</v>
      </c>
      <c r="T28" s="22">
        <f t="shared" si="5"/>
        <v>-103595.66473941994</v>
      </c>
      <c r="U28" s="22">
        <f t="shared" si="6"/>
        <v>68979.762825517129</v>
      </c>
      <c r="V28" s="22">
        <f t="shared" si="7"/>
        <v>47511.940031697683</v>
      </c>
      <c r="W28" s="22">
        <f t="shared" si="8"/>
        <v>-56083.724707722256</v>
      </c>
      <c r="X28" s="31">
        <f t="shared" si="9"/>
        <v>0</v>
      </c>
      <c r="Y28" s="32">
        <f t="shared" si="10"/>
        <v>0</v>
      </c>
      <c r="Z28" s="31">
        <f t="shared" si="11"/>
        <v>0</v>
      </c>
      <c r="AA28" s="22">
        <f t="shared" si="12"/>
        <v>0</v>
      </c>
      <c r="AB28" s="22">
        <f t="shared" si="13"/>
        <v>0</v>
      </c>
      <c r="AC28" s="22">
        <f t="shared" si="14"/>
        <v>237596.96084344792</v>
      </c>
      <c r="AD28" s="22">
        <f t="shared" si="15"/>
        <v>-121105.2579862331</v>
      </c>
      <c r="AE28" s="22">
        <f t="shared" si="16"/>
        <v>-224700.92272565304</v>
      </c>
      <c r="AF28" s="31">
        <f t="shared" si="17"/>
        <v>0</v>
      </c>
      <c r="AG28" s="32">
        <f t="shared" si="18"/>
        <v>0</v>
      </c>
      <c r="AH28" s="31">
        <f t="shared" si="19"/>
        <v>0</v>
      </c>
      <c r="AI28" s="31">
        <f t="shared" si="20"/>
        <v>0</v>
      </c>
      <c r="AJ28" s="22">
        <f t="shared" si="21"/>
        <v>0</v>
      </c>
      <c r="AK28" s="22">
        <f t="shared" si="22"/>
        <v>0</v>
      </c>
    </row>
    <row r="29" spans="1:37" x14ac:dyDescent="0.2">
      <c r="A29" t="s">
        <v>73</v>
      </c>
      <c r="B29" s="22">
        <f>DataFromRScriptForCalculations!B28</f>
        <v>144713314</v>
      </c>
      <c r="C29" s="22">
        <f>DataFromRScriptForCalculations!C28</f>
        <v>4807667014</v>
      </c>
      <c r="D29" s="22">
        <f>DataFromRScriptForCalculations!D28</f>
        <v>6435927652</v>
      </c>
      <c r="E29" s="22">
        <f>DataFromRScriptForCalculations!E28</f>
        <v>11243594666</v>
      </c>
      <c r="F29" s="9">
        <f>DataFromRScriptForCalculations!F28</f>
        <v>1.8145630831102738E-2</v>
      </c>
      <c r="G29" s="9">
        <f>DataFromRScriptForCalculations!G28</f>
        <v>2.1882438399620101E-2</v>
      </c>
      <c r="H29" s="9">
        <f>DataFromRScriptForCalculations!H28</f>
        <v>1.4252784334753582E-2</v>
      </c>
      <c r="I29" s="9">
        <f>DataFromRScriptForCalculations!I28</f>
        <v>1.6749980353546461E-2</v>
      </c>
      <c r="J29" s="8">
        <f>DataFromRScriptForCalculations!J28</f>
        <v>2060</v>
      </c>
      <c r="K29" s="22">
        <f>DataFromRScriptForCalculations!K28</f>
        <v>1653.3797206963739</v>
      </c>
      <c r="L29" s="22">
        <f>DataFromRScriptForCalculations!L28</f>
        <v>55356.063166601511</v>
      </c>
      <c r="M29" s="22">
        <f>DataFromRScriptForCalculations!M28</f>
        <v>43041.379252151346</v>
      </c>
      <c r="N29" s="22">
        <f>DataFromRScriptForCalculations!N28</f>
        <v>98397.442418752849</v>
      </c>
      <c r="O29" s="9">
        <f>DataFromRScriptForCalculations!O28</f>
        <v>4.4473400710679789E-2</v>
      </c>
      <c r="P29" s="9">
        <f>DataFromRScriptForCalculations!P28</f>
        <v>5.6001804577790013E-2</v>
      </c>
      <c r="Q29" s="9">
        <f>DataFromRScriptForCalculations!Q28</f>
        <v>5.3765867449919832E-2</v>
      </c>
      <c r="R29" s="9">
        <f>DataFromRScriptForCalculations!R28</f>
        <v>5.5001279241865514E-2</v>
      </c>
      <c r="S29" s="22">
        <f t="shared" si="4"/>
        <v>21630.118018894009</v>
      </c>
      <c r="T29" s="22">
        <f t="shared" si="5"/>
        <v>33725.945147707505</v>
      </c>
      <c r="U29" s="22">
        <f t="shared" si="6"/>
        <v>3206.876475319556</v>
      </c>
      <c r="V29" s="22">
        <f t="shared" si="7"/>
        <v>39834.502776831789</v>
      </c>
      <c r="W29" s="22">
        <f t="shared" si="8"/>
        <v>73560.447924539301</v>
      </c>
      <c r="X29" s="31">
        <f t="shared" si="9"/>
        <v>64528.11281568143</v>
      </c>
      <c r="Y29" s="32">
        <f t="shared" si="10"/>
        <v>64332.18349808018</v>
      </c>
      <c r="Z29" s="31">
        <f t="shared" si="11"/>
        <v>64326.747209817644</v>
      </c>
      <c r="AA29" s="22">
        <f t="shared" si="12"/>
        <v>64326.747209817644</v>
      </c>
      <c r="AB29" s="22">
        <f t="shared" si="13"/>
        <v>479.75739210053615</v>
      </c>
      <c r="AC29" s="22">
        <f t="shared" si="14"/>
        <v>11045.907859434026</v>
      </c>
      <c r="AD29" s="22">
        <f t="shared" si="15"/>
        <v>31995.471392717322</v>
      </c>
      <c r="AE29" s="22">
        <f t="shared" si="16"/>
        <v>65721.416540424834</v>
      </c>
      <c r="AF29" s="31">
        <f t="shared" si="17"/>
        <v>40029.219849268018</v>
      </c>
      <c r="AG29" s="32">
        <f t="shared" si="18"/>
        <v>14589.824372354087</v>
      </c>
      <c r="AH29" s="31">
        <f t="shared" si="19"/>
        <v>8336.0814746279211</v>
      </c>
      <c r="AI29" s="31">
        <f t="shared" si="20"/>
        <v>8008.9201865919031</v>
      </c>
      <c r="AJ29" s="22">
        <f t="shared" si="21"/>
        <v>8008.9201865919031</v>
      </c>
      <c r="AK29" s="22">
        <f t="shared" si="22"/>
        <v>59.731586453888767</v>
      </c>
    </row>
    <row r="30" spans="1:37" x14ac:dyDescent="0.2">
      <c r="A30" t="s">
        <v>74</v>
      </c>
      <c r="B30" s="22">
        <f>DataFromRScriptForCalculations!B29</f>
        <v>36408820</v>
      </c>
      <c r="C30" s="22">
        <f>DataFromRScriptForCalculations!C29</f>
        <v>864598794</v>
      </c>
      <c r="D30" s="22">
        <f>DataFromRScriptForCalculations!D29</f>
        <v>2209527200</v>
      </c>
      <c r="E30" s="22">
        <f>DataFromRScriptForCalculations!E29</f>
        <v>3074125994</v>
      </c>
      <c r="F30" s="9">
        <f>DataFromRScriptForCalculations!F29</f>
        <v>4.5653090821765711E-3</v>
      </c>
      <c r="G30" s="9">
        <f>DataFromRScriptForCalculations!G29</f>
        <v>3.9352829126886009E-3</v>
      </c>
      <c r="H30" s="9">
        <f>DataFromRScriptForCalculations!H29</f>
        <v>4.8931430504172398E-3</v>
      </c>
      <c r="I30" s="9">
        <f>DataFromRScriptForCalculations!I29</f>
        <v>4.5796341413421853E-3</v>
      </c>
      <c r="J30" s="8">
        <f>DataFromRScriptForCalculations!J29</f>
        <v>2060</v>
      </c>
      <c r="K30" s="22">
        <f>DataFromRScriptForCalculations!K29</f>
        <v>663.03155613465094</v>
      </c>
      <c r="L30" s="22">
        <f>DataFromRScriptForCalculations!L29</f>
        <v>14625.212812558004</v>
      </c>
      <c r="M30" s="22">
        <f>DataFromRScriptForCalculations!M29</f>
        <v>14838.90000167178</v>
      </c>
      <c r="N30" s="22">
        <f>DataFromRScriptForCalculations!N29</f>
        <v>29464.112814229782</v>
      </c>
      <c r="O30" s="9">
        <f>DataFromRScriptForCalculations!O29</f>
        <v>1.7834540795856866E-2</v>
      </c>
      <c r="P30" s="9">
        <f>DataFromRScriptForCalculations!P29</f>
        <v>1.4795819337304717E-2</v>
      </c>
      <c r="Q30" s="9">
        <f>DataFromRScriptForCalculations!Q29</f>
        <v>1.8536263113655266E-2</v>
      </c>
      <c r="R30" s="9">
        <f>DataFromRScriptForCalculations!R29</f>
        <v>1.6469573361598155E-2</v>
      </c>
      <c r="S30" s="22">
        <f t="shared" si="4"/>
        <v>3889.9062474074726</v>
      </c>
      <c r="T30" s="22">
        <f t="shared" si="5"/>
        <v>10735.306565150531</v>
      </c>
      <c r="U30" s="22">
        <f t="shared" si="6"/>
        <v>1100.9571863438789</v>
      </c>
      <c r="V30" s="22">
        <f t="shared" si="7"/>
        <v>13737.9428153279</v>
      </c>
      <c r="W30" s="22">
        <f t="shared" si="8"/>
        <v>24473.249380478432</v>
      </c>
      <c r="X30" s="31">
        <f t="shared" si="9"/>
        <v>21372.34595495055</v>
      </c>
      <c r="Y30" s="32">
        <f t="shared" si="10"/>
        <v>21305.081190657733</v>
      </c>
      <c r="Z30" s="31">
        <f t="shared" si="11"/>
        <v>21303.214851035445</v>
      </c>
      <c r="AA30" s="22">
        <f t="shared" si="12"/>
        <v>21303.214851035445</v>
      </c>
      <c r="AB30" s="22">
        <f t="shared" si="13"/>
        <v>462.79326765006624</v>
      </c>
      <c r="AC30" s="22">
        <f t="shared" si="14"/>
        <v>3792.1858640733608</v>
      </c>
      <c r="AD30" s="22">
        <f t="shared" si="15"/>
        <v>11046.714137598419</v>
      </c>
      <c r="AE30" s="22">
        <f t="shared" si="16"/>
        <v>21782.020702748952</v>
      </c>
      <c r="AF30" s="31">
        <f t="shared" si="17"/>
        <v>12961.59721659927</v>
      </c>
      <c r="AG30" s="32">
        <f t="shared" si="18"/>
        <v>4227.9632640281834</v>
      </c>
      <c r="AH30" s="31">
        <f t="shared" si="19"/>
        <v>2080.9821633256574</v>
      </c>
      <c r="AI30" s="31">
        <f t="shared" si="20"/>
        <v>1968.6639702400066</v>
      </c>
      <c r="AJ30" s="22">
        <f t="shared" si="21"/>
        <v>1968.6639702400066</v>
      </c>
      <c r="AK30" s="22">
        <f t="shared" si="22"/>
        <v>42.7674620034188</v>
      </c>
    </row>
    <row r="31" spans="1:37" x14ac:dyDescent="0.2">
      <c r="A31" t="s">
        <v>75</v>
      </c>
      <c r="B31" s="22">
        <f>DataFromRScriptForCalculations!B30</f>
        <v>5975689</v>
      </c>
      <c r="C31" s="22">
        <f>DataFromRScriptForCalculations!C30</f>
        <v>152633637</v>
      </c>
      <c r="D31" s="22">
        <f>DataFromRScriptForCalculations!D30</f>
        <v>299221839</v>
      </c>
      <c r="E31" s="22">
        <f>DataFromRScriptForCalculations!E30</f>
        <v>451855476</v>
      </c>
      <c r="F31" s="9">
        <f>DataFromRScriptForCalculations!F30</f>
        <v>7.4929281597048826E-4</v>
      </c>
      <c r="G31" s="9">
        <f>DataFromRScriptForCalculations!G30</f>
        <v>6.9472285614547661E-4</v>
      </c>
      <c r="H31" s="9">
        <f>DataFromRScriptForCalculations!H30</f>
        <v>6.6264640780883631E-4</v>
      </c>
      <c r="I31" s="9">
        <f>DataFromRScriptForCalculations!I30</f>
        <v>6.7314507241436909E-4</v>
      </c>
      <c r="J31" s="8">
        <f>DataFromRScriptForCalculations!J30</f>
        <v>2050</v>
      </c>
      <c r="K31" s="22">
        <f>DataFromRScriptForCalculations!K30</f>
        <v>53.291191857684737</v>
      </c>
      <c r="L31" s="22">
        <f>DataFromRScriptForCalculations!L30</f>
        <v>1560.3446859624419</v>
      </c>
      <c r="M31" s="22">
        <f>DataFromRScriptForCalculations!M30</f>
        <v>855.97719150189664</v>
      </c>
      <c r="N31" s="22">
        <f>DataFromRScriptForCalculations!N30</f>
        <v>2416.3218774643383</v>
      </c>
      <c r="O31" s="9">
        <f>DataFromRScriptForCalculations!O30</f>
        <v>1.4334520377680155E-3</v>
      </c>
      <c r="P31" s="9">
        <f>DataFromRScriptForCalculations!P30</f>
        <v>1.578546471310172E-3</v>
      </c>
      <c r="Q31" s="9">
        <f>DataFromRScriptForCalculations!Q30</f>
        <v>1.0692583978043704E-3</v>
      </c>
      <c r="R31" s="9">
        <f>DataFromRScriptForCalculations!R30</f>
        <v>1.3506529341998042E-3</v>
      </c>
      <c r="S31" s="22">
        <f t="shared" si="4"/>
        <v>686.71219790161342</v>
      </c>
      <c r="T31" s="22">
        <f t="shared" si="5"/>
        <v>873.63248806082845</v>
      </c>
      <c r="U31" s="22">
        <f t="shared" si="6"/>
        <v>149.09544175698818</v>
      </c>
      <c r="V31" s="22">
        <f t="shared" si="7"/>
        <v>706.88174974490846</v>
      </c>
      <c r="W31" s="22">
        <f t="shared" si="8"/>
        <v>1580.5142378057369</v>
      </c>
      <c r="X31" s="31">
        <f t="shared" si="9"/>
        <v>1160.5791378676809</v>
      </c>
      <c r="Y31" s="32">
        <f t="shared" si="10"/>
        <v>1151.4699101235744</v>
      </c>
      <c r="Z31" s="31">
        <f t="shared" si="11"/>
        <v>1151.2171639369785</v>
      </c>
      <c r="AA31" s="22">
        <f t="shared" si="12"/>
        <v>1151.2171639369785</v>
      </c>
      <c r="AB31" s="22">
        <f t="shared" si="13"/>
        <v>184.67376597125644</v>
      </c>
      <c r="AC31" s="22">
        <f t="shared" si="14"/>
        <v>513.55096605184815</v>
      </c>
      <c r="AD31" s="22">
        <f t="shared" si="15"/>
        <v>342.42622545004849</v>
      </c>
      <c r="AE31" s="22">
        <f t="shared" si="16"/>
        <v>1216.0587135108769</v>
      </c>
      <c r="AF31" s="31">
        <f t="shared" si="17"/>
        <v>21.566364068652774</v>
      </c>
      <c r="AG31" s="32">
        <f t="shared" si="18"/>
        <v>-1161.1726456349431</v>
      </c>
      <c r="AH31" s="31">
        <f t="shared" si="19"/>
        <v>0</v>
      </c>
      <c r="AI31" s="31">
        <f t="shared" si="20"/>
        <v>0</v>
      </c>
      <c r="AJ31" s="22">
        <f t="shared" si="21"/>
        <v>0</v>
      </c>
      <c r="AK31" s="22">
        <f t="shared" si="22"/>
        <v>0</v>
      </c>
    </row>
    <row r="32" spans="1:37" x14ac:dyDescent="0.2">
      <c r="A32" t="s">
        <v>76</v>
      </c>
      <c r="B32" s="22">
        <f>DataFromRScriptForCalculations!B31</f>
        <v>59893886</v>
      </c>
      <c r="C32" s="22">
        <f>DataFromRScriptForCalculations!C31</f>
        <v>1651529692</v>
      </c>
      <c r="D32" s="22">
        <f>DataFromRScriptForCalculations!D31</f>
        <v>3405686496</v>
      </c>
      <c r="E32" s="22">
        <f>DataFromRScriptForCalculations!E31</f>
        <v>5057216188</v>
      </c>
      <c r="F32" s="9">
        <f>DataFromRScriptForCalculations!F31</f>
        <v>7.5101061150196075E-3</v>
      </c>
      <c r="G32" s="9">
        <f>DataFromRScriptForCalculations!G31</f>
        <v>7.5170548719565621E-3</v>
      </c>
      <c r="H32" s="9">
        <f>DataFromRScriptForCalculations!H31</f>
        <v>7.5421163449819672E-3</v>
      </c>
      <c r="I32" s="9">
        <f>DataFromRScriptForCalculations!I31</f>
        <v>7.5339136912139131E-3</v>
      </c>
      <c r="J32" s="8">
        <f>DataFromRScriptForCalculations!J31</f>
        <v>2050</v>
      </c>
      <c r="K32" s="22">
        <f>DataFromRScriptForCalculations!K31</f>
        <v>404.34806577061232</v>
      </c>
      <c r="L32" s="22">
        <f>DataFromRScriptForCalculations!L31</f>
        <v>13562.027196651201</v>
      </c>
      <c r="M32" s="22">
        <f>DataFromRScriptForCalculations!M31</f>
        <v>6247.8194242398567</v>
      </c>
      <c r="N32" s="22">
        <f>DataFromRScriptForCalculations!N31</f>
        <v>19809.846620891058</v>
      </c>
      <c r="O32" s="9">
        <f>DataFromRScriptForCalculations!O31</f>
        <v>1.0876348203926647E-2</v>
      </c>
      <c r="P32" s="9">
        <f>DataFromRScriptForCalculations!P31</f>
        <v>1.3720231412767245E-2</v>
      </c>
      <c r="Q32" s="9">
        <f>DataFromRScriptForCalculations!Q31</f>
        <v>7.8045693899998396E-3</v>
      </c>
      <c r="R32" s="9">
        <f>DataFromRScriptForCalculations!R31</f>
        <v>1.1073122216909394E-2</v>
      </c>
      <c r="S32" s="22">
        <f t="shared" si="4"/>
        <v>7430.3777790022441</v>
      </c>
      <c r="T32" s="22">
        <f t="shared" si="5"/>
        <v>6131.6494176489568</v>
      </c>
      <c r="U32" s="22">
        <f t="shared" si="6"/>
        <v>1696.9761776209427</v>
      </c>
      <c r="V32" s="22">
        <f t="shared" si="7"/>
        <v>4550.8432466189142</v>
      </c>
      <c r="W32" s="22">
        <f t="shared" si="8"/>
        <v>10682.492664267871</v>
      </c>
      <c r="X32" s="31">
        <f t="shared" si="9"/>
        <v>5902.8706158402911</v>
      </c>
      <c r="Y32" s="32">
        <f t="shared" si="10"/>
        <v>5799.1911049437222</v>
      </c>
      <c r="Z32" s="31">
        <f t="shared" si="11"/>
        <v>5796.3143955515152</v>
      </c>
      <c r="AA32" s="22">
        <f t="shared" si="12"/>
        <v>5796.3143955515152</v>
      </c>
      <c r="AB32" s="22">
        <f t="shared" si="13"/>
        <v>81.693688280834863</v>
      </c>
      <c r="AC32" s="22">
        <f t="shared" si="14"/>
        <v>5845.1401673610244</v>
      </c>
      <c r="AD32" s="22">
        <f t="shared" si="15"/>
        <v>402.67925687883235</v>
      </c>
      <c r="AE32" s="22">
        <f t="shared" si="16"/>
        <v>6534.3286745277892</v>
      </c>
      <c r="AF32" s="31">
        <f t="shared" si="17"/>
        <v>-7061.1577968680904</v>
      </c>
      <c r="AG32" s="32">
        <f t="shared" si="18"/>
        <v>0</v>
      </c>
      <c r="AH32" s="31">
        <f t="shared" si="19"/>
        <v>0</v>
      </c>
      <c r="AI32" s="31">
        <f t="shared" si="20"/>
        <v>0</v>
      </c>
      <c r="AJ32" s="22">
        <f t="shared" si="21"/>
        <v>0</v>
      </c>
      <c r="AK32" s="22">
        <f t="shared" si="22"/>
        <v>0</v>
      </c>
    </row>
    <row r="33" spans="1:37" x14ac:dyDescent="0.2">
      <c r="A33" t="s">
        <v>77</v>
      </c>
      <c r="B33" s="22">
        <f>DataFromRScriptForCalculations!B32</f>
        <v>51815810</v>
      </c>
      <c r="C33" s="22">
        <f>DataFromRScriptForCalculations!C32</f>
        <v>1591844497</v>
      </c>
      <c r="D33" s="22">
        <f>DataFromRScriptForCalculations!D32</f>
        <v>2203691816</v>
      </c>
      <c r="E33" s="22">
        <f>DataFromRScriptForCalculations!E32</f>
        <v>3795536313</v>
      </c>
      <c r="F33" s="9">
        <f>DataFromRScriptForCalculations!F32</f>
        <v>6.4971945806904918E-3</v>
      </c>
      <c r="G33" s="9">
        <f>DataFromRScriptForCalculations!G32</f>
        <v>7.2453934613069572E-3</v>
      </c>
      <c r="H33" s="9">
        <f>DataFromRScriptForCalculations!H32</f>
        <v>4.8802202094284002E-3</v>
      </c>
      <c r="I33" s="9">
        <f>DataFromRScriptForCalculations!I32</f>
        <v>5.654344590184302E-3</v>
      </c>
      <c r="J33" s="8">
        <f>DataFromRScriptForCalculations!J32</f>
        <v>2050</v>
      </c>
      <c r="K33" s="22">
        <f>DataFromRScriptForCalculations!K32</f>
        <v>601.43675755402433</v>
      </c>
      <c r="L33" s="22">
        <f>DataFromRScriptForCalculations!L32</f>
        <v>16672.188778791628</v>
      </c>
      <c r="M33" s="22">
        <f>DataFromRScriptForCalculations!M32</f>
        <v>8489.6780427647336</v>
      </c>
      <c r="N33" s="22">
        <f>DataFromRScriptForCalculations!N32</f>
        <v>25161.866821556359</v>
      </c>
      <c r="O33" s="9">
        <f>DataFromRScriptForCalculations!O32</f>
        <v>1.6177734361932504E-2</v>
      </c>
      <c r="P33" s="9">
        <f>DataFromRScriptForCalculations!P32</f>
        <v>1.6866673756475402E-2</v>
      </c>
      <c r="Q33" s="9">
        <f>DataFromRScriptForCalculations!Q32</f>
        <v>1.0605025031045408E-2</v>
      </c>
      <c r="R33" s="9">
        <f>DataFromRScriptForCalculations!R32</f>
        <v>1.4064744258386316E-2</v>
      </c>
      <c r="S33" s="22">
        <f t="shared" si="4"/>
        <v>7161.8488213869814</v>
      </c>
      <c r="T33" s="22">
        <f t="shared" si="5"/>
        <v>9510.3399574046452</v>
      </c>
      <c r="U33" s="22">
        <f t="shared" si="6"/>
        <v>1098.0495471213901</v>
      </c>
      <c r="V33" s="22">
        <f t="shared" si="7"/>
        <v>7391.6284956433437</v>
      </c>
      <c r="W33" s="22">
        <f t="shared" si="8"/>
        <v>16901.96845304799</v>
      </c>
      <c r="X33" s="31">
        <f t="shared" si="9"/>
        <v>13809.254545275249</v>
      </c>
      <c r="Y33" s="32">
        <f t="shared" si="10"/>
        <v>13742.167427914917</v>
      </c>
      <c r="Z33" s="31">
        <f t="shared" si="11"/>
        <v>13740.306017314715</v>
      </c>
      <c r="AA33" s="22">
        <f t="shared" si="12"/>
        <v>13740.306017314715</v>
      </c>
      <c r="AB33" s="22">
        <f t="shared" si="13"/>
        <v>299.28626318912933</v>
      </c>
      <c r="AC33" s="22">
        <f t="shared" si="14"/>
        <v>3782.1706623070099</v>
      </c>
      <c r="AD33" s="22">
        <f t="shared" si="15"/>
        <v>4707.5073804577241</v>
      </c>
      <c r="AE33" s="22">
        <f t="shared" si="16"/>
        <v>14217.847337862369</v>
      </c>
      <c r="AF33" s="31">
        <f t="shared" si="17"/>
        <v>5420.7186806173959</v>
      </c>
      <c r="AG33" s="32">
        <f t="shared" si="18"/>
        <v>-3289.8496550974269</v>
      </c>
      <c r="AH33" s="31">
        <f t="shared" si="19"/>
        <v>0</v>
      </c>
      <c r="AI33" s="31">
        <f t="shared" si="20"/>
        <v>0</v>
      </c>
      <c r="AJ33" s="22">
        <f t="shared" si="21"/>
        <v>0</v>
      </c>
      <c r="AK33" s="22">
        <f t="shared" si="22"/>
        <v>0</v>
      </c>
    </row>
    <row r="34" spans="1:37" x14ac:dyDescent="0.2">
      <c r="A34" t="s">
        <v>78</v>
      </c>
      <c r="B34" s="22">
        <f>DataFromRScriptForCalculations!B33</f>
        <v>8740472</v>
      </c>
      <c r="C34" s="22">
        <f>DataFromRScriptForCalculations!C33</f>
        <v>252238340</v>
      </c>
      <c r="D34" s="22">
        <f>DataFromRScriptForCalculations!D33</f>
        <v>459509343</v>
      </c>
      <c r="E34" s="22">
        <f>DataFromRScriptForCalculations!E33</f>
        <v>711747683</v>
      </c>
      <c r="F34" s="9">
        <f>DataFromRScriptForCalculations!F33</f>
        <v>1.0959694987124004E-3</v>
      </c>
      <c r="G34" s="9">
        <f>DataFromRScriptForCalculations!G33</f>
        <v>1.148080747064907E-3</v>
      </c>
      <c r="H34" s="9">
        <f>DataFromRScriptForCalculations!H33</f>
        <v>1.0176136090572869E-3</v>
      </c>
      <c r="I34" s="9">
        <f>DataFromRScriptForCalculations!I33</f>
        <v>1.0603156784887442E-3</v>
      </c>
      <c r="J34" s="8">
        <f>DataFromRScriptForCalculations!J33</f>
        <v>2050</v>
      </c>
      <c r="K34" s="22">
        <f>DataFromRScriptForCalculations!K33</f>
        <v>35.405914478152347</v>
      </c>
      <c r="L34" s="22">
        <f>DataFromRScriptForCalculations!L33</f>
        <v>1393.730176319189</v>
      </c>
      <c r="M34" s="22">
        <f>DataFromRScriptForCalculations!M33</f>
        <v>547.6401182376261</v>
      </c>
      <c r="N34" s="22">
        <f>DataFromRScriptForCalculations!N33</f>
        <v>1941.3702945568152</v>
      </c>
      <c r="O34" s="9">
        <f>DataFromRScriptForCalculations!O33</f>
        <v>9.523652687912044E-4</v>
      </c>
      <c r="P34" s="9">
        <f>DataFromRScriptForCalculations!P33</f>
        <v>1.4099883644812287E-3</v>
      </c>
      <c r="Q34" s="9">
        <f>DataFromRScriptForCalculations!Q33</f>
        <v>6.8409392354569834E-4</v>
      </c>
      <c r="R34" s="9">
        <f>DataFromRScriptForCalculations!R33</f>
        <v>1.0851689541722487E-3</v>
      </c>
      <c r="S34" s="22">
        <f t="shared" si="4"/>
        <v>1134.8425436291902</v>
      </c>
      <c r="T34" s="22">
        <f t="shared" si="5"/>
        <v>258.88763268999878</v>
      </c>
      <c r="U34" s="22">
        <f t="shared" si="6"/>
        <v>228.96306203788956</v>
      </c>
      <c r="V34" s="22">
        <f t="shared" si="7"/>
        <v>318.67705619973651</v>
      </c>
      <c r="W34" s="22">
        <f t="shared" si="8"/>
        <v>577.56468888973529</v>
      </c>
      <c r="X34" s="31">
        <f>IF(W34&gt;0,W34-($W$47-$W$41)*(D34/SUMIF($W$3:$W$40,"&gt;0",$D$3:$D$40)),0)</f>
        <v>-67.321735577348591</v>
      </c>
      <c r="Y34" s="32">
        <f t="shared" si="10"/>
        <v>0</v>
      </c>
      <c r="Z34" s="31">
        <f t="shared" si="11"/>
        <v>0</v>
      </c>
      <c r="AA34" s="22">
        <f t="shared" si="12"/>
        <v>0</v>
      </c>
      <c r="AB34" s="22">
        <f t="shared" si="13"/>
        <v>0</v>
      </c>
      <c r="AC34" s="22">
        <f t="shared" si="14"/>
        <v>788.65054701939732</v>
      </c>
      <c r="AD34" s="22">
        <f t="shared" si="15"/>
        <v>-241.01042878177122</v>
      </c>
      <c r="AE34" s="22">
        <f t="shared" si="16"/>
        <v>17.877203908227557</v>
      </c>
      <c r="AF34" s="31">
        <f t="shared" si="17"/>
        <v>-1816.4822016254134</v>
      </c>
      <c r="AG34" s="32">
        <f t="shared" si="18"/>
        <v>0</v>
      </c>
      <c r="AH34" s="31">
        <f t="shared" si="19"/>
        <v>0</v>
      </c>
      <c r="AI34" s="31">
        <f t="shared" si="20"/>
        <v>0</v>
      </c>
      <c r="AJ34" s="22">
        <f t="shared" si="21"/>
        <v>0</v>
      </c>
      <c r="AK34" s="22">
        <f t="shared" si="22"/>
        <v>0</v>
      </c>
    </row>
    <row r="35" spans="1:37" x14ac:dyDescent="0.2">
      <c r="A35" t="s">
        <v>79</v>
      </c>
      <c r="B35" s="22">
        <f>DataFromRScriptForCalculations!B34</f>
        <v>71697030</v>
      </c>
      <c r="C35" s="22">
        <f>DataFromRScriptForCalculations!C34</f>
        <v>2159291931</v>
      </c>
      <c r="D35" s="22">
        <f>DataFromRScriptForCalculations!D34</f>
        <v>3246862332</v>
      </c>
      <c r="E35" s="22">
        <f>DataFromRScriptForCalculations!E34</f>
        <v>5406154263</v>
      </c>
      <c r="F35" s="9">
        <f>DataFromRScriptForCalculations!F34</f>
        <v>8.9901046566212822E-3</v>
      </c>
      <c r="G35" s="9">
        <f>DataFromRScriptForCalculations!G34</f>
        <v>9.8281708215876527E-3</v>
      </c>
      <c r="H35" s="9">
        <f>DataFromRScriptForCalculations!H34</f>
        <v>7.190389806238779E-3</v>
      </c>
      <c r="I35" s="9">
        <f>DataFromRScriptForCalculations!I34</f>
        <v>8.0537390739741418E-3</v>
      </c>
      <c r="J35" s="8">
        <f>DataFromRScriptForCalculations!J34</f>
        <v>2065</v>
      </c>
      <c r="K35" s="22">
        <f>DataFromRScriptForCalculations!K34</f>
        <v>270.94340704857547</v>
      </c>
      <c r="L35" s="22">
        <f>DataFromRScriptForCalculations!L34</f>
        <v>6925.272366310186</v>
      </c>
      <c r="M35" s="22">
        <f>DataFromRScriptForCalculations!M34</f>
        <v>6911.8334593150794</v>
      </c>
      <c r="N35" s="22">
        <f>DataFromRScriptForCalculations!N34</f>
        <v>13837.105825625265</v>
      </c>
      <c r="O35" s="9">
        <f>DataFromRScriptForCalculations!O34</f>
        <v>7.287965710933585E-3</v>
      </c>
      <c r="P35" s="9">
        <f>DataFromRScriptForCalculations!P34</f>
        <v>7.0060572866038669E-3</v>
      </c>
      <c r="Q35" s="9">
        <f>DataFromRScriptForCalculations!Q34</f>
        <v>8.6340337616127999E-3</v>
      </c>
      <c r="R35" s="9">
        <f>DataFromRScriptForCalculations!R34</f>
        <v>7.7345356007893018E-3</v>
      </c>
      <c r="S35" s="22">
        <f t="shared" si="4"/>
        <v>9714.8448860471635</v>
      </c>
      <c r="T35" s="22">
        <f t="shared" si="5"/>
        <v>-2789.5725197369775</v>
      </c>
      <c r="U35" s="22">
        <f t="shared" si="6"/>
        <v>1617.8377064037252</v>
      </c>
      <c r="V35" s="22">
        <f t="shared" si="7"/>
        <v>5293.9957529113544</v>
      </c>
      <c r="W35" s="22">
        <f t="shared" si="8"/>
        <v>2504.4232331743769</v>
      </c>
      <c r="X35" s="31">
        <f t="shared" si="9"/>
        <v>-2052.3011771502624</v>
      </c>
      <c r="Y35" s="32">
        <f t="shared" si="10"/>
        <v>0</v>
      </c>
      <c r="Z35" s="31">
        <f t="shared" si="11"/>
        <v>0</v>
      </c>
      <c r="AA35" s="22">
        <f t="shared" si="12"/>
        <v>0</v>
      </c>
      <c r="AB35" s="22">
        <f t="shared" si="13"/>
        <v>0</v>
      </c>
      <c r="AC35" s="22">
        <f t="shared" si="14"/>
        <v>5572.5520998350539</v>
      </c>
      <c r="AD35" s="22">
        <f t="shared" si="15"/>
        <v>1339.2813594800255</v>
      </c>
      <c r="AE35" s="22">
        <f t="shared" si="16"/>
        <v>-1450.291160256952</v>
      </c>
      <c r="AF35" s="31">
        <f t="shared" si="17"/>
        <v>0</v>
      </c>
      <c r="AG35" s="32">
        <f t="shared" si="18"/>
        <v>0</v>
      </c>
      <c r="AH35" s="31">
        <f t="shared" si="19"/>
        <v>0</v>
      </c>
      <c r="AI35" s="31">
        <f t="shared" si="20"/>
        <v>0</v>
      </c>
      <c r="AJ35" s="22">
        <f t="shared" si="21"/>
        <v>0</v>
      </c>
      <c r="AK35" s="22">
        <f t="shared" si="22"/>
        <v>0</v>
      </c>
    </row>
    <row r="36" spans="1:37" x14ac:dyDescent="0.2">
      <c r="A36" t="s">
        <v>80</v>
      </c>
      <c r="B36" s="22">
        <f>DataFromRScriptForCalculations!B35</f>
        <v>85341241</v>
      </c>
      <c r="C36" s="22">
        <f>DataFromRScriptForCalculations!C35</f>
        <v>2310639332</v>
      </c>
      <c r="D36" s="22">
        <f>DataFromRScriptForCalculations!D35</f>
        <v>4470558856</v>
      </c>
      <c r="E36" s="22">
        <f>DataFromRScriptForCalculations!E35</f>
        <v>6781198188</v>
      </c>
      <c r="F36" s="9">
        <f>DataFromRScriptForCalculations!F35</f>
        <v>1.0700954950518022E-2</v>
      </c>
      <c r="G36" s="9">
        <f>DataFromRScriptForCalculations!G35</f>
        <v>1.051703928308487E-2</v>
      </c>
      <c r="H36" s="9">
        <f>DataFromRScriptForCalculations!H35</f>
        <v>9.9003461001600911E-3</v>
      </c>
      <c r="I36" s="9">
        <f>DataFromRScriptForCalculations!I35</f>
        <v>1.0102190606886545E-2</v>
      </c>
      <c r="J36" s="8">
        <f>DataFromRScriptForCalculations!J35</f>
        <v>2050</v>
      </c>
      <c r="K36" s="22">
        <f>DataFromRScriptForCalculations!K35</f>
        <v>436.00167847300537</v>
      </c>
      <c r="L36" s="22">
        <f>DataFromRScriptForCalculations!L35</f>
        <v>9540.4302946177559</v>
      </c>
      <c r="M36" s="22">
        <f>DataFromRScriptForCalculations!M35</f>
        <v>10031.460668803442</v>
      </c>
      <c r="N36" s="22">
        <f>DataFromRScriptForCalculations!N35</f>
        <v>19571.890963421196</v>
      </c>
      <c r="O36" s="9">
        <f>DataFromRScriptForCalculations!O35</f>
        <v>1.1727782259898541E-2</v>
      </c>
      <c r="P36" s="9">
        <f>DataFromRScriptForCalculations!P35</f>
        <v>9.6517216431959724E-3</v>
      </c>
      <c r="Q36" s="9">
        <f>DataFromRScriptForCalculations!Q35</f>
        <v>1.2530968895961008E-2</v>
      </c>
      <c r="R36" s="9">
        <f>DataFromRScriptForCalculations!R35</f>
        <v>1.0940111995891828E-2</v>
      </c>
      <c r="S36" s="22">
        <f t="shared" si="4"/>
        <v>10395.770194715573</v>
      </c>
      <c r="T36" s="22">
        <f t="shared" si="5"/>
        <v>-855.33990009781701</v>
      </c>
      <c r="U36" s="22">
        <f t="shared" si="6"/>
        <v>2227.5778725360205</v>
      </c>
      <c r="V36" s="22">
        <f t="shared" si="7"/>
        <v>7803.8827962674213</v>
      </c>
      <c r="W36" s="22">
        <f t="shared" si="8"/>
        <v>6948.5428961696043</v>
      </c>
      <c r="X36" s="31">
        <f t="shared" si="9"/>
        <v>674.45345721885678</v>
      </c>
      <c r="Y36" s="32">
        <f t="shared" si="10"/>
        <v>538.35597550150112</v>
      </c>
      <c r="Z36" s="31">
        <f t="shared" si="11"/>
        <v>534.57979156191186</v>
      </c>
      <c r="AA36" s="22">
        <f t="shared" si="12"/>
        <v>534.57979156191186</v>
      </c>
      <c r="AB36" s="22">
        <f t="shared" si="13"/>
        <v>5.7397365344006941</v>
      </c>
      <c r="AC36" s="22">
        <f t="shared" si="14"/>
        <v>7672.7682276240703</v>
      </c>
      <c r="AD36" s="22">
        <f t="shared" si="15"/>
        <v>2358.6924411793716</v>
      </c>
      <c r="AE36" s="22">
        <f t="shared" si="16"/>
        <v>1503.3525410815546</v>
      </c>
      <c r="AF36" s="31">
        <f t="shared" si="17"/>
        <v>-16343.100007534666</v>
      </c>
      <c r="AG36" s="32">
        <f t="shared" si="18"/>
        <v>0</v>
      </c>
      <c r="AH36" s="31">
        <f t="shared" si="19"/>
        <v>0</v>
      </c>
      <c r="AI36" s="31">
        <f t="shared" si="20"/>
        <v>0</v>
      </c>
      <c r="AJ36" s="22">
        <f t="shared" si="21"/>
        <v>0</v>
      </c>
      <c r="AK36" s="22">
        <f t="shared" si="22"/>
        <v>0</v>
      </c>
    </row>
    <row r="37" spans="1:37" x14ac:dyDescent="0.2">
      <c r="A37" t="s">
        <v>81</v>
      </c>
      <c r="B37" s="22">
        <f>DataFromRScriptForCalculations!B36</f>
        <v>9441129</v>
      </c>
      <c r="C37" s="22">
        <f>DataFromRScriptForCalculations!C36</f>
        <v>189287075</v>
      </c>
      <c r="D37" s="22">
        <f>DataFromRScriptForCalculations!D36</f>
        <v>534084061</v>
      </c>
      <c r="E37" s="22">
        <f>DataFromRScriptForCalculations!E36</f>
        <v>723371136</v>
      </c>
      <c r="F37" s="9">
        <f>DataFromRScriptForCalculations!F36</f>
        <v>1.183825017391407E-3</v>
      </c>
      <c r="G37" s="9">
        <f>DataFromRScriptForCalculations!G36</f>
        <v>8.615535864838433E-4</v>
      </c>
      <c r="H37" s="9">
        <f>DataFromRScriptForCalculations!H36</f>
        <v>1.1827642182548226E-3</v>
      </c>
      <c r="I37" s="9">
        <f>DataFromRScriptForCalculations!I36</f>
        <v>1.0776315472276901E-3</v>
      </c>
      <c r="J37" s="8">
        <f>DataFromRScriptForCalculations!J36</f>
        <v>2070</v>
      </c>
      <c r="K37" s="22">
        <f>DataFromRScriptForCalculations!K36</f>
        <v>244.07273071071032</v>
      </c>
      <c r="L37" s="22">
        <f>DataFromRScriptForCalculations!L36</f>
        <v>4699.9499438482135</v>
      </c>
      <c r="M37" s="22">
        <f>DataFromRScriptForCalculations!M36</f>
        <v>5338.0929497210918</v>
      </c>
      <c r="N37" s="22">
        <f>DataFromRScriptForCalculations!N36</f>
        <v>10038.042893569305</v>
      </c>
      <c r="O37" s="9">
        <f>DataFromRScriptForCalculations!O36</f>
        <v>6.5651853712560583E-3</v>
      </c>
      <c r="P37" s="9">
        <f>DataFromRScriptForCalculations!P36</f>
        <v>4.7547759581209733E-3</v>
      </c>
      <c r="Q37" s="9">
        <f>DataFromRScriptForCalculations!Q36</f>
        <v>6.668169165506244E-3</v>
      </c>
      <c r="R37" s="9">
        <f>DataFromRScriptForCalculations!R36</f>
        <v>5.6109710441600603E-3</v>
      </c>
      <c r="S37" s="22">
        <f t="shared" si="4"/>
        <v>851.61924895766947</v>
      </c>
      <c r="T37" s="22">
        <f t="shared" si="5"/>
        <v>3848.3306948905438</v>
      </c>
      <c r="U37" s="22">
        <f t="shared" si="6"/>
        <v>266.12194910733507</v>
      </c>
      <c r="V37" s="22">
        <f t="shared" si="7"/>
        <v>5071.9710006137566</v>
      </c>
      <c r="W37" s="22">
        <f t="shared" si="8"/>
        <v>8920.3016955043004</v>
      </c>
      <c r="X37" s="31">
        <f t="shared" si="9"/>
        <v>8170.7553245545587</v>
      </c>
      <c r="Y37" s="32">
        <f t="shared" si="10"/>
        <v>8154.4961726076108</v>
      </c>
      <c r="Z37" s="31">
        <f t="shared" si="11"/>
        <v>8154.0450434046406</v>
      </c>
      <c r="AA37" s="22">
        <f t="shared" si="12"/>
        <v>8154.0450434046406</v>
      </c>
      <c r="AB37" s="22">
        <f t="shared" si="13"/>
        <v>732.8325083332204</v>
      </c>
      <c r="AC37" s="22">
        <f t="shared" si="14"/>
        <v>916.64226914748758</v>
      </c>
      <c r="AD37" s="22">
        <f t="shared" si="15"/>
        <v>4421.4506805736046</v>
      </c>
      <c r="AE37" s="22">
        <f t="shared" si="16"/>
        <v>8269.7813754641484</v>
      </c>
      <c r="AF37" s="31">
        <f t="shared" si="17"/>
        <v>6137.7200026860264</v>
      </c>
      <c r="AG37" s="32">
        <f t="shared" si="18"/>
        <v>4026.6372838687848</v>
      </c>
      <c r="AH37" s="31">
        <f t="shared" si="19"/>
        <v>3507.6717852075981</v>
      </c>
      <c r="AI37" s="31">
        <f t="shared" si="20"/>
        <v>3480.5223766430117</v>
      </c>
      <c r="AJ37" s="22">
        <f t="shared" si="21"/>
        <v>3480.5223766430117</v>
      </c>
      <c r="AK37" s="22">
        <f t="shared" si="22"/>
        <v>312.80670268657303</v>
      </c>
    </row>
    <row r="38" spans="1:37" x14ac:dyDescent="0.2">
      <c r="A38" t="s">
        <v>82</v>
      </c>
      <c r="B38" s="22">
        <f>DataFromRScriptForCalculations!B37</f>
        <v>67508936</v>
      </c>
      <c r="C38" s="22">
        <f>DataFromRScriptForCalculations!C37</f>
        <v>2033158624</v>
      </c>
      <c r="D38" s="22">
        <f>DataFromRScriptForCalculations!D37</f>
        <v>3395526836</v>
      </c>
      <c r="E38" s="22">
        <f>DataFromRScriptForCalculations!E37</f>
        <v>5428685460</v>
      </c>
      <c r="F38" s="9">
        <f>DataFromRScriptForCalculations!F37</f>
        <v>8.46495872837617E-3</v>
      </c>
      <c r="G38" s="9">
        <f>DataFromRScriptForCalculations!G37</f>
        <v>9.2540661024940862E-3</v>
      </c>
      <c r="H38" s="9">
        <f>DataFromRScriptForCalculations!H37</f>
        <v>7.5196171108817484E-3</v>
      </c>
      <c r="I38" s="9">
        <f>DataFromRScriptForCalculations!I37</f>
        <v>8.0873045944596066E-3</v>
      </c>
      <c r="J38" s="8">
        <f>DataFromRScriptForCalculations!J37</f>
        <v>2050</v>
      </c>
      <c r="K38" s="22">
        <f>DataFromRScriptForCalculations!K37</f>
        <v>318.88628284743118</v>
      </c>
      <c r="L38" s="22">
        <f>DataFromRScriptForCalculations!L37</f>
        <v>16737.580307450753</v>
      </c>
      <c r="M38" s="22">
        <f>DataFromRScriptForCalculations!M37</f>
        <v>4128.2916155839448</v>
      </c>
      <c r="N38" s="22">
        <f>DataFromRScriptForCalculations!N37</f>
        <v>20865.871923034698</v>
      </c>
      <c r="O38" s="9">
        <f>DataFromRScriptForCalculations!O37</f>
        <v>8.5775561782261353E-3</v>
      </c>
      <c r="P38" s="9">
        <f>DataFromRScriptForCalculations!P37</f>
        <v>1.6932828092595546E-2</v>
      </c>
      <c r="Q38" s="9">
        <f>DataFromRScriptForCalculations!Q37</f>
        <v>5.156925350783396E-3</v>
      </c>
      <c r="R38" s="9">
        <f>DataFromRScriptForCalculations!R37</f>
        <v>1.1663409333138424E-2</v>
      </c>
      <c r="S38" s="22">
        <f t="shared" si="4"/>
        <v>9147.3600106224294</v>
      </c>
      <c r="T38" s="22">
        <f t="shared" si="5"/>
        <v>7590.2202968283236</v>
      </c>
      <c r="U38" s="22">
        <f t="shared" si="6"/>
        <v>1691.9138499483934</v>
      </c>
      <c r="V38" s="22">
        <f t="shared" si="7"/>
        <v>2436.3777656355514</v>
      </c>
      <c r="W38" s="22">
        <f t="shared" si="8"/>
        <v>10026.598062463876</v>
      </c>
      <c r="X38" s="31">
        <f t="shared" si="9"/>
        <v>5261.2343243644964</v>
      </c>
      <c r="Y38" s="32">
        <f t="shared" si="10"/>
        <v>5157.8641045846853</v>
      </c>
      <c r="Z38" s="31">
        <f t="shared" si="11"/>
        <v>5154.9959768365543</v>
      </c>
      <c r="AA38" s="22">
        <f t="shared" si="12"/>
        <v>5154.9959768365543</v>
      </c>
      <c r="AB38" s="22">
        <f t="shared" si="13"/>
        <v>72.872287229407902</v>
      </c>
      <c r="AC38" s="22">
        <f t="shared" si="14"/>
        <v>5827.7032609333546</v>
      </c>
      <c r="AD38" s="22">
        <f t="shared" si="15"/>
        <v>-1699.4116453494098</v>
      </c>
      <c r="AE38" s="22">
        <f t="shared" si="16"/>
        <v>5890.8086514789138</v>
      </c>
      <c r="AF38" s="31">
        <f t="shared" si="17"/>
        <v>-7664.1204990225688</v>
      </c>
      <c r="AG38" s="32">
        <f t="shared" si="18"/>
        <v>0</v>
      </c>
      <c r="AH38" s="31">
        <f t="shared" si="19"/>
        <v>0</v>
      </c>
      <c r="AI38" s="31">
        <f t="shared" si="20"/>
        <v>0</v>
      </c>
      <c r="AJ38" s="22">
        <f t="shared" si="21"/>
        <v>0</v>
      </c>
      <c r="AK38" s="22">
        <f t="shared" si="22"/>
        <v>0</v>
      </c>
    </row>
    <row r="39" spans="1:37" x14ac:dyDescent="0.2">
      <c r="A39" t="s">
        <v>83</v>
      </c>
      <c r="B39" s="22">
        <f>DataFromRScriptForCalculations!B38</f>
        <v>338289857</v>
      </c>
      <c r="C39" s="22">
        <f>DataFromRScriptForCalculations!C38</f>
        <v>9835170971</v>
      </c>
      <c r="D39" s="22">
        <f>DataFromRScriptForCalculations!D38</f>
        <v>17719066314</v>
      </c>
      <c r="E39" s="22">
        <f>DataFromRScriptForCalculations!E38</f>
        <v>27554237285</v>
      </c>
      <c r="F39" s="9">
        <f>DataFromRScriptForCalculations!F38</f>
        <v>4.2418231532093419E-2</v>
      </c>
      <c r="G39" s="9">
        <f>DataFromRScriptForCalculations!G38</f>
        <v>4.4765480283040109E-2</v>
      </c>
      <c r="H39" s="9">
        <f>DataFromRScriptForCalculations!H38</f>
        <v>3.9240035693713711E-2</v>
      </c>
      <c r="I39" s="9">
        <f>DataFromRScriptForCalculations!I38</f>
        <v>4.1048521126108989E-2</v>
      </c>
      <c r="J39" s="8">
        <f>DataFromRScriptForCalculations!J38</f>
        <v>2050</v>
      </c>
      <c r="K39" s="22">
        <f>DataFromRScriptForCalculations!K38</f>
        <v>5060.9845618925638</v>
      </c>
      <c r="L39" s="22">
        <f>DataFromRScriptForCalculations!L38</f>
        <v>182954.14259162924</v>
      </c>
      <c r="M39" s="22">
        <f>DataFromRScriptForCalculations!M38</f>
        <v>62672.691215832587</v>
      </c>
      <c r="N39" s="22">
        <f>DataFromRScriptForCalculations!N38</f>
        <v>245626.83380746184</v>
      </c>
      <c r="O39" s="9">
        <f>DataFromRScriptForCalculations!O38</f>
        <v>0.13613279006277693</v>
      </c>
      <c r="P39" s="9">
        <f>DataFromRScriptForCalculations!P38</f>
        <v>0.18508834541353764</v>
      </c>
      <c r="Q39" s="9">
        <f>DataFromRScriptForCalculations!Q38</f>
        <v>7.828865308659419E-2</v>
      </c>
      <c r="R39" s="9">
        <f>DataFromRScriptForCalculations!R38</f>
        <v>0.13729818319916787</v>
      </c>
      <c r="S39" s="22">
        <f t="shared" si="4"/>
        <v>44249.301837926825</v>
      </c>
      <c r="T39" s="22">
        <f t="shared" si="5"/>
        <v>138704.84075370242</v>
      </c>
      <c r="U39" s="22">
        <f t="shared" si="6"/>
        <v>8829.0080310855847</v>
      </c>
      <c r="V39" s="22">
        <f t="shared" si="7"/>
        <v>53843.683184747002</v>
      </c>
      <c r="W39" s="22">
        <f t="shared" si="8"/>
        <v>192548.52393844942</v>
      </c>
      <c r="X39" s="31">
        <f t="shared" si="9"/>
        <v>167681.16162209579</v>
      </c>
      <c r="Y39" s="32">
        <f t="shared" si="10"/>
        <v>167141.73906187568</v>
      </c>
      <c r="Z39" s="31">
        <f t="shared" si="11"/>
        <v>167126.77215151957</v>
      </c>
      <c r="AA39" s="22">
        <f t="shared" si="12"/>
        <v>167126.77215151957</v>
      </c>
      <c r="AB39" s="22">
        <f t="shared" si="13"/>
        <v>452.73745924945348</v>
      </c>
      <c r="AC39" s="22">
        <f t="shared" si="14"/>
        <v>30411.027662628127</v>
      </c>
      <c r="AD39" s="22">
        <f t="shared" si="15"/>
        <v>32261.66355320446</v>
      </c>
      <c r="AE39" s="22">
        <f t="shared" si="16"/>
        <v>170966.50430690689</v>
      </c>
      <c r="AF39" s="31">
        <f t="shared" si="17"/>
        <v>100232.06452782235</v>
      </c>
      <c r="AG39" s="32">
        <f t="shared" si="18"/>
        <v>30193.624101377718</v>
      </c>
      <c r="AH39" s="31">
        <f t="shared" si="19"/>
        <v>12976.139519946555</v>
      </c>
      <c r="AI39" s="31">
        <f t="shared" si="20"/>
        <v>12075.415821431639</v>
      </c>
      <c r="AJ39" s="22">
        <f t="shared" si="21"/>
        <v>12075.415821431639</v>
      </c>
      <c r="AK39" s="22">
        <f t="shared" si="22"/>
        <v>32.711653602806123</v>
      </c>
    </row>
    <row r="40" spans="1:37" x14ac:dyDescent="0.2">
      <c r="A40" t="s">
        <v>84</v>
      </c>
      <c r="B40" s="22">
        <f>DataFromRScriptForCalculations!B39</f>
        <v>98186856</v>
      </c>
      <c r="C40" s="22">
        <f>DataFromRScriptForCalculations!C39</f>
        <v>2764848874</v>
      </c>
      <c r="D40" s="22">
        <f>DataFromRScriptForCalculations!D39</f>
        <v>5033636847</v>
      </c>
      <c r="E40" s="22">
        <f>DataFromRScriptForCalculations!E39</f>
        <v>7798485721</v>
      </c>
      <c r="F40" s="9">
        <f>DataFromRScriptForCalculations!F39</f>
        <v>1.2311669135312904E-2</v>
      </c>
      <c r="G40" s="9">
        <f>DataFromRScriptForCalculations!G39</f>
        <v>1.2584406322938405E-2</v>
      </c>
      <c r="H40" s="9">
        <f>DataFromRScriptForCalculations!H39</f>
        <v>1.1147319279989944E-2</v>
      </c>
      <c r="I40" s="9">
        <f>DataFromRScriptForCalculations!I39</f>
        <v>1.1617679798540205E-2</v>
      </c>
      <c r="J40" s="8">
        <f>DataFromRScriptForCalculations!J39</f>
        <v>2050</v>
      </c>
      <c r="K40" s="22">
        <f>DataFromRScriptForCalculations!K39</f>
        <v>343.85669169583821</v>
      </c>
      <c r="L40" s="22">
        <f>DataFromRScriptForCalculations!L39</f>
        <v>4308.3515485572625</v>
      </c>
      <c r="M40" s="22">
        <f>DataFromRScriptForCalculations!M39</f>
        <v>7304.083793476485</v>
      </c>
      <c r="N40" s="22">
        <f>DataFromRScriptForCalculations!N39</f>
        <v>11612.435342033747</v>
      </c>
      <c r="O40" s="9">
        <f>DataFromRScriptForCalculations!O39</f>
        <v>9.2492222115780984E-3</v>
      </c>
      <c r="P40" s="9">
        <f>DataFromRScriptForCalculations!P39</f>
        <v>4.3586094760491162E-3</v>
      </c>
      <c r="Q40" s="9">
        <f>DataFromRScriptForCalculations!Q39</f>
        <v>9.1240199061124513E-3</v>
      </c>
      <c r="R40" s="9">
        <f>DataFromRScriptForCalculations!R39</f>
        <v>6.4910101647477495E-3</v>
      </c>
      <c r="S40" s="22">
        <f t="shared" si="4"/>
        <v>12439.298993644115</v>
      </c>
      <c r="T40" s="22">
        <f t="shared" si="5"/>
        <v>-8130.9474450868529</v>
      </c>
      <c r="U40" s="22">
        <f t="shared" si="6"/>
        <v>2508.1468379977373</v>
      </c>
      <c r="V40" s="22">
        <f t="shared" si="7"/>
        <v>4795.9369554787481</v>
      </c>
      <c r="W40" s="22">
        <f t="shared" si="8"/>
        <v>-3335.0104896081048</v>
      </c>
      <c r="X40" s="31">
        <f t="shared" si="9"/>
        <v>0</v>
      </c>
      <c r="Y40" s="32">
        <f t="shared" si="10"/>
        <v>0</v>
      </c>
      <c r="Z40" s="31">
        <f t="shared" si="11"/>
        <v>0</v>
      </c>
      <c r="AA40" s="22">
        <f t="shared" si="12"/>
        <v>0</v>
      </c>
      <c r="AB40" s="22">
        <f t="shared" si="13"/>
        <v>0</v>
      </c>
      <c r="AC40" s="22">
        <f t="shared" si="14"/>
        <v>8639.1724419922066</v>
      </c>
      <c r="AD40" s="22">
        <f t="shared" si="15"/>
        <v>-1335.0886485157216</v>
      </c>
      <c r="AE40" s="22">
        <f t="shared" si="16"/>
        <v>-9466.0360936025754</v>
      </c>
      <c r="AF40" s="31">
        <f t="shared" si="17"/>
        <v>0</v>
      </c>
      <c r="AG40" s="32">
        <f t="shared" si="18"/>
        <v>0</v>
      </c>
      <c r="AH40" s="31">
        <f t="shared" si="19"/>
        <v>0</v>
      </c>
      <c r="AI40" s="31">
        <f t="shared" si="20"/>
        <v>0</v>
      </c>
      <c r="AJ40" s="22">
        <f t="shared" si="21"/>
        <v>0</v>
      </c>
      <c r="AK40" s="22">
        <f t="shared" si="22"/>
        <v>0</v>
      </c>
    </row>
    <row r="41" spans="1:37" x14ac:dyDescent="0.2">
      <c r="A41" t="s">
        <v>85</v>
      </c>
      <c r="B41" s="22">
        <f>DataFromRScriptForCalculations!B40</f>
        <v>7975105156</v>
      </c>
      <c r="C41" s="22">
        <f>DataFromRScriptForCalculations!C40</f>
        <v>219704354981</v>
      </c>
      <c r="D41" s="22">
        <f>DataFromRScriptForCalculations!D40</f>
        <v>451555815400</v>
      </c>
      <c r="E41" s="22">
        <f>DataFromRScriptForCalculations!E40</f>
        <v>671260170381</v>
      </c>
      <c r="F41" s="9">
        <f>DataFromRScriptForCalculations!F40</f>
        <v>1</v>
      </c>
      <c r="G41" s="9">
        <f>DataFromRScriptForCalculations!G40</f>
        <v>1</v>
      </c>
      <c r="H41" s="9">
        <f>DataFromRScriptForCalculations!H40</f>
        <v>1</v>
      </c>
      <c r="I41" s="9">
        <f>DataFromRScriptForCalculations!I40</f>
        <v>1</v>
      </c>
      <c r="J41" s="8"/>
      <c r="K41" s="22">
        <f>DataFromRScriptForCalculations!K40</f>
        <v>37176.822421392506</v>
      </c>
      <c r="L41" s="22">
        <f>DataFromRScriptForCalculations!L40</f>
        <v>988469.27494467562</v>
      </c>
      <c r="M41" s="22">
        <f>DataFromRScriptForCalculations!M40</f>
        <v>800533.52235490666</v>
      </c>
      <c r="N41" s="22">
        <f>DataFromRScriptForCalculations!N40</f>
        <v>1789002.7972995823</v>
      </c>
      <c r="O41" s="9">
        <f>DataFromRScriptForCalculations!O40</f>
        <v>1</v>
      </c>
      <c r="P41" s="9">
        <f>DataFromRScriptForCalculations!P40</f>
        <v>1</v>
      </c>
      <c r="Q41" s="9">
        <f>DataFromRScriptForCalculations!Q40</f>
        <v>1</v>
      </c>
      <c r="R41" s="9">
        <f>DataFromRScriptForCalculations!R40</f>
        <v>1</v>
      </c>
      <c r="S41" s="22">
        <f t="shared" ref="S41" si="23">G41*$L$41</f>
        <v>988469.27494467562</v>
      </c>
      <c r="T41" s="22">
        <f t="shared" si="0"/>
        <v>0</v>
      </c>
      <c r="U41" s="22">
        <f>250000-25000</f>
        <v>225000</v>
      </c>
      <c r="V41" s="22">
        <f t="shared" ref="V41" si="24">M41-U41</f>
        <v>575533.52235490666</v>
      </c>
      <c r="W41" s="22">
        <f t="shared" ref="W41" si="25">V41+T41</f>
        <v>575533.52235490666</v>
      </c>
      <c r="X41" s="31">
        <f>SUM(X3:X40)</f>
        <v>575533.52235490642</v>
      </c>
      <c r="Y41" s="31">
        <f t="shared" ref="Y41:Z41" si="26">SUM(Y3:Y40)</f>
        <v>575533.52235490642</v>
      </c>
      <c r="Z41" s="31">
        <f t="shared" si="26"/>
        <v>575533.52235490654</v>
      </c>
      <c r="AA41" s="22">
        <f t="shared" ref="AA41" si="27">Z41</f>
        <v>575533.52235490654</v>
      </c>
      <c r="AB41" s="22">
        <f t="shared" ref="AB41" si="28">AA41*1000000/($D41/48)</f>
        <v>61.178725045460922</v>
      </c>
      <c r="AC41" s="22">
        <f>800000-25000</f>
        <v>775000</v>
      </c>
      <c r="AD41" s="22">
        <f t="shared" si="2"/>
        <v>25533.522354906658</v>
      </c>
      <c r="AE41" s="22">
        <f t="shared" si="3"/>
        <v>25533.522354906658</v>
      </c>
      <c r="AF41" s="33">
        <f>SUM(AF3:AF40)</f>
        <v>25533.5223549066</v>
      </c>
      <c r="AG41" s="33">
        <f t="shared" ref="AG41" si="29">SUM(AG3:AG40)</f>
        <v>25533.522354906559</v>
      </c>
      <c r="AH41" s="33">
        <f t="shared" ref="AH41:AI41" si="30">SUM(AH3:AH40)</f>
        <v>25533.522354906563</v>
      </c>
      <c r="AI41" s="33">
        <f t="shared" si="30"/>
        <v>25533.522354906563</v>
      </c>
      <c r="AJ41" s="22">
        <f>AI41</f>
        <v>25533.522354906563</v>
      </c>
      <c r="AK41" s="22">
        <f>AJ41*1000000/($D41/48)</f>
        <v>2.7141917593284415</v>
      </c>
    </row>
    <row r="42" spans="1:37" x14ac:dyDescent="0.2">
      <c r="U42" s="38" t="s">
        <v>86</v>
      </c>
      <c r="V42" s="39"/>
      <c r="W42" s="40">
        <f>W41-W47</f>
        <v>-213694.02986167511</v>
      </c>
      <c r="X42" s="40">
        <f>SUMIF(X3:X40,"&lt;0")</f>
        <v>-4419.4290093396248</v>
      </c>
      <c r="Y42" s="40">
        <f t="shared" ref="Y42:Z42" si="31">SUMIF(Y3:Y40,"&lt;0")</f>
        <v>-116.95429662122245</v>
      </c>
      <c r="Z42" s="41">
        <f t="shared" si="31"/>
        <v>0</v>
      </c>
      <c r="AA42" s="34"/>
      <c r="AB42" s="34" t="s">
        <v>87</v>
      </c>
      <c r="AC42" s="38" t="s">
        <v>86</v>
      </c>
      <c r="AD42" s="42"/>
      <c r="AE42" s="40">
        <f>AE41-AE47</f>
        <v>-581353.75323939952</v>
      </c>
      <c r="AF42" s="43">
        <f>SUMIF(AF3:AF40,"&lt;0")</f>
        <v>-173759.86482904339</v>
      </c>
      <c r="AG42" s="43">
        <f t="shared" ref="AG42:AH42" si="32">SUMIF(AG3:AG40,"&lt;0")</f>
        <v>-27597.187173828173</v>
      </c>
      <c r="AH42" s="43">
        <f t="shared" si="32"/>
        <v>-1367.3525882011706</v>
      </c>
      <c r="AI42" s="44">
        <f t="shared" ref="AI42" si="33">SUMIF(AI3:AI40,"&lt;0")</f>
        <v>0</v>
      </c>
    </row>
    <row r="43" spans="1:37" ht="15" customHeight="1" x14ac:dyDescent="0.2">
      <c r="V43" s="10"/>
      <c r="W43" s="45" t="s">
        <v>88</v>
      </c>
      <c r="X43" s="30"/>
      <c r="Y43" s="30"/>
      <c r="Z43" s="30"/>
      <c r="AE43" s="45" t="s">
        <v>88</v>
      </c>
      <c r="AF43" s="30"/>
      <c r="AG43" s="30"/>
      <c r="AH43" s="30"/>
      <c r="AI43" s="30"/>
    </row>
    <row r="44" spans="1:37" x14ac:dyDescent="0.2">
      <c r="V44" s="10"/>
      <c r="W44" s="45"/>
      <c r="X44" s="30"/>
      <c r="Y44" s="30"/>
      <c r="Z44" s="30"/>
      <c r="AE44" s="45"/>
      <c r="AF44" s="30"/>
      <c r="AG44" s="30"/>
      <c r="AH44" s="30"/>
      <c r="AI44" s="30"/>
    </row>
    <row r="45" spans="1:37" x14ac:dyDescent="0.2">
      <c r="W45" s="45"/>
      <c r="X45" s="30"/>
      <c r="Y45" s="30"/>
      <c r="Z45" s="30"/>
      <c r="AE45" s="45"/>
      <c r="AF45" s="30"/>
      <c r="AG45" s="30"/>
      <c r="AH45" s="30"/>
      <c r="AI45" s="30"/>
    </row>
    <row r="46" spans="1:37" x14ac:dyDescent="0.2">
      <c r="W46" s="45"/>
      <c r="X46" s="30"/>
      <c r="Y46" s="30"/>
      <c r="Z46" s="30"/>
      <c r="AE46" s="45"/>
      <c r="AF46" s="30"/>
      <c r="AG46" s="30"/>
      <c r="AH46" s="30"/>
      <c r="AI46" s="30"/>
    </row>
    <row r="47" spans="1:37" x14ac:dyDescent="0.2">
      <c r="W47" s="22">
        <f>SUMIF($W$3:$W$40,"&gt;0")</f>
        <v>789227.55221658177</v>
      </c>
      <c r="X47" s="22"/>
      <c r="Y47" s="22"/>
      <c r="Z47" s="22"/>
      <c r="AE47" s="22">
        <f>SUMIF($AE$3:$AE$40,"&gt;0")</f>
        <v>606887.27559430618</v>
      </c>
      <c r="AF47" s="22"/>
      <c r="AG47" s="22"/>
      <c r="AH47" s="22"/>
      <c r="AI47" s="22"/>
    </row>
  </sheetData>
  <mergeCells count="9">
    <mergeCell ref="W43:W46"/>
    <mergeCell ref="AE43:AE46"/>
    <mergeCell ref="B1:I1"/>
    <mergeCell ref="K1:R1"/>
    <mergeCell ref="S1:T1"/>
    <mergeCell ref="U1:AB1"/>
    <mergeCell ref="AC1:AK1"/>
    <mergeCell ref="X2:Z2"/>
    <mergeCell ref="AF2:AI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40"/>
  <sheetViews>
    <sheetView workbookViewId="0">
      <selection activeCell="H8" sqref="H8"/>
    </sheetView>
  </sheetViews>
  <sheetFormatPr baseColWidth="10" defaultColWidth="8.83203125" defaultRowHeight="15" x14ac:dyDescent="0.2"/>
  <cols>
    <col min="1" max="1" width="16.5" bestFit="1" customWidth="1"/>
    <col min="2" max="2" width="12.33203125" customWidth="1"/>
    <col min="3" max="3" width="7" customWidth="1"/>
    <col min="4" max="5" width="30.5" bestFit="1" customWidth="1"/>
    <col min="6" max="6" width="11.1640625" customWidth="1"/>
    <col min="7" max="13" width="13.33203125" customWidth="1"/>
  </cols>
  <sheetData>
    <row r="1" spans="1:13" ht="102" customHeight="1" x14ac:dyDescent="0.2">
      <c r="A1" s="35" t="s">
        <v>89</v>
      </c>
      <c r="B1" s="35" t="s">
        <v>90</v>
      </c>
      <c r="C1" s="35" t="s">
        <v>91</v>
      </c>
      <c r="D1" s="35" t="s">
        <v>92</v>
      </c>
      <c r="E1" s="35" t="s">
        <v>93</v>
      </c>
      <c r="F1" s="35" t="s">
        <v>94</v>
      </c>
      <c r="G1" s="35" t="s">
        <v>95</v>
      </c>
      <c r="H1" s="35" t="s">
        <v>96</v>
      </c>
      <c r="I1" s="35" t="s">
        <v>97</v>
      </c>
      <c r="J1" s="35" t="s">
        <v>98</v>
      </c>
      <c r="K1" s="35" t="s">
        <v>99</v>
      </c>
      <c r="L1" s="35" t="s">
        <v>100</v>
      </c>
      <c r="M1" s="35" t="s">
        <v>101</v>
      </c>
    </row>
    <row r="2" spans="1:13" x14ac:dyDescent="0.2">
      <c r="A2" t="s">
        <v>69</v>
      </c>
      <c r="B2" t="s">
        <v>102</v>
      </c>
      <c r="C2">
        <v>1.5</v>
      </c>
      <c r="D2" t="s">
        <v>138</v>
      </c>
      <c r="E2" t="s">
        <v>138</v>
      </c>
      <c r="F2">
        <v>1990</v>
      </c>
      <c r="G2" s="22">
        <v>108798.451165901</v>
      </c>
      <c r="H2" s="22">
        <v>680.77480464909877</v>
      </c>
      <c r="I2" s="22">
        <v>378.32330422125142</v>
      </c>
      <c r="J2" s="22">
        <v>229.63103156051048</v>
      </c>
      <c r="K2" s="22">
        <v>910.40583620960922</v>
      </c>
      <c r="L2" s="22">
        <v>482.26962488133933</v>
      </c>
      <c r="M2" s="22">
        <v>77.573578422928279</v>
      </c>
    </row>
    <row r="3" spans="1:13" x14ac:dyDescent="0.2">
      <c r="A3" t="s">
        <v>78</v>
      </c>
      <c r="B3" t="s">
        <v>102</v>
      </c>
      <c r="C3">
        <v>1.5</v>
      </c>
      <c r="D3" t="s">
        <v>138</v>
      </c>
      <c r="E3" t="s">
        <v>138</v>
      </c>
      <c r="F3">
        <v>1990</v>
      </c>
      <c r="G3" s="22">
        <v>93259.905718302398</v>
      </c>
      <c r="H3" s="22">
        <v>258.88763268999901</v>
      </c>
      <c r="I3" s="22">
        <v>547.6401182376261</v>
      </c>
      <c r="J3" s="22">
        <v>318.67705619973651</v>
      </c>
      <c r="K3" s="22">
        <v>577.56468888973552</v>
      </c>
      <c r="L3" s="22">
        <v>0</v>
      </c>
      <c r="M3" s="22">
        <v>0</v>
      </c>
    </row>
    <row r="4" spans="1:13" x14ac:dyDescent="0.2">
      <c r="A4" t="s">
        <v>75</v>
      </c>
      <c r="B4" t="s">
        <v>102</v>
      </c>
      <c r="C4">
        <v>1.5</v>
      </c>
      <c r="D4" t="s">
        <v>138</v>
      </c>
      <c r="E4" t="s">
        <v>138</v>
      </c>
      <c r="F4">
        <v>1990</v>
      </c>
      <c r="G4" s="22">
        <v>88428.702422623202</v>
      </c>
      <c r="H4" s="22">
        <v>873.63248806082834</v>
      </c>
      <c r="I4" s="22">
        <v>855.97719150189664</v>
      </c>
      <c r="J4" s="22">
        <v>706.88174974490846</v>
      </c>
      <c r="K4" s="22">
        <v>1580.5142378057367</v>
      </c>
      <c r="L4" s="22">
        <v>1151.2171639369785</v>
      </c>
      <c r="M4" s="22">
        <v>184.67376597125642</v>
      </c>
    </row>
    <row r="5" spans="1:13" x14ac:dyDescent="0.2">
      <c r="A5" t="s">
        <v>83</v>
      </c>
      <c r="B5" t="s">
        <v>102</v>
      </c>
      <c r="C5">
        <v>1.5</v>
      </c>
      <c r="D5" t="s">
        <v>138</v>
      </c>
      <c r="E5" t="s">
        <v>138</v>
      </c>
      <c r="F5">
        <v>1990</v>
      </c>
      <c r="G5" s="22">
        <v>77246.673882867195</v>
      </c>
      <c r="H5" s="22">
        <v>138704.84075370239</v>
      </c>
      <c r="I5" s="22">
        <v>62672.691215832587</v>
      </c>
      <c r="J5" s="22">
        <v>53843.683184747002</v>
      </c>
      <c r="K5" s="22">
        <v>192548.52393844939</v>
      </c>
      <c r="L5" s="22">
        <v>167126.77215151954</v>
      </c>
      <c r="M5" s="22">
        <v>452.73745924945342</v>
      </c>
    </row>
    <row r="6" spans="1:13" x14ac:dyDescent="0.2">
      <c r="A6" t="s">
        <v>48</v>
      </c>
      <c r="B6" t="s">
        <v>102</v>
      </c>
      <c r="C6">
        <v>1.5</v>
      </c>
      <c r="D6" t="s">
        <v>138</v>
      </c>
      <c r="E6" t="s">
        <v>138</v>
      </c>
      <c r="F6">
        <v>1990</v>
      </c>
      <c r="G6" s="22">
        <v>65077.676668820997</v>
      </c>
      <c r="H6" s="22">
        <v>8973.8083017522331</v>
      </c>
      <c r="I6" s="22">
        <v>5634.9533240331739</v>
      </c>
      <c r="J6" s="22">
        <v>4886.268620237418</v>
      </c>
      <c r="K6" s="22">
        <v>13860.07692198965</v>
      </c>
      <c r="L6" s="22">
        <v>11704.356070954636</v>
      </c>
      <c r="M6" s="22">
        <v>373.90466268887963</v>
      </c>
    </row>
    <row r="7" spans="1:13" x14ac:dyDescent="0.2">
      <c r="A7" t="s">
        <v>50</v>
      </c>
      <c r="B7" t="s">
        <v>102</v>
      </c>
      <c r="C7">
        <v>1.5</v>
      </c>
      <c r="D7" t="s">
        <v>138</v>
      </c>
      <c r="E7" t="s">
        <v>138</v>
      </c>
      <c r="F7">
        <v>1990</v>
      </c>
      <c r="G7" s="22">
        <v>55509.393176404003</v>
      </c>
      <c r="H7" s="22">
        <v>13046.247643520432</v>
      </c>
      <c r="I7" s="22">
        <v>6749.3311903353779</v>
      </c>
      <c r="J7" s="22">
        <v>5677.7351741344537</v>
      </c>
      <c r="K7" s="22">
        <v>18723.982817654884</v>
      </c>
      <c r="L7" s="22">
        <v>15638.489198914436</v>
      </c>
      <c r="M7" s="22">
        <v>349.04065891299354</v>
      </c>
    </row>
    <row r="8" spans="1:13" x14ac:dyDescent="0.2">
      <c r="A8" t="s">
        <v>81</v>
      </c>
      <c r="B8" t="s">
        <v>102</v>
      </c>
      <c r="C8">
        <v>1.5</v>
      </c>
      <c r="D8" t="s">
        <v>138</v>
      </c>
      <c r="E8" t="s">
        <v>138</v>
      </c>
      <c r="F8">
        <v>1990</v>
      </c>
      <c r="G8" s="22">
        <v>53707.980081380098</v>
      </c>
      <c r="H8" s="22">
        <v>3848.3306948905438</v>
      </c>
      <c r="I8" s="22">
        <v>5338.0929497210918</v>
      </c>
      <c r="J8" s="22">
        <v>5071.9710006137566</v>
      </c>
      <c r="K8" s="22">
        <v>8920.3016955043004</v>
      </c>
      <c r="L8" s="22">
        <v>8154.0450434046406</v>
      </c>
      <c r="M8" s="22">
        <v>732.8325083332204</v>
      </c>
    </row>
    <row r="9" spans="1:13" x14ac:dyDescent="0.2">
      <c r="A9" t="s">
        <v>67</v>
      </c>
      <c r="B9" t="s">
        <v>102</v>
      </c>
      <c r="C9">
        <v>1.5</v>
      </c>
      <c r="D9" t="s">
        <v>138</v>
      </c>
      <c r="E9" t="s">
        <v>138</v>
      </c>
      <c r="F9">
        <v>1990</v>
      </c>
      <c r="G9" s="22">
        <v>48216.509583630199</v>
      </c>
      <c r="H9" s="22">
        <v>473.873475454556</v>
      </c>
      <c r="I9" s="22">
        <v>434.70545433541827</v>
      </c>
      <c r="J9" s="22">
        <v>295.49970477748661</v>
      </c>
      <c r="K9" s="22">
        <v>769.37318023204261</v>
      </c>
      <c r="L9" s="22">
        <v>368.55193280362334</v>
      </c>
      <c r="M9" s="22">
        <v>63.321885150522093</v>
      </c>
    </row>
    <row r="10" spans="1:13" x14ac:dyDescent="0.2">
      <c r="A10" t="s">
        <v>82</v>
      </c>
      <c r="B10" t="s">
        <v>102</v>
      </c>
      <c r="C10">
        <v>1.5</v>
      </c>
      <c r="D10" t="s">
        <v>138</v>
      </c>
      <c r="E10" t="s">
        <v>138</v>
      </c>
      <c r="F10">
        <v>1990</v>
      </c>
      <c r="G10" s="22">
        <v>45564.156944801303</v>
      </c>
      <c r="H10" s="22">
        <v>7590.2202968283236</v>
      </c>
      <c r="I10" s="22">
        <v>4128.2916155839448</v>
      </c>
      <c r="J10" s="22">
        <v>2436.3777656355514</v>
      </c>
      <c r="K10" s="22">
        <v>10026.598062463876</v>
      </c>
      <c r="L10" s="22">
        <v>5154.9959768365543</v>
      </c>
      <c r="M10" s="22">
        <v>72.872287229407888</v>
      </c>
    </row>
    <row r="11" spans="1:13" x14ac:dyDescent="0.2">
      <c r="A11" t="s">
        <v>57</v>
      </c>
      <c r="B11" t="s">
        <v>102</v>
      </c>
      <c r="C11">
        <v>1.5</v>
      </c>
      <c r="D11" t="s">
        <v>138</v>
      </c>
      <c r="E11" t="s">
        <v>138</v>
      </c>
      <c r="F11">
        <v>1990</v>
      </c>
      <c r="G11" s="22">
        <v>37466.6963511535</v>
      </c>
      <c r="H11" s="22">
        <v>50351.02253951841</v>
      </c>
      <c r="I11" s="22">
        <v>35701.911613920543</v>
      </c>
      <c r="J11" s="22">
        <v>25780.263110055435</v>
      </c>
      <c r="K11" s="22">
        <v>76131.285649573838</v>
      </c>
      <c r="L11" s="22">
        <v>47563.446012960681</v>
      </c>
      <c r="M11" s="22">
        <v>114.65732114569083</v>
      </c>
    </row>
    <row r="12" spans="1:13" x14ac:dyDescent="0.2">
      <c r="A12" t="s">
        <v>62</v>
      </c>
      <c r="B12" t="s">
        <v>102</v>
      </c>
      <c r="C12">
        <v>1.5</v>
      </c>
      <c r="D12" t="s">
        <v>138</v>
      </c>
      <c r="E12" t="s">
        <v>138</v>
      </c>
      <c r="F12">
        <v>1990</v>
      </c>
      <c r="G12" s="22">
        <v>34017.271807502402</v>
      </c>
      <c r="H12" s="22">
        <v>21327.817621710397</v>
      </c>
      <c r="I12" s="22">
        <v>14242.312049685153</v>
      </c>
      <c r="J12" s="22">
        <v>11697.625740569358</v>
      </c>
      <c r="K12" s="22">
        <v>33025.443362279751</v>
      </c>
      <c r="L12" s="22">
        <v>25698.415965977078</v>
      </c>
      <c r="M12" s="22">
        <v>241.53741665799791</v>
      </c>
    </row>
    <row r="13" spans="1:13" x14ac:dyDescent="0.2">
      <c r="A13" t="s">
        <v>77</v>
      </c>
      <c r="B13" t="s">
        <v>102</v>
      </c>
      <c r="C13">
        <v>1.5</v>
      </c>
      <c r="D13" t="s">
        <v>138</v>
      </c>
      <c r="E13" t="s">
        <v>138</v>
      </c>
      <c r="F13">
        <v>1990</v>
      </c>
      <c r="G13" s="22">
        <v>32394.6833725203</v>
      </c>
      <c r="H13" s="22">
        <v>9510.3399574046452</v>
      </c>
      <c r="I13" s="22">
        <v>8489.6780427647336</v>
      </c>
      <c r="J13" s="22">
        <v>7391.6284956433437</v>
      </c>
      <c r="K13" s="22">
        <v>16901.96845304799</v>
      </c>
      <c r="L13" s="22">
        <v>13740.306017314715</v>
      </c>
      <c r="M13" s="22">
        <v>299.28626318912933</v>
      </c>
    </row>
    <row r="14" spans="1:13" x14ac:dyDescent="0.2">
      <c r="A14" t="s">
        <v>74</v>
      </c>
      <c r="B14" t="s">
        <v>102</v>
      </c>
      <c r="C14">
        <v>1.5</v>
      </c>
      <c r="D14" t="s">
        <v>138</v>
      </c>
      <c r="E14" t="s">
        <v>138</v>
      </c>
      <c r="F14">
        <v>1990</v>
      </c>
      <c r="G14" s="22">
        <v>30447.8823171601</v>
      </c>
      <c r="H14" s="22">
        <v>10735.306565150531</v>
      </c>
      <c r="I14" s="22">
        <v>14838.90000167178</v>
      </c>
      <c r="J14" s="22">
        <v>13737.9428153279</v>
      </c>
      <c r="K14" s="22">
        <v>24473.249380478432</v>
      </c>
      <c r="L14" s="22">
        <v>21303.214851035445</v>
      </c>
      <c r="M14" s="22">
        <v>462.79326765006624</v>
      </c>
    </row>
    <row r="15" spans="1:13" x14ac:dyDescent="0.2">
      <c r="A15" t="s">
        <v>73</v>
      </c>
      <c r="B15" t="s">
        <v>102</v>
      </c>
      <c r="C15">
        <v>1.5</v>
      </c>
      <c r="D15" t="s">
        <v>138</v>
      </c>
      <c r="E15" t="s">
        <v>138</v>
      </c>
      <c r="F15">
        <v>1990</v>
      </c>
      <c r="G15" s="22">
        <v>15445.2421875</v>
      </c>
      <c r="H15" s="22">
        <v>33725.945147707505</v>
      </c>
      <c r="I15" s="22">
        <v>43041.379252151346</v>
      </c>
      <c r="J15" s="22">
        <v>39834.502776831789</v>
      </c>
      <c r="K15" s="22">
        <v>73560.447924539301</v>
      </c>
      <c r="L15" s="22">
        <v>64326.747209817644</v>
      </c>
      <c r="M15" s="22">
        <v>479.75739210053615</v>
      </c>
    </row>
    <row r="16" spans="1:13" x14ac:dyDescent="0.2">
      <c r="A16" t="s">
        <v>51</v>
      </c>
      <c r="B16" t="s">
        <v>102</v>
      </c>
      <c r="C16">
        <v>1.5</v>
      </c>
      <c r="D16" t="s">
        <v>138</v>
      </c>
      <c r="E16" t="s">
        <v>138</v>
      </c>
      <c r="F16">
        <v>1990</v>
      </c>
      <c r="G16" s="22">
        <v>15411.1739539112</v>
      </c>
      <c r="H16" s="22">
        <v>-319.05685823454269</v>
      </c>
      <c r="I16" s="22">
        <v>1365.1006858851556</v>
      </c>
      <c r="J16" s="22">
        <v>880.16788431991199</v>
      </c>
      <c r="K16" s="22">
        <v>561.1110260853693</v>
      </c>
      <c r="L16" s="22">
        <v>0</v>
      </c>
      <c r="M16" s="22">
        <v>0</v>
      </c>
    </row>
    <row r="17" spans="1:13" x14ac:dyDescent="0.2">
      <c r="A17" t="s">
        <v>47</v>
      </c>
      <c r="B17" t="s">
        <v>103</v>
      </c>
      <c r="C17">
        <v>1.5</v>
      </c>
      <c r="D17" t="s">
        <v>138</v>
      </c>
      <c r="E17" t="s">
        <v>138</v>
      </c>
      <c r="F17">
        <v>1990</v>
      </c>
      <c r="G17" s="22">
        <v>13650.6046294524</v>
      </c>
      <c r="H17" s="22">
        <v>-596.04686912421766</v>
      </c>
      <c r="I17" s="22">
        <v>3695.9878961079612</v>
      </c>
      <c r="J17" s="22">
        <v>2492.0165371223366</v>
      </c>
      <c r="K17" s="22">
        <v>1895.9696679981189</v>
      </c>
      <c r="L17" s="22">
        <v>0</v>
      </c>
      <c r="M17" s="22">
        <v>0</v>
      </c>
    </row>
    <row r="18" spans="1:13" x14ac:dyDescent="0.2">
      <c r="A18" t="s">
        <v>54</v>
      </c>
      <c r="B18" t="s">
        <v>103</v>
      </c>
      <c r="C18">
        <v>1.5</v>
      </c>
      <c r="D18" t="s">
        <v>138</v>
      </c>
      <c r="E18" t="s">
        <v>138</v>
      </c>
      <c r="F18">
        <v>1990</v>
      </c>
      <c r="G18" s="22">
        <v>13365.356399254601</v>
      </c>
      <c r="H18" s="22">
        <v>-428.56608186792653</v>
      </c>
      <c r="I18" s="22">
        <v>123.1563158519177</v>
      </c>
      <c r="J18" s="22">
        <v>-9.9509583767556649</v>
      </c>
      <c r="K18" s="22">
        <v>-438.51704024468222</v>
      </c>
      <c r="L18" s="22">
        <v>0</v>
      </c>
      <c r="M18" s="22">
        <v>0</v>
      </c>
    </row>
    <row r="19" spans="1:13" x14ac:dyDescent="0.2">
      <c r="A19" t="s">
        <v>52</v>
      </c>
      <c r="B19" t="s">
        <v>103</v>
      </c>
      <c r="C19">
        <v>1.5</v>
      </c>
      <c r="D19" t="s">
        <v>138</v>
      </c>
      <c r="E19" t="s">
        <v>138</v>
      </c>
      <c r="F19">
        <v>1990</v>
      </c>
      <c r="G19" s="22">
        <v>12662.5831692254</v>
      </c>
      <c r="H19" s="22">
        <v>25207.68966549536</v>
      </c>
      <c r="I19" s="22">
        <v>246445.75939654111</v>
      </c>
      <c r="J19" s="22">
        <v>215184.29333852918</v>
      </c>
      <c r="K19" s="22">
        <v>240391.98300402454</v>
      </c>
      <c r="L19" s="22">
        <v>150379.46655549269</v>
      </c>
      <c r="M19" s="22">
        <v>115.05129583352409</v>
      </c>
    </row>
    <row r="20" spans="1:13" x14ac:dyDescent="0.2">
      <c r="A20" t="s">
        <v>63</v>
      </c>
      <c r="B20" t="s">
        <v>103</v>
      </c>
      <c r="C20">
        <v>1.5</v>
      </c>
      <c r="D20" t="s">
        <v>138</v>
      </c>
      <c r="E20" t="s">
        <v>138</v>
      </c>
      <c r="F20">
        <v>1990</v>
      </c>
      <c r="G20" s="22">
        <v>11484.4168149009</v>
      </c>
      <c r="H20" s="22">
        <v>4766.6890763480496</v>
      </c>
      <c r="I20" s="22">
        <v>5727.8237305352186</v>
      </c>
      <c r="J20" s="22">
        <v>5136.3374599766048</v>
      </c>
      <c r="K20" s="22">
        <v>9903.0265363246544</v>
      </c>
      <c r="L20" s="22">
        <v>8199.9340595054819</v>
      </c>
      <c r="M20" s="22">
        <v>331.57212099396423</v>
      </c>
    </row>
    <row r="21" spans="1:13" x14ac:dyDescent="0.2">
      <c r="A21" t="s">
        <v>65</v>
      </c>
      <c r="B21" t="s">
        <v>103</v>
      </c>
      <c r="C21">
        <v>1.5</v>
      </c>
      <c r="D21" t="s">
        <v>138</v>
      </c>
      <c r="E21" t="s">
        <v>138</v>
      </c>
      <c r="F21">
        <v>1990</v>
      </c>
      <c r="G21" s="22">
        <v>11476.678805776401</v>
      </c>
      <c r="H21" s="22">
        <v>-1666.0680875384842</v>
      </c>
      <c r="I21" s="22">
        <v>14514.129574908728</v>
      </c>
      <c r="J21" s="22">
        <v>11170.604604163771</v>
      </c>
      <c r="K21" s="22">
        <v>9504.5365166252868</v>
      </c>
      <c r="L21" s="22">
        <v>0</v>
      </c>
      <c r="M21" s="22">
        <v>0</v>
      </c>
    </row>
    <row r="22" spans="1:13" x14ac:dyDescent="0.2">
      <c r="A22" t="s">
        <v>80</v>
      </c>
      <c r="B22" t="s">
        <v>103</v>
      </c>
      <c r="C22">
        <v>1.5</v>
      </c>
      <c r="D22" t="s">
        <v>138</v>
      </c>
      <c r="E22" t="s">
        <v>138</v>
      </c>
      <c r="F22">
        <v>1990</v>
      </c>
      <c r="G22" s="22">
        <v>10674.5041731531</v>
      </c>
      <c r="H22" s="22">
        <v>-855.33990009781519</v>
      </c>
      <c r="I22" s="22">
        <v>10031.460668803442</v>
      </c>
      <c r="J22" s="22">
        <v>7803.8827962674213</v>
      </c>
      <c r="K22" s="22">
        <v>6948.5428961696061</v>
      </c>
      <c r="L22" s="22">
        <v>534.57979156191368</v>
      </c>
      <c r="M22" s="22">
        <v>5.7397365344007136</v>
      </c>
    </row>
    <row r="23" spans="1:13" x14ac:dyDescent="0.2">
      <c r="A23" t="s">
        <v>49</v>
      </c>
      <c r="B23" t="s">
        <v>103</v>
      </c>
      <c r="C23">
        <v>1.5</v>
      </c>
      <c r="D23" t="s">
        <v>138</v>
      </c>
      <c r="E23" t="s">
        <v>138</v>
      </c>
      <c r="F23">
        <v>1990</v>
      </c>
      <c r="G23" s="22">
        <v>9065.4973339540393</v>
      </c>
      <c r="H23" s="22">
        <v>-14973.194369003728</v>
      </c>
      <c r="I23" s="22">
        <v>7614.9240793693189</v>
      </c>
      <c r="J23" s="22">
        <v>2198.5185640656618</v>
      </c>
      <c r="K23" s="22">
        <v>-12774.675804938066</v>
      </c>
      <c r="L23" s="22">
        <v>0</v>
      </c>
      <c r="M23" s="22">
        <v>0</v>
      </c>
    </row>
    <row r="24" spans="1:13" x14ac:dyDescent="0.2">
      <c r="A24" t="s">
        <v>70</v>
      </c>
      <c r="B24" t="s">
        <v>103</v>
      </c>
      <c r="C24">
        <v>1.5</v>
      </c>
      <c r="D24" t="s">
        <v>138</v>
      </c>
      <c r="E24" t="s">
        <v>138</v>
      </c>
      <c r="F24">
        <v>1990</v>
      </c>
      <c r="G24" s="22">
        <v>7239.1113113089796</v>
      </c>
      <c r="H24" s="22">
        <v>-2978.1886787481544</v>
      </c>
      <c r="I24" s="22">
        <v>1064.9505283930807</v>
      </c>
      <c r="J24" s="22">
        <v>94.844815410605406</v>
      </c>
      <c r="K24" s="22">
        <v>-2883.343863337549</v>
      </c>
      <c r="L24" s="22">
        <v>0</v>
      </c>
      <c r="M24" s="22">
        <v>0</v>
      </c>
    </row>
    <row r="25" spans="1:13" x14ac:dyDescent="0.2">
      <c r="A25" t="s">
        <v>79</v>
      </c>
      <c r="B25" t="s">
        <v>103</v>
      </c>
      <c r="C25">
        <v>1.5</v>
      </c>
      <c r="D25" t="s">
        <v>138</v>
      </c>
      <c r="E25" t="s">
        <v>138</v>
      </c>
      <c r="F25">
        <v>1990</v>
      </c>
      <c r="G25" s="22">
        <v>6913.05080521119</v>
      </c>
      <c r="H25" s="22">
        <v>-2789.5725197369775</v>
      </c>
      <c r="I25" s="22">
        <v>6911.8334593150794</v>
      </c>
      <c r="J25" s="22">
        <v>5293.9957529113544</v>
      </c>
      <c r="K25" s="22">
        <v>2504.4232331743769</v>
      </c>
      <c r="L25" s="22">
        <v>0</v>
      </c>
      <c r="M25" s="22">
        <v>0</v>
      </c>
    </row>
    <row r="26" spans="1:13" x14ac:dyDescent="0.2">
      <c r="A26" t="s">
        <v>76</v>
      </c>
      <c r="B26" t="s">
        <v>103</v>
      </c>
      <c r="C26">
        <v>1.5</v>
      </c>
      <c r="D26" t="s">
        <v>138</v>
      </c>
      <c r="E26" t="s">
        <v>138</v>
      </c>
      <c r="F26">
        <v>1990</v>
      </c>
      <c r="G26" s="22">
        <v>6766.48125428394</v>
      </c>
      <c r="H26" s="22">
        <v>6131.6494176489568</v>
      </c>
      <c r="I26" s="22">
        <v>6247.8194242398567</v>
      </c>
      <c r="J26" s="22">
        <v>4550.8432466189142</v>
      </c>
      <c r="K26" s="22">
        <v>10682.492664267871</v>
      </c>
      <c r="L26" s="22">
        <v>5796.3143955515152</v>
      </c>
      <c r="M26" s="22">
        <v>81.693688280834849</v>
      </c>
    </row>
    <row r="27" spans="1:13" x14ac:dyDescent="0.2">
      <c r="A27" t="s">
        <v>53</v>
      </c>
      <c r="B27" t="s">
        <v>103</v>
      </c>
      <c r="C27">
        <v>1.5</v>
      </c>
      <c r="D27" t="s">
        <v>138</v>
      </c>
      <c r="E27" t="s">
        <v>138</v>
      </c>
      <c r="F27">
        <v>1990</v>
      </c>
      <c r="G27" s="22">
        <v>6657.0866967735501</v>
      </c>
      <c r="H27" s="22">
        <v>-3909.4894712147666</v>
      </c>
      <c r="I27" s="22">
        <v>1481.8846295460121</v>
      </c>
      <c r="J27" s="22">
        <v>150.75130023090469</v>
      </c>
      <c r="K27" s="22">
        <v>-3758.7381709838619</v>
      </c>
      <c r="L27" s="22">
        <v>0</v>
      </c>
      <c r="M27" s="22">
        <v>0</v>
      </c>
    </row>
    <row r="28" spans="1:13" x14ac:dyDescent="0.2">
      <c r="A28" t="s">
        <v>60</v>
      </c>
      <c r="B28" t="s">
        <v>103</v>
      </c>
      <c r="C28">
        <v>1.5</v>
      </c>
      <c r="D28" t="s">
        <v>138</v>
      </c>
      <c r="E28" t="s">
        <v>138</v>
      </c>
      <c r="F28">
        <v>1990</v>
      </c>
      <c r="G28" s="22">
        <v>4787.9123640490297</v>
      </c>
      <c r="H28" s="22">
        <v>-21375.600159146052</v>
      </c>
      <c r="I28" s="22">
        <v>23574.61960046965</v>
      </c>
      <c r="J28" s="22">
        <v>16195.733827736449</v>
      </c>
      <c r="K28" s="22">
        <v>-5179.8663314096029</v>
      </c>
      <c r="L28" s="22">
        <v>0</v>
      </c>
      <c r="M28" s="22">
        <v>0</v>
      </c>
    </row>
    <row r="29" spans="1:13" x14ac:dyDescent="0.2">
      <c r="A29" t="s">
        <v>61</v>
      </c>
      <c r="B29" t="s">
        <v>103</v>
      </c>
      <c r="C29">
        <v>1.5</v>
      </c>
      <c r="D29" t="s">
        <v>138</v>
      </c>
      <c r="E29" t="s">
        <v>138</v>
      </c>
      <c r="F29">
        <v>1990</v>
      </c>
      <c r="G29" s="22">
        <v>4668.4574430582597</v>
      </c>
      <c r="H29" s="22">
        <v>4823.062179988885</v>
      </c>
      <c r="I29" s="22">
        <v>32300.181270649187</v>
      </c>
      <c r="J29" s="22">
        <v>30002.668342804387</v>
      </c>
      <c r="K29" s="22">
        <v>34825.730522793274</v>
      </c>
      <c r="L29" s="22">
        <v>28210.400332437624</v>
      </c>
      <c r="M29" s="22">
        <v>293.67271696590268</v>
      </c>
    </row>
    <row r="30" spans="1:13" x14ac:dyDescent="0.2">
      <c r="A30" t="s">
        <v>55</v>
      </c>
      <c r="B30" t="s">
        <v>104</v>
      </c>
      <c r="C30">
        <v>1.5</v>
      </c>
      <c r="D30" t="s">
        <v>138</v>
      </c>
      <c r="E30" t="s">
        <v>138</v>
      </c>
      <c r="F30">
        <v>1990</v>
      </c>
      <c r="G30" s="22">
        <v>4295.4074956101404</v>
      </c>
      <c r="H30" s="22">
        <v>-6546.3666848699168</v>
      </c>
      <c r="I30" s="22">
        <v>9318.0282604445165</v>
      </c>
      <c r="J30" s="22">
        <v>5668.4476091795832</v>
      </c>
      <c r="K30" s="22">
        <v>-877.91907569033356</v>
      </c>
      <c r="L30" s="22">
        <v>0</v>
      </c>
      <c r="M30" s="22">
        <v>0</v>
      </c>
    </row>
    <row r="31" spans="1:13" x14ac:dyDescent="0.2">
      <c r="A31" t="s">
        <v>84</v>
      </c>
      <c r="B31" t="s">
        <v>104</v>
      </c>
      <c r="C31">
        <v>1.5</v>
      </c>
      <c r="D31" t="s">
        <v>138</v>
      </c>
      <c r="E31" t="s">
        <v>138</v>
      </c>
      <c r="F31">
        <v>1990</v>
      </c>
      <c r="G31" s="22">
        <v>4179.01179036963</v>
      </c>
      <c r="H31" s="22">
        <v>-8130.9474450868547</v>
      </c>
      <c r="I31" s="22">
        <v>7304.083793476485</v>
      </c>
      <c r="J31" s="22">
        <v>4795.9369554787481</v>
      </c>
      <c r="K31" s="22">
        <v>-3335.0104896081066</v>
      </c>
      <c r="L31" s="22">
        <v>0</v>
      </c>
      <c r="M31" s="22">
        <v>0</v>
      </c>
    </row>
    <row r="32" spans="1:13" x14ac:dyDescent="0.2">
      <c r="A32" t="s">
        <v>71</v>
      </c>
      <c r="B32" t="s">
        <v>104</v>
      </c>
      <c r="C32">
        <v>1.5</v>
      </c>
      <c r="D32" t="s">
        <v>138</v>
      </c>
      <c r="E32" t="s">
        <v>138</v>
      </c>
      <c r="F32">
        <v>1990</v>
      </c>
      <c r="G32" s="22">
        <v>3499.1072795080099</v>
      </c>
      <c r="H32" s="22">
        <v>-10254.116565756034</v>
      </c>
      <c r="I32" s="22">
        <v>4895.7564109713448</v>
      </c>
      <c r="J32" s="22">
        <v>1282.2954586312326</v>
      </c>
      <c r="K32" s="22">
        <v>-8971.8211071248006</v>
      </c>
      <c r="L32" s="22">
        <v>0</v>
      </c>
      <c r="M32" s="22">
        <v>0</v>
      </c>
    </row>
    <row r="33" spans="1:13" x14ac:dyDescent="0.2">
      <c r="A33" t="s">
        <v>66</v>
      </c>
      <c r="B33" t="s">
        <v>104</v>
      </c>
      <c r="C33">
        <v>1.5</v>
      </c>
      <c r="D33" t="s">
        <v>138</v>
      </c>
      <c r="E33" t="s">
        <v>138</v>
      </c>
      <c r="F33">
        <v>1990</v>
      </c>
      <c r="G33" s="22">
        <v>3441.99145507813</v>
      </c>
      <c r="H33" s="22">
        <v>-3097.9743776027162</v>
      </c>
      <c r="I33" s="22">
        <v>2237.3586268069212</v>
      </c>
      <c r="J33" s="22">
        <v>1193.6565973412633</v>
      </c>
      <c r="K33" s="22">
        <v>-1904.317780261453</v>
      </c>
      <c r="L33" s="22">
        <v>0</v>
      </c>
      <c r="M33" s="22">
        <v>0</v>
      </c>
    </row>
    <row r="34" spans="1:13" x14ac:dyDescent="0.2">
      <c r="A34" t="s">
        <v>59</v>
      </c>
      <c r="B34" t="s">
        <v>104</v>
      </c>
      <c r="C34">
        <v>1.5</v>
      </c>
      <c r="D34" t="s">
        <v>138</v>
      </c>
      <c r="E34" t="s">
        <v>138</v>
      </c>
      <c r="F34">
        <v>1990</v>
      </c>
      <c r="G34" s="22">
        <v>2366.3096089993101</v>
      </c>
      <c r="H34" s="22">
        <v>-123182.44325566514</v>
      </c>
      <c r="I34" s="22">
        <v>92093.16066296908</v>
      </c>
      <c r="J34" s="22">
        <v>53336.670463751063</v>
      </c>
      <c r="K34" s="22">
        <v>-69845.772791914089</v>
      </c>
      <c r="L34" s="22">
        <v>0</v>
      </c>
      <c r="M34" s="22">
        <v>0</v>
      </c>
    </row>
    <row r="35" spans="1:13" x14ac:dyDescent="0.2">
      <c r="A35" t="s">
        <v>68</v>
      </c>
      <c r="B35" t="s">
        <v>104</v>
      </c>
      <c r="C35">
        <v>1.5</v>
      </c>
      <c r="D35" t="s">
        <v>138</v>
      </c>
      <c r="E35" t="s">
        <v>138</v>
      </c>
      <c r="F35">
        <v>1990</v>
      </c>
      <c r="G35" s="22">
        <v>2162.6337321033002</v>
      </c>
      <c r="H35" s="22">
        <v>-18970.440640664929</v>
      </c>
      <c r="I35" s="22">
        <v>3035.7397227235892</v>
      </c>
      <c r="J35" s="22">
        <v>-5444.1822905341323</v>
      </c>
      <c r="K35" s="22">
        <v>-24414.622931199061</v>
      </c>
      <c r="L35" s="22">
        <v>0</v>
      </c>
      <c r="M35" s="22">
        <v>0</v>
      </c>
    </row>
    <row r="36" spans="1:13" x14ac:dyDescent="0.2">
      <c r="A36" t="s">
        <v>64</v>
      </c>
      <c r="B36" t="s">
        <v>104</v>
      </c>
      <c r="C36">
        <v>1.5</v>
      </c>
      <c r="D36" t="s">
        <v>138</v>
      </c>
      <c r="E36" t="s">
        <v>138</v>
      </c>
      <c r="F36">
        <v>1990</v>
      </c>
      <c r="G36" s="22">
        <v>2099.29856841025</v>
      </c>
      <c r="H36" s="22">
        <v>-5190.7606112497078</v>
      </c>
      <c r="I36" s="22">
        <v>682.98675331322818</v>
      </c>
      <c r="J36" s="22">
        <v>-1242.1702303919583</v>
      </c>
      <c r="K36" s="22">
        <v>-6432.9308416416661</v>
      </c>
      <c r="L36" s="22">
        <v>0</v>
      </c>
      <c r="M36" s="22">
        <v>0</v>
      </c>
    </row>
    <row r="37" spans="1:13" x14ac:dyDescent="0.2">
      <c r="A37" t="s">
        <v>56</v>
      </c>
      <c r="B37" t="s">
        <v>105</v>
      </c>
      <c r="C37">
        <v>1.5</v>
      </c>
      <c r="D37" t="s">
        <v>138</v>
      </c>
      <c r="E37" t="s">
        <v>138</v>
      </c>
      <c r="F37">
        <v>1990</v>
      </c>
      <c r="G37" s="22">
        <v>1027.4986313632501</v>
      </c>
      <c r="H37" s="22">
        <v>-11918.770673804804</v>
      </c>
      <c r="I37" s="22">
        <v>306.57646664526953</v>
      </c>
      <c r="J37" s="22">
        <v>-4531.8379792292326</v>
      </c>
      <c r="K37" s="22">
        <v>-16450.608653034036</v>
      </c>
      <c r="L37" s="22">
        <v>0</v>
      </c>
      <c r="M37" s="22">
        <v>0</v>
      </c>
    </row>
    <row r="38" spans="1:13" x14ac:dyDescent="0.2">
      <c r="A38" t="s">
        <v>58</v>
      </c>
      <c r="B38" t="s">
        <v>105</v>
      </c>
      <c r="C38">
        <v>1.5</v>
      </c>
      <c r="D38" t="s">
        <v>138</v>
      </c>
      <c r="E38" t="s">
        <v>138</v>
      </c>
      <c r="F38">
        <v>1990</v>
      </c>
      <c r="G38" s="22">
        <v>803.80865500647894</v>
      </c>
      <c r="H38" s="22">
        <v>-251.53027368851352</v>
      </c>
      <c r="I38" s="22">
        <v>14.310215729768139</v>
      </c>
      <c r="J38" s="22">
        <v>-90.629998876977453</v>
      </c>
      <c r="K38" s="22">
        <v>-342.16027256549097</v>
      </c>
      <c r="L38" s="22">
        <v>0</v>
      </c>
      <c r="M38" s="22">
        <v>0</v>
      </c>
    </row>
    <row r="39" spans="1:13" x14ac:dyDescent="0.2">
      <c r="A39" t="s">
        <v>72</v>
      </c>
      <c r="B39" t="s">
        <v>72</v>
      </c>
      <c r="C39">
        <v>1.5</v>
      </c>
      <c r="D39" t="s">
        <v>138</v>
      </c>
      <c r="E39" t="s">
        <v>138</v>
      </c>
      <c r="F39">
        <v>1990</v>
      </c>
      <c r="G39" s="22">
        <v>3882.2337051663412</v>
      </c>
      <c r="H39" s="22">
        <v>-103595.66473941997</v>
      </c>
      <c r="I39" s="22">
        <v>116491.70285721481</v>
      </c>
      <c r="J39" s="22">
        <v>47511.940031697668</v>
      </c>
      <c r="K39" s="22">
        <v>-56083.7247077223</v>
      </c>
      <c r="L39" s="22">
        <v>0</v>
      </c>
      <c r="M39" s="22">
        <v>0</v>
      </c>
    </row>
    <row r="40" spans="1:13" x14ac:dyDescent="0.2">
      <c r="A40" t="s">
        <v>85</v>
      </c>
      <c r="B40" t="s">
        <v>85</v>
      </c>
      <c r="C40">
        <v>1.5</v>
      </c>
      <c r="D40" t="s">
        <v>138</v>
      </c>
      <c r="E40" t="s">
        <v>138</v>
      </c>
      <c r="F40">
        <v>1990</v>
      </c>
      <c r="G40" s="22">
        <v>12730.157167109801</v>
      </c>
      <c r="H40" s="22">
        <v>0</v>
      </c>
      <c r="I40" s="22">
        <v>800533.5</v>
      </c>
      <c r="J40" s="22">
        <v>575533.52235490666</v>
      </c>
      <c r="K40" s="22">
        <v>575533.52235490666</v>
      </c>
      <c r="L40" s="22">
        <v>575533.52235490654</v>
      </c>
      <c r="M40" s="22">
        <v>61.178725045460929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84145A-D4B2-4046-BC5E-3FCC8F546265}">
  <dimension ref="A1:F18"/>
  <sheetViews>
    <sheetView workbookViewId="0">
      <selection activeCell="K1" sqref="K1"/>
    </sheetView>
  </sheetViews>
  <sheetFormatPr baseColWidth="10" defaultColWidth="11.5" defaultRowHeight="15" x14ac:dyDescent="0.2"/>
  <cols>
    <col min="3" max="3" width="13" bestFit="1" customWidth="1" collapsed="1"/>
    <col min="8" max="8" width="12.1640625" bestFit="1" customWidth="1"/>
  </cols>
  <sheetData>
    <row r="1" spans="1:6" ht="72" customHeight="1" x14ac:dyDescent="0.2">
      <c r="A1" s="17" t="s">
        <v>17</v>
      </c>
      <c r="B1" s="18" t="s">
        <v>24</v>
      </c>
      <c r="C1" s="18" t="s">
        <v>106</v>
      </c>
      <c r="D1" s="18" t="s">
        <v>107</v>
      </c>
      <c r="E1" s="18" t="s">
        <v>108</v>
      </c>
      <c r="F1" s="18" t="s">
        <v>109</v>
      </c>
    </row>
    <row r="2" spans="1:6" x14ac:dyDescent="0.2">
      <c r="A2" t="s">
        <v>83</v>
      </c>
      <c r="B2" s="9">
        <f>VLOOKUP($A2,CalculationSheet!$A$2:$AK$41,8,FALSE())</f>
        <v>3.9240035693713711E-2</v>
      </c>
      <c r="C2" s="21">
        <f>VLOOKUP($A2,CalculationSheet!$A$2:$AK$41,20,FALSE())</f>
        <v>138704.84075370242</v>
      </c>
      <c r="D2" s="21">
        <f>VLOOKUP($A2,CalculationSheet!$A$2:$AK$41,22,FALSE())</f>
        <v>53843.683184747002</v>
      </c>
      <c r="E2" s="21">
        <f>VLOOKUP($A2,CalculationSheet!$A$2:$AK$41,23,FALSE())</f>
        <v>192548.52393844942</v>
      </c>
      <c r="F2" s="21">
        <f>VLOOKUP($A2,CalculationSheet!$A$2:$AK$41,13,FALSE())/(VLOOKUP($A2,CalculationSheet!$A$2:$AK$41,4,FALSE())/48)*1000000</f>
        <v>169.77695805467397</v>
      </c>
    </row>
    <row r="3" spans="1:6" x14ac:dyDescent="0.2">
      <c r="A3" t="s">
        <v>57</v>
      </c>
      <c r="B3" s="9">
        <f>VLOOKUP($A3,CalculationSheet!$A$2:$AK$41,8,FALSE())</f>
        <v>4.4096215572733827E-2</v>
      </c>
      <c r="C3" s="21">
        <f>VLOOKUP($A3,CalculationSheet!$A$2:$AK$41,20,FALSE())</f>
        <v>50351.02253951841</v>
      </c>
      <c r="D3" s="21">
        <f>VLOOKUP($A3,CalculationSheet!$A$2:$AK$41,22,FALSE())</f>
        <v>25780.263110055432</v>
      </c>
      <c r="E3" s="21">
        <f>VLOOKUP($A3,CalculationSheet!$A$2:$AK$41,23,FALSE())</f>
        <v>76131.285649573838</v>
      </c>
      <c r="F3" s="21">
        <f>VLOOKUP($A3,CalculationSheet!$A$2:$AK$41,13,FALSE())/(VLOOKUP($A3,CalculationSheet!$A$2:$AK$41,4,FALSE())/48)*1000000</f>
        <v>86.063687318133205</v>
      </c>
    </row>
    <row r="4" spans="1:6" x14ac:dyDescent="0.2">
      <c r="A4" t="s">
        <v>82</v>
      </c>
      <c r="B4" s="9">
        <f>VLOOKUP($A4,CalculationSheet!$A$2:$AK$41,8,FALSE())</f>
        <v>7.5196171108817484E-3</v>
      </c>
      <c r="C4" s="21">
        <f>VLOOKUP($A4,CalculationSheet!$A$2:$AK$41,20,FALSE())</f>
        <v>7590.2202968283236</v>
      </c>
      <c r="D4" s="21">
        <f>VLOOKUP($A4,CalculationSheet!$A$2:$AK$41,22,FALSE())</f>
        <v>2436.3777656355514</v>
      </c>
      <c r="E4" s="21">
        <f>VLOOKUP($A4,CalculationSheet!$A$2:$AK$41,23,FALSE())</f>
        <v>10026.598062463876</v>
      </c>
      <c r="F4" s="21">
        <f>VLOOKUP($A4,CalculationSheet!$A$2:$AK$41,13,FALSE())/(VLOOKUP($A4,CalculationSheet!$A$2:$AK$41,4,FALSE())/48)*1000000</f>
        <v>58.358542611744902</v>
      </c>
    </row>
    <row r="5" spans="1:6" x14ac:dyDescent="0.2">
      <c r="A5" t="s">
        <v>50</v>
      </c>
      <c r="B5" s="9">
        <f>VLOOKUP($A5,CalculationSheet!$A$2:$AK$41,8,FALSE())</f>
        <v>4.7626489608929966E-3</v>
      </c>
      <c r="C5" s="21">
        <f>VLOOKUP($A5,CalculationSheet!$A$2:$AK$41,20,FALSE())</f>
        <v>13046.247643520432</v>
      </c>
      <c r="D5" s="21">
        <f>VLOOKUP($A5,CalculationSheet!$A$2:$AK$41,22,FALSE())</f>
        <v>5677.7351741344537</v>
      </c>
      <c r="E5" s="21">
        <f>VLOOKUP($A5,CalculationSheet!$A$2:$AK$41,23,FALSE())</f>
        <v>18723.982817654884</v>
      </c>
      <c r="F5" s="21">
        <f>VLOOKUP($A5,CalculationSheet!$A$2:$AK$41,13,FALSE())/(VLOOKUP($A5,CalculationSheet!$A$2:$AK$41,4,FALSE())/48)*1000000</f>
        <v>150.64057505377238</v>
      </c>
    </row>
    <row r="6" spans="1:6" x14ac:dyDescent="0.2">
      <c r="A6" t="s">
        <v>62</v>
      </c>
      <c r="B6" s="9">
        <f>VLOOKUP($A6,CalculationSheet!$A$2:$AK$41,8,FALSE())</f>
        <v>1.1309716929403541E-2</v>
      </c>
      <c r="C6" s="21">
        <f>VLOOKUP($A6,CalculationSheet!$A$2:$AK$41,20,FALSE())</f>
        <v>21327.817621710397</v>
      </c>
      <c r="D6" s="21">
        <f>VLOOKUP($A6,CalculationSheet!$A$2:$AK$41,22,FALSE())</f>
        <v>11697.625740569358</v>
      </c>
      <c r="E6" s="21">
        <f>VLOOKUP($A6,CalculationSheet!$A$2:$AK$41,23,FALSE())</f>
        <v>33025.443362279751</v>
      </c>
      <c r="F6" s="21">
        <f>VLOOKUP($A6,CalculationSheet!$A$2:$AK$41,13,FALSE())/(VLOOKUP($A6,CalculationSheet!$A$2:$AK$41,4,FALSE())/48)*1000000</f>
        <v>133.86238530314151</v>
      </c>
    </row>
    <row r="7" spans="1:6" x14ac:dyDescent="0.2">
      <c r="A7" s="19" t="s">
        <v>110</v>
      </c>
      <c r="B7" s="20">
        <f>SUM(B2:B6)</f>
        <v>0.10692823426762582</v>
      </c>
      <c r="C7" s="22">
        <f t="shared" ref="C7:E7" si="0">SUM(C2:C6)</f>
        <v>231020.14885527996</v>
      </c>
      <c r="D7" s="22">
        <f t="shared" si="0"/>
        <v>99435.68497514179</v>
      </c>
      <c r="E7" s="22">
        <f t="shared" si="0"/>
        <v>330455.83383042173</v>
      </c>
      <c r="F7" s="22"/>
    </row>
    <row r="8" spans="1:6" x14ac:dyDescent="0.2">
      <c r="C8" s="22"/>
      <c r="D8" s="22"/>
      <c r="E8" s="22"/>
      <c r="F8" s="22"/>
    </row>
    <row r="9" spans="1:6" x14ac:dyDescent="0.2">
      <c r="A9" t="s">
        <v>49</v>
      </c>
      <c r="B9" s="9">
        <f>VLOOKUP($A9,CalculationSheet!$A$2:$AK$41,8,FALSE())</f>
        <v>2.4072913401349587E-2</v>
      </c>
      <c r="C9" s="21">
        <f>VLOOKUP($A9,CalculationSheet!$A$2:$AK$41,20,FALSE())</f>
        <v>-14973.194369003724</v>
      </c>
      <c r="D9" s="21">
        <f>VLOOKUP($A9,CalculationSheet!$A$2:$AK$41,22,FALSE())</f>
        <v>2198.5185640656618</v>
      </c>
      <c r="E9" s="21">
        <f>VLOOKUP($A9,CalculationSheet!$A$2:$AK$41,23,FALSE())</f>
        <v>-12774.675804938062</v>
      </c>
      <c r="F9" s="21">
        <f>VLOOKUP($A9,CalculationSheet!$A$2:$AK$41,13,FALSE())/(VLOOKUP($A9,CalculationSheet!$A$2:$AK$41,4,FALSE())/48)*1000000</f>
        <v>33.625342904708994</v>
      </c>
    </row>
    <row r="10" spans="1:6" x14ac:dyDescent="0.2">
      <c r="A10" t="s">
        <v>73</v>
      </c>
      <c r="B10" s="9">
        <f>VLOOKUP($A10,CalculationSheet!$A$2:$AK$41,8,FALSE())</f>
        <v>1.4252784334753582E-2</v>
      </c>
      <c r="C10" s="21">
        <f>VLOOKUP($A10,CalculationSheet!$A$2:$AK$41,20,FALSE())</f>
        <v>33725.945147707505</v>
      </c>
      <c r="D10" s="21">
        <f>VLOOKUP($A10,CalculationSheet!$A$2:$AK$41,22,FALSE())</f>
        <v>39834.502776831789</v>
      </c>
      <c r="E10" s="21">
        <f>VLOOKUP($A10,CalculationSheet!$A$2:$AK$41,23,FALSE())</f>
        <v>73560.447924539301</v>
      </c>
      <c r="F10" s="21">
        <f>VLOOKUP($A10,CalculationSheet!$A$2:$AK$41,13,FALSE())/(VLOOKUP($A10,CalculationSheet!$A$2:$AK$41,4,FALSE())/48)*1000000</f>
        <v>321.00830149345262</v>
      </c>
    </row>
    <row r="11" spans="1:6" x14ac:dyDescent="0.2">
      <c r="A11" t="s">
        <v>59</v>
      </c>
      <c r="B11" s="9">
        <f>VLOOKUP($A11,CalculationSheet!$A$2:$AK$41,8,FALSE())</f>
        <v>0.17225106755208008</v>
      </c>
      <c r="C11" s="21">
        <f>VLOOKUP($A11,CalculationSheet!$A$2:$AK$41,20,FALSE())</f>
        <v>-123182.44325566514</v>
      </c>
      <c r="D11" s="21">
        <f>VLOOKUP($A11,CalculationSheet!$A$2:$AK$41,22,FALSE())</f>
        <v>53336.670463751063</v>
      </c>
      <c r="E11" s="21">
        <f>VLOOKUP($A11,CalculationSheet!$A$2:$AK$41,23,FALSE())</f>
        <v>-69845.772791914089</v>
      </c>
      <c r="F11" s="21">
        <f>VLOOKUP($A11,CalculationSheet!$A$2:$AK$41,13,FALSE())/(VLOOKUP($A11,CalculationSheet!$A$2:$AK$41,4,FALSE())/48)*1000000</f>
        <v>56.832302812630772</v>
      </c>
    </row>
    <row r="12" spans="1:6" x14ac:dyDescent="0.2">
      <c r="A12" t="s">
        <v>52</v>
      </c>
      <c r="B12" s="9">
        <f>VLOOKUP($A12,CalculationSheet!$A$2:$AK$41,8,FALSE())</f>
        <v>0.13893984914671967</v>
      </c>
      <c r="C12" s="21">
        <f>VLOOKUP($A12,CalculationSheet!$A$2:$AK$41,20,FALSE())</f>
        <v>25207.689665495389</v>
      </c>
      <c r="D12" s="21">
        <f>VLOOKUP($A12,CalculationSheet!$A$2:$AK$41,22,FALSE())</f>
        <v>215184.29333852918</v>
      </c>
      <c r="E12" s="21">
        <f>VLOOKUP($A12,CalculationSheet!$A$2:$AK$41,23,FALSE())</f>
        <v>240391.98300402457</v>
      </c>
      <c r="F12" s="21">
        <f>VLOOKUP($A12,CalculationSheet!$A$2:$AK$41,13,FALSE())/(VLOOKUP($A12,CalculationSheet!$A$2:$AK$41,4,FALSE())/48)*1000000</f>
        <v>188.54903944472935</v>
      </c>
    </row>
    <row r="13" spans="1:6" x14ac:dyDescent="0.2">
      <c r="A13" t="s">
        <v>76</v>
      </c>
      <c r="B13" s="9">
        <f>VLOOKUP($A13,CalculationSheet!$A$2:$AK$41,8,FALSE())</f>
        <v>7.5421163449819672E-3</v>
      </c>
      <c r="C13" s="21">
        <f>VLOOKUP($A13,CalculationSheet!$A$2:$AK$41,20,FALSE())</f>
        <v>6131.6494176489568</v>
      </c>
      <c r="D13" s="21">
        <f>VLOOKUP($A13,CalculationSheet!$A$2:$AK$41,22,FALSE())</f>
        <v>4550.8432466189142</v>
      </c>
      <c r="E13" s="21">
        <f>VLOOKUP($A13,CalculationSheet!$A$2:$AK$41,23,FALSE())</f>
        <v>10682.492664267871</v>
      </c>
      <c r="F13" s="21">
        <f>VLOOKUP($A13,CalculationSheet!$A$2:$AK$41,13,FALSE())/(VLOOKUP($A13,CalculationSheet!$A$2:$AK$41,4,FALSE())/48)*1000000</f>
        <v>88.0572338985817</v>
      </c>
    </row>
    <row r="14" spans="1:6" x14ac:dyDescent="0.2">
      <c r="A14" t="s">
        <v>81</v>
      </c>
      <c r="B14" s="9">
        <f>VLOOKUP($A14,CalculationSheet!$A$2:$AK$41,8,FALSE())</f>
        <v>1.1827642182548226E-3</v>
      </c>
      <c r="C14" s="21">
        <f>VLOOKUP($A14,CalculationSheet!$A$2:$AK$41,20,FALSE())</f>
        <v>3848.3306948905438</v>
      </c>
      <c r="D14" s="21">
        <f>VLOOKUP($A14,CalculationSheet!$A$2:$AK$41,22,FALSE())</f>
        <v>5071.9710006137566</v>
      </c>
      <c r="E14" s="21">
        <f>VLOOKUP($A14,CalculationSheet!$A$2:$AK$41,23,FALSE())</f>
        <v>8920.3016955043004</v>
      </c>
      <c r="F14" s="21">
        <f>VLOOKUP($A14,CalculationSheet!$A$2:$AK$41,13,FALSE())/(VLOOKUP($A14,CalculationSheet!$A$2:$AK$41,4,FALSE())/48)*1000000</f>
        <v>479.75305817376267</v>
      </c>
    </row>
    <row r="15" spans="1:6" x14ac:dyDescent="0.2">
      <c r="A15" t="s">
        <v>61</v>
      </c>
      <c r="B15" s="9">
        <f>VLOOKUP($A15,CalculationSheet!$A$2:$AK$41,8,FALSE())</f>
        <v>1.0211168568199111E-2</v>
      </c>
      <c r="C15" s="21">
        <f>VLOOKUP($A15,CalculationSheet!$A$2:$AK$41,20,FALSE())</f>
        <v>4823.062179988885</v>
      </c>
      <c r="D15" s="21">
        <f>VLOOKUP($A15,CalculationSheet!$A$2:$AK$41,22,FALSE())</f>
        <v>30002.668342804387</v>
      </c>
      <c r="E15" s="21">
        <f>VLOOKUP($A15,CalculationSheet!$A$2:$AK$41,23,FALSE())</f>
        <v>34825.730522793274</v>
      </c>
      <c r="F15" s="21">
        <f>VLOOKUP($A15,CalculationSheet!$A$2:$AK$41,13,FALSE())/(VLOOKUP($A15,CalculationSheet!$A$2:$AK$41,4,FALSE())/48)*1000000</f>
        <v>336.2476916478081</v>
      </c>
    </row>
    <row r="16" spans="1:6" x14ac:dyDescent="0.2">
      <c r="A16" t="s">
        <v>55</v>
      </c>
      <c r="B16" s="9">
        <f>VLOOKUP($A16,CalculationSheet!$A$2:$AK$41,8,FALSE())</f>
        <v>1.622035845006637E-2</v>
      </c>
      <c r="C16" s="21">
        <f>VLOOKUP($A16,CalculationSheet!$A$2:$AK$41,20,FALSE())</f>
        <v>-6546.3666848699168</v>
      </c>
      <c r="D16" s="21">
        <f>VLOOKUP($A16,CalculationSheet!$A$2:$AK$41,22,FALSE())</f>
        <v>5668.4476091795832</v>
      </c>
      <c r="E16" s="21">
        <f>VLOOKUP($A16,CalculationSheet!$A$2:$AK$41,23,FALSE())</f>
        <v>-877.91907569033356</v>
      </c>
      <c r="F16" s="21">
        <f>VLOOKUP($A16,CalculationSheet!$A$2:$AK$41,13,FALSE())/(VLOOKUP($A16,CalculationSheet!$A$2:$AK$41,4,FALSE())/48)*1000000</f>
        <v>61.065142310448266</v>
      </c>
    </row>
    <row r="17" spans="1:6" x14ac:dyDescent="0.2">
      <c r="A17" t="s">
        <v>56</v>
      </c>
      <c r="B17" s="9">
        <f>VLOOKUP($A17,CalculationSheet!$A$2:$AK$41,8,FALSE())</f>
        <v>2.1504064203886675E-2</v>
      </c>
      <c r="C17" s="21">
        <f>VLOOKUP($A17,CalculationSheet!$A$2:$AK$41,20,FALSE())</f>
        <v>-11918.770673804804</v>
      </c>
      <c r="D17" s="21">
        <f>VLOOKUP($A17,CalculationSheet!$A$2:$AK$41,22,FALSE())</f>
        <v>-4531.8379792292326</v>
      </c>
      <c r="E17" s="21">
        <f>VLOOKUP($A17,CalculationSheet!$A$2:$AK$41,23,FALSE())</f>
        <v>-16450.608653034036</v>
      </c>
      <c r="F17" s="21">
        <f>VLOOKUP($A17,CalculationSheet!$A$2:$AK$41,13,FALSE())/(VLOOKUP($A17,CalculationSheet!$A$2:$AK$41,4,FALSE())/48)*1000000</f>
        <v>1.5154725145726102</v>
      </c>
    </row>
    <row r="18" spans="1:6" x14ac:dyDescent="0.2">
      <c r="A18" s="19" t="s">
        <v>111</v>
      </c>
      <c r="B18" s="20">
        <f>SUM(B9:B17)</f>
        <v>0.40617708622029181</v>
      </c>
      <c r="C18" s="22">
        <f t="shared" ref="C18:E18" si="1">SUM(C9:C17)</f>
        <v>-82884.097877612308</v>
      </c>
      <c r="D18" s="22">
        <f t="shared" si="1"/>
        <v>351316.0773631651</v>
      </c>
      <c r="E18" s="22">
        <f t="shared" si="1"/>
        <v>268431.97948555282</v>
      </c>
      <c r="F18" s="22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6ADB48-2E43-454B-8A0C-18D604BA7CF8}">
  <dimension ref="A1:I40"/>
  <sheetViews>
    <sheetView workbookViewId="0">
      <selection activeCell="K37" sqref="K37"/>
    </sheetView>
  </sheetViews>
  <sheetFormatPr baseColWidth="10" defaultColWidth="11.5" defaultRowHeight="15" x14ac:dyDescent="0.2"/>
  <cols>
    <col min="1" max="1" width="16.5" bestFit="1" customWidth="1" collapsed="1"/>
    <col min="2" max="2" width="21.1640625" customWidth="1" collapsed="1"/>
    <col min="5" max="5" width="16" customWidth="1" collapsed="1"/>
    <col min="7" max="8" width="16.33203125" customWidth="1" collapsed="1"/>
    <col min="9" max="9" width="18.83203125" customWidth="1" collapsed="1"/>
  </cols>
  <sheetData>
    <row r="1" spans="1:9" ht="80" x14ac:dyDescent="0.2">
      <c r="A1" s="16" t="s">
        <v>17</v>
      </c>
      <c r="B1" s="23" t="s">
        <v>112</v>
      </c>
      <c r="C1" s="10" t="s">
        <v>113</v>
      </c>
      <c r="D1" s="10" t="s">
        <v>114</v>
      </c>
      <c r="E1" s="24" t="s">
        <v>115</v>
      </c>
      <c r="F1" s="26" t="s">
        <v>116</v>
      </c>
      <c r="G1" s="10" t="s">
        <v>100</v>
      </c>
      <c r="H1" s="10" t="s">
        <v>117</v>
      </c>
      <c r="I1" s="10" t="s">
        <v>118</v>
      </c>
    </row>
    <row r="2" spans="1:9" x14ac:dyDescent="0.2">
      <c r="A2" t="str">
        <f>CalculationSheet!A5</f>
        <v>Brazil</v>
      </c>
      <c r="B2" s="25" t="str">
        <f t="shared" ref="B2:B39" si="0">IFERROR(G2*150*1000000/I2,"")</f>
        <v/>
      </c>
      <c r="C2" s="8">
        <f>CalculationSheet!J5</f>
        <v>2050</v>
      </c>
      <c r="D2" s="22">
        <f>DataFromRScriptForCalculations!T4</f>
        <v>7794.8809793315204</v>
      </c>
      <c r="E2" s="9" t="str">
        <f t="shared" ref="E2:E39" si="1">IFERROR((G2*1000000*150/(2100-C2))/I2,"")</f>
        <v/>
      </c>
      <c r="F2" s="29">
        <f t="shared" ref="F2:F39" si="2">H2*1000000/I2</f>
        <v>0</v>
      </c>
      <c r="G2" s="8" t="str">
        <f>IF(CalculationSheet!AA5=0,"",CalculationSheet!AA5)</f>
        <v/>
      </c>
      <c r="H2" s="28"/>
      <c r="I2" s="22">
        <f>DataFromRScriptForCalculations!S4</f>
        <v>1670647399034.6699</v>
      </c>
    </row>
    <row r="3" spans="1:9" x14ac:dyDescent="0.2">
      <c r="A3" t="str">
        <f>CalculationSheet!A9</f>
        <v>Colombia</v>
      </c>
      <c r="B3" s="25" t="str">
        <f t="shared" si="0"/>
        <v/>
      </c>
      <c r="C3" s="8">
        <f>CalculationSheet!J9</f>
        <v>2050</v>
      </c>
      <c r="D3" s="22">
        <f>DataFromRScriptForCalculations!T8</f>
        <v>6182.9559438651004</v>
      </c>
      <c r="E3" s="9" t="str">
        <f t="shared" si="1"/>
        <v/>
      </c>
      <c r="F3" s="29">
        <f t="shared" si="2"/>
        <v>0</v>
      </c>
      <c r="G3" s="8" t="str">
        <f>IF(CalculationSheet!AA9=0,"",CalculationSheet!AA9)</f>
        <v/>
      </c>
      <c r="H3" s="28"/>
      <c r="I3" s="22">
        <f>DataFromRScriptForCalculations!S8</f>
        <v>318524633225.39502</v>
      </c>
    </row>
    <row r="4" spans="1:9" x14ac:dyDescent="0.2">
      <c r="A4" t="str">
        <f>CalculationSheet!A10</f>
        <v>Costa Rica</v>
      </c>
      <c r="B4" s="25" t="str">
        <f t="shared" si="0"/>
        <v/>
      </c>
      <c r="C4" s="8">
        <f>CalculationSheet!J10</f>
        <v>2050</v>
      </c>
      <c r="D4" s="22">
        <f>DataFromRScriptForCalculations!T9</f>
        <v>12604.0488374654</v>
      </c>
      <c r="E4" s="9" t="str">
        <f t="shared" si="1"/>
        <v/>
      </c>
      <c r="F4" s="29">
        <f t="shared" si="2"/>
        <v>0</v>
      </c>
      <c r="G4" s="8" t="str">
        <f>IF(CalculationSheet!AA10=0,"",CalculationSheet!AA10)</f>
        <v/>
      </c>
      <c r="H4" s="28"/>
      <c r="I4" s="22">
        <f>DataFromRScriptForCalculations!S9</f>
        <v>64960725734.196503</v>
      </c>
    </row>
    <row r="5" spans="1:9" x14ac:dyDescent="0.2">
      <c r="A5" t="str">
        <f>CalculationSheet!A11</f>
        <v>Egypt</v>
      </c>
      <c r="B5" s="25" t="str">
        <f t="shared" si="0"/>
        <v/>
      </c>
      <c r="C5" s="8">
        <f>CalculationSheet!J11</f>
        <v>2070</v>
      </c>
      <c r="D5" s="22">
        <f>DataFromRScriptForCalculations!T10</f>
        <v>3886.7224983901001</v>
      </c>
      <c r="E5" s="9" t="str">
        <f t="shared" si="1"/>
        <v/>
      </c>
      <c r="F5" s="29">
        <f t="shared" si="2"/>
        <v>0</v>
      </c>
      <c r="G5" s="8" t="str">
        <f>IF(CalculationSheet!AA11=0,"",CalculationSheet!AA11)</f>
        <v/>
      </c>
      <c r="H5" s="28"/>
      <c r="I5" s="22">
        <f>DataFromRScriptForCalculations!S10</f>
        <v>424671765455.70398</v>
      </c>
    </row>
    <row r="6" spans="1:9" x14ac:dyDescent="0.2">
      <c r="A6" t="str">
        <f>CalculationSheet!A12</f>
        <v>Ethiopia</v>
      </c>
      <c r="B6" s="25" t="str">
        <f t="shared" si="0"/>
        <v/>
      </c>
      <c r="C6" s="8">
        <f>CalculationSheet!J12</f>
        <v>2060</v>
      </c>
      <c r="D6" s="22">
        <f>DataFromRScriptForCalculations!T11</f>
        <v>925.00069759157998</v>
      </c>
      <c r="E6" s="9" t="str">
        <f t="shared" si="1"/>
        <v/>
      </c>
      <c r="F6" s="29">
        <f t="shared" si="2"/>
        <v>0</v>
      </c>
      <c r="G6" s="8" t="str">
        <f>IF(CalculationSheet!AA12=0,"",CalculationSheet!AA12)</f>
        <v/>
      </c>
      <c r="H6" s="28"/>
      <c r="I6" s="22">
        <f>DataFromRScriptForCalculations!S11</f>
        <v>111261882958.42599</v>
      </c>
    </row>
    <row r="7" spans="1:9" x14ac:dyDescent="0.2">
      <c r="A7" t="str">
        <f>CalculationSheet!A14</f>
        <v>Gambia</v>
      </c>
      <c r="B7" s="25" t="str">
        <f t="shared" si="0"/>
        <v/>
      </c>
      <c r="C7" s="8">
        <f>CalculationSheet!J14</f>
        <v>2050</v>
      </c>
      <c r="D7" s="22">
        <f>DataFromRScriptForCalculations!T13</f>
        <v>762.96323165355898</v>
      </c>
      <c r="E7" s="9" t="str">
        <f t="shared" si="1"/>
        <v/>
      </c>
      <c r="F7" s="29">
        <f t="shared" si="2"/>
        <v>0</v>
      </c>
      <c r="G7" s="8" t="str">
        <f>IF(CalculationSheet!AA14=0,"",CalculationSheet!AA14)</f>
        <v/>
      </c>
      <c r="H7" s="28"/>
      <c r="I7" s="22">
        <f>DataFromRScriptForCalculations!S13</f>
        <v>2014158842.65394</v>
      </c>
    </row>
    <row r="8" spans="1:9" x14ac:dyDescent="0.2">
      <c r="A8" t="str">
        <f>CalculationSheet!A15</f>
        <v>India</v>
      </c>
      <c r="B8" s="25" t="str">
        <f t="shared" si="0"/>
        <v/>
      </c>
      <c r="C8" s="8">
        <f>CalculationSheet!J15</f>
        <v>2070</v>
      </c>
      <c r="D8" s="22">
        <f>DataFromRScriptForCalculations!T14</f>
        <v>2250.1790176424001</v>
      </c>
      <c r="E8" s="9" t="str">
        <f t="shared" si="1"/>
        <v/>
      </c>
      <c r="F8" s="29">
        <f t="shared" si="2"/>
        <v>2.4105455163601928E-2</v>
      </c>
      <c r="G8" s="8" t="str">
        <f>IF(CalculationSheet!AA15=0,"",CalculationSheet!AA15)</f>
        <v/>
      </c>
      <c r="H8" s="27">
        <v>76348.5</v>
      </c>
      <c r="I8" s="22">
        <f>DataFromRScriptForCalculations!S14</f>
        <v>3167270623260.52</v>
      </c>
    </row>
    <row r="9" spans="1:9" x14ac:dyDescent="0.2">
      <c r="A9" t="str">
        <f>CalculationSheet!A16</f>
        <v>Indonesia</v>
      </c>
      <c r="B9" s="25" t="str">
        <f t="shared" si="0"/>
        <v/>
      </c>
      <c r="C9" s="8">
        <f>CalculationSheet!J16</f>
        <v>2060</v>
      </c>
      <c r="D9" s="22">
        <f>DataFromRScriptForCalculations!T15</f>
        <v>4334.2314540791303</v>
      </c>
      <c r="E9" s="9" t="str">
        <f t="shared" si="1"/>
        <v/>
      </c>
      <c r="F9" s="29">
        <f t="shared" si="2"/>
        <v>0</v>
      </c>
      <c r="G9" s="8" t="str">
        <f>IF(CalculationSheet!AA16=0,"",CalculationSheet!AA16)</f>
        <v/>
      </c>
      <c r="H9" s="28"/>
      <c r="I9" s="22">
        <f>DataFromRScriptForCalculations!S15</f>
        <v>1186509691086.73</v>
      </c>
    </row>
    <row r="10" spans="1:9" x14ac:dyDescent="0.2">
      <c r="A10" t="str">
        <f>CalculationSheet!A20</f>
        <v>Kenya</v>
      </c>
      <c r="B10" s="25" t="str">
        <f t="shared" si="0"/>
        <v/>
      </c>
      <c r="C10" s="8">
        <f>CalculationSheet!J20</f>
        <v>2070</v>
      </c>
      <c r="D10" s="22">
        <f>DataFromRScriptForCalculations!T19</f>
        <v>2069.6611288191798</v>
      </c>
      <c r="E10" s="9" t="str">
        <f t="shared" si="1"/>
        <v/>
      </c>
      <c r="F10" s="29">
        <f t="shared" si="2"/>
        <v>0</v>
      </c>
      <c r="G10" s="8" t="str">
        <f>IF(CalculationSheet!AA20=0,"",CalculationSheet!AA20)</f>
        <v/>
      </c>
      <c r="H10" s="28"/>
      <c r="I10" s="22">
        <f>DataFromRScriptForCalculations!S19</f>
        <v>109703658904.994</v>
      </c>
    </row>
    <row r="11" spans="1:9" x14ac:dyDescent="0.2">
      <c r="A11" t="str">
        <f>CalculationSheet!A22</f>
        <v>Morocco</v>
      </c>
      <c r="B11" s="25" t="str">
        <f t="shared" si="0"/>
        <v/>
      </c>
      <c r="C11" s="8">
        <f>CalculationSheet!J22</f>
        <v>2070</v>
      </c>
      <c r="D11" s="22">
        <f>DataFromRScriptForCalculations!T21</f>
        <v>3767.52490234375</v>
      </c>
      <c r="E11" s="9" t="str">
        <f t="shared" si="1"/>
        <v/>
      </c>
      <c r="F11" s="29">
        <f t="shared" si="2"/>
        <v>0</v>
      </c>
      <c r="G11" s="8" t="str">
        <f>IF(CalculationSheet!AA22=0,"",CalculationSheet!AA22)</f>
        <v/>
      </c>
      <c r="H11" s="28"/>
      <c r="I11" s="22">
        <f>DataFromRScriptForCalculations!S21</f>
        <v>141817797083.46799</v>
      </c>
    </row>
    <row r="12" spans="1:9" x14ac:dyDescent="0.2">
      <c r="A12" t="str">
        <f>CalculationSheet!A24</f>
        <v>Nigeria</v>
      </c>
      <c r="B12" s="25" t="str">
        <f t="shared" si="0"/>
        <v/>
      </c>
      <c r="C12" s="8">
        <f>CalculationSheet!J24</f>
        <v>2060</v>
      </c>
      <c r="D12" s="22">
        <f>DataFromRScriptForCalculations!T23</f>
        <v>2065.77441035114</v>
      </c>
      <c r="E12" s="9" t="str">
        <f t="shared" si="1"/>
        <v/>
      </c>
      <c r="F12" s="29">
        <f t="shared" si="2"/>
        <v>0</v>
      </c>
      <c r="G12" s="8" t="str">
        <f>IF(CalculationSheet!AA24=0,"",CalculationSheet!AA24)</f>
        <v/>
      </c>
      <c r="H12" s="28"/>
      <c r="I12" s="22">
        <f>DataFromRScriptForCalculations!S23</f>
        <v>440838992188.47803</v>
      </c>
    </row>
    <row r="13" spans="1:9" x14ac:dyDescent="0.2">
      <c r="A13" t="str">
        <f>CalculationSheet!A26</f>
        <v>Peru</v>
      </c>
      <c r="B13" s="25" t="str">
        <f t="shared" si="0"/>
        <v/>
      </c>
      <c r="C13" s="8">
        <f>CalculationSheet!J26</f>
        <v>2050</v>
      </c>
      <c r="D13" s="22">
        <f>DataFromRScriptForCalculations!T25</f>
        <v>6713.6620538649604</v>
      </c>
      <c r="E13" s="9" t="str">
        <f t="shared" si="1"/>
        <v/>
      </c>
      <c r="F13" s="29">
        <f t="shared" si="2"/>
        <v>0</v>
      </c>
      <c r="G13" s="8" t="str">
        <f>IF(CalculationSheet!AA26=0,"",CalculationSheet!AA26)</f>
        <v/>
      </c>
      <c r="H13" s="8"/>
      <c r="I13" s="22">
        <f>DataFromRScriptForCalculations!S25</f>
        <v>226354278280.88501</v>
      </c>
    </row>
    <row r="14" spans="1:9" x14ac:dyDescent="0.2">
      <c r="A14" t="str">
        <f>CalculationSheet!A27</f>
        <v>Philippines</v>
      </c>
      <c r="B14" s="25" t="str">
        <f t="shared" si="0"/>
        <v/>
      </c>
      <c r="C14" s="8">
        <f>CalculationSheet!J27</f>
        <v>2070</v>
      </c>
      <c r="D14" s="22">
        <f>DataFromRScriptForCalculations!T26</f>
        <v>3460.5393817280701</v>
      </c>
      <c r="E14" s="9" t="str">
        <f t="shared" si="1"/>
        <v/>
      </c>
      <c r="F14" s="29">
        <f t="shared" si="2"/>
        <v>0</v>
      </c>
      <c r="G14" s="8" t="str">
        <f>IF(CalculationSheet!AA27=0,"",CalculationSheet!AA27)</f>
        <v/>
      </c>
      <c r="H14" s="8"/>
      <c r="I14" s="22">
        <f>DataFromRScriptForCalculations!S26</f>
        <v>394087359848.10999</v>
      </c>
    </row>
    <row r="15" spans="1:9" x14ac:dyDescent="0.2">
      <c r="A15" t="str">
        <f>CalculationSheet!A28</f>
        <v>Rest of world</v>
      </c>
      <c r="B15" s="25" t="str">
        <f t="shared" si="0"/>
        <v/>
      </c>
      <c r="C15" s="8">
        <f>CalculationSheet!J28</f>
        <v>2070</v>
      </c>
      <c r="D15" s="22">
        <f>DataFromRScriptForCalculations!T27</f>
        <v>3634.7238998405387</v>
      </c>
      <c r="E15" s="9" t="str">
        <f t="shared" si="1"/>
        <v/>
      </c>
      <c r="F15" s="29">
        <f t="shared" si="2"/>
        <v>0</v>
      </c>
      <c r="G15" s="8" t="str">
        <f>IF(CalculationSheet!AA28=0,"",CalculationSheet!AA28)</f>
        <v/>
      </c>
      <c r="H15" s="8"/>
      <c r="I15" s="22">
        <f>DataFromRScriptForCalculations!S27</f>
        <v>7055016976066.7969</v>
      </c>
    </row>
    <row r="16" spans="1:9" x14ac:dyDescent="0.2">
      <c r="A16" t="str">
        <f>CalculationSheet!A40</f>
        <v>Viet Nam</v>
      </c>
      <c r="B16" s="25" t="str">
        <f t="shared" si="0"/>
        <v/>
      </c>
      <c r="C16" s="8">
        <f>CalculationSheet!J40</f>
        <v>2050</v>
      </c>
      <c r="E16" s="9" t="str">
        <f t="shared" si="1"/>
        <v/>
      </c>
      <c r="F16" s="29">
        <f t="shared" si="2"/>
        <v>0</v>
      </c>
      <c r="G16" s="8" t="str">
        <f>IF(CalculationSheet!AA40=0,"",CalculationSheet!AA40)</f>
        <v/>
      </c>
      <c r="H16" s="8"/>
      <c r="I16" s="22">
        <f>DataFromRScriptForCalculations!S39</f>
        <v>366474752771.00897</v>
      </c>
    </row>
    <row r="17" spans="1:9" x14ac:dyDescent="0.2">
      <c r="A17" t="str">
        <f>CalculationSheet!A21</f>
        <v>Mexico</v>
      </c>
      <c r="B17" s="25" t="str">
        <f t="shared" si="0"/>
        <v/>
      </c>
      <c r="C17" s="8">
        <f>CalculationSheet!J21</f>
        <v>2070</v>
      </c>
      <c r="D17" s="22">
        <f>DataFromRScriptForCalculations!T20</f>
        <v>10363.1927221972</v>
      </c>
      <c r="E17" s="9" t="str">
        <f t="shared" si="1"/>
        <v/>
      </c>
      <c r="F17" s="29">
        <f t="shared" si="2"/>
        <v>6.6110729514053355E-3</v>
      </c>
      <c r="G17" s="8" t="str">
        <f>IF(CalculationSheet!AA21=0,"",CalculationSheet!AA21)</f>
        <v/>
      </c>
      <c r="H17" s="27">
        <v>8680.7999999999993</v>
      </c>
      <c r="I17" s="22">
        <f>DataFromRScriptForCalculations!S20</f>
        <v>1313069763986.6001</v>
      </c>
    </row>
    <row r="18" spans="1:9" x14ac:dyDescent="0.2">
      <c r="A18" t="str">
        <f>CalculationSheet!A35</f>
        <v>Thailand</v>
      </c>
      <c r="B18" s="25" t="str">
        <f t="shared" si="0"/>
        <v/>
      </c>
      <c r="C18" s="8">
        <f>CalculationSheet!J35</f>
        <v>2065</v>
      </c>
      <c r="D18" s="22">
        <f>DataFromRScriptForCalculations!T34</f>
        <v>7070.5125072911196</v>
      </c>
      <c r="E18" s="9" t="str">
        <f t="shared" si="1"/>
        <v/>
      </c>
      <c r="F18" s="29">
        <f t="shared" si="2"/>
        <v>1.3072622424697205E-2</v>
      </c>
      <c r="G18" s="8" t="str">
        <f>IF(CalculationSheet!AA35=0,"",CalculationSheet!AA35)</f>
        <v/>
      </c>
      <c r="H18" s="27">
        <v>6618.1</v>
      </c>
      <c r="I18" s="22">
        <f>DataFromRScriptForCalculations!S34</f>
        <v>506256494297.34003</v>
      </c>
    </row>
    <row r="19" spans="1:9" x14ac:dyDescent="0.2">
      <c r="A19" t="str">
        <f>CalculationSheet!A3</f>
        <v>Argentina</v>
      </c>
      <c r="B19" s="25" t="str">
        <f t="shared" si="0"/>
        <v/>
      </c>
      <c r="C19" s="8">
        <f>CalculationSheet!J3</f>
        <v>2050</v>
      </c>
      <c r="D19" s="22">
        <f>DataFromRScriptForCalculations!T2</f>
        <v>10650.8604604345</v>
      </c>
      <c r="E19" s="9" t="str">
        <f t="shared" si="1"/>
        <v/>
      </c>
      <c r="F19" s="29">
        <f t="shared" si="2"/>
        <v>6.2992084390256862E-3</v>
      </c>
      <c r="G19" s="8" t="str">
        <f>IF(CalculationSheet!AA3=0,"",CalculationSheet!AA3)</f>
        <v/>
      </c>
      <c r="H19" s="27">
        <v>3073.4</v>
      </c>
      <c r="I19" s="22">
        <f>DataFromRScriptForCalculations!S2</f>
        <v>487902572164.34802</v>
      </c>
    </row>
    <row r="20" spans="1:9" x14ac:dyDescent="0.2">
      <c r="A20" t="str">
        <f>CalculationSheet!A7</f>
        <v>Chile</v>
      </c>
      <c r="B20" s="25" t="str">
        <f t="shared" si="0"/>
        <v/>
      </c>
      <c r="C20" s="8">
        <f>CalculationSheet!J7</f>
        <v>2050</v>
      </c>
      <c r="D20" s="22">
        <f>DataFromRScriptForCalculations!T6</f>
        <v>16185.9147709548</v>
      </c>
      <c r="E20" s="9" t="str">
        <f t="shared" si="1"/>
        <v/>
      </c>
      <c r="F20" s="29">
        <f t="shared" si="2"/>
        <v>1.9394956538380682E-2</v>
      </c>
      <c r="G20" s="8" t="str">
        <f>IF(CalculationSheet!AA7=0,"",CalculationSheet!AA7)</f>
        <v/>
      </c>
      <c r="H20" s="27">
        <v>6119.4</v>
      </c>
      <c r="I20" s="22">
        <f>DataFromRScriptForCalculations!S6</f>
        <v>315515014838.539</v>
      </c>
    </row>
    <row r="21" spans="1:9" x14ac:dyDescent="0.2">
      <c r="A21" t="str">
        <f>CalculationSheet!A34</f>
        <v>Switzerland</v>
      </c>
      <c r="B21" s="25" t="str">
        <f t="shared" si="0"/>
        <v/>
      </c>
      <c r="C21" s="8">
        <f>CalculationSheet!J34</f>
        <v>2050</v>
      </c>
      <c r="D21" s="22">
        <f>DataFromRScriptForCalculations!T33</f>
        <v>93446.434451894296</v>
      </c>
      <c r="E21" s="9" t="str">
        <f t="shared" si="1"/>
        <v/>
      </c>
      <c r="F21" s="29">
        <f t="shared" si="2"/>
        <v>7.6394552131881857E-3</v>
      </c>
      <c r="G21" s="8" t="str">
        <f>IF(CalculationSheet!AA34=0,"",CalculationSheet!AA34)</f>
        <v/>
      </c>
      <c r="H21" s="27">
        <v>6214</v>
      </c>
      <c r="I21" s="22">
        <f>DataFromRScriptForCalculations!S33</f>
        <v>813408787222.49902</v>
      </c>
    </row>
    <row r="22" spans="1:9" x14ac:dyDescent="0.2">
      <c r="A22" t="str">
        <f>CalculationSheet!A17</f>
        <v>Iran</v>
      </c>
      <c r="B22" s="25">
        <f t="shared" si="0"/>
        <v>11.783894425927929</v>
      </c>
      <c r="C22" s="8">
        <f>CalculationSheet!J17</f>
        <v>2070</v>
      </c>
      <c r="D22" s="22">
        <f>DataFromRScriptForCalculations!T16</f>
        <v>4084.20030478647</v>
      </c>
      <c r="E22" s="9">
        <f t="shared" si="1"/>
        <v>0.39279648086426439</v>
      </c>
      <c r="F22" s="29">
        <f t="shared" si="2"/>
        <v>1.5015445366684756E-2</v>
      </c>
      <c r="G22" s="8">
        <f>IF(CalculationSheet!AA17=0,"",CalculationSheet!AA17)</f>
        <v>28210.400332437624</v>
      </c>
      <c r="H22" s="27">
        <v>5392</v>
      </c>
      <c r="I22" s="22">
        <f>DataFromRScriptForCalculations!S16</f>
        <v>359096907772.27301</v>
      </c>
    </row>
    <row r="23" spans="1:9" x14ac:dyDescent="0.2">
      <c r="A23" t="str">
        <f>CalculationSheet!A19</f>
        <v>Kazakhstan</v>
      </c>
      <c r="B23" s="25">
        <f t="shared" si="0"/>
        <v>6.2400488831888499</v>
      </c>
      <c r="C23" s="8">
        <f>CalculationSheet!J19</f>
        <v>2060</v>
      </c>
      <c r="D23" s="22">
        <f>DataFromRScriptForCalculations!T18</f>
        <v>10270.887339102699</v>
      </c>
      <c r="E23" s="9">
        <f t="shared" si="1"/>
        <v>0.15600122207972125</v>
      </c>
      <c r="F23" s="29">
        <f t="shared" si="2"/>
        <v>8.2075059059127237E-3</v>
      </c>
      <c r="G23" s="8">
        <f>IF(CalculationSheet!AA19=0,"",CalculationSheet!AA19)</f>
        <v>8199.9340595054819</v>
      </c>
      <c r="H23" s="27">
        <v>1617.8</v>
      </c>
      <c r="I23" s="22">
        <f>DataFromRScriptForCalculations!S18</f>
        <v>197112255360.612</v>
      </c>
    </row>
    <row r="24" spans="1:9" x14ac:dyDescent="0.2">
      <c r="A24" t="str">
        <f>CalculationSheet!A29</f>
        <v>Russia</v>
      </c>
      <c r="B24" s="25">
        <f t="shared" si="0"/>
        <v>5.2343780074752786</v>
      </c>
      <c r="C24" s="8">
        <f>CalculationSheet!J29</f>
        <v>2060</v>
      </c>
      <c r="D24" s="22">
        <f>DataFromRScriptForCalculations!T28</f>
        <v>12521.5224609375</v>
      </c>
      <c r="E24" s="9">
        <f t="shared" si="1"/>
        <v>0.13085945018688197</v>
      </c>
      <c r="F24" s="29">
        <f t="shared" si="2"/>
        <v>3.575348569266442E-2</v>
      </c>
      <c r="G24" s="8">
        <f>IF(CalculationSheet!AA29=0,"",CalculationSheet!AA29)</f>
        <v>64326.747209817644</v>
      </c>
      <c r="H24" s="27">
        <v>65907.7</v>
      </c>
      <c r="I24" s="22">
        <f>DataFromRScriptForCalculations!S28</f>
        <v>1843392293734.3799</v>
      </c>
    </row>
    <row r="25" spans="1:9" x14ac:dyDescent="0.2">
      <c r="A25" t="str">
        <f>CalculationSheet!A30</f>
        <v>Saudi Arabia</v>
      </c>
      <c r="B25" s="25">
        <f t="shared" si="0"/>
        <v>3.6555056850897514</v>
      </c>
      <c r="C25" s="8">
        <f>CalculationSheet!J30</f>
        <v>2060</v>
      </c>
      <c r="D25" s="22">
        <f>DataFromRScriptForCalculations!T29</f>
        <v>24315.615327297099</v>
      </c>
      <c r="E25" s="9">
        <f t="shared" si="1"/>
        <v>9.138764212724379E-2</v>
      </c>
      <c r="F25" s="29">
        <f t="shared" si="2"/>
        <v>7.2292245320057291E-2</v>
      </c>
      <c r="G25" s="8">
        <f>IF(CalculationSheet!AA30=0,"",CalculationSheet!AA30)</f>
        <v>21303.214851035445</v>
      </c>
      <c r="H25" s="27">
        <v>63194.7</v>
      </c>
      <c r="I25" s="22">
        <f>DataFromRScriptForCalculations!S29</f>
        <v>874156000000</v>
      </c>
    </row>
    <row r="26" spans="1:9" x14ac:dyDescent="0.2">
      <c r="A26" t="str">
        <f>CalculationSheet!A37</f>
        <v>United Arab Emirates</v>
      </c>
      <c r="B26" s="25">
        <f t="shared" si="0"/>
        <v>2.9459759935923149</v>
      </c>
      <c r="C26" s="8">
        <f>CalculationSheet!J37</f>
        <v>2070</v>
      </c>
      <c r="D26" s="22">
        <f>DataFromRScriptForCalculations!T36</f>
        <v>44332.340049938102</v>
      </c>
      <c r="E26" s="9">
        <f t="shared" si="1"/>
        <v>9.8199199786410493E-2</v>
      </c>
      <c r="F26" s="29">
        <f t="shared" si="2"/>
        <v>5.4807953578013165E-2</v>
      </c>
      <c r="G26" s="8">
        <f>IF(CalculationSheet!AA37=0,"",CalculationSheet!AA37)</f>
        <v>8154.0450434046406</v>
      </c>
      <c r="H26" s="27">
        <v>22755.1</v>
      </c>
      <c r="I26" s="22">
        <f>DataFromRScriptForCalculations!S36</f>
        <v>415178792756.97803</v>
      </c>
    </row>
    <row r="27" spans="1:9" x14ac:dyDescent="0.2">
      <c r="A27" t="str">
        <f>CalculationSheet!A32</f>
        <v>South Africa</v>
      </c>
      <c r="B27" s="25">
        <f t="shared" si="0"/>
        <v>2.0695317683132193</v>
      </c>
      <c r="C27" s="8">
        <f>CalculationSheet!J32</f>
        <v>2050</v>
      </c>
      <c r="D27" s="22">
        <f>DataFromRScriptForCalculations!T31</f>
        <v>7073.6127541552496</v>
      </c>
      <c r="E27" s="9">
        <f t="shared" si="1"/>
        <v>4.1390635366264382E-2</v>
      </c>
      <c r="F27" s="29">
        <f t="shared" si="2"/>
        <v>8.078448233551954E-3</v>
      </c>
      <c r="G27" s="8">
        <f>IF(CalculationSheet!AA32=0,"",CalculationSheet!AA32)</f>
        <v>5796.3143955515152</v>
      </c>
      <c r="H27" s="27">
        <v>3393.9</v>
      </c>
      <c r="I27" s="22">
        <f>DataFromRScriptForCalculations!S31</f>
        <v>420117812466.04102</v>
      </c>
    </row>
    <row r="28" spans="1:9" x14ac:dyDescent="0.2">
      <c r="A28" t="str">
        <f>CalculationSheet!A8</f>
        <v>China</v>
      </c>
      <c r="B28" s="25">
        <f t="shared" si="0"/>
        <v>1.2657877857817805</v>
      </c>
      <c r="C28" s="8">
        <f>CalculationSheet!J8</f>
        <v>2060</v>
      </c>
      <c r="D28" s="22">
        <f>DataFromRScriptForCalculations!T7</f>
        <v>12617.5051041181</v>
      </c>
      <c r="E28" s="9">
        <f t="shared" si="1"/>
        <v>3.1644694644544516E-2</v>
      </c>
      <c r="F28" s="29">
        <f t="shared" si="2"/>
        <v>1.6045068863570315E-2</v>
      </c>
      <c r="G28" s="8">
        <f>IF(CalculationSheet!AA8=0,"",CalculationSheet!AA8)</f>
        <v>150379.46655549269</v>
      </c>
      <c r="H28" s="27">
        <v>285930.5</v>
      </c>
      <c r="I28" s="22">
        <f>DataFromRScriptForCalculations!S7</f>
        <v>17820459508852.199</v>
      </c>
    </row>
    <row r="29" spans="1:9" x14ac:dyDescent="0.2">
      <c r="A29" t="str">
        <f>CalculationSheet!A6</f>
        <v>Canada</v>
      </c>
      <c r="B29" s="25">
        <f t="shared" si="0"/>
        <v>1.1685209894795532</v>
      </c>
      <c r="C29" s="8">
        <f>CalculationSheet!J6</f>
        <v>2050</v>
      </c>
      <c r="D29" s="22">
        <f>DataFromRScriptForCalculations!T5</f>
        <v>52496.844169324198</v>
      </c>
      <c r="E29" s="9">
        <f t="shared" si="1"/>
        <v>2.3370419789591063E-2</v>
      </c>
      <c r="F29" s="29">
        <f t="shared" si="2"/>
        <v>1.2633898608498813E-2</v>
      </c>
      <c r="G29" s="8">
        <f>IF(CalculationSheet!AA6=0,"",CalculationSheet!AA6)</f>
        <v>15638.489198914436</v>
      </c>
      <c r="H29" s="27">
        <v>25362.2</v>
      </c>
      <c r="I29" s="22">
        <f>DataFromRScriptForCalculations!S5</f>
        <v>2007472181464.1499</v>
      </c>
    </row>
    <row r="30" spans="1:9" x14ac:dyDescent="0.2">
      <c r="A30" t="str">
        <f>CalculationSheet!A33</f>
        <v>South Korea</v>
      </c>
      <c r="B30" s="25">
        <f t="shared" si="0"/>
        <v>1.1334192213166703</v>
      </c>
      <c r="C30" s="8">
        <f>CalculationSheet!J33</f>
        <v>2050</v>
      </c>
      <c r="D30" s="22">
        <f>DataFromRScriptForCalculations!T32</f>
        <v>35125.522498472303</v>
      </c>
      <c r="E30" s="9">
        <f t="shared" si="1"/>
        <v>2.2668384426333406E-2</v>
      </c>
      <c r="F30" s="29">
        <f t="shared" si="2"/>
        <v>2.7976738756161926E-2</v>
      </c>
      <c r="G30" s="8">
        <f>IF(CalculationSheet!AA33=0,"",CalculationSheet!AA33)</f>
        <v>13740.306017314715</v>
      </c>
      <c r="H30" s="27">
        <v>50873.8</v>
      </c>
      <c r="I30" s="22">
        <f>DataFromRScriptForCalculations!S32</f>
        <v>1818432106880.04</v>
      </c>
    </row>
    <row r="31" spans="1:9" x14ac:dyDescent="0.2">
      <c r="A31" t="str">
        <f>CalculationSheet!A4</f>
        <v>Australia</v>
      </c>
      <c r="B31" s="25">
        <f t="shared" si="0"/>
        <v>1.1261163548033568</v>
      </c>
      <c r="C31" s="8">
        <f>CalculationSheet!J4</f>
        <v>2050</v>
      </c>
      <c r="D31" s="22">
        <f>DataFromRScriptForCalculations!T3</f>
        <v>60697.245435857898</v>
      </c>
      <c r="E31" s="9">
        <f t="shared" si="1"/>
        <v>2.2522327096067135E-2</v>
      </c>
      <c r="F31" s="29">
        <f t="shared" si="2"/>
        <v>2.0986139567600374E-2</v>
      </c>
      <c r="G31" s="8">
        <f>IF(CalculationSheet!AA4=0,"",CalculationSheet!AA4)</f>
        <v>11704.356070954636</v>
      </c>
      <c r="H31" s="27">
        <v>32718.1</v>
      </c>
      <c r="I31" s="22">
        <f>DataFromRScriptForCalculations!S3</f>
        <v>1559033756285.1299</v>
      </c>
    </row>
    <row r="32" spans="1:9" x14ac:dyDescent="0.2">
      <c r="A32" t="str">
        <f>CalculationSheet!A39</f>
        <v>United States</v>
      </c>
      <c r="B32" s="25">
        <f t="shared" si="0"/>
        <v>1.0625151684647671</v>
      </c>
      <c r="C32" s="8">
        <f>CalculationSheet!J39</f>
        <v>2050</v>
      </c>
      <c r="D32" s="22">
        <f>DataFromRScriptForCalculations!T38</f>
        <v>71055.876193830307</v>
      </c>
      <c r="E32" s="9">
        <f t="shared" si="1"/>
        <v>2.1250303369295339E-2</v>
      </c>
      <c r="F32" s="29">
        <f t="shared" si="2"/>
        <v>3.4170939251542055E-2</v>
      </c>
      <c r="G32" s="8">
        <f>IF(CalculationSheet!AA39=0,"",CalculationSheet!AA39)</f>
        <v>167126.77215151957</v>
      </c>
      <c r="H32" s="27">
        <v>806230.2</v>
      </c>
      <c r="I32" s="22">
        <f>DataFromRScriptForCalculations!S38</f>
        <v>23594031000000</v>
      </c>
    </row>
    <row r="33" spans="1:9" x14ac:dyDescent="0.2">
      <c r="A33" t="str">
        <f>CalculationSheet!A18</f>
        <v>Japan</v>
      </c>
      <c r="B33" s="25">
        <f t="shared" si="0"/>
        <v>0.76565099137140313</v>
      </c>
      <c r="C33" s="8">
        <f>CalculationSheet!J18</f>
        <v>2050</v>
      </c>
      <c r="D33" s="22">
        <f>DataFromRScriptForCalculations!T17</f>
        <v>40058.537327617902</v>
      </c>
      <c r="E33" s="9">
        <f t="shared" si="1"/>
        <v>1.5313019827428061E-2</v>
      </c>
      <c r="F33" s="29">
        <f t="shared" si="2"/>
        <v>1.0121417715515307E-2</v>
      </c>
      <c r="G33" s="8">
        <f>IF(CalculationSheet!AA18=0,"",CalculationSheet!AA18)</f>
        <v>25698.415965977078</v>
      </c>
      <c r="H33" s="27">
        <v>50957.5</v>
      </c>
      <c r="I33" s="22">
        <f>DataFromRScriptForCalculations!S17</f>
        <v>5034620784584.9805</v>
      </c>
    </row>
    <row r="34" spans="1:9" x14ac:dyDescent="0.2">
      <c r="A34" t="str">
        <f>CalculationSheet!A13</f>
        <v>European Union</v>
      </c>
      <c r="B34" s="25">
        <f t="shared" si="0"/>
        <v>0.41203953357474737</v>
      </c>
      <c r="C34" s="8">
        <f>CalculationSheet!J13</f>
        <v>2050</v>
      </c>
      <c r="D34" s="22">
        <f>DataFromRScriptForCalculations!T12</f>
        <v>38720.875172895503</v>
      </c>
      <c r="E34" s="9">
        <f t="shared" si="1"/>
        <v>8.240790671494946E-3</v>
      </c>
      <c r="F34" s="29">
        <f t="shared" si="2"/>
        <v>1.300019332526943E-2</v>
      </c>
      <c r="G34" s="8">
        <f>IF(CalculationSheet!AA13=0,"",CalculationSheet!AA13)</f>
        <v>47563.446012960681</v>
      </c>
      <c r="H34" s="28">
        <v>225100</v>
      </c>
      <c r="I34" s="22">
        <f>DataFromRScriptForCalculations!S12</f>
        <v>17315127119106.5</v>
      </c>
    </row>
    <row r="35" spans="1:9" x14ac:dyDescent="0.2">
      <c r="A35" t="str">
        <f>CalculationSheet!A31</f>
        <v>Singapore</v>
      </c>
      <c r="B35" s="25">
        <f t="shared" si="0"/>
        <v>0.39778386660750958</v>
      </c>
      <c r="C35" s="8">
        <f>CalculationSheet!J31</f>
        <v>2050</v>
      </c>
      <c r="D35" s="22">
        <f>DataFromRScriptForCalculations!T30</f>
        <v>79601.412962243296</v>
      </c>
      <c r="E35" s="9">
        <f t="shared" si="1"/>
        <v>7.9556773321501906E-3</v>
      </c>
      <c r="F35" s="29">
        <f t="shared" si="2"/>
        <v>2.5465343558836572E-2</v>
      </c>
      <c r="G35" s="8">
        <f>IF(CalculationSheet!AA31=0,"",CalculationSheet!AA31)</f>
        <v>1151.2171639369785</v>
      </c>
      <c r="H35" s="27">
        <v>11054.8</v>
      </c>
      <c r="I35" s="22">
        <f>DataFromRScriptForCalculations!S30</f>
        <v>434111559282.849</v>
      </c>
    </row>
    <row r="36" spans="1:9" x14ac:dyDescent="0.2">
      <c r="A36" t="str">
        <f>CalculationSheet!A38</f>
        <v>United Kingdom</v>
      </c>
      <c r="B36" s="25">
        <f t="shared" si="0"/>
        <v>0.24613970432506022</v>
      </c>
      <c r="C36" s="8">
        <f>CalculationSheet!J38</f>
        <v>2050</v>
      </c>
      <c r="D36" s="22">
        <f>DataFromRScriptForCalculations!T37</f>
        <v>46869.759058411</v>
      </c>
      <c r="E36" s="9">
        <f t="shared" si="1"/>
        <v>4.9227940865012041E-3</v>
      </c>
      <c r="F36" s="29">
        <f t="shared" si="2"/>
        <v>2.148673172509491E-2</v>
      </c>
      <c r="G36" s="8">
        <f>IF(CalculationSheet!AA38=0,"",CalculationSheet!AA38)</f>
        <v>5154.9959768365543</v>
      </c>
      <c r="H36" s="27">
        <v>67500.7</v>
      </c>
      <c r="I36" s="22">
        <f>DataFromRScriptForCalculations!S37</f>
        <v>3141506156618.7002</v>
      </c>
    </row>
    <row r="37" spans="1:9" x14ac:dyDescent="0.2">
      <c r="A37" t="str">
        <f>CalculationSheet!A23</f>
        <v>New Zealand</v>
      </c>
      <c r="B37" s="25">
        <f t="shared" si="0"/>
        <v>0.21795418985299664</v>
      </c>
      <c r="C37" s="8">
        <f>CalculationSheet!J23</f>
        <v>2050</v>
      </c>
      <c r="D37" s="22">
        <f>DataFromRScriptForCalculations!T22</f>
        <v>49624.181672955303</v>
      </c>
      <c r="E37" s="9">
        <f t="shared" si="1"/>
        <v>4.3590837970599317E-3</v>
      </c>
      <c r="F37" s="29">
        <f t="shared" si="2"/>
        <v>1.1455422111421561E-2</v>
      </c>
      <c r="G37" s="8">
        <f>IF(CalculationSheet!AA23=0,"",CalculationSheet!AA23)</f>
        <v>368.55193280362334</v>
      </c>
      <c r="H37" s="27">
        <v>2905.6</v>
      </c>
      <c r="I37" s="22">
        <f>DataFromRScriptForCalculations!S22</f>
        <v>253644079784.97699</v>
      </c>
    </row>
    <row r="38" spans="1:9" x14ac:dyDescent="0.2">
      <c r="A38" t="str">
        <f>CalculationSheet!A25</f>
        <v>Norway</v>
      </c>
      <c r="B38" s="25">
        <f t="shared" si="0"/>
        <v>0.14371284177744864</v>
      </c>
      <c r="C38" s="8">
        <f>CalculationSheet!J25</f>
        <v>2050</v>
      </c>
      <c r="D38" s="22">
        <f>DataFromRScriptForCalculations!T24</f>
        <v>93072.892511957107</v>
      </c>
      <c r="E38" s="9">
        <f t="shared" si="1"/>
        <v>2.8742568355489728E-3</v>
      </c>
      <c r="F38" s="29">
        <f t="shared" si="2"/>
        <v>1.6757323139522801E-2</v>
      </c>
      <c r="G38" s="8">
        <f>IF(CalculationSheet!AA25=0,"",CalculationSheet!AA25)</f>
        <v>482.26962488133921</v>
      </c>
      <c r="H38" s="27">
        <v>8435.1</v>
      </c>
      <c r="I38" s="22">
        <f>DataFromRScriptForCalculations!S24</f>
        <v>503367986030.26801</v>
      </c>
    </row>
    <row r="39" spans="1:9" x14ac:dyDescent="0.2">
      <c r="A39" t="str">
        <f>CalculationSheet!A36</f>
        <v>Türkiye</v>
      </c>
      <c r="B39" s="25">
        <f t="shared" si="0"/>
        <v>9.7805058057254382E-2</v>
      </c>
      <c r="C39" s="8">
        <f>CalculationSheet!J36</f>
        <v>2050</v>
      </c>
      <c r="D39" s="22">
        <f>DataFromRScriptForCalculations!T35</f>
        <v>9743.2131309242795</v>
      </c>
      <c r="E39" s="9">
        <f t="shared" si="1"/>
        <v>1.9561011611450877E-3</v>
      </c>
      <c r="F39" s="29">
        <f t="shared" si="2"/>
        <v>1.8987754305139021E-2</v>
      </c>
      <c r="G39" s="8">
        <f>IF(CalculationSheet!AA36=0,"",CalculationSheet!AA36)</f>
        <v>534.57979156191186</v>
      </c>
      <c r="H39" s="27">
        <v>15567.4</v>
      </c>
      <c r="I39" s="22">
        <f>DataFromRScriptForCalculations!S35</f>
        <v>819865253669.66101</v>
      </c>
    </row>
    <row r="40" spans="1:9" x14ac:dyDescent="0.2">
      <c r="G40" s="8"/>
      <c r="H40" s="8"/>
    </row>
  </sheetData>
  <autoFilter ref="A1:I39" xr:uid="{736ADB48-2E43-454B-8A0C-18D604BA7CF8}">
    <sortState xmlns:xlrd2="http://schemas.microsoft.com/office/spreadsheetml/2017/richdata2" ref="A2:I39">
      <sortCondition descending="1" ref="B1:B39"/>
    </sortState>
  </autoFilter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M40"/>
  <sheetViews>
    <sheetView workbookViewId="0">
      <selection activeCell="F9" sqref="F9"/>
    </sheetView>
  </sheetViews>
  <sheetFormatPr baseColWidth="10" defaultColWidth="8.83203125" defaultRowHeight="15" x14ac:dyDescent="0.2"/>
  <cols>
    <col min="1" max="1" width="16.5" bestFit="1" customWidth="1"/>
    <col min="2" max="2" width="12.33203125" customWidth="1"/>
    <col min="3" max="3" width="11.1640625" customWidth="1"/>
    <col min="4" max="5" width="30.5" bestFit="1" customWidth="1"/>
    <col min="6" max="6" width="13.33203125" customWidth="1"/>
    <col min="7" max="13" width="13.6640625" customWidth="1"/>
  </cols>
  <sheetData>
    <row r="1" spans="1:13" ht="80" x14ac:dyDescent="0.2">
      <c r="A1" s="35" t="s">
        <v>89</v>
      </c>
      <c r="B1" s="35" t="s">
        <v>90</v>
      </c>
      <c r="C1" s="35" t="s">
        <v>91</v>
      </c>
      <c r="D1" s="35" t="s">
        <v>92</v>
      </c>
      <c r="E1" s="35" t="s">
        <v>93</v>
      </c>
      <c r="F1" s="35" t="s">
        <v>94</v>
      </c>
      <c r="G1" s="35" t="s">
        <v>95</v>
      </c>
      <c r="H1" s="35" t="s">
        <v>96</v>
      </c>
      <c r="I1" s="35" t="s">
        <v>97</v>
      </c>
      <c r="J1" s="35" t="s">
        <v>98</v>
      </c>
      <c r="K1" s="35" t="s">
        <v>99</v>
      </c>
      <c r="L1" s="35" t="s">
        <v>100</v>
      </c>
      <c r="M1" s="35" t="s">
        <v>101</v>
      </c>
    </row>
    <row r="2" spans="1:13" x14ac:dyDescent="0.2">
      <c r="A2" t="s">
        <v>69</v>
      </c>
      <c r="B2" t="s">
        <v>102</v>
      </c>
      <c r="C2">
        <v>2</v>
      </c>
      <c r="D2" t="s">
        <v>138</v>
      </c>
      <c r="E2" t="s">
        <v>138</v>
      </c>
      <c r="F2">
        <v>1990</v>
      </c>
      <c r="G2" s="22">
        <v>108798.451165901</v>
      </c>
      <c r="H2" s="22">
        <v>680.77480464909877</v>
      </c>
      <c r="I2" s="22">
        <v>378.32330422125142</v>
      </c>
      <c r="J2" s="22">
        <v>-133.83896827685624</v>
      </c>
      <c r="K2" s="22">
        <v>546.93583637224253</v>
      </c>
      <c r="L2" s="22">
        <v>0</v>
      </c>
      <c r="M2" s="22">
        <v>0</v>
      </c>
    </row>
    <row r="3" spans="1:13" x14ac:dyDescent="0.2">
      <c r="A3" t="s">
        <v>78</v>
      </c>
      <c r="B3" t="s">
        <v>102</v>
      </c>
      <c r="C3">
        <v>2</v>
      </c>
      <c r="D3" t="s">
        <v>138</v>
      </c>
      <c r="E3" t="s">
        <v>138</v>
      </c>
      <c r="F3">
        <v>1990</v>
      </c>
      <c r="G3" s="22">
        <v>93259.905718302398</v>
      </c>
      <c r="H3" s="22">
        <v>258.88763268999901</v>
      </c>
      <c r="I3" s="22">
        <v>547.6401182376261</v>
      </c>
      <c r="J3" s="22">
        <v>-241.01042878177122</v>
      </c>
      <c r="K3" s="22">
        <v>17.877203908227784</v>
      </c>
      <c r="L3" s="22">
        <v>0</v>
      </c>
      <c r="M3" s="22">
        <v>0</v>
      </c>
    </row>
    <row r="4" spans="1:13" x14ac:dyDescent="0.2">
      <c r="A4" t="s">
        <v>75</v>
      </c>
      <c r="B4" t="s">
        <v>102</v>
      </c>
      <c r="C4">
        <v>2</v>
      </c>
      <c r="D4" t="s">
        <v>138</v>
      </c>
      <c r="E4" t="s">
        <v>138</v>
      </c>
      <c r="F4">
        <v>1990</v>
      </c>
      <c r="G4" s="22">
        <v>88428.702422623202</v>
      </c>
      <c r="H4" s="22">
        <v>873.63248806082834</v>
      </c>
      <c r="I4" s="22">
        <v>855.97719150189664</v>
      </c>
      <c r="J4" s="22">
        <v>342.42622545004849</v>
      </c>
      <c r="K4" s="22">
        <v>1216.0587135108767</v>
      </c>
      <c r="L4" s="22">
        <v>0</v>
      </c>
      <c r="M4" s="22">
        <v>0</v>
      </c>
    </row>
    <row r="5" spans="1:13" x14ac:dyDescent="0.2">
      <c r="A5" t="s">
        <v>83</v>
      </c>
      <c r="B5" t="s">
        <v>102</v>
      </c>
      <c r="C5">
        <v>2</v>
      </c>
      <c r="D5" t="s">
        <v>138</v>
      </c>
      <c r="E5" t="s">
        <v>138</v>
      </c>
      <c r="F5">
        <v>1990</v>
      </c>
      <c r="G5" s="22">
        <v>77246.673882867195</v>
      </c>
      <c r="H5" s="22">
        <v>138704.84075370239</v>
      </c>
      <c r="I5" s="22">
        <v>62672.691215832587</v>
      </c>
      <c r="J5" s="22">
        <v>32261.66355320446</v>
      </c>
      <c r="K5" s="22">
        <v>170966.50430690683</v>
      </c>
      <c r="L5" s="22">
        <v>12075.415821431641</v>
      </c>
      <c r="M5" s="22">
        <v>32.71165360280613</v>
      </c>
    </row>
    <row r="6" spans="1:13" x14ac:dyDescent="0.2">
      <c r="A6" t="s">
        <v>48</v>
      </c>
      <c r="B6" t="s">
        <v>102</v>
      </c>
      <c r="C6">
        <v>2</v>
      </c>
      <c r="D6" t="s">
        <v>138</v>
      </c>
      <c r="E6" t="s">
        <v>138</v>
      </c>
      <c r="F6">
        <v>1990</v>
      </c>
      <c r="G6" s="22">
        <v>65077.676668820997</v>
      </c>
      <c r="H6" s="22">
        <v>8973.8083017522331</v>
      </c>
      <c r="I6" s="22">
        <v>5634.9533240331739</v>
      </c>
      <c r="J6" s="22">
        <v>3056.1504554033481</v>
      </c>
      <c r="K6" s="22">
        <v>12029.958757155582</v>
      </c>
      <c r="L6" s="22">
        <v>0</v>
      </c>
      <c r="M6" s="22">
        <v>0</v>
      </c>
    </row>
    <row r="7" spans="1:13" x14ac:dyDescent="0.2">
      <c r="A7" t="s">
        <v>50</v>
      </c>
      <c r="B7" t="s">
        <v>102</v>
      </c>
      <c r="C7">
        <v>2</v>
      </c>
      <c r="D7" t="s">
        <v>138</v>
      </c>
      <c r="E7" t="s">
        <v>138</v>
      </c>
      <c r="F7">
        <v>1990</v>
      </c>
      <c r="G7" s="22">
        <v>55509.393176404003</v>
      </c>
      <c r="H7" s="22">
        <v>13046.247643520432</v>
      </c>
      <c r="I7" s="22">
        <v>6749.3311903353779</v>
      </c>
      <c r="J7" s="22">
        <v>3058.2782456433051</v>
      </c>
      <c r="K7" s="22">
        <v>16104.525889163737</v>
      </c>
      <c r="L7" s="22">
        <v>0</v>
      </c>
      <c r="M7" s="22">
        <v>0</v>
      </c>
    </row>
    <row r="8" spans="1:13" x14ac:dyDescent="0.2">
      <c r="A8" t="s">
        <v>81</v>
      </c>
      <c r="B8" t="s">
        <v>102</v>
      </c>
      <c r="C8">
        <v>2</v>
      </c>
      <c r="D8" t="s">
        <v>138</v>
      </c>
      <c r="E8" t="s">
        <v>138</v>
      </c>
      <c r="F8">
        <v>1990</v>
      </c>
      <c r="G8" s="22">
        <v>53707.980081380098</v>
      </c>
      <c r="H8" s="22">
        <v>3848.3306948905438</v>
      </c>
      <c r="I8" s="22">
        <v>5338.0929497210918</v>
      </c>
      <c r="J8" s="22">
        <v>4421.4506805736046</v>
      </c>
      <c r="K8" s="22">
        <v>8269.7813754641484</v>
      </c>
      <c r="L8" s="22">
        <v>3480.5223766430136</v>
      </c>
      <c r="M8" s="22">
        <v>312.8067026865732</v>
      </c>
    </row>
    <row r="9" spans="1:13" x14ac:dyDescent="0.2">
      <c r="A9" t="s">
        <v>67</v>
      </c>
      <c r="B9" t="s">
        <v>102</v>
      </c>
      <c r="C9">
        <v>2</v>
      </c>
      <c r="D9" t="s">
        <v>138</v>
      </c>
      <c r="E9" t="s">
        <v>138</v>
      </c>
      <c r="F9">
        <v>1990</v>
      </c>
      <c r="G9" s="22">
        <v>48216.509583630199</v>
      </c>
      <c r="H9" s="22">
        <v>473.873475454556</v>
      </c>
      <c r="I9" s="22">
        <v>434.70545433541827</v>
      </c>
      <c r="J9" s="22">
        <v>-44.781016364123957</v>
      </c>
      <c r="K9" s="22">
        <v>429.09245909043204</v>
      </c>
      <c r="L9" s="22">
        <v>0</v>
      </c>
      <c r="M9" s="22">
        <v>0</v>
      </c>
    </row>
    <row r="10" spans="1:13" x14ac:dyDescent="0.2">
      <c r="A10" t="s">
        <v>82</v>
      </c>
      <c r="B10" t="s">
        <v>102</v>
      </c>
      <c r="C10">
        <v>2</v>
      </c>
      <c r="D10" t="s">
        <v>138</v>
      </c>
      <c r="E10" t="s">
        <v>138</v>
      </c>
      <c r="F10">
        <v>1990</v>
      </c>
      <c r="G10" s="22">
        <v>45564.156944801303</v>
      </c>
      <c r="H10" s="22">
        <v>7590.2202968283236</v>
      </c>
      <c r="I10" s="22">
        <v>4128.2916155839448</v>
      </c>
      <c r="J10" s="22">
        <v>-1699.4116453494098</v>
      </c>
      <c r="K10" s="22">
        <v>5890.8086514789138</v>
      </c>
      <c r="L10" s="22">
        <v>0</v>
      </c>
      <c r="M10" s="22">
        <v>0</v>
      </c>
    </row>
    <row r="11" spans="1:13" x14ac:dyDescent="0.2">
      <c r="A11" t="s">
        <v>57</v>
      </c>
      <c r="B11" t="s">
        <v>102</v>
      </c>
      <c r="C11">
        <v>2</v>
      </c>
      <c r="D11" t="s">
        <v>138</v>
      </c>
      <c r="E11" t="s">
        <v>138</v>
      </c>
      <c r="F11">
        <v>1990</v>
      </c>
      <c r="G11" s="22">
        <v>37466.6963511535</v>
      </c>
      <c r="H11" s="22">
        <v>50351.02253951841</v>
      </c>
      <c r="I11" s="22">
        <v>35701.911613920543</v>
      </c>
      <c r="J11" s="22">
        <v>1527.3445450518266</v>
      </c>
      <c r="K11" s="22">
        <v>51878.367084570236</v>
      </c>
      <c r="L11" s="22">
        <v>0</v>
      </c>
      <c r="M11" s="22">
        <v>0</v>
      </c>
    </row>
    <row r="12" spans="1:13" x14ac:dyDescent="0.2">
      <c r="A12" t="s">
        <v>62</v>
      </c>
      <c r="B12" t="s">
        <v>102</v>
      </c>
      <c r="C12">
        <v>2</v>
      </c>
      <c r="D12" t="s">
        <v>138</v>
      </c>
      <c r="E12" t="s">
        <v>138</v>
      </c>
      <c r="F12">
        <v>1990</v>
      </c>
      <c r="G12" s="22">
        <v>34017.271807502402</v>
      </c>
      <c r="H12" s="22">
        <v>21327.817621710397</v>
      </c>
      <c r="I12" s="22">
        <v>14242.312049685153</v>
      </c>
      <c r="J12" s="22">
        <v>5477.2814293974097</v>
      </c>
      <c r="K12" s="22">
        <v>26805.099051107805</v>
      </c>
      <c r="L12" s="22">
        <v>0</v>
      </c>
      <c r="M12" s="22">
        <v>0</v>
      </c>
    </row>
    <row r="13" spans="1:13" x14ac:dyDescent="0.2">
      <c r="A13" t="s">
        <v>77</v>
      </c>
      <c r="B13" t="s">
        <v>102</v>
      </c>
      <c r="C13">
        <v>2</v>
      </c>
      <c r="D13" t="s">
        <v>138</v>
      </c>
      <c r="E13" t="s">
        <v>138</v>
      </c>
      <c r="F13">
        <v>1990</v>
      </c>
      <c r="G13" s="22">
        <v>32394.6833725203</v>
      </c>
      <c r="H13" s="22">
        <v>9510.3399574046452</v>
      </c>
      <c r="I13" s="22">
        <v>8489.6780427647336</v>
      </c>
      <c r="J13" s="22">
        <v>4707.5073804577241</v>
      </c>
      <c r="K13" s="22">
        <v>14217.847337862369</v>
      </c>
      <c r="L13" s="22">
        <v>0</v>
      </c>
      <c r="M13" s="22">
        <v>0</v>
      </c>
    </row>
    <row r="14" spans="1:13" x14ac:dyDescent="0.2">
      <c r="A14" t="s">
        <v>74</v>
      </c>
      <c r="B14" t="s">
        <v>102</v>
      </c>
      <c r="C14">
        <v>2</v>
      </c>
      <c r="D14" t="s">
        <v>138</v>
      </c>
      <c r="E14" t="s">
        <v>138</v>
      </c>
      <c r="F14">
        <v>1990</v>
      </c>
      <c r="G14" s="22">
        <v>30447.8823171601</v>
      </c>
      <c r="H14" s="22">
        <v>10735.306565150531</v>
      </c>
      <c r="I14" s="22">
        <v>14838.90000167178</v>
      </c>
      <c r="J14" s="22">
        <v>11046.714137598419</v>
      </c>
      <c r="K14" s="22">
        <v>21782.020702748952</v>
      </c>
      <c r="L14" s="22">
        <v>1968.6639702400141</v>
      </c>
      <c r="M14" s="22">
        <v>42.767462003418963</v>
      </c>
    </row>
    <row r="15" spans="1:13" x14ac:dyDescent="0.2">
      <c r="A15" t="s">
        <v>73</v>
      </c>
      <c r="B15" t="s">
        <v>102</v>
      </c>
      <c r="C15">
        <v>2</v>
      </c>
      <c r="D15" t="s">
        <v>138</v>
      </c>
      <c r="E15" t="s">
        <v>138</v>
      </c>
      <c r="F15">
        <v>1990</v>
      </c>
      <c r="G15" s="22">
        <v>15445.2421875</v>
      </c>
      <c r="H15" s="22">
        <v>33725.945147707505</v>
      </c>
      <c r="I15" s="22">
        <v>43041.379252151346</v>
      </c>
      <c r="J15" s="22">
        <v>31995.471392717322</v>
      </c>
      <c r="K15" s="22">
        <v>65721.416540424834</v>
      </c>
      <c r="L15" s="22">
        <v>8008.9201865919222</v>
      </c>
      <c r="M15" s="22">
        <v>59.731586453888909</v>
      </c>
    </row>
    <row r="16" spans="1:13" x14ac:dyDescent="0.2">
      <c r="A16" t="s">
        <v>51</v>
      </c>
      <c r="B16" t="s">
        <v>102</v>
      </c>
      <c r="C16">
        <v>2</v>
      </c>
      <c r="D16" t="s">
        <v>138</v>
      </c>
      <c r="E16" t="s">
        <v>138</v>
      </c>
      <c r="F16">
        <v>1990</v>
      </c>
      <c r="G16" s="22">
        <v>15411.1739539112</v>
      </c>
      <c r="H16" s="22">
        <v>-319.05685823454269</v>
      </c>
      <c r="I16" s="22">
        <v>1365.1006858851556</v>
      </c>
      <c r="J16" s="22">
        <v>-305.22340839512822</v>
      </c>
      <c r="K16" s="22">
        <v>-624.2802666296709</v>
      </c>
      <c r="L16" s="22">
        <v>0</v>
      </c>
      <c r="M16" s="22">
        <v>0</v>
      </c>
    </row>
    <row r="17" spans="1:13" x14ac:dyDescent="0.2">
      <c r="A17" t="s">
        <v>47</v>
      </c>
      <c r="B17" t="s">
        <v>103</v>
      </c>
      <c r="C17">
        <v>2</v>
      </c>
      <c r="D17" t="s">
        <v>138</v>
      </c>
      <c r="E17" t="s">
        <v>138</v>
      </c>
      <c r="F17">
        <v>1990</v>
      </c>
      <c r="G17" s="22">
        <v>13650.6046294524</v>
      </c>
      <c r="H17" s="22">
        <v>-596.04686912421766</v>
      </c>
      <c r="I17" s="22">
        <v>3695.9878961079612</v>
      </c>
      <c r="J17" s="22">
        <v>-451.02456262030228</v>
      </c>
      <c r="K17" s="22">
        <v>-1047.0714317445199</v>
      </c>
      <c r="L17" s="22">
        <v>0</v>
      </c>
      <c r="M17" s="22">
        <v>0</v>
      </c>
    </row>
    <row r="18" spans="1:13" x14ac:dyDescent="0.2">
      <c r="A18" t="s">
        <v>54</v>
      </c>
      <c r="B18" t="s">
        <v>103</v>
      </c>
      <c r="C18">
        <v>2</v>
      </c>
      <c r="D18" t="s">
        <v>138</v>
      </c>
      <c r="E18" t="s">
        <v>138</v>
      </c>
      <c r="F18">
        <v>1990</v>
      </c>
      <c r="G18" s="22">
        <v>13365.356399254601</v>
      </c>
      <c r="H18" s="22">
        <v>-428.56608186792653</v>
      </c>
      <c r="I18" s="22">
        <v>123.1563158519177</v>
      </c>
      <c r="J18" s="22">
        <v>-335.32429538017936</v>
      </c>
      <c r="K18" s="22">
        <v>-763.89037724810589</v>
      </c>
      <c r="L18" s="22">
        <v>0</v>
      </c>
      <c r="M18" s="22">
        <v>0</v>
      </c>
    </row>
    <row r="19" spans="1:13" x14ac:dyDescent="0.2">
      <c r="A19" t="s">
        <v>52</v>
      </c>
      <c r="B19" t="s">
        <v>103</v>
      </c>
      <c r="C19">
        <v>2</v>
      </c>
      <c r="D19" t="s">
        <v>138</v>
      </c>
      <c r="E19" t="s">
        <v>138</v>
      </c>
      <c r="F19">
        <v>1990</v>
      </c>
      <c r="G19" s="22">
        <v>12662.5831692254</v>
      </c>
      <c r="H19" s="22">
        <v>25207.68966549536</v>
      </c>
      <c r="I19" s="22">
        <v>246445.75939654111</v>
      </c>
      <c r="J19" s="22">
        <v>138767.37630783336</v>
      </c>
      <c r="K19" s="22">
        <v>163975.06597332872</v>
      </c>
      <c r="L19" s="22">
        <v>0</v>
      </c>
      <c r="M19" s="22">
        <v>0</v>
      </c>
    </row>
    <row r="20" spans="1:13" x14ac:dyDescent="0.2">
      <c r="A20" t="s">
        <v>63</v>
      </c>
      <c r="B20" t="s">
        <v>103</v>
      </c>
      <c r="C20">
        <v>2</v>
      </c>
      <c r="D20" t="s">
        <v>138</v>
      </c>
      <c r="E20" t="s">
        <v>138</v>
      </c>
      <c r="F20">
        <v>1990</v>
      </c>
      <c r="G20" s="22">
        <v>11484.4168149009</v>
      </c>
      <c r="H20" s="22">
        <v>4766.6890763480496</v>
      </c>
      <c r="I20" s="22">
        <v>5727.8237305352186</v>
      </c>
      <c r="J20" s="22">
        <v>3690.4821319444368</v>
      </c>
      <c r="K20" s="22">
        <v>8457.171208292486</v>
      </c>
      <c r="L20" s="22">
        <v>0</v>
      </c>
      <c r="M20" s="22">
        <v>0</v>
      </c>
    </row>
    <row r="21" spans="1:13" x14ac:dyDescent="0.2">
      <c r="A21" t="s">
        <v>65</v>
      </c>
      <c r="B21" t="s">
        <v>103</v>
      </c>
      <c r="C21">
        <v>2</v>
      </c>
      <c r="D21" t="s">
        <v>138</v>
      </c>
      <c r="E21" t="s">
        <v>138</v>
      </c>
      <c r="F21">
        <v>1990</v>
      </c>
      <c r="G21" s="22">
        <v>11476.678805776401</v>
      </c>
      <c r="H21" s="22">
        <v>-1666.0680875384842</v>
      </c>
      <c r="I21" s="22">
        <v>14514.129574908728</v>
      </c>
      <c r="J21" s="22">
        <v>2997.5435645649886</v>
      </c>
      <c r="K21" s="22">
        <v>1331.4754770265044</v>
      </c>
      <c r="L21" s="22">
        <v>0</v>
      </c>
      <c r="M21" s="22">
        <v>0</v>
      </c>
    </row>
    <row r="22" spans="1:13" x14ac:dyDescent="0.2">
      <c r="A22" t="s">
        <v>80</v>
      </c>
      <c r="B22" t="s">
        <v>103</v>
      </c>
      <c r="C22">
        <v>2</v>
      </c>
      <c r="D22" t="s">
        <v>138</v>
      </c>
      <c r="E22" t="s">
        <v>138</v>
      </c>
      <c r="F22">
        <v>1990</v>
      </c>
      <c r="G22" s="22">
        <v>10674.5041731531</v>
      </c>
      <c r="H22" s="22">
        <v>-855.33990009781519</v>
      </c>
      <c r="I22" s="22">
        <v>10031.460668803442</v>
      </c>
      <c r="J22" s="22">
        <v>2358.6924411793716</v>
      </c>
      <c r="K22" s="22">
        <v>1503.3525410815564</v>
      </c>
      <c r="L22" s="22">
        <v>0</v>
      </c>
      <c r="M22" s="22">
        <v>0</v>
      </c>
    </row>
    <row r="23" spans="1:13" x14ac:dyDescent="0.2">
      <c r="A23" t="s">
        <v>49</v>
      </c>
      <c r="B23" t="s">
        <v>103</v>
      </c>
      <c r="C23">
        <v>2</v>
      </c>
      <c r="D23" t="s">
        <v>138</v>
      </c>
      <c r="E23" t="s">
        <v>138</v>
      </c>
      <c r="F23">
        <v>1990</v>
      </c>
      <c r="G23" s="22">
        <v>9065.4973339540393</v>
      </c>
      <c r="H23" s="22">
        <v>-14973.194369003728</v>
      </c>
      <c r="I23" s="22">
        <v>7614.9240793693189</v>
      </c>
      <c r="J23" s="22">
        <v>-11041.58380667661</v>
      </c>
      <c r="K23" s="22">
        <v>-26014.778175680338</v>
      </c>
      <c r="L23" s="22">
        <v>0</v>
      </c>
      <c r="M23" s="22">
        <v>0</v>
      </c>
    </row>
    <row r="24" spans="1:13" x14ac:dyDescent="0.2">
      <c r="A24" t="s">
        <v>70</v>
      </c>
      <c r="B24" t="s">
        <v>103</v>
      </c>
      <c r="C24">
        <v>2</v>
      </c>
      <c r="D24" t="s">
        <v>138</v>
      </c>
      <c r="E24" t="s">
        <v>138</v>
      </c>
      <c r="F24">
        <v>1990</v>
      </c>
      <c r="G24" s="22">
        <v>7239.1113113089796</v>
      </c>
      <c r="H24" s="22">
        <v>-2978.1886787481544</v>
      </c>
      <c r="I24" s="22">
        <v>1064.9505283930807</v>
      </c>
      <c r="J24" s="22">
        <v>-2276.5247052132231</v>
      </c>
      <c r="K24" s="22">
        <v>-5254.713383961378</v>
      </c>
      <c r="L24" s="22">
        <v>0</v>
      </c>
      <c r="M24" s="22">
        <v>0</v>
      </c>
    </row>
    <row r="25" spans="1:13" x14ac:dyDescent="0.2">
      <c r="A25" t="s">
        <v>79</v>
      </c>
      <c r="B25" t="s">
        <v>103</v>
      </c>
      <c r="C25">
        <v>2</v>
      </c>
      <c r="D25" t="s">
        <v>138</v>
      </c>
      <c r="E25" t="s">
        <v>138</v>
      </c>
      <c r="F25">
        <v>1990</v>
      </c>
      <c r="G25" s="22">
        <v>6913.05080521119</v>
      </c>
      <c r="H25" s="22">
        <v>-2789.5725197369775</v>
      </c>
      <c r="I25" s="22">
        <v>6911.8334593150794</v>
      </c>
      <c r="J25" s="22">
        <v>1339.2813594800255</v>
      </c>
      <c r="K25" s="22">
        <v>-1450.291160256952</v>
      </c>
      <c r="L25" s="22">
        <v>0</v>
      </c>
      <c r="M25" s="22">
        <v>0</v>
      </c>
    </row>
    <row r="26" spans="1:13" x14ac:dyDescent="0.2">
      <c r="A26" t="s">
        <v>76</v>
      </c>
      <c r="B26" t="s">
        <v>103</v>
      </c>
      <c r="C26">
        <v>2</v>
      </c>
      <c r="D26" t="s">
        <v>138</v>
      </c>
      <c r="E26" t="s">
        <v>138</v>
      </c>
      <c r="F26">
        <v>1990</v>
      </c>
      <c r="G26" s="22">
        <v>6766.48125428394</v>
      </c>
      <c r="H26" s="22">
        <v>6131.6494176489568</v>
      </c>
      <c r="I26" s="22">
        <v>6247.8194242398567</v>
      </c>
      <c r="J26" s="22">
        <v>402.67925687883235</v>
      </c>
      <c r="K26" s="22">
        <v>6534.3286745277892</v>
      </c>
      <c r="L26" s="22">
        <v>0</v>
      </c>
      <c r="M26" s="22">
        <v>0</v>
      </c>
    </row>
    <row r="27" spans="1:13" x14ac:dyDescent="0.2">
      <c r="A27" t="s">
        <v>53</v>
      </c>
      <c r="B27" t="s">
        <v>103</v>
      </c>
      <c r="C27">
        <v>2</v>
      </c>
      <c r="D27" t="s">
        <v>138</v>
      </c>
      <c r="E27" t="s">
        <v>138</v>
      </c>
      <c r="F27">
        <v>1990</v>
      </c>
      <c r="G27" s="22">
        <v>6657.0866967735501</v>
      </c>
      <c r="H27" s="22">
        <v>-3909.4894712147666</v>
      </c>
      <c r="I27" s="22">
        <v>1481.8846295460121</v>
      </c>
      <c r="J27" s="22">
        <v>-3103.1301714282467</v>
      </c>
      <c r="K27" s="22">
        <v>-7012.6196426430133</v>
      </c>
      <c r="L27" s="22">
        <v>0</v>
      </c>
      <c r="M27" s="22">
        <v>0</v>
      </c>
    </row>
    <row r="28" spans="1:13" x14ac:dyDescent="0.2">
      <c r="A28" t="s">
        <v>60</v>
      </c>
      <c r="B28" t="s">
        <v>103</v>
      </c>
      <c r="C28">
        <v>2</v>
      </c>
      <c r="D28" t="s">
        <v>138</v>
      </c>
      <c r="E28" t="s">
        <v>138</v>
      </c>
      <c r="F28">
        <v>1990</v>
      </c>
      <c r="G28" s="22">
        <v>4787.9123640490297</v>
      </c>
      <c r="H28" s="22">
        <v>-21375.600159146052</v>
      </c>
      <c r="I28" s="22">
        <v>23574.61960046965</v>
      </c>
      <c r="J28" s="22">
        <v>-1841.5425056113781</v>
      </c>
      <c r="K28" s="22">
        <v>-23217.14266475743</v>
      </c>
      <c r="L28" s="22">
        <v>0</v>
      </c>
      <c r="M28" s="22">
        <v>0</v>
      </c>
    </row>
    <row r="29" spans="1:13" x14ac:dyDescent="0.2">
      <c r="A29" t="s">
        <v>61</v>
      </c>
      <c r="B29" t="s">
        <v>103</v>
      </c>
      <c r="C29">
        <v>2</v>
      </c>
      <c r="D29" t="s">
        <v>138</v>
      </c>
      <c r="E29" t="s">
        <v>138</v>
      </c>
      <c r="F29">
        <v>1990</v>
      </c>
      <c r="G29" s="22">
        <v>4668.4574430582597</v>
      </c>
      <c r="H29" s="22">
        <v>4823.062179988885</v>
      </c>
      <c r="I29" s="22">
        <v>32300.181270649187</v>
      </c>
      <c r="J29" s="22">
        <v>24386.525630294876</v>
      </c>
      <c r="K29" s="22">
        <v>29209.58781028376</v>
      </c>
      <c r="L29" s="22">
        <v>0</v>
      </c>
      <c r="M29" s="22">
        <v>0</v>
      </c>
    </row>
    <row r="30" spans="1:13" x14ac:dyDescent="0.2">
      <c r="A30" t="s">
        <v>55</v>
      </c>
      <c r="B30" t="s">
        <v>104</v>
      </c>
      <c r="C30">
        <v>2</v>
      </c>
      <c r="D30" t="s">
        <v>138</v>
      </c>
      <c r="E30" t="s">
        <v>138</v>
      </c>
      <c r="F30">
        <v>1990</v>
      </c>
      <c r="G30" s="22">
        <v>4295.4074956101404</v>
      </c>
      <c r="H30" s="22">
        <v>-6546.3666848699168</v>
      </c>
      <c r="I30" s="22">
        <v>9318.0282604445165</v>
      </c>
      <c r="J30" s="22">
        <v>-3252.7495383569203</v>
      </c>
      <c r="K30" s="22">
        <v>-9799.1162232268362</v>
      </c>
      <c r="L30" s="22">
        <v>0</v>
      </c>
      <c r="M30" s="22">
        <v>0</v>
      </c>
    </row>
    <row r="31" spans="1:13" x14ac:dyDescent="0.2">
      <c r="A31" t="s">
        <v>84</v>
      </c>
      <c r="B31" t="s">
        <v>104</v>
      </c>
      <c r="C31">
        <v>2</v>
      </c>
      <c r="D31" t="s">
        <v>138</v>
      </c>
      <c r="E31" t="s">
        <v>138</v>
      </c>
      <c r="F31">
        <v>1990</v>
      </c>
      <c r="G31" s="22">
        <v>4179.01179036963</v>
      </c>
      <c r="H31" s="22">
        <v>-8130.9474450868547</v>
      </c>
      <c r="I31" s="22">
        <v>7304.083793476485</v>
      </c>
      <c r="J31" s="22">
        <v>-1335.0886485157216</v>
      </c>
      <c r="K31" s="22">
        <v>-9466.0360936025754</v>
      </c>
      <c r="L31" s="22">
        <v>0</v>
      </c>
      <c r="M31" s="22">
        <v>0</v>
      </c>
    </row>
    <row r="32" spans="1:13" x14ac:dyDescent="0.2">
      <c r="A32" t="s">
        <v>71</v>
      </c>
      <c r="B32" t="s">
        <v>104</v>
      </c>
      <c r="C32">
        <v>2</v>
      </c>
      <c r="D32" t="s">
        <v>138</v>
      </c>
      <c r="E32" t="s">
        <v>138</v>
      </c>
      <c r="F32">
        <v>1990</v>
      </c>
      <c r="G32" s="22">
        <v>3499.1072795080099</v>
      </c>
      <c r="H32" s="22">
        <v>-10254.116565756034</v>
      </c>
      <c r="I32" s="22">
        <v>4895.7564109713448</v>
      </c>
      <c r="J32" s="22">
        <v>-7550.6090915334871</v>
      </c>
      <c r="K32" s="22">
        <v>-17804.72565728952</v>
      </c>
      <c r="L32" s="22">
        <v>0</v>
      </c>
      <c r="M32" s="22">
        <v>0</v>
      </c>
    </row>
    <row r="33" spans="1:13" x14ac:dyDescent="0.2">
      <c r="A33" t="s">
        <v>66</v>
      </c>
      <c r="B33" t="s">
        <v>104</v>
      </c>
      <c r="C33">
        <v>2</v>
      </c>
      <c r="D33" t="s">
        <v>138</v>
      </c>
      <c r="E33" t="s">
        <v>138</v>
      </c>
      <c r="F33">
        <v>1990</v>
      </c>
      <c r="G33" s="22">
        <v>3441.99145507813</v>
      </c>
      <c r="H33" s="22">
        <v>-3097.9743776027162</v>
      </c>
      <c r="I33" s="22">
        <v>2237.3586268069212</v>
      </c>
      <c r="J33" s="22">
        <v>-1357.6150302414562</v>
      </c>
      <c r="K33" s="22">
        <v>-4455.5894078441725</v>
      </c>
      <c r="L33" s="22">
        <v>0</v>
      </c>
      <c r="M33" s="22">
        <v>0</v>
      </c>
    </row>
    <row r="34" spans="1:13" x14ac:dyDescent="0.2">
      <c r="A34" t="s">
        <v>59</v>
      </c>
      <c r="B34" t="s">
        <v>104</v>
      </c>
      <c r="C34">
        <v>2</v>
      </c>
      <c r="D34" t="s">
        <v>138</v>
      </c>
      <c r="E34" t="s">
        <v>138</v>
      </c>
      <c r="F34">
        <v>1990</v>
      </c>
      <c r="G34" s="22">
        <v>2366.3096089993101</v>
      </c>
      <c r="H34" s="22">
        <v>-123182.44325566514</v>
      </c>
      <c r="I34" s="22">
        <v>92093.16066296908</v>
      </c>
      <c r="J34" s="22">
        <v>-41401.416689892969</v>
      </c>
      <c r="K34" s="22">
        <v>-164583.85994555813</v>
      </c>
      <c r="L34" s="22">
        <v>0</v>
      </c>
      <c r="M34" s="22">
        <v>0</v>
      </c>
    </row>
    <row r="35" spans="1:13" x14ac:dyDescent="0.2">
      <c r="A35" t="s">
        <v>68</v>
      </c>
      <c r="B35" t="s">
        <v>104</v>
      </c>
      <c r="C35">
        <v>2</v>
      </c>
      <c r="D35" t="s">
        <v>138</v>
      </c>
      <c r="E35" t="s">
        <v>138</v>
      </c>
      <c r="F35">
        <v>1990</v>
      </c>
      <c r="G35" s="22">
        <v>2162.6337321033002</v>
      </c>
      <c r="H35" s="22">
        <v>-18970.440640664929</v>
      </c>
      <c r="I35" s="22">
        <v>3035.7397227235892</v>
      </c>
      <c r="J35" s="22">
        <v>-26172.880545164116</v>
      </c>
      <c r="K35" s="22">
        <v>-45143.321185829045</v>
      </c>
      <c r="L35" s="22">
        <v>0</v>
      </c>
      <c r="M35" s="22">
        <v>0</v>
      </c>
    </row>
    <row r="36" spans="1:13" x14ac:dyDescent="0.2">
      <c r="A36" t="s">
        <v>64</v>
      </c>
      <c r="B36" t="s">
        <v>104</v>
      </c>
      <c r="C36">
        <v>2</v>
      </c>
      <c r="D36" t="s">
        <v>138</v>
      </c>
      <c r="E36" t="s">
        <v>138</v>
      </c>
      <c r="F36">
        <v>1990</v>
      </c>
      <c r="G36" s="22">
        <v>2099.29856841025</v>
      </c>
      <c r="H36" s="22">
        <v>-5190.7606112497078</v>
      </c>
      <c r="I36" s="22">
        <v>682.98675331322818</v>
      </c>
      <c r="J36" s="22">
        <v>-5948.109523893525</v>
      </c>
      <c r="K36" s="22">
        <v>-11138.870135143232</v>
      </c>
      <c r="L36" s="22">
        <v>0</v>
      </c>
      <c r="M36" s="22">
        <v>0</v>
      </c>
    </row>
    <row r="37" spans="1:13" x14ac:dyDescent="0.2">
      <c r="A37" t="s">
        <v>56</v>
      </c>
      <c r="B37" t="s">
        <v>105</v>
      </c>
      <c r="C37">
        <v>2</v>
      </c>
      <c r="D37" t="s">
        <v>138</v>
      </c>
      <c r="E37" t="s">
        <v>138</v>
      </c>
      <c r="F37">
        <v>1990</v>
      </c>
      <c r="G37" s="22">
        <v>1027.4986313632501</v>
      </c>
      <c r="H37" s="22">
        <v>-11918.770673804804</v>
      </c>
      <c r="I37" s="22">
        <v>306.57646664526953</v>
      </c>
      <c r="J37" s="22">
        <v>-16359.073291366907</v>
      </c>
      <c r="K37" s="22">
        <v>-28277.843965171713</v>
      </c>
      <c r="L37" s="22">
        <v>0</v>
      </c>
      <c r="M37" s="22">
        <v>0</v>
      </c>
    </row>
    <row r="38" spans="1:13" x14ac:dyDescent="0.2">
      <c r="A38" t="s">
        <v>58</v>
      </c>
      <c r="B38" t="s">
        <v>105</v>
      </c>
      <c r="C38">
        <v>2</v>
      </c>
      <c r="D38" t="s">
        <v>138</v>
      </c>
      <c r="E38" t="s">
        <v>138</v>
      </c>
      <c r="F38">
        <v>1990</v>
      </c>
      <c r="G38" s="22">
        <v>803.80865500647894</v>
      </c>
      <c r="H38" s="22">
        <v>-251.53027368851352</v>
      </c>
      <c r="I38" s="22">
        <v>14.310215729768139</v>
      </c>
      <c r="J38" s="22">
        <v>-347.15052347124453</v>
      </c>
      <c r="K38" s="22">
        <v>-598.68079715975807</v>
      </c>
      <c r="L38" s="22">
        <v>0</v>
      </c>
      <c r="M38" s="22">
        <v>0</v>
      </c>
    </row>
    <row r="39" spans="1:13" x14ac:dyDescent="0.2">
      <c r="A39" t="s">
        <v>72</v>
      </c>
      <c r="B39" t="s">
        <v>72</v>
      </c>
      <c r="C39">
        <v>2</v>
      </c>
      <c r="D39" t="s">
        <v>138</v>
      </c>
      <c r="E39" t="s">
        <v>138</v>
      </c>
      <c r="F39">
        <v>1990</v>
      </c>
      <c r="G39" s="22">
        <v>3882.2337051663412</v>
      </c>
      <c r="H39" s="22">
        <v>-103595.66473941997</v>
      </c>
      <c r="I39" s="22">
        <v>116491.70285721481</v>
      </c>
      <c r="J39" s="22">
        <v>-121105.2579862331</v>
      </c>
      <c r="K39" s="22">
        <v>-224700.92272565307</v>
      </c>
      <c r="L39" s="22">
        <v>0</v>
      </c>
      <c r="M39" s="22">
        <v>0</v>
      </c>
    </row>
    <row r="40" spans="1:13" x14ac:dyDescent="0.2">
      <c r="A40" t="s">
        <v>85</v>
      </c>
      <c r="B40" t="s">
        <v>85</v>
      </c>
      <c r="C40">
        <v>2</v>
      </c>
      <c r="D40" t="s">
        <v>138</v>
      </c>
      <c r="E40" t="s">
        <v>138</v>
      </c>
      <c r="F40">
        <v>1990</v>
      </c>
      <c r="G40" s="22">
        <v>12730.157167109801</v>
      </c>
      <c r="H40" s="22">
        <v>0</v>
      </c>
      <c r="I40" s="22">
        <v>800533.5</v>
      </c>
      <c r="J40" s="22">
        <v>25533.522354906658</v>
      </c>
      <c r="K40" s="22">
        <v>25533.522354906658</v>
      </c>
      <c r="L40" s="22">
        <v>25533.522354906592</v>
      </c>
      <c r="M40" s="22">
        <v>2.7141917593284446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T40"/>
  <sheetViews>
    <sheetView topLeftCell="K1" workbookViewId="0">
      <selection activeCell="M1" sqref="M1"/>
    </sheetView>
  </sheetViews>
  <sheetFormatPr baseColWidth="10" defaultColWidth="8.83203125" defaultRowHeight="15" x14ac:dyDescent="0.2"/>
  <cols>
    <col min="2" max="2" width="13.33203125" bestFit="1" customWidth="1"/>
    <col min="3" max="5" width="25.6640625" bestFit="1" customWidth="1"/>
    <col min="6" max="6" width="23.6640625" bestFit="1" customWidth="1"/>
    <col min="7" max="9" width="27.83203125" bestFit="1" customWidth="1"/>
    <col min="10" max="10" width="9.83203125" bestFit="1" customWidth="1"/>
    <col min="11" max="11" width="23.83203125" bestFit="1" customWidth="1"/>
    <col min="12" max="12" width="28" bestFit="1" customWidth="1"/>
    <col min="13" max="13" width="28.6640625" bestFit="1" customWidth="1"/>
    <col min="14" max="14" width="26" bestFit="1" customWidth="1"/>
    <col min="15" max="15" width="28.5" bestFit="1" customWidth="1"/>
    <col min="16" max="18" width="32.6640625" bestFit="1" customWidth="1"/>
    <col min="19" max="19" width="12.1640625" bestFit="1" customWidth="1"/>
    <col min="20" max="20" width="15.1640625" bestFit="1" customWidth="1"/>
  </cols>
  <sheetData>
    <row r="1" spans="1:20" x14ac:dyDescent="0.2">
      <c r="A1" t="s">
        <v>89</v>
      </c>
      <c r="B1" t="s">
        <v>119</v>
      </c>
      <c r="C1" t="s">
        <v>120</v>
      </c>
      <c r="D1" t="s">
        <v>121</v>
      </c>
      <c r="E1" t="s">
        <v>122</v>
      </c>
      <c r="F1" t="s">
        <v>123</v>
      </c>
      <c r="G1" t="s">
        <v>124</v>
      </c>
      <c r="H1" t="s">
        <v>125</v>
      </c>
      <c r="I1" t="s">
        <v>126</v>
      </c>
      <c r="J1" t="s">
        <v>127</v>
      </c>
      <c r="K1" t="s">
        <v>128</v>
      </c>
      <c r="L1" t="s">
        <v>129</v>
      </c>
      <c r="M1" t="s">
        <v>130</v>
      </c>
      <c r="N1" t="s">
        <v>131</v>
      </c>
      <c r="O1" t="s">
        <v>132</v>
      </c>
      <c r="P1" t="s">
        <v>133</v>
      </c>
      <c r="Q1" t="s">
        <v>134</v>
      </c>
      <c r="R1" t="s">
        <v>135</v>
      </c>
      <c r="S1" t="s">
        <v>136</v>
      </c>
      <c r="T1" t="s">
        <v>137</v>
      </c>
    </row>
    <row r="2" spans="1:20" x14ac:dyDescent="0.2">
      <c r="A2" t="s">
        <v>47</v>
      </c>
      <c r="B2">
        <v>45510318</v>
      </c>
      <c r="C2">
        <v>1301377860</v>
      </c>
      <c r="D2">
        <v>2416267861</v>
      </c>
      <c r="E2">
        <v>3717645721</v>
      </c>
      <c r="F2">
        <v>5.7065477018520203E-3</v>
      </c>
      <c r="G2">
        <v>5.9233139011402071E-3</v>
      </c>
      <c r="H2">
        <v>5.3509838177138889E-3</v>
      </c>
      <c r="I2">
        <v>5.5383082224138291E-3</v>
      </c>
      <c r="J2">
        <v>2050</v>
      </c>
      <c r="K2">
        <v>193.00479245337033</v>
      </c>
      <c r="L2">
        <v>5258.9669280055605</v>
      </c>
      <c r="M2">
        <v>3695.9878961079612</v>
      </c>
      <c r="N2">
        <v>8954.9548241135217</v>
      </c>
      <c r="O2">
        <v>5.1915354751327636E-3</v>
      </c>
      <c r="P2">
        <v>5.3203140060169331E-3</v>
      </c>
      <c r="Q2">
        <v>4.6169058420384183E-3</v>
      </c>
      <c r="R2">
        <v>5.0055566361498233E-3</v>
      </c>
      <c r="S2">
        <v>487902572164.34802</v>
      </c>
      <c r="T2">
        <v>10650.8604604345</v>
      </c>
    </row>
    <row r="3" spans="1:20" x14ac:dyDescent="0.2">
      <c r="A3" t="s">
        <v>48</v>
      </c>
      <c r="B3">
        <v>26177414</v>
      </c>
      <c r="C3">
        <v>695388683</v>
      </c>
      <c r="D3">
        <v>1502546364</v>
      </c>
      <c r="E3">
        <v>2197935047</v>
      </c>
      <c r="F3">
        <v>3.2823910767252585E-3</v>
      </c>
      <c r="G3">
        <v>3.1651110559922087E-3</v>
      </c>
      <c r="H3">
        <v>3.3274875724255814E-3</v>
      </c>
      <c r="I3">
        <v>3.2743415205947284E-3</v>
      </c>
      <c r="J3">
        <v>2050</v>
      </c>
      <c r="K3">
        <v>392.56475676856536</v>
      </c>
      <c r="L3">
        <v>12102.423332388227</v>
      </c>
      <c r="M3">
        <v>5634.9533240331739</v>
      </c>
      <c r="N3">
        <v>17737.376656421402</v>
      </c>
      <c r="O3">
        <v>1.0559395106954418E-2</v>
      </c>
      <c r="P3">
        <v>1.2243600928380498E-2</v>
      </c>
      <c r="Q3">
        <v>7.0389973270038615E-3</v>
      </c>
      <c r="R3">
        <v>9.914672399168498E-3</v>
      </c>
      <c r="S3">
        <v>1559033756285.1299</v>
      </c>
      <c r="T3">
        <v>60697.245435857898</v>
      </c>
    </row>
    <row r="4" spans="1:20" x14ac:dyDescent="0.2">
      <c r="A4" t="s">
        <v>49</v>
      </c>
      <c r="B4">
        <v>215313498</v>
      </c>
      <c r="C4">
        <v>6162527373</v>
      </c>
      <c r="D4">
        <v>10870264040</v>
      </c>
      <c r="E4">
        <v>17032791413</v>
      </c>
      <c r="F4">
        <v>2.6998201752613981E-2</v>
      </c>
      <c r="G4">
        <v>2.8049181699347444E-2</v>
      </c>
      <c r="H4">
        <v>2.4072913401349587E-2</v>
      </c>
      <c r="I4">
        <v>2.5374351353711889E-2</v>
      </c>
      <c r="J4">
        <v>2050</v>
      </c>
      <c r="K4">
        <v>483.82918799198501</v>
      </c>
      <c r="L4">
        <v>12752.559928141707</v>
      </c>
      <c r="M4">
        <v>7614.9240793693189</v>
      </c>
      <c r="N4">
        <v>20367.484007511026</v>
      </c>
      <c r="O4">
        <v>1.3014269549663749E-2</v>
      </c>
      <c r="P4">
        <v>1.2901321519432624E-2</v>
      </c>
      <c r="Q4">
        <v>9.5123113107977216E-3</v>
      </c>
      <c r="R4">
        <v>1.1384825131774422E-2</v>
      </c>
      <c r="S4">
        <v>1670647399034.6699</v>
      </c>
      <c r="T4">
        <v>7794.8809793315204</v>
      </c>
    </row>
    <row r="5" spans="1:20" x14ac:dyDescent="0.2">
      <c r="A5" t="s">
        <v>50</v>
      </c>
      <c r="B5">
        <v>38454327</v>
      </c>
      <c r="C5">
        <v>1082845881</v>
      </c>
      <c r="D5">
        <v>2150601835</v>
      </c>
      <c r="E5">
        <v>3233447716</v>
      </c>
      <c r="F5">
        <v>4.8217956061769578E-3</v>
      </c>
      <c r="G5">
        <v>4.9286500538127448E-3</v>
      </c>
      <c r="H5">
        <v>4.7626489608929966E-3</v>
      </c>
      <c r="I5">
        <v>4.816981341474097E-3</v>
      </c>
      <c r="J5">
        <v>2050</v>
      </c>
      <c r="K5">
        <v>548.34267199348994</v>
      </c>
      <c r="L5">
        <v>17918.066788668752</v>
      </c>
      <c r="M5">
        <v>6749.3311903353779</v>
      </c>
      <c r="N5">
        <v>24667.39797900413</v>
      </c>
      <c r="O5">
        <v>1.4749584183880098E-2</v>
      </c>
      <c r="P5">
        <v>1.8127085224446275E-2</v>
      </c>
      <c r="Q5">
        <v>8.4310413016572532E-3</v>
      </c>
      <c r="R5">
        <v>1.3788350703664878E-2</v>
      </c>
      <c r="S5">
        <v>2007472181464.1499</v>
      </c>
      <c r="T5">
        <v>52496.844169324198</v>
      </c>
    </row>
    <row r="6" spans="1:20" x14ac:dyDescent="0.2">
      <c r="A6" t="s">
        <v>51</v>
      </c>
      <c r="B6">
        <v>19603733</v>
      </c>
      <c r="C6">
        <v>541035161</v>
      </c>
      <c r="D6">
        <v>973218785</v>
      </c>
      <c r="E6">
        <v>1514253946</v>
      </c>
      <c r="F6">
        <v>2.4581159265657212E-3</v>
      </c>
      <c r="G6">
        <v>2.4625600209280726E-3</v>
      </c>
      <c r="H6">
        <v>2.1552568958455275E-3</v>
      </c>
      <c r="I6">
        <v>2.2558376212617024E-3</v>
      </c>
      <c r="J6">
        <v>2050</v>
      </c>
      <c r="K6">
        <v>84.439131499386761</v>
      </c>
      <c r="L6">
        <v>2115.1080601599742</v>
      </c>
      <c r="M6">
        <v>1365.1006858851556</v>
      </c>
      <c r="N6">
        <v>3480.2087460451298</v>
      </c>
      <c r="O6">
        <v>2.2712842572257682E-3</v>
      </c>
      <c r="P6">
        <v>2.139781289892249E-3</v>
      </c>
      <c r="Q6">
        <v>1.7052386286953703E-3</v>
      </c>
      <c r="R6">
        <v>1.945334435082128E-3</v>
      </c>
      <c r="S6">
        <v>315515014838.539</v>
      </c>
      <c r="T6">
        <v>16185.9147709548</v>
      </c>
    </row>
    <row r="7" spans="1:20" x14ac:dyDescent="0.2">
      <c r="A7" t="s">
        <v>52</v>
      </c>
      <c r="B7">
        <v>1425887337</v>
      </c>
      <c r="C7">
        <v>43264697859</v>
      </c>
      <c r="D7">
        <v>62739096873</v>
      </c>
      <c r="E7">
        <v>106003794732</v>
      </c>
      <c r="F7">
        <v>0.17879229290503415</v>
      </c>
      <c r="G7">
        <v>0.19692234986758239</v>
      </c>
      <c r="H7">
        <v>0.13893984914671967</v>
      </c>
      <c r="I7">
        <v>0.15791759947835635</v>
      </c>
      <c r="J7">
        <v>2060</v>
      </c>
      <c r="K7">
        <v>11405.072022342312</v>
      </c>
      <c r="L7">
        <v>219859.38205950629</v>
      </c>
      <c r="M7">
        <v>246445.75939654111</v>
      </c>
      <c r="N7">
        <v>466305.14145604742</v>
      </c>
      <c r="O7">
        <v>0.30677909728453656</v>
      </c>
      <c r="P7">
        <v>0.22242409312298733</v>
      </c>
      <c r="Q7">
        <v>0.30785189191275669</v>
      </c>
      <c r="R7">
        <v>0.26065087330210646</v>
      </c>
      <c r="S7">
        <v>17820459508852.199</v>
      </c>
      <c r="T7">
        <v>12617.5051041181</v>
      </c>
    </row>
    <row r="8" spans="1:20" x14ac:dyDescent="0.2">
      <c r="A8" t="s">
        <v>53</v>
      </c>
      <c r="B8">
        <v>51874024</v>
      </c>
      <c r="C8">
        <v>1400496278</v>
      </c>
      <c r="D8">
        <v>2671471093</v>
      </c>
      <c r="E8">
        <v>4071967371</v>
      </c>
      <c r="F8">
        <v>6.5044940455704255E-3</v>
      </c>
      <c r="G8">
        <v>6.3744584312910623E-3</v>
      </c>
      <c r="H8">
        <v>5.9161481302893656E-3</v>
      </c>
      <c r="I8">
        <v>6.0661537071219273E-3</v>
      </c>
      <c r="J8">
        <v>2050</v>
      </c>
      <c r="K8">
        <v>99.790447633857198</v>
      </c>
      <c r="L8">
        <v>2391.4668325284842</v>
      </c>
      <c r="M8">
        <v>1481.8846295460121</v>
      </c>
      <c r="N8">
        <v>3873.3514620744963</v>
      </c>
      <c r="O8">
        <v>2.6842113213106453E-3</v>
      </c>
      <c r="P8">
        <v>2.4193638519136914E-3</v>
      </c>
      <c r="Q8">
        <v>1.8511212687093905E-3</v>
      </c>
      <c r="R8">
        <v>2.1650896621968076E-3</v>
      </c>
      <c r="S8">
        <v>318524633225.39502</v>
      </c>
      <c r="T8">
        <v>6182.9559438651004</v>
      </c>
    </row>
    <row r="9" spans="1:20" x14ac:dyDescent="0.2">
      <c r="A9" t="s">
        <v>54</v>
      </c>
      <c r="B9">
        <v>5180829</v>
      </c>
      <c r="C9">
        <v>142193117</v>
      </c>
      <c r="D9">
        <v>267134950</v>
      </c>
      <c r="E9">
        <v>409328067</v>
      </c>
      <c r="F9">
        <v>6.496251646415282E-4</v>
      </c>
      <c r="G9">
        <v>6.472020866964464E-4</v>
      </c>
      <c r="H9">
        <v>5.9158788546077043E-4</v>
      </c>
      <c r="I9">
        <v>6.0979048819129222E-4</v>
      </c>
      <c r="J9">
        <v>2050</v>
      </c>
      <c r="K9">
        <v>7.8944352821586632</v>
      </c>
      <c r="L9">
        <v>211.17329551159091</v>
      </c>
      <c r="M9">
        <v>123.1563158519177</v>
      </c>
      <c r="N9">
        <v>334.3296113635086</v>
      </c>
      <c r="O9">
        <v>2.123483064979755E-4</v>
      </c>
      <c r="P9">
        <v>2.136366813459227E-4</v>
      </c>
      <c r="Q9">
        <v>1.5384279660098714E-4</v>
      </c>
      <c r="R9">
        <v>1.8688042962714414E-4</v>
      </c>
      <c r="S9">
        <v>64960725734.196503</v>
      </c>
      <c r="T9">
        <v>12604.0488374654</v>
      </c>
    </row>
    <row r="10" spans="1:20" x14ac:dyDescent="0.2">
      <c r="A10" t="s">
        <v>55</v>
      </c>
      <c r="B10">
        <v>110990103</v>
      </c>
      <c r="C10">
        <v>2711464435</v>
      </c>
      <c r="D10">
        <v>7324397186</v>
      </c>
      <c r="E10">
        <v>10035861621</v>
      </c>
      <c r="F10">
        <v>1.3917070788276387E-2</v>
      </c>
      <c r="G10">
        <v>1.23414232514166E-2</v>
      </c>
      <c r="H10">
        <v>1.622035845006637E-2</v>
      </c>
      <c r="I10">
        <v>1.495077775179742E-2</v>
      </c>
      <c r="J10">
        <v>2070</v>
      </c>
      <c r="K10">
        <v>259.14012716993938</v>
      </c>
      <c r="L10">
        <v>5652.7510082432118</v>
      </c>
      <c r="M10">
        <v>9318.0282604445165</v>
      </c>
      <c r="N10">
        <v>14970.779268687729</v>
      </c>
      <c r="O10">
        <v>6.9704754277445571E-3</v>
      </c>
      <c r="P10">
        <v>5.7186916695610946E-3</v>
      </c>
      <c r="Q10">
        <v>1.1639772726860878E-2</v>
      </c>
      <c r="R10">
        <v>8.3682257463685555E-3</v>
      </c>
      <c r="S10">
        <v>424671765455.70398</v>
      </c>
      <c r="T10">
        <v>3886.7224983901001</v>
      </c>
    </row>
    <row r="11" spans="1:20" x14ac:dyDescent="0.2">
      <c r="A11" t="s">
        <v>56</v>
      </c>
      <c r="B11">
        <v>123379925</v>
      </c>
      <c r="C11">
        <v>2705779529</v>
      </c>
      <c r="D11">
        <v>9710285246</v>
      </c>
      <c r="E11">
        <v>12416064775</v>
      </c>
      <c r="F11">
        <v>1.5470632999387626E-2</v>
      </c>
      <c r="G11">
        <v>1.2315547997371265E-2</v>
      </c>
      <c r="H11">
        <v>2.1504064203886675E-2</v>
      </c>
      <c r="I11">
        <v>1.8496650513247011E-2</v>
      </c>
      <c r="J11">
        <v>2060</v>
      </c>
      <c r="K11">
        <v>19.087140143624811</v>
      </c>
      <c r="L11">
        <v>254.77012570312226</v>
      </c>
      <c r="M11">
        <v>306.57646664526953</v>
      </c>
      <c r="N11">
        <v>561.34659234839182</v>
      </c>
      <c r="O11">
        <v>5.1341505003508787E-4</v>
      </c>
      <c r="P11">
        <v>2.5774207874835732E-4</v>
      </c>
      <c r="Q11">
        <v>3.8296518269893593E-4</v>
      </c>
      <c r="R11">
        <v>3.137762518849712E-4</v>
      </c>
      <c r="S11">
        <v>111261882958.42599</v>
      </c>
      <c r="T11">
        <v>925.00069759157998</v>
      </c>
    </row>
    <row r="12" spans="1:20" x14ac:dyDescent="0.2">
      <c r="A12" t="s">
        <v>57</v>
      </c>
      <c r="B12">
        <v>436930922</v>
      </c>
      <c r="C12">
        <v>13957030962</v>
      </c>
      <c r="D12">
        <v>19911902579</v>
      </c>
      <c r="E12">
        <v>33868933541</v>
      </c>
      <c r="F12">
        <v>5.4786854023019228E-2</v>
      </c>
      <c r="G12">
        <v>6.352641923373345E-2</v>
      </c>
      <c r="H12">
        <v>4.4096215572733827E-2</v>
      </c>
      <c r="I12">
        <v>5.0455747317431868E-2</v>
      </c>
      <c r="J12">
        <v>2050</v>
      </c>
      <c r="K12">
        <v>2763.9172374815575</v>
      </c>
      <c r="L12">
        <v>113144.93609931841</v>
      </c>
      <c r="M12">
        <v>35701.911613920543</v>
      </c>
      <c r="N12">
        <v>148846.84771323897</v>
      </c>
      <c r="O12">
        <v>7.4345171466056445E-2</v>
      </c>
      <c r="P12">
        <v>0.114464798216061</v>
      </c>
      <c r="Q12">
        <v>4.4597647215193749E-2</v>
      </c>
      <c r="R12">
        <v>8.3201014519326891E-2</v>
      </c>
      <c r="S12">
        <v>17315127119106.5</v>
      </c>
      <c r="T12">
        <v>38720.875172895503</v>
      </c>
    </row>
    <row r="13" spans="1:20" x14ac:dyDescent="0.2">
      <c r="A13" t="s">
        <v>58</v>
      </c>
      <c r="B13">
        <v>2705992</v>
      </c>
      <c r="C13">
        <v>58804928</v>
      </c>
      <c r="D13">
        <v>210606063</v>
      </c>
      <c r="E13">
        <v>269410991</v>
      </c>
      <c r="F13">
        <v>3.3930486771878746E-4</v>
      </c>
      <c r="G13">
        <v>2.6765481278277547E-4</v>
      </c>
      <c r="H13">
        <v>4.6640095380775821E-4</v>
      </c>
      <c r="I13">
        <v>4.0135107501922129E-4</v>
      </c>
      <c r="J13">
        <v>2050</v>
      </c>
      <c r="K13">
        <v>0.77103306564803942</v>
      </c>
      <c r="L13">
        <v>13.038285038329466</v>
      </c>
      <c r="M13">
        <v>14.310215729768139</v>
      </c>
      <c r="N13">
        <v>27.348500768097605</v>
      </c>
      <c r="O13">
        <v>2.0739617197740038E-5</v>
      </c>
      <c r="P13">
        <v>1.3190379679792491E-5</v>
      </c>
      <c r="Q13">
        <v>1.7875848206421367E-5</v>
      </c>
      <c r="R13">
        <v>1.5287008387789508E-5</v>
      </c>
      <c r="S13">
        <v>2014158842.65394</v>
      </c>
      <c r="T13">
        <v>762.96323165355898</v>
      </c>
    </row>
    <row r="14" spans="1:20" x14ac:dyDescent="0.2">
      <c r="A14" t="s">
        <v>59</v>
      </c>
      <c r="B14">
        <v>1417173173</v>
      </c>
      <c r="C14">
        <v>38348126663</v>
      </c>
      <c r="D14">
        <v>77780971262</v>
      </c>
      <c r="E14">
        <v>116129097925</v>
      </c>
      <c r="F14">
        <v>0.17769962217160262</v>
      </c>
      <c r="G14">
        <v>0.17454422633687139</v>
      </c>
      <c r="H14">
        <v>0.17225106755208008</v>
      </c>
      <c r="I14">
        <v>0.1730016215010737</v>
      </c>
      <c r="J14">
        <v>2070</v>
      </c>
      <c r="K14">
        <v>2831.7036201616979</v>
      </c>
      <c r="L14">
        <v>49349.161597321465</v>
      </c>
      <c r="M14">
        <v>92093.16066296908</v>
      </c>
      <c r="N14">
        <v>141442.32226029056</v>
      </c>
      <c r="O14">
        <v>7.6168522098657432E-2</v>
      </c>
      <c r="P14">
        <v>4.9924831098147715E-2</v>
      </c>
      <c r="Q14">
        <v>0.11503973049381025</v>
      </c>
      <c r="R14">
        <v>7.9062102347626992E-2</v>
      </c>
      <c r="S14">
        <v>3167270623260.52</v>
      </c>
      <c r="T14">
        <v>2250.1790176424001</v>
      </c>
    </row>
    <row r="15" spans="1:20" x14ac:dyDescent="0.2">
      <c r="A15" t="s">
        <v>60</v>
      </c>
      <c r="B15">
        <v>275501339</v>
      </c>
      <c r="C15">
        <v>7634484538</v>
      </c>
      <c r="D15">
        <v>14808794586</v>
      </c>
      <c r="E15">
        <v>22443279124</v>
      </c>
      <c r="F15">
        <v>3.4545166942749214E-2</v>
      </c>
      <c r="G15">
        <v>3.4748899441070381E-2</v>
      </c>
      <c r="H15">
        <v>3.2795047878814231E-2</v>
      </c>
      <c r="I15">
        <v>3.3434546118327621E-2</v>
      </c>
      <c r="J15">
        <v>2060</v>
      </c>
      <c r="K15">
        <v>729.41373727555663</v>
      </c>
      <c r="L15">
        <v>12972.61927649423</v>
      </c>
      <c r="M15">
        <v>23574.61960046965</v>
      </c>
      <c r="N15">
        <v>36547.238876963878</v>
      </c>
      <c r="O15">
        <v>1.9620120541981367E-2</v>
      </c>
      <c r="P15">
        <v>1.3123947911502161E-2</v>
      </c>
      <c r="Q15">
        <v>2.9448635119140126E-2</v>
      </c>
      <c r="R15">
        <v>2.0428832717383261E-2</v>
      </c>
      <c r="S15">
        <v>1186509691086.73</v>
      </c>
      <c r="T15">
        <v>4334.2314540791303</v>
      </c>
    </row>
    <row r="16" spans="1:20" x14ac:dyDescent="0.2">
      <c r="A16" t="s">
        <v>61</v>
      </c>
      <c r="B16">
        <v>88550570</v>
      </c>
      <c r="C16">
        <v>2376699157</v>
      </c>
      <c r="D16">
        <v>4610912549</v>
      </c>
      <c r="E16">
        <v>6987611706</v>
      </c>
      <c r="F16">
        <v>1.1103373343407235E-2</v>
      </c>
      <c r="G16">
        <v>1.081771527562818E-2</v>
      </c>
      <c r="H16">
        <v>1.0211168568199111E-2</v>
      </c>
      <c r="I16">
        <v>1.0409692119873443E-2</v>
      </c>
      <c r="J16">
        <v>2070</v>
      </c>
      <c r="K16">
        <v>691.13790799763228</v>
      </c>
      <c r="L16">
        <v>15516.041355047015</v>
      </c>
      <c r="M16">
        <v>32300.181270649187</v>
      </c>
      <c r="N16">
        <v>47816.222625696202</v>
      </c>
      <c r="O16">
        <v>1.8590558928455746E-2</v>
      </c>
      <c r="P16">
        <v>1.5697039602890484E-2</v>
      </c>
      <c r="Q16">
        <v>4.0348318176149159E-2</v>
      </c>
      <c r="R16">
        <v>2.6727863532618617E-2</v>
      </c>
      <c r="S16">
        <v>359096907772.27301</v>
      </c>
      <c r="T16">
        <v>4084.20030478647</v>
      </c>
    </row>
    <row r="17" spans="1:20" x14ac:dyDescent="0.2">
      <c r="A17" t="s">
        <v>62</v>
      </c>
      <c r="B17">
        <v>123951692</v>
      </c>
      <c r="C17">
        <v>4174287934</v>
      </c>
      <c r="D17">
        <v>5106968450</v>
      </c>
      <c r="E17">
        <v>9281256384</v>
      </c>
      <c r="F17">
        <v>1.5542326975682075E-2</v>
      </c>
      <c r="G17">
        <v>1.8999568462632396E-2</v>
      </c>
      <c r="H17">
        <v>1.1309716929403541E-2</v>
      </c>
      <c r="I17">
        <v>1.3826615660410865E-2</v>
      </c>
      <c r="J17">
        <v>2050</v>
      </c>
      <c r="K17">
        <v>1054.5648350468477</v>
      </c>
      <c r="L17">
        <v>40108.307284230366</v>
      </c>
      <c r="M17">
        <v>14242.312049685153</v>
      </c>
      <c r="N17">
        <v>54350.619333915522</v>
      </c>
      <c r="O17">
        <v>2.8366190716719884E-2</v>
      </c>
      <c r="P17">
        <v>4.0576180060301031E-2</v>
      </c>
      <c r="Q17">
        <v>1.7791025175046948E-2</v>
      </c>
      <c r="R17">
        <v>3.0380399301753631E-2</v>
      </c>
      <c r="S17">
        <v>5034620784584.9805</v>
      </c>
      <c r="T17">
        <v>40058.537327617902</v>
      </c>
    </row>
    <row r="18" spans="1:20" x14ac:dyDescent="0.2">
      <c r="A18" t="s">
        <v>63</v>
      </c>
      <c r="B18">
        <v>19397998</v>
      </c>
      <c r="C18">
        <v>555268279</v>
      </c>
      <c r="D18">
        <v>1187062512</v>
      </c>
      <c r="E18">
        <v>1742330791</v>
      </c>
      <c r="F18">
        <v>2.4323187745563563E-3</v>
      </c>
      <c r="G18">
        <v>2.5273430699542551E-3</v>
      </c>
      <c r="H18">
        <v>2.6288278691493959E-3</v>
      </c>
      <c r="I18">
        <v>2.5956117581221478E-3</v>
      </c>
      <c r="J18">
        <v>2060</v>
      </c>
      <c r="K18">
        <v>271.37564163940669</v>
      </c>
      <c r="L18">
        <v>7264.8900482421832</v>
      </c>
      <c r="M18">
        <v>5727.8237305352186</v>
      </c>
      <c r="N18">
        <v>12992.713778777401</v>
      </c>
      <c r="O18">
        <v>7.2995921642633483E-3</v>
      </c>
      <c r="P18">
        <v>7.3496366881497625E-3</v>
      </c>
      <c r="Q18">
        <v>7.1550079672939148E-3</v>
      </c>
      <c r="R18">
        <v>7.2625452561557238E-3</v>
      </c>
      <c r="S18">
        <v>197112255360.612</v>
      </c>
      <c r="T18">
        <v>10270.887339102699</v>
      </c>
    </row>
    <row r="19" spans="1:20" x14ac:dyDescent="0.2">
      <c r="A19" t="s">
        <v>64</v>
      </c>
      <c r="B19">
        <v>54027487</v>
      </c>
      <c r="C19">
        <v>1241690793</v>
      </c>
      <c r="D19">
        <v>3863625918</v>
      </c>
      <c r="E19">
        <v>5105316711</v>
      </c>
      <c r="F19">
        <v>6.7745171935887135E-3</v>
      </c>
      <c r="G19">
        <v>5.6516439699494407E-3</v>
      </c>
      <c r="H19">
        <v>8.5562532609119394E-3</v>
      </c>
      <c r="I19">
        <v>7.60557074033199E-3</v>
      </c>
      <c r="J19">
        <v>2070</v>
      </c>
      <c r="K19">
        <v>24.870007871152989</v>
      </c>
      <c r="L19">
        <v>395.71580597166434</v>
      </c>
      <c r="M19">
        <v>682.98675331322818</v>
      </c>
      <c r="N19">
        <v>1078.7025592848925</v>
      </c>
      <c r="O19">
        <v>6.6896539971211051E-4</v>
      </c>
      <c r="P19">
        <v>4.0033192331022371E-4</v>
      </c>
      <c r="Q19">
        <v>8.5316446374925753E-4</v>
      </c>
      <c r="R19">
        <v>6.0296303667783219E-4</v>
      </c>
      <c r="S19">
        <v>109703658904.994</v>
      </c>
      <c r="T19">
        <v>2069.6611288191798</v>
      </c>
    </row>
    <row r="20" spans="1:20" x14ac:dyDescent="0.2">
      <c r="A20" t="s">
        <v>65</v>
      </c>
      <c r="B20">
        <v>127504126</v>
      </c>
      <c r="C20">
        <v>3509095905</v>
      </c>
      <c r="D20">
        <v>6710169531</v>
      </c>
      <c r="E20">
        <v>10219265436</v>
      </c>
      <c r="F20">
        <v>1.5987767371828745E-2</v>
      </c>
      <c r="G20">
        <v>1.5971899625309958E-2</v>
      </c>
      <c r="H20">
        <v>1.4860110981088696E-2</v>
      </c>
      <c r="I20">
        <v>1.5224000896998931E-2</v>
      </c>
      <c r="J20">
        <v>2070</v>
      </c>
      <c r="K20">
        <v>512.34457256008398</v>
      </c>
      <c r="L20">
        <v>14121.663954580787</v>
      </c>
      <c r="M20">
        <v>14514.129574908728</v>
      </c>
      <c r="N20">
        <v>28635.793529489514</v>
      </c>
      <c r="O20">
        <v>1.3781290040142528E-2</v>
      </c>
      <c r="P20">
        <v>1.4286396464241312E-2</v>
      </c>
      <c r="Q20">
        <v>1.8130570637707871E-2</v>
      </c>
      <c r="R20">
        <v>1.6006567218739921E-2</v>
      </c>
      <c r="S20">
        <v>1313069763986.6001</v>
      </c>
      <c r="T20">
        <v>10363.1927221972</v>
      </c>
    </row>
    <row r="21" spans="1:20" x14ac:dyDescent="0.2">
      <c r="A21" t="s">
        <v>66</v>
      </c>
      <c r="B21">
        <v>37457971</v>
      </c>
      <c r="C21">
        <v>1022132083</v>
      </c>
      <c r="D21">
        <v>2094620982</v>
      </c>
      <c r="E21">
        <v>3116753065</v>
      </c>
      <c r="F21">
        <v>4.6968623318802043E-3</v>
      </c>
      <c r="G21">
        <v>4.6523068834406758E-3</v>
      </c>
      <c r="H21">
        <v>4.6386756865140349E-3</v>
      </c>
      <c r="I21">
        <v>4.6431371955689919E-3</v>
      </c>
      <c r="J21">
        <v>2070</v>
      </c>
      <c r="K21">
        <v>68.461593934853894</v>
      </c>
      <c r="L21">
        <v>1500.6880342920122</v>
      </c>
      <c r="M21">
        <v>2237.3586268069212</v>
      </c>
      <c r="N21">
        <v>3738.0466610989333</v>
      </c>
      <c r="O21">
        <v>1.8415127887707616E-3</v>
      </c>
      <c r="P21">
        <v>1.5181939108587926E-3</v>
      </c>
      <c r="Q21">
        <v>2.7948344002201768E-3</v>
      </c>
      <c r="R21">
        <v>2.0894582539174021E-3</v>
      </c>
      <c r="S21">
        <v>141817797083.46799</v>
      </c>
      <c r="T21">
        <v>3767.52490234375</v>
      </c>
    </row>
    <row r="22" spans="1:20" x14ac:dyDescent="0.2">
      <c r="A22" t="s">
        <v>67</v>
      </c>
      <c r="B22">
        <v>5185289</v>
      </c>
      <c r="C22">
        <v>138601449</v>
      </c>
      <c r="D22">
        <v>279374070</v>
      </c>
      <c r="E22">
        <v>417975519</v>
      </c>
      <c r="F22">
        <v>6.501844049164535E-4</v>
      </c>
      <c r="G22">
        <v>6.3085435430711525E-4</v>
      </c>
      <c r="H22">
        <v>6.1869222025747383E-4</v>
      </c>
      <c r="I22">
        <v>6.226729030604655E-4</v>
      </c>
      <c r="J22">
        <v>2050</v>
      </c>
      <c r="K22">
        <v>32.235259744932051</v>
      </c>
      <c r="L22">
        <v>1097.4536216522017</v>
      </c>
      <c r="M22">
        <v>434.70545433541827</v>
      </c>
      <c r="N22">
        <v>1532.1590759876199</v>
      </c>
      <c r="O22">
        <v>8.6707947708793555E-4</v>
      </c>
      <c r="P22">
        <v>1.1102556745768613E-3</v>
      </c>
      <c r="Q22">
        <v>5.4301967649856512E-4</v>
      </c>
      <c r="R22">
        <v>8.5643190625545344E-4</v>
      </c>
      <c r="S22">
        <v>253644079784.97699</v>
      </c>
      <c r="T22">
        <v>49624.181672955303</v>
      </c>
    </row>
    <row r="23" spans="1:20" x14ac:dyDescent="0.2">
      <c r="A23" t="s">
        <v>68</v>
      </c>
      <c r="B23">
        <v>218541212</v>
      </c>
      <c r="C23">
        <v>4919909785</v>
      </c>
      <c r="D23">
        <v>17018480441</v>
      </c>
      <c r="E23">
        <v>21938390226</v>
      </c>
      <c r="F23">
        <v>2.7402925444259811E-2</v>
      </c>
      <c r="G23">
        <v>2.2393319356029482E-2</v>
      </c>
      <c r="H23">
        <v>3.7688542281145432E-2</v>
      </c>
      <c r="I23">
        <v>3.2682395282812637E-2</v>
      </c>
      <c r="J23">
        <v>2060</v>
      </c>
      <c r="K23">
        <v>128.85318418966182</v>
      </c>
      <c r="L23">
        <v>3164.6675067941051</v>
      </c>
      <c r="M23">
        <v>3035.7397227235892</v>
      </c>
      <c r="N23">
        <v>6200.4072295176938</v>
      </c>
      <c r="O23">
        <v>3.4659547480721847E-3</v>
      </c>
      <c r="P23">
        <v>3.2015840927086285E-3</v>
      </c>
      <c r="Q23">
        <v>3.7921456603009457E-3</v>
      </c>
      <c r="R23">
        <v>3.4658454636722338E-3</v>
      </c>
      <c r="S23">
        <v>440838992188.47803</v>
      </c>
      <c r="T23">
        <v>2065.77441035114</v>
      </c>
    </row>
    <row r="24" spans="1:20" x14ac:dyDescent="0.2">
      <c r="A24" t="s">
        <v>69</v>
      </c>
      <c r="B24">
        <v>5434319</v>
      </c>
      <c r="C24">
        <v>157435331</v>
      </c>
      <c r="D24">
        <v>298412713</v>
      </c>
      <c r="E24">
        <v>455848044</v>
      </c>
      <c r="F24">
        <v>6.8141032546906774E-4</v>
      </c>
      <c r="G24">
        <v>7.1657810794699536E-4</v>
      </c>
      <c r="H24">
        <v>6.6085454515884862E-4</v>
      </c>
      <c r="I24">
        <v>6.7909294207231985E-4</v>
      </c>
      <c r="J24">
        <v>2050</v>
      </c>
      <c r="K24">
        <v>40.83770014556027</v>
      </c>
      <c r="L24">
        <v>1389.0902474526927</v>
      </c>
      <c r="M24">
        <v>378.32330422125142</v>
      </c>
      <c r="N24">
        <v>1767.4135516739441</v>
      </c>
      <c r="O24">
        <v>1.0984720448313839E-3</v>
      </c>
      <c r="P24">
        <v>1.4052943097603511E-3</v>
      </c>
      <c r="Q24">
        <v>4.7258895930847285E-4</v>
      </c>
      <c r="R24">
        <v>9.8793224602095314E-4</v>
      </c>
      <c r="S24">
        <v>503367986030.26801</v>
      </c>
      <c r="T24">
        <v>93072.892511957107</v>
      </c>
    </row>
    <row r="25" spans="1:20" x14ac:dyDescent="0.2">
      <c r="A25" t="s">
        <v>70</v>
      </c>
      <c r="B25">
        <v>34049589</v>
      </c>
      <c r="C25">
        <v>929892453</v>
      </c>
      <c r="D25">
        <v>1946919450</v>
      </c>
      <c r="E25">
        <v>2876811903</v>
      </c>
      <c r="F25">
        <v>4.2694846442724449E-3</v>
      </c>
      <c r="G25">
        <v>4.2324716461829672E-3</v>
      </c>
      <c r="H25">
        <v>4.3115809465887793E-3</v>
      </c>
      <c r="I25">
        <v>4.285688366356003E-3</v>
      </c>
      <c r="J25">
        <v>2050</v>
      </c>
      <c r="K25">
        <v>60.96545177249596</v>
      </c>
      <c r="L25">
        <v>1205.4795005782205</v>
      </c>
      <c r="M25">
        <v>1064.9505283930807</v>
      </c>
      <c r="N25">
        <v>2270.430028971301</v>
      </c>
      <c r="O25">
        <v>1.6398779616359806E-3</v>
      </c>
      <c r="P25">
        <v>1.2195417006215907E-3</v>
      </c>
      <c r="Q25">
        <v>1.3303009788526359E-3</v>
      </c>
      <c r="R25">
        <v>1.2691036774220873E-3</v>
      </c>
      <c r="S25">
        <v>226354278280.88501</v>
      </c>
      <c r="T25">
        <v>6713.6620538649604</v>
      </c>
    </row>
    <row r="26" spans="1:20" x14ac:dyDescent="0.2">
      <c r="A26" t="s">
        <v>71</v>
      </c>
      <c r="B26">
        <v>115559009</v>
      </c>
      <c r="C26">
        <v>2906132330</v>
      </c>
      <c r="D26">
        <v>7251908030</v>
      </c>
      <c r="E26">
        <v>10158040360</v>
      </c>
      <c r="F26">
        <v>1.4489966807905999E-2</v>
      </c>
      <c r="G26">
        <v>1.3227468022886128E-2</v>
      </c>
      <c r="H26">
        <v>1.6059826454844946E-2</v>
      </c>
      <c r="I26">
        <v>1.51327917374189E-2</v>
      </c>
      <c r="J26">
        <v>2070</v>
      </c>
      <c r="K26">
        <v>150.50544398656359</v>
      </c>
      <c r="L26">
        <v>2820.8291601800984</v>
      </c>
      <c r="M26">
        <v>4895.7564109713448</v>
      </c>
      <c r="N26">
        <v>7716.5855711514432</v>
      </c>
      <c r="O26">
        <v>4.0483676168073706E-3</v>
      </c>
      <c r="P26">
        <v>2.8537347914410183E-3</v>
      </c>
      <c r="Q26">
        <v>6.1156169907409224E-3</v>
      </c>
      <c r="R26">
        <v>4.3133446089627563E-3</v>
      </c>
      <c r="S26">
        <v>394087359848.10999</v>
      </c>
      <c r="T26">
        <v>3460.5393817280701</v>
      </c>
    </row>
    <row r="27" spans="1:20" x14ac:dyDescent="0.2">
      <c r="A27" t="s">
        <v>72</v>
      </c>
      <c r="B27">
        <v>1972749920</v>
      </c>
      <c r="C27">
        <v>49154047434</v>
      </c>
      <c r="D27">
        <v>138436502439</v>
      </c>
      <c r="E27">
        <v>187590549873</v>
      </c>
      <c r="F27">
        <v>0.2473634994663135</v>
      </c>
      <c r="G27">
        <v>0.22372814338728439</v>
      </c>
      <c r="H27">
        <v>0.30657672366896505</v>
      </c>
      <c r="I27">
        <v>0.27946027211256352</v>
      </c>
      <c r="J27">
        <v>2070</v>
      </c>
      <c r="K27">
        <v>4236.0619220805384</v>
      </c>
      <c r="L27">
        <v>117552.73093932748</v>
      </c>
      <c r="M27">
        <v>116491.70285721481</v>
      </c>
      <c r="N27">
        <v>234044.43379654229</v>
      </c>
      <c r="O27">
        <v>0.11394362525300168</v>
      </c>
      <c r="P27">
        <v>0.11892401101279236</v>
      </c>
      <c r="Q27">
        <v>0.14551758246742058</v>
      </c>
      <c r="R27">
        <v>0.13082396190202811</v>
      </c>
      <c r="S27">
        <v>7055016976066.7969</v>
      </c>
      <c r="T27">
        <v>3634.7238998405387</v>
      </c>
    </row>
    <row r="28" spans="1:20" x14ac:dyDescent="0.2">
      <c r="A28" t="s">
        <v>73</v>
      </c>
      <c r="B28">
        <v>144713314</v>
      </c>
      <c r="C28">
        <v>4807667014</v>
      </c>
      <c r="D28">
        <v>6435927652</v>
      </c>
      <c r="E28">
        <v>11243594666</v>
      </c>
      <c r="F28">
        <v>1.8145630831102738E-2</v>
      </c>
      <c r="G28">
        <v>2.1882438399620101E-2</v>
      </c>
      <c r="H28">
        <v>1.4252784334753582E-2</v>
      </c>
      <c r="I28">
        <v>1.6749980353546461E-2</v>
      </c>
      <c r="J28">
        <v>2060</v>
      </c>
      <c r="K28">
        <v>1653.3797206963739</v>
      </c>
      <c r="L28">
        <v>55356.063166601511</v>
      </c>
      <c r="M28">
        <v>43041.379252151346</v>
      </c>
      <c r="N28">
        <v>98397.442418752849</v>
      </c>
      <c r="O28">
        <v>4.4473400710679789E-2</v>
      </c>
      <c r="P28">
        <v>5.6001804577790013E-2</v>
      </c>
      <c r="Q28">
        <v>5.3765867449919832E-2</v>
      </c>
      <c r="R28">
        <v>5.5001279241865514E-2</v>
      </c>
      <c r="S28">
        <v>1843392293734.3799</v>
      </c>
      <c r="T28">
        <v>12521.5224609375</v>
      </c>
    </row>
    <row r="29" spans="1:20" x14ac:dyDescent="0.2">
      <c r="A29" t="s">
        <v>74</v>
      </c>
      <c r="B29">
        <v>36408820</v>
      </c>
      <c r="C29">
        <v>864598794</v>
      </c>
      <c r="D29">
        <v>2209527200</v>
      </c>
      <c r="E29">
        <v>3074125994</v>
      </c>
      <c r="F29">
        <v>4.5653090821765711E-3</v>
      </c>
      <c r="G29">
        <v>3.9352829126886009E-3</v>
      </c>
      <c r="H29">
        <v>4.8931430504172398E-3</v>
      </c>
      <c r="I29">
        <v>4.5796341413421853E-3</v>
      </c>
      <c r="J29">
        <v>2060</v>
      </c>
      <c r="K29">
        <v>663.03155613465094</v>
      </c>
      <c r="L29">
        <v>14625.212812558004</v>
      </c>
      <c r="M29">
        <v>14838.90000167178</v>
      </c>
      <c r="N29">
        <v>29464.112814229782</v>
      </c>
      <c r="O29">
        <v>1.7834540795856866E-2</v>
      </c>
      <c r="P29">
        <v>1.4795819337304717E-2</v>
      </c>
      <c r="Q29">
        <v>1.8536263113655266E-2</v>
      </c>
      <c r="R29">
        <v>1.6469573361598155E-2</v>
      </c>
      <c r="S29">
        <v>874156000000</v>
      </c>
      <c r="T29">
        <v>24315.615327297099</v>
      </c>
    </row>
    <row r="30" spans="1:20" x14ac:dyDescent="0.2">
      <c r="A30" t="s">
        <v>75</v>
      </c>
      <c r="B30">
        <v>5975689</v>
      </c>
      <c r="C30">
        <v>152633637</v>
      </c>
      <c r="D30">
        <v>299221839</v>
      </c>
      <c r="E30">
        <v>451855476</v>
      </c>
      <c r="F30">
        <v>7.4929281597048826E-4</v>
      </c>
      <c r="G30">
        <v>6.9472285614547661E-4</v>
      </c>
      <c r="H30">
        <v>6.6264640780883631E-4</v>
      </c>
      <c r="I30">
        <v>6.7314507241436909E-4</v>
      </c>
      <c r="J30">
        <v>2050</v>
      </c>
      <c r="K30">
        <v>53.291191857684737</v>
      </c>
      <c r="L30">
        <v>1560.3446859624419</v>
      </c>
      <c r="M30">
        <v>855.97719150189664</v>
      </c>
      <c r="N30">
        <v>2416.3218774643383</v>
      </c>
      <c r="O30">
        <v>1.4334520377680155E-3</v>
      </c>
      <c r="P30">
        <v>1.578546471310172E-3</v>
      </c>
      <c r="Q30">
        <v>1.0692583978043704E-3</v>
      </c>
      <c r="R30">
        <v>1.3506529341998042E-3</v>
      </c>
      <c r="S30">
        <v>434111559282.849</v>
      </c>
      <c r="T30">
        <v>79601.412962243296</v>
      </c>
    </row>
    <row r="31" spans="1:20" x14ac:dyDescent="0.2">
      <c r="A31" t="s">
        <v>76</v>
      </c>
      <c r="B31">
        <v>59893886</v>
      </c>
      <c r="C31">
        <v>1651529692</v>
      </c>
      <c r="D31">
        <v>3405686496</v>
      </c>
      <c r="E31">
        <v>5057216188</v>
      </c>
      <c r="F31">
        <v>7.5101061150196075E-3</v>
      </c>
      <c r="G31">
        <v>7.5170548719565621E-3</v>
      </c>
      <c r="H31">
        <v>7.5421163449819672E-3</v>
      </c>
      <c r="I31">
        <v>7.5339136912139131E-3</v>
      </c>
      <c r="J31">
        <v>2050</v>
      </c>
      <c r="K31">
        <v>404.34806577061232</v>
      </c>
      <c r="L31">
        <v>13562.027196651201</v>
      </c>
      <c r="M31">
        <v>6247.8194242398567</v>
      </c>
      <c r="N31">
        <v>19809.846620891058</v>
      </c>
      <c r="O31">
        <v>1.0876348203926647E-2</v>
      </c>
      <c r="P31">
        <v>1.3720231412767245E-2</v>
      </c>
      <c r="Q31">
        <v>7.8045693899998396E-3</v>
      </c>
      <c r="R31">
        <v>1.1073122216909394E-2</v>
      </c>
      <c r="S31">
        <v>420117812466.04102</v>
      </c>
      <c r="T31">
        <v>7073.6127541552496</v>
      </c>
    </row>
    <row r="32" spans="1:20" x14ac:dyDescent="0.2">
      <c r="A32" t="s">
        <v>77</v>
      </c>
      <c r="B32">
        <v>51815810</v>
      </c>
      <c r="C32">
        <v>1591844497</v>
      </c>
      <c r="D32">
        <v>2203691816</v>
      </c>
      <c r="E32">
        <v>3795536313</v>
      </c>
      <c r="F32">
        <v>6.4971945806904918E-3</v>
      </c>
      <c r="G32">
        <v>7.2453934613069572E-3</v>
      </c>
      <c r="H32">
        <v>4.8802202094284002E-3</v>
      </c>
      <c r="I32">
        <v>5.654344590184302E-3</v>
      </c>
      <c r="J32">
        <v>2050</v>
      </c>
      <c r="K32">
        <v>601.43675755402433</v>
      </c>
      <c r="L32">
        <v>16672.188778791628</v>
      </c>
      <c r="M32">
        <v>8489.6780427647336</v>
      </c>
      <c r="N32">
        <v>25161.866821556359</v>
      </c>
      <c r="O32">
        <v>1.6177734361932504E-2</v>
      </c>
      <c r="P32">
        <v>1.6866673756475402E-2</v>
      </c>
      <c r="Q32">
        <v>1.0605025031045408E-2</v>
      </c>
      <c r="R32">
        <v>1.4064744258386316E-2</v>
      </c>
      <c r="S32">
        <v>1818432106880.04</v>
      </c>
      <c r="T32">
        <v>35125.522498472303</v>
      </c>
    </row>
    <row r="33" spans="1:20" x14ac:dyDescent="0.2">
      <c r="A33" t="s">
        <v>78</v>
      </c>
      <c r="B33">
        <v>8740472</v>
      </c>
      <c r="C33">
        <v>252238340</v>
      </c>
      <c r="D33">
        <v>459509343</v>
      </c>
      <c r="E33">
        <v>711747683</v>
      </c>
      <c r="F33">
        <v>1.0959694987124004E-3</v>
      </c>
      <c r="G33">
        <v>1.148080747064907E-3</v>
      </c>
      <c r="H33">
        <v>1.0176136090572869E-3</v>
      </c>
      <c r="I33">
        <v>1.0603156784887442E-3</v>
      </c>
      <c r="J33">
        <v>2050</v>
      </c>
      <c r="K33">
        <v>35.405914478152347</v>
      </c>
      <c r="L33">
        <v>1393.730176319189</v>
      </c>
      <c r="M33">
        <v>547.6401182376261</v>
      </c>
      <c r="N33">
        <v>1941.3702945568152</v>
      </c>
      <c r="O33">
        <v>9.523652687912044E-4</v>
      </c>
      <c r="P33">
        <v>1.4099883644812287E-3</v>
      </c>
      <c r="Q33">
        <v>6.8409392354569834E-4</v>
      </c>
      <c r="R33">
        <v>1.0851689541722487E-3</v>
      </c>
      <c r="S33">
        <v>813408787222.49902</v>
      </c>
      <c r="T33">
        <v>93446.434451894296</v>
      </c>
    </row>
    <row r="34" spans="1:20" x14ac:dyDescent="0.2">
      <c r="A34" t="s">
        <v>79</v>
      </c>
      <c r="B34">
        <v>71697030</v>
      </c>
      <c r="C34">
        <v>2159291931</v>
      </c>
      <c r="D34">
        <v>3246862332</v>
      </c>
      <c r="E34">
        <v>5406154263</v>
      </c>
      <c r="F34">
        <v>8.9901046566212822E-3</v>
      </c>
      <c r="G34">
        <v>9.8281708215876527E-3</v>
      </c>
      <c r="H34">
        <v>7.190389806238779E-3</v>
      </c>
      <c r="I34">
        <v>8.0537390739741418E-3</v>
      </c>
      <c r="J34">
        <v>2065</v>
      </c>
      <c r="K34">
        <v>270.94340704857547</v>
      </c>
      <c r="L34">
        <v>6925.272366310186</v>
      </c>
      <c r="M34">
        <v>6911.8334593150794</v>
      </c>
      <c r="N34">
        <v>13837.105825625265</v>
      </c>
      <c r="O34">
        <v>7.287965710933585E-3</v>
      </c>
      <c r="P34">
        <v>7.0060572866038669E-3</v>
      </c>
      <c r="Q34">
        <v>8.6340337616127999E-3</v>
      </c>
      <c r="R34">
        <v>7.7345356007893018E-3</v>
      </c>
      <c r="S34">
        <v>506256494297.34003</v>
      </c>
      <c r="T34">
        <v>7070.5125072911196</v>
      </c>
    </row>
    <row r="35" spans="1:20" x14ac:dyDescent="0.2">
      <c r="A35" t="s">
        <v>80</v>
      </c>
      <c r="B35">
        <v>85341241</v>
      </c>
      <c r="C35">
        <v>2310639332</v>
      </c>
      <c r="D35">
        <v>4470558856</v>
      </c>
      <c r="E35">
        <v>6781198188</v>
      </c>
      <c r="F35">
        <v>1.0700954950518022E-2</v>
      </c>
      <c r="G35">
        <v>1.051703928308487E-2</v>
      </c>
      <c r="H35">
        <v>9.9003461001600911E-3</v>
      </c>
      <c r="I35">
        <v>1.0102190606886545E-2</v>
      </c>
      <c r="J35">
        <v>2050</v>
      </c>
      <c r="K35">
        <v>436.00167847300537</v>
      </c>
      <c r="L35">
        <v>9540.4302946177559</v>
      </c>
      <c r="M35">
        <v>10031.460668803442</v>
      </c>
      <c r="N35">
        <v>19571.890963421196</v>
      </c>
      <c r="O35">
        <v>1.1727782259898541E-2</v>
      </c>
      <c r="P35">
        <v>9.6517216431959724E-3</v>
      </c>
      <c r="Q35">
        <v>1.2530968895961008E-2</v>
      </c>
      <c r="R35">
        <v>1.0940111995891828E-2</v>
      </c>
      <c r="S35">
        <v>819865253669.66101</v>
      </c>
      <c r="T35">
        <v>9743.2131309242795</v>
      </c>
    </row>
    <row r="36" spans="1:20" x14ac:dyDescent="0.2">
      <c r="A36" t="s">
        <v>81</v>
      </c>
      <c r="B36">
        <v>9441129</v>
      </c>
      <c r="C36">
        <v>189287075</v>
      </c>
      <c r="D36">
        <v>534084061</v>
      </c>
      <c r="E36">
        <v>723371136</v>
      </c>
      <c r="F36">
        <v>1.183825017391407E-3</v>
      </c>
      <c r="G36">
        <v>8.615535864838433E-4</v>
      </c>
      <c r="H36">
        <v>1.1827642182548226E-3</v>
      </c>
      <c r="I36">
        <v>1.0776315472276901E-3</v>
      </c>
      <c r="J36">
        <v>2070</v>
      </c>
      <c r="K36">
        <v>244.07273071071032</v>
      </c>
      <c r="L36">
        <v>4699.9499438482135</v>
      </c>
      <c r="M36">
        <v>5338.0929497210918</v>
      </c>
      <c r="N36">
        <v>10038.042893569305</v>
      </c>
      <c r="O36">
        <v>6.5651853712560583E-3</v>
      </c>
      <c r="P36">
        <v>4.7547759581209733E-3</v>
      </c>
      <c r="Q36">
        <v>6.668169165506244E-3</v>
      </c>
      <c r="R36">
        <v>5.6109710441600603E-3</v>
      </c>
      <c r="S36">
        <v>415178792756.97803</v>
      </c>
      <c r="T36">
        <v>44332.340049938102</v>
      </c>
    </row>
    <row r="37" spans="1:20" x14ac:dyDescent="0.2">
      <c r="A37" t="s">
        <v>82</v>
      </c>
      <c r="B37">
        <v>67508936</v>
      </c>
      <c r="C37">
        <v>2033158624</v>
      </c>
      <c r="D37">
        <v>3395526836</v>
      </c>
      <c r="E37">
        <v>5428685460</v>
      </c>
      <c r="F37">
        <v>8.46495872837617E-3</v>
      </c>
      <c r="G37">
        <v>9.2540661024940862E-3</v>
      </c>
      <c r="H37">
        <v>7.5196171108817484E-3</v>
      </c>
      <c r="I37">
        <v>8.0873045944596066E-3</v>
      </c>
      <c r="J37">
        <v>2050</v>
      </c>
      <c r="K37">
        <v>318.88628284743118</v>
      </c>
      <c r="L37">
        <v>16737.580307450753</v>
      </c>
      <c r="M37">
        <v>4128.2916155839448</v>
      </c>
      <c r="N37">
        <v>20865.871923034698</v>
      </c>
      <c r="O37">
        <v>8.5775561782261353E-3</v>
      </c>
      <c r="P37">
        <v>1.6932828092595546E-2</v>
      </c>
      <c r="Q37">
        <v>5.156925350783396E-3</v>
      </c>
      <c r="R37">
        <v>1.1663409333138424E-2</v>
      </c>
      <c r="S37">
        <v>3141506156618.7002</v>
      </c>
      <c r="T37">
        <v>46869.759058411</v>
      </c>
    </row>
    <row r="38" spans="1:20" x14ac:dyDescent="0.2">
      <c r="A38" t="s">
        <v>83</v>
      </c>
      <c r="B38">
        <v>338289857</v>
      </c>
      <c r="C38">
        <v>9835170971</v>
      </c>
      <c r="D38">
        <v>17719066314</v>
      </c>
      <c r="E38">
        <v>27554237285</v>
      </c>
      <c r="F38">
        <v>4.2418231532093419E-2</v>
      </c>
      <c r="G38">
        <v>4.4765480283040109E-2</v>
      </c>
      <c r="H38">
        <v>3.9240035693713711E-2</v>
      </c>
      <c r="I38">
        <v>4.1048521126108989E-2</v>
      </c>
      <c r="J38">
        <v>2050</v>
      </c>
      <c r="K38">
        <v>5060.9845618925638</v>
      </c>
      <c r="L38">
        <v>182954.14259162924</v>
      </c>
      <c r="M38">
        <v>62672.691215832587</v>
      </c>
      <c r="N38">
        <v>245626.83380746184</v>
      </c>
      <c r="O38">
        <v>0.13613279006277693</v>
      </c>
      <c r="P38">
        <v>0.18508834541353764</v>
      </c>
      <c r="Q38">
        <v>7.828865308659419E-2</v>
      </c>
      <c r="R38">
        <v>0.13729818319916787</v>
      </c>
      <c r="S38">
        <v>23594031000000</v>
      </c>
      <c r="T38">
        <v>71055.876193830307</v>
      </c>
    </row>
    <row r="39" spans="1:20" x14ac:dyDescent="0.2">
      <c r="A39" t="s">
        <v>84</v>
      </c>
      <c r="B39">
        <v>98186856</v>
      </c>
      <c r="C39">
        <v>2764848874</v>
      </c>
      <c r="D39">
        <v>5033636847</v>
      </c>
      <c r="E39">
        <v>7798485721</v>
      </c>
      <c r="F39">
        <v>1.2311669135312904E-2</v>
      </c>
      <c r="G39">
        <v>1.2584406322938405E-2</v>
      </c>
      <c r="H39">
        <v>1.1147319279989944E-2</v>
      </c>
      <c r="I39">
        <v>1.1617679798540205E-2</v>
      </c>
      <c r="J39">
        <v>2050</v>
      </c>
      <c r="K39">
        <v>343.85669169583821</v>
      </c>
      <c r="L39">
        <v>4308.3515485572625</v>
      </c>
      <c r="M39">
        <v>7304.083793476485</v>
      </c>
      <c r="N39">
        <v>11612.435342033747</v>
      </c>
      <c r="O39">
        <v>9.2492222115780984E-3</v>
      </c>
      <c r="P39">
        <v>4.3586094760491162E-3</v>
      </c>
      <c r="Q39">
        <v>9.1240199061124513E-3</v>
      </c>
      <c r="R39">
        <v>6.4910101647477495E-3</v>
      </c>
      <c r="S39">
        <v>366474752771.00897</v>
      </c>
      <c r="T39">
        <v>3759.94832901576</v>
      </c>
    </row>
    <row r="40" spans="1:20" x14ac:dyDescent="0.2">
      <c r="A40" t="s">
        <v>85</v>
      </c>
      <c r="B40">
        <v>7975105156</v>
      </c>
      <c r="C40">
        <v>219704354981</v>
      </c>
      <c r="D40">
        <v>451555815400</v>
      </c>
      <c r="E40">
        <v>671260170381</v>
      </c>
      <c r="F40">
        <v>1</v>
      </c>
      <c r="G40">
        <v>1</v>
      </c>
      <c r="H40">
        <v>1</v>
      </c>
      <c r="I40">
        <v>1</v>
      </c>
      <c r="J40" t="e">
        <v>#N/A</v>
      </c>
      <c r="K40">
        <v>37176.822421392506</v>
      </c>
      <c r="L40">
        <v>988469.27494467562</v>
      </c>
      <c r="M40">
        <v>800533.52235490666</v>
      </c>
      <c r="N40">
        <v>1789002.7972995823</v>
      </c>
      <c r="O40">
        <v>1</v>
      </c>
      <c r="P40">
        <v>1</v>
      </c>
      <c r="Q40">
        <v>1</v>
      </c>
      <c r="R40">
        <v>1</v>
      </c>
      <c r="S40">
        <v>97527032881901.094</v>
      </c>
      <c r="T40">
        <v>12362.464208834301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INFO</vt:lpstr>
      <vt:lpstr>CalculationSheet</vt:lpstr>
      <vt:lpstr>Table 2</vt:lpstr>
      <vt:lpstr>Table 3</vt:lpstr>
      <vt:lpstr>Table 4</vt:lpstr>
      <vt:lpstr>SupplementaryTable1</vt:lpstr>
      <vt:lpstr>DataFromRScriptForCalculations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Johannes Morfeldt</cp:lastModifiedBy>
  <cp:revision/>
  <dcterms:created xsi:type="dcterms:W3CDTF">2024-03-19T10:01:38Z</dcterms:created>
  <dcterms:modified xsi:type="dcterms:W3CDTF">2024-11-07T09:23:19Z</dcterms:modified>
  <cp:category/>
  <cp:contentStatus/>
</cp:coreProperties>
</file>