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e-my.sharepoint.com/personal/s2262421_ed_ac_uk/Documents/FPP/Shared with Lorna/"/>
    </mc:Choice>
  </mc:AlternateContent>
  <xr:revisionPtr revIDLastSave="135" documentId="8_{9A1F3734-10EE-468A-AD4C-CFB3CD3C860A}" xr6:coauthVersionLast="47" xr6:coauthVersionMax="47" xr10:uidLastSave="{E46CF3C4-C801-4430-95C1-EA6E1D1C96B8}"/>
  <bookViews>
    <workbookView xWindow="28680" yWindow="-120" windowWidth="29040" windowHeight="15840" xr2:uid="{949F4AC0-ADCE-44C9-B0B2-2D90E5ED4370}"/>
  </bookViews>
  <sheets>
    <sheet name="Metadata" sheetId="8" r:id="rId1"/>
    <sheet name="Locations" sheetId="3" r:id="rId2"/>
    <sheet name="Thickness" sheetId="2" r:id="rId3"/>
    <sheet name="Bulk density" sheetId="1" r:id="rId4"/>
    <sheet name="%C" sheetId="6" r:id="rId5"/>
    <sheet name="Stock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4" i="7"/>
  <c r="G55" i="7"/>
  <c r="G56" i="7"/>
  <c r="G58" i="7"/>
  <c r="G59" i="7"/>
  <c r="G60" i="7"/>
  <c r="G62" i="7"/>
  <c r="G63" i="7"/>
  <c r="G64" i="7"/>
  <c r="G66" i="7"/>
  <c r="G67" i="7"/>
  <c r="G68" i="7"/>
  <c r="G69" i="7"/>
  <c r="G70" i="7"/>
  <c r="G71" i="7"/>
  <c r="G72" i="7"/>
  <c r="G73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6" i="7"/>
  <c r="G187" i="7"/>
  <c r="G190" i="7"/>
  <c r="G191" i="7"/>
  <c r="G192" i="7"/>
  <c r="G193" i="7"/>
  <c r="G194" i="7"/>
  <c r="G195" i="7"/>
  <c r="G196" i="7"/>
  <c r="G197" i="7"/>
  <c r="G198" i="7"/>
  <c r="G199" i="7"/>
  <c r="G201" i="7"/>
  <c r="G205" i="7"/>
  <c r="G210" i="7"/>
  <c r="G211" i="7"/>
  <c r="G212" i="7"/>
  <c r="G213" i="7"/>
  <c r="G214" i="7"/>
  <c r="G215" i="7"/>
  <c r="G216" i="7"/>
  <c r="G220" i="7"/>
  <c r="G221" i="7"/>
  <c r="G226" i="7"/>
  <c r="G227" i="7"/>
  <c r="G228" i="7"/>
  <c r="G229" i="7"/>
  <c r="G230" i="7"/>
  <c r="G231" i="7"/>
  <c r="G232" i="7"/>
  <c r="G233" i="7"/>
  <c r="G235" i="7"/>
  <c r="G236" i="7"/>
  <c r="G237" i="7"/>
  <c r="G238" i="7"/>
  <c r="G239" i="7"/>
  <c r="G240" i="7"/>
  <c r="G241" i="7"/>
  <c r="G258" i="7"/>
  <c r="G259" i="7"/>
  <c r="G260" i="7"/>
  <c r="G261" i="7"/>
  <c r="G262" i="7"/>
  <c r="G263" i="7"/>
  <c r="G264" i="7"/>
  <c r="G265" i="7"/>
  <c r="G266" i="7"/>
  <c r="G267" i="7"/>
  <c r="G268" i="7"/>
  <c r="G274" i="7"/>
  <c r="G275" i="7"/>
  <c r="G276" i="7"/>
  <c r="G277" i="7"/>
  <c r="G278" i="7"/>
  <c r="G279" i="7"/>
  <c r="G280" i="7"/>
  <c r="G281" i="7"/>
  <c r="G290" i="7"/>
  <c r="G291" i="7"/>
  <c r="G292" i="7"/>
  <c r="G293" i="7"/>
  <c r="G294" i="7"/>
  <c r="G295" i="7"/>
  <c r="G306" i="7"/>
  <c r="G308" i="7"/>
  <c r="G309" i="7"/>
  <c r="G310" i="7"/>
  <c r="G311" i="7"/>
  <c r="G313" i="7"/>
  <c r="G315" i="7"/>
  <c r="G2" i="7"/>
  <c r="L227" i="6"/>
  <c r="F2" i="6"/>
  <c r="I2" i="6" s="1"/>
  <c r="H2" i="6"/>
  <c r="L2" i="6" s="1"/>
  <c r="K2" i="6"/>
  <c r="F3" i="6"/>
  <c r="H3" i="6"/>
  <c r="L3" i="6" s="1"/>
  <c r="I3" i="6"/>
  <c r="K3" i="6"/>
  <c r="F4" i="6"/>
  <c r="H4" i="6"/>
  <c r="I4" i="6" s="1"/>
  <c r="K4" i="6"/>
  <c r="L4" i="6"/>
  <c r="F5" i="6"/>
  <c r="I5" i="6" s="1"/>
  <c r="H5" i="6"/>
  <c r="K5" i="6"/>
  <c r="L5" i="6"/>
  <c r="F6" i="6"/>
  <c r="H6" i="6"/>
  <c r="L6" i="6" s="1"/>
  <c r="I6" i="6"/>
  <c r="K6" i="6"/>
  <c r="F7" i="6"/>
  <c r="H7" i="6"/>
  <c r="I7" i="6"/>
  <c r="K7" i="6"/>
  <c r="L7" i="6" s="1"/>
  <c r="F8" i="6"/>
  <c r="I8" i="6" s="1"/>
  <c r="H8" i="6"/>
  <c r="L8" i="6" s="1"/>
  <c r="K8" i="6"/>
  <c r="F9" i="6"/>
  <c r="I9" i="6" s="1"/>
  <c r="H9" i="6"/>
  <c r="K9" i="6"/>
  <c r="L9" i="6"/>
  <c r="F10" i="6"/>
  <c r="I10" i="6" s="1"/>
  <c r="H10" i="6"/>
  <c r="K10" i="6"/>
  <c r="L10" i="6" s="1"/>
  <c r="F11" i="6"/>
  <c r="H11" i="6"/>
  <c r="L11" i="6" s="1"/>
  <c r="I11" i="6"/>
  <c r="K11" i="6"/>
  <c r="F12" i="6"/>
  <c r="I12" i="6" s="1"/>
  <c r="H12" i="6"/>
  <c r="K12" i="6"/>
  <c r="L12" i="6"/>
  <c r="F13" i="6"/>
  <c r="I13" i="6" s="1"/>
  <c r="H13" i="6"/>
  <c r="K13" i="6"/>
  <c r="L13" i="6"/>
  <c r="F14" i="6"/>
  <c r="H14" i="6"/>
  <c r="I14" i="6"/>
  <c r="K14" i="6"/>
  <c r="L14" i="6" s="1"/>
  <c r="F15" i="6"/>
  <c r="H15" i="6"/>
  <c r="I15" i="6"/>
  <c r="K15" i="6"/>
  <c r="L15" i="6"/>
  <c r="F16" i="6"/>
  <c r="I16" i="6" s="1"/>
  <c r="H16" i="6"/>
  <c r="L16" i="6" s="1"/>
  <c r="K16" i="6"/>
  <c r="F17" i="6"/>
  <c r="I17" i="6" s="1"/>
  <c r="H17" i="6"/>
  <c r="K17" i="6"/>
  <c r="L17" i="6"/>
  <c r="F18" i="6"/>
  <c r="H18" i="6"/>
  <c r="I18" i="6"/>
  <c r="K18" i="6"/>
  <c r="L18" i="6"/>
  <c r="F19" i="6"/>
  <c r="H19" i="6"/>
  <c r="I19" i="6"/>
  <c r="K19" i="6"/>
  <c r="L19" i="6"/>
  <c r="F20" i="6"/>
  <c r="H20" i="6"/>
  <c r="I20" i="6"/>
  <c r="K20" i="6"/>
  <c r="L20" i="6" s="1"/>
  <c r="F21" i="6"/>
  <c r="I21" i="6" s="1"/>
  <c r="H21" i="6"/>
  <c r="K21" i="6"/>
  <c r="L21" i="6"/>
  <c r="F22" i="6"/>
  <c r="H22" i="6"/>
  <c r="L22" i="6" s="1"/>
  <c r="I22" i="6"/>
  <c r="K22" i="6"/>
  <c r="F23" i="6"/>
  <c r="I23" i="6" s="1"/>
  <c r="H23" i="6"/>
  <c r="K23" i="6"/>
  <c r="L23" i="6" s="1"/>
  <c r="F24" i="6"/>
  <c r="H24" i="6"/>
  <c r="I24" i="6" s="1"/>
  <c r="K24" i="6"/>
  <c r="F25" i="6"/>
  <c r="H25" i="6"/>
  <c r="I25" i="6" s="1"/>
  <c r="K25" i="6"/>
  <c r="L25" i="6"/>
  <c r="F26" i="6"/>
  <c r="H26" i="6"/>
  <c r="I26" i="6" s="1"/>
  <c r="K26" i="6"/>
  <c r="L26" i="6"/>
  <c r="F27" i="6"/>
  <c r="H27" i="6"/>
  <c r="I27" i="6"/>
  <c r="K27" i="6"/>
  <c r="L27" i="6"/>
  <c r="F28" i="6"/>
  <c r="H28" i="6"/>
  <c r="I28" i="6"/>
  <c r="K28" i="6"/>
  <c r="L28" i="6" s="1"/>
  <c r="F29" i="6"/>
  <c r="I29" i="6" s="1"/>
  <c r="H29" i="6"/>
  <c r="K29" i="6"/>
  <c r="L29" i="6"/>
  <c r="F30" i="6"/>
  <c r="I30" i="6" s="1"/>
  <c r="H30" i="6"/>
  <c r="K30" i="6"/>
  <c r="L30" i="6" s="1"/>
  <c r="F31" i="6"/>
  <c r="H31" i="6"/>
  <c r="I31" i="6"/>
  <c r="K31" i="6"/>
  <c r="L31" i="6"/>
  <c r="F32" i="6"/>
  <c r="H32" i="6"/>
  <c r="I32" i="6" s="1"/>
  <c r="K32" i="6"/>
  <c r="F33" i="6"/>
  <c r="I33" i="6" s="1"/>
  <c r="H33" i="6"/>
  <c r="K33" i="6"/>
  <c r="L33" i="6"/>
  <c r="F34" i="6"/>
  <c r="I34" i="6" s="1"/>
  <c r="H34" i="6"/>
  <c r="K34" i="6"/>
  <c r="L34" i="6"/>
  <c r="F35" i="6"/>
  <c r="H35" i="6"/>
  <c r="I35" i="6"/>
  <c r="K35" i="6"/>
  <c r="L35" i="6"/>
  <c r="F36" i="6"/>
  <c r="H36" i="6"/>
  <c r="I36" i="6"/>
  <c r="K36" i="6"/>
  <c r="L36" i="6"/>
  <c r="F37" i="6"/>
  <c r="I37" i="6" s="1"/>
  <c r="H37" i="6"/>
  <c r="K37" i="6"/>
  <c r="L37" i="6"/>
  <c r="F38" i="6"/>
  <c r="I38" i="6" s="1"/>
  <c r="H38" i="6"/>
  <c r="K38" i="6"/>
  <c r="L38" i="6" s="1"/>
  <c r="F39" i="6"/>
  <c r="I39" i="6" s="1"/>
  <c r="H39" i="6"/>
  <c r="K39" i="6"/>
  <c r="F40" i="6"/>
  <c r="I40" i="6" s="1"/>
  <c r="H40" i="6"/>
  <c r="L40" i="6" s="1"/>
  <c r="K40" i="6"/>
  <c r="F41" i="6"/>
  <c r="H41" i="6"/>
  <c r="I41" i="6" s="1"/>
  <c r="K41" i="6"/>
  <c r="L41" i="6"/>
  <c r="F42" i="6"/>
  <c r="I42" i="6" s="1"/>
  <c r="H42" i="6"/>
  <c r="K42" i="6"/>
  <c r="L42" i="6"/>
  <c r="F43" i="6"/>
  <c r="H43" i="6"/>
  <c r="I43" i="6"/>
  <c r="K43" i="6"/>
  <c r="L43" i="6"/>
  <c r="F44" i="6"/>
  <c r="H44" i="6"/>
  <c r="I44" i="6" s="1"/>
  <c r="K44" i="6"/>
  <c r="L44" i="6" s="1"/>
  <c r="F45" i="6"/>
  <c r="I45" i="6" s="1"/>
  <c r="H45" i="6"/>
  <c r="L45" i="6" s="1"/>
  <c r="K45" i="6"/>
  <c r="F46" i="6"/>
  <c r="H46" i="6"/>
  <c r="I46" i="6"/>
  <c r="K46" i="6"/>
  <c r="L46" i="6" s="1"/>
  <c r="F47" i="6"/>
  <c r="H47" i="6"/>
  <c r="I47" i="6"/>
  <c r="K47" i="6"/>
  <c r="L47" i="6"/>
  <c r="F48" i="6"/>
  <c r="H48" i="6"/>
  <c r="I48" i="6" s="1"/>
  <c r="K48" i="6"/>
  <c r="F49" i="6"/>
  <c r="I49" i="6" s="1"/>
  <c r="H49" i="6"/>
  <c r="K49" i="6"/>
  <c r="L49" i="6"/>
  <c r="F50" i="6"/>
  <c r="H50" i="6"/>
  <c r="I50" i="6"/>
  <c r="K50" i="6"/>
  <c r="L50" i="6" s="1"/>
  <c r="F51" i="6"/>
  <c r="H51" i="6"/>
  <c r="I51" i="6"/>
  <c r="K51" i="6"/>
  <c r="L51" i="6"/>
  <c r="F52" i="6"/>
  <c r="H52" i="6"/>
  <c r="I52" i="6"/>
  <c r="K52" i="6"/>
  <c r="L52" i="6"/>
  <c r="F53" i="6"/>
  <c r="I53" i="6" s="1"/>
  <c r="H53" i="6"/>
  <c r="K53" i="6"/>
  <c r="L53" i="6"/>
  <c r="F54" i="6"/>
  <c r="H54" i="6"/>
  <c r="I54" i="6"/>
  <c r="K54" i="6"/>
  <c r="L54" i="6" s="1"/>
  <c r="F55" i="6"/>
  <c r="I55" i="6" s="1"/>
  <c r="H55" i="6"/>
  <c r="K55" i="6"/>
  <c r="L55" i="6"/>
  <c r="F56" i="6"/>
  <c r="I56" i="6" s="1"/>
  <c r="H56" i="6"/>
  <c r="L56" i="6" s="1"/>
  <c r="K56" i="6"/>
  <c r="F57" i="6"/>
  <c r="H57" i="6"/>
  <c r="I57" i="6"/>
  <c r="K57" i="6"/>
  <c r="L57" i="6"/>
  <c r="F58" i="6"/>
  <c r="H58" i="6"/>
  <c r="I58" i="6"/>
  <c r="K58" i="6"/>
  <c r="L58" i="6" s="1"/>
  <c r="F59" i="6"/>
  <c r="H59" i="6"/>
  <c r="I59" i="6"/>
  <c r="K59" i="6"/>
  <c r="L59" i="6"/>
  <c r="F60" i="6"/>
  <c r="I60" i="6" s="1"/>
  <c r="H60" i="6"/>
  <c r="L60" i="6" s="1"/>
  <c r="K60" i="6"/>
  <c r="F61" i="6"/>
  <c r="I61" i="6" s="1"/>
  <c r="H61" i="6"/>
  <c r="K61" i="6"/>
  <c r="L61" i="6"/>
  <c r="F62" i="6"/>
  <c r="I62" i="6" s="1"/>
  <c r="H62" i="6"/>
  <c r="K62" i="6"/>
  <c r="L62" i="6" s="1"/>
  <c r="F63" i="6"/>
  <c r="H63" i="6"/>
  <c r="L63" i="6" s="1"/>
  <c r="I63" i="6"/>
  <c r="K63" i="6"/>
  <c r="F64" i="6"/>
  <c r="I64" i="6" s="1"/>
  <c r="H64" i="6"/>
  <c r="L64" i="6" s="1"/>
  <c r="K64" i="6"/>
  <c r="F65" i="6"/>
  <c r="I65" i="6" s="1"/>
  <c r="H65" i="6"/>
  <c r="K65" i="6"/>
  <c r="L65" i="6"/>
  <c r="F66" i="6"/>
  <c r="H66" i="6"/>
  <c r="I66" i="6"/>
  <c r="K66" i="6"/>
  <c r="L66" i="6"/>
  <c r="F67" i="6"/>
  <c r="H67" i="6"/>
  <c r="I67" i="6"/>
  <c r="K67" i="6"/>
  <c r="L67" i="6"/>
  <c r="F68" i="6"/>
  <c r="H68" i="6"/>
  <c r="L68" i="6" s="1"/>
  <c r="I68" i="6"/>
  <c r="K68" i="6"/>
  <c r="F69" i="6"/>
  <c r="I69" i="6" s="1"/>
  <c r="H69" i="6"/>
  <c r="L69" i="6" s="1"/>
  <c r="K69" i="6"/>
  <c r="F70" i="6"/>
  <c r="I70" i="6" s="1"/>
  <c r="H70" i="6"/>
  <c r="L70" i="6" s="1"/>
  <c r="K70" i="6"/>
  <c r="F71" i="6"/>
  <c r="H71" i="6"/>
  <c r="I71" i="6"/>
  <c r="K71" i="6"/>
  <c r="L71" i="6" s="1"/>
  <c r="F72" i="6"/>
  <c r="H72" i="6"/>
  <c r="I72" i="6" s="1"/>
  <c r="K72" i="6"/>
  <c r="F73" i="6"/>
  <c r="I73" i="6" s="1"/>
  <c r="H73" i="6"/>
  <c r="K73" i="6"/>
  <c r="L73" i="6"/>
  <c r="F74" i="6"/>
  <c r="H74" i="6"/>
  <c r="I74" i="6"/>
  <c r="K74" i="6"/>
  <c r="L74" i="6"/>
  <c r="F75" i="6"/>
  <c r="H75" i="6"/>
  <c r="I75" i="6"/>
  <c r="K75" i="6"/>
  <c r="L75" i="6"/>
  <c r="F76" i="6"/>
  <c r="H76" i="6"/>
  <c r="I76" i="6"/>
  <c r="K76" i="6"/>
  <c r="L76" i="6"/>
  <c r="F77" i="6"/>
  <c r="I77" i="6" s="1"/>
  <c r="H77" i="6"/>
  <c r="K77" i="6"/>
  <c r="L77" i="6"/>
  <c r="F78" i="6"/>
  <c r="H78" i="6"/>
  <c r="I78" i="6"/>
  <c r="K78" i="6"/>
  <c r="L78" i="6" s="1"/>
  <c r="F79" i="6"/>
  <c r="H79" i="6"/>
  <c r="I79" i="6"/>
  <c r="K79" i="6"/>
  <c r="L79" i="6"/>
  <c r="F80" i="6"/>
  <c r="H80" i="6"/>
  <c r="I80" i="6" s="1"/>
  <c r="K80" i="6"/>
  <c r="F81" i="6"/>
  <c r="H81" i="6"/>
  <c r="I81" i="6" s="1"/>
  <c r="K81" i="6"/>
  <c r="L81" i="6"/>
  <c r="F82" i="6"/>
  <c r="I82" i="6" s="1"/>
  <c r="H82" i="6"/>
  <c r="K82" i="6"/>
  <c r="L82" i="6" s="1"/>
  <c r="F83" i="6"/>
  <c r="H83" i="6"/>
  <c r="I83" i="6"/>
  <c r="K83" i="6"/>
  <c r="L83" i="6"/>
  <c r="F84" i="6"/>
  <c r="I84" i="6" s="1"/>
  <c r="H84" i="6"/>
  <c r="L84" i="6" s="1"/>
  <c r="K84" i="6"/>
  <c r="F85" i="6"/>
  <c r="I85" i="6" s="1"/>
  <c r="H85" i="6"/>
  <c r="K85" i="6"/>
  <c r="L85" i="6"/>
  <c r="F86" i="6"/>
  <c r="I86" i="6" s="1"/>
  <c r="H86" i="6"/>
  <c r="K86" i="6"/>
  <c r="L86" i="6" s="1"/>
  <c r="F87" i="6"/>
  <c r="I87" i="6" s="1"/>
  <c r="H87" i="6"/>
  <c r="K87" i="6"/>
  <c r="L87" i="6"/>
  <c r="F88" i="6"/>
  <c r="H88" i="6"/>
  <c r="I88" i="6" s="1"/>
  <c r="K88" i="6"/>
  <c r="F89" i="6"/>
  <c r="H89" i="6"/>
  <c r="I89" i="6"/>
  <c r="K89" i="6"/>
  <c r="L89" i="6"/>
  <c r="F90" i="6"/>
  <c r="I90" i="6" s="1"/>
  <c r="H90" i="6"/>
  <c r="K90" i="6"/>
  <c r="L90" i="6"/>
  <c r="F91" i="6"/>
  <c r="H91" i="6"/>
  <c r="I91" i="6"/>
  <c r="K91" i="6"/>
  <c r="L91" i="6"/>
  <c r="F92" i="6"/>
  <c r="H92" i="6"/>
  <c r="I92" i="6" s="1"/>
  <c r="K92" i="6"/>
  <c r="F93" i="6"/>
  <c r="I93" i="6" s="1"/>
  <c r="H93" i="6"/>
  <c r="K93" i="6"/>
  <c r="L93" i="6"/>
  <c r="F94" i="6"/>
  <c r="H94" i="6"/>
  <c r="I94" i="6"/>
  <c r="K94" i="6"/>
  <c r="L94" i="6" s="1"/>
  <c r="F95" i="6"/>
  <c r="H95" i="6"/>
  <c r="I95" i="6"/>
  <c r="K95" i="6"/>
  <c r="L95" i="6"/>
  <c r="F96" i="6"/>
  <c r="H96" i="6"/>
  <c r="I96" i="6" s="1"/>
  <c r="K96" i="6"/>
  <c r="F97" i="6"/>
  <c r="I97" i="6" s="1"/>
  <c r="H97" i="6"/>
  <c r="K97" i="6"/>
  <c r="L97" i="6"/>
  <c r="F98" i="6"/>
  <c r="H98" i="6"/>
  <c r="I98" i="6"/>
  <c r="K98" i="6"/>
  <c r="L98" i="6"/>
  <c r="F99" i="6"/>
  <c r="H99" i="6"/>
  <c r="L99" i="6" s="1"/>
  <c r="I99" i="6"/>
  <c r="K99" i="6"/>
  <c r="F100" i="6"/>
  <c r="H100" i="6"/>
  <c r="I100" i="6" s="1"/>
  <c r="K100" i="6"/>
  <c r="F101" i="6"/>
  <c r="I101" i="6" s="1"/>
  <c r="H101" i="6"/>
  <c r="L101" i="6" s="1"/>
  <c r="K101" i="6"/>
  <c r="F102" i="6"/>
  <c r="I102" i="6" s="1"/>
  <c r="H102" i="6"/>
  <c r="K102" i="6"/>
  <c r="L102" i="6" s="1"/>
  <c r="F103" i="6"/>
  <c r="I103" i="6" s="1"/>
  <c r="H103" i="6"/>
  <c r="K103" i="6"/>
  <c r="L103" i="6"/>
  <c r="F104" i="6"/>
  <c r="I104" i="6" s="1"/>
  <c r="H104" i="6"/>
  <c r="L104" i="6" s="1"/>
  <c r="K104" i="6"/>
  <c r="F105" i="6"/>
  <c r="H105" i="6"/>
  <c r="I105" i="6"/>
  <c r="K105" i="6"/>
  <c r="L105" i="6"/>
  <c r="F106" i="6"/>
  <c r="I106" i="6" s="1"/>
  <c r="H106" i="6"/>
  <c r="K106" i="6"/>
  <c r="L106" i="6"/>
  <c r="F107" i="6"/>
  <c r="H107" i="6"/>
  <c r="I107" i="6"/>
  <c r="K107" i="6"/>
  <c r="L107" i="6"/>
  <c r="F108" i="6"/>
  <c r="H108" i="6"/>
  <c r="I108" i="6"/>
  <c r="K108" i="6"/>
  <c r="L108" i="6" s="1"/>
  <c r="F109" i="6"/>
  <c r="I109" i="6" s="1"/>
  <c r="H109" i="6"/>
  <c r="K109" i="6"/>
  <c r="L109" i="6"/>
  <c r="F110" i="6"/>
  <c r="I110" i="6" s="1"/>
  <c r="H110" i="6"/>
  <c r="L110" i="6" s="1"/>
  <c r="K110" i="6"/>
  <c r="F111" i="6"/>
  <c r="H111" i="6"/>
  <c r="I111" i="6"/>
  <c r="K111" i="6"/>
  <c r="L111" i="6"/>
  <c r="F112" i="6"/>
  <c r="H112" i="6"/>
  <c r="I112" i="6" s="1"/>
  <c r="K112" i="6"/>
  <c r="F113" i="6"/>
  <c r="H113" i="6"/>
  <c r="I113" i="6"/>
  <c r="K113" i="6"/>
  <c r="L113" i="6"/>
  <c r="F114" i="6"/>
  <c r="I114" i="6" s="1"/>
  <c r="H114" i="6"/>
  <c r="L114" i="6" s="1"/>
  <c r="K114" i="6"/>
  <c r="F115" i="6"/>
  <c r="H115" i="6"/>
  <c r="I115" i="6"/>
  <c r="K115" i="6"/>
  <c r="L115" i="6"/>
  <c r="F116" i="6"/>
  <c r="H116" i="6"/>
  <c r="I116" i="6"/>
  <c r="K116" i="6"/>
  <c r="L116" i="6" s="1"/>
  <c r="F117" i="6"/>
  <c r="I117" i="6" s="1"/>
  <c r="H117" i="6"/>
  <c r="L117" i="6" s="1"/>
  <c r="K117" i="6"/>
  <c r="F118" i="6"/>
  <c r="I118" i="6" s="1"/>
  <c r="H118" i="6"/>
  <c r="L118" i="6" s="1"/>
  <c r="K118" i="6"/>
  <c r="F119" i="6"/>
  <c r="I119" i="6" s="1"/>
  <c r="H119" i="6"/>
  <c r="K119" i="6"/>
  <c r="L119" i="6"/>
  <c r="F120" i="6"/>
  <c r="I120" i="6" s="1"/>
  <c r="H120" i="6"/>
  <c r="L120" i="6" s="1"/>
  <c r="K120" i="6"/>
  <c r="F121" i="6"/>
  <c r="H121" i="6"/>
  <c r="I121" i="6"/>
  <c r="K121" i="6"/>
  <c r="L121" i="6"/>
  <c r="F122" i="6"/>
  <c r="I122" i="6" s="1"/>
  <c r="H122" i="6"/>
  <c r="L122" i="6" s="1"/>
  <c r="K122" i="6"/>
  <c r="F123" i="6"/>
  <c r="H123" i="6"/>
  <c r="I123" i="6"/>
  <c r="K123" i="6"/>
  <c r="L123" i="6"/>
  <c r="F124" i="6"/>
  <c r="H124" i="6"/>
  <c r="I124" i="6"/>
  <c r="K124" i="6"/>
  <c r="L124" i="6" s="1"/>
  <c r="F125" i="6"/>
  <c r="I125" i="6" s="1"/>
  <c r="H125" i="6"/>
  <c r="K125" i="6"/>
  <c r="L125" i="6"/>
  <c r="F127" i="6"/>
  <c r="I127" i="6" s="1"/>
  <c r="H127" i="6"/>
  <c r="L127" i="6" s="1"/>
  <c r="K127" i="6"/>
  <c r="F128" i="6"/>
  <c r="I128" i="6" s="1"/>
  <c r="H128" i="6"/>
  <c r="K128" i="6"/>
  <c r="L128" i="6"/>
  <c r="F129" i="6"/>
  <c r="H129" i="6"/>
  <c r="I129" i="6" s="1"/>
  <c r="K129" i="6"/>
  <c r="F130" i="6"/>
  <c r="I130" i="6" s="1"/>
  <c r="H130" i="6"/>
  <c r="K130" i="6"/>
  <c r="L130" i="6"/>
  <c r="F131" i="6"/>
  <c r="I131" i="6" s="1"/>
  <c r="H131" i="6"/>
  <c r="K131" i="6"/>
  <c r="L131" i="6"/>
  <c r="F132" i="6"/>
  <c r="H132" i="6"/>
  <c r="I132" i="6"/>
  <c r="K132" i="6"/>
  <c r="L132" i="6"/>
  <c r="F133" i="6"/>
  <c r="H133" i="6"/>
  <c r="I133" i="6"/>
  <c r="K133" i="6"/>
  <c r="L133" i="6"/>
  <c r="F134" i="6"/>
  <c r="I134" i="6" s="1"/>
  <c r="H134" i="6"/>
  <c r="L134" i="6" s="1"/>
  <c r="K134" i="6"/>
  <c r="F135" i="6"/>
  <c r="H135" i="6"/>
  <c r="I135" i="6"/>
  <c r="K135" i="6"/>
  <c r="L135" i="6" s="1"/>
  <c r="F136" i="6"/>
  <c r="H136" i="6"/>
  <c r="I136" i="6"/>
  <c r="K136" i="6"/>
  <c r="L136" i="6"/>
  <c r="F137" i="6"/>
  <c r="I137" i="6" s="1"/>
  <c r="H137" i="6"/>
  <c r="L137" i="6" s="1"/>
  <c r="K137" i="6"/>
  <c r="F138" i="6"/>
  <c r="I138" i="6" s="1"/>
  <c r="H138" i="6"/>
  <c r="K138" i="6"/>
  <c r="L138" i="6"/>
  <c r="F139" i="6"/>
  <c r="I139" i="6" s="1"/>
  <c r="H139" i="6"/>
  <c r="L139" i="6" s="1"/>
  <c r="K139" i="6"/>
  <c r="F140" i="6"/>
  <c r="H140" i="6"/>
  <c r="L140" i="6" s="1"/>
  <c r="I140" i="6"/>
  <c r="K140" i="6"/>
  <c r="F141" i="6"/>
  <c r="I141" i="6" s="1"/>
  <c r="H141" i="6"/>
  <c r="K141" i="6"/>
  <c r="L141" i="6"/>
  <c r="F142" i="6"/>
  <c r="I142" i="6" s="1"/>
  <c r="H142" i="6"/>
  <c r="L142" i="6" s="1"/>
  <c r="K142" i="6"/>
  <c r="F143" i="6"/>
  <c r="H143" i="6"/>
  <c r="I143" i="6"/>
  <c r="K143" i="6"/>
  <c r="L143" i="6" s="1"/>
  <c r="F144" i="6"/>
  <c r="I144" i="6" s="1"/>
  <c r="H144" i="6"/>
  <c r="L144" i="6" s="1"/>
  <c r="K144" i="6"/>
  <c r="F145" i="6"/>
  <c r="I145" i="6" s="1"/>
  <c r="H145" i="6"/>
  <c r="L145" i="6" s="1"/>
  <c r="K145" i="6"/>
  <c r="F146" i="6"/>
  <c r="I146" i="6" s="1"/>
  <c r="H146" i="6"/>
  <c r="K146" i="6"/>
  <c r="L146" i="6"/>
  <c r="F147" i="6"/>
  <c r="I147" i="6" s="1"/>
  <c r="H147" i="6"/>
  <c r="L147" i="6" s="1"/>
  <c r="K147" i="6"/>
  <c r="F148" i="6"/>
  <c r="H148" i="6"/>
  <c r="I148" i="6"/>
  <c r="K148" i="6"/>
  <c r="L148" i="6"/>
  <c r="F149" i="6"/>
  <c r="H149" i="6"/>
  <c r="I149" i="6"/>
  <c r="K149" i="6"/>
  <c r="L149" i="6"/>
  <c r="F150" i="6"/>
  <c r="I150" i="6" s="1"/>
  <c r="H150" i="6"/>
  <c r="K150" i="6"/>
  <c r="L150" i="6"/>
  <c r="F151" i="6"/>
  <c r="I151" i="6" s="1"/>
  <c r="H151" i="6"/>
  <c r="K151" i="6"/>
  <c r="L151" i="6" s="1"/>
  <c r="F152" i="6"/>
  <c r="H152" i="6"/>
  <c r="L152" i="6" s="1"/>
  <c r="I152" i="6"/>
  <c r="K152" i="6"/>
  <c r="F153" i="6"/>
  <c r="I153" i="6" s="1"/>
  <c r="H153" i="6"/>
  <c r="L153" i="6" s="1"/>
  <c r="K153" i="6"/>
  <c r="F154" i="6"/>
  <c r="I154" i="6" s="1"/>
  <c r="H154" i="6"/>
  <c r="K154" i="6"/>
  <c r="F155" i="6"/>
  <c r="I155" i="6" s="1"/>
  <c r="H155" i="6"/>
  <c r="K155" i="6"/>
  <c r="L155" i="6"/>
  <c r="F156" i="6"/>
  <c r="H156" i="6"/>
  <c r="I156" i="6"/>
  <c r="K156" i="6"/>
  <c r="L156" i="6"/>
  <c r="F157" i="6"/>
  <c r="H157" i="6"/>
  <c r="L157" i="6" s="1"/>
  <c r="I157" i="6"/>
  <c r="K157" i="6"/>
  <c r="F158" i="6"/>
  <c r="I158" i="6" s="1"/>
  <c r="H158" i="6"/>
  <c r="K158" i="6"/>
  <c r="L158" i="6"/>
  <c r="F159" i="6"/>
  <c r="I159" i="6" s="1"/>
  <c r="H159" i="6"/>
  <c r="K159" i="6"/>
  <c r="L159" i="6" s="1"/>
  <c r="F160" i="6"/>
  <c r="H160" i="6"/>
  <c r="L160" i="6" s="1"/>
  <c r="I160" i="6"/>
  <c r="K160" i="6"/>
  <c r="F161" i="6"/>
  <c r="I161" i="6" s="1"/>
  <c r="H161" i="6"/>
  <c r="L161" i="6" s="1"/>
  <c r="K161" i="6"/>
  <c r="F162" i="6"/>
  <c r="I162" i="6" s="1"/>
  <c r="H162" i="6"/>
  <c r="K162" i="6"/>
  <c r="L162" i="6"/>
  <c r="F163" i="6"/>
  <c r="H163" i="6"/>
  <c r="I163" i="6" s="1"/>
  <c r="K163" i="6"/>
  <c r="L163" i="6"/>
  <c r="F164" i="6"/>
  <c r="H164" i="6"/>
  <c r="I164" i="6"/>
  <c r="K164" i="6"/>
  <c r="L164" i="6"/>
  <c r="F165" i="6"/>
  <c r="H165" i="6"/>
  <c r="L165" i="6" s="1"/>
  <c r="I165" i="6"/>
  <c r="K165" i="6"/>
  <c r="F166" i="6"/>
  <c r="I166" i="6" s="1"/>
  <c r="H166" i="6"/>
  <c r="K166" i="6"/>
  <c r="L166" i="6"/>
  <c r="F167" i="6"/>
  <c r="I167" i="6" s="1"/>
  <c r="H167" i="6"/>
  <c r="L167" i="6" s="1"/>
  <c r="K167" i="6"/>
  <c r="F168" i="6"/>
  <c r="H168" i="6"/>
  <c r="I168" i="6"/>
  <c r="K168" i="6"/>
  <c r="L168" i="6" s="1"/>
  <c r="F169" i="6"/>
  <c r="I169" i="6" s="1"/>
  <c r="H169" i="6"/>
  <c r="L169" i="6" s="1"/>
  <c r="K169" i="6"/>
  <c r="F171" i="6"/>
  <c r="I171" i="6" s="1"/>
  <c r="H171" i="6"/>
  <c r="K171" i="6"/>
  <c r="L171" i="6"/>
  <c r="F172" i="6"/>
  <c r="H172" i="6"/>
  <c r="I172" i="6" s="1"/>
  <c r="K172" i="6"/>
  <c r="L172" i="6"/>
  <c r="F173" i="6"/>
  <c r="H173" i="6"/>
  <c r="I173" i="6"/>
  <c r="K173" i="6"/>
  <c r="L173" i="6"/>
  <c r="F174" i="6"/>
  <c r="H174" i="6"/>
  <c r="L174" i="6" s="1"/>
  <c r="I174" i="6"/>
  <c r="K174" i="6"/>
  <c r="F175" i="6"/>
  <c r="I175" i="6" s="1"/>
  <c r="H175" i="6"/>
  <c r="K175" i="6"/>
  <c r="L175" i="6"/>
  <c r="F176" i="6"/>
  <c r="I176" i="6" s="1"/>
  <c r="H176" i="6"/>
  <c r="L176" i="6" s="1"/>
  <c r="K176" i="6"/>
  <c r="F177" i="6"/>
  <c r="I177" i="6" s="1"/>
  <c r="H177" i="6"/>
  <c r="L177" i="6" s="1"/>
  <c r="K177" i="6"/>
  <c r="F178" i="6"/>
  <c r="I178" i="6" s="1"/>
  <c r="H178" i="6"/>
  <c r="L178" i="6" s="1"/>
  <c r="K178" i="6"/>
  <c r="F179" i="6"/>
  <c r="I179" i="6" s="1"/>
  <c r="H179" i="6"/>
  <c r="K179" i="6"/>
  <c r="L179" i="6"/>
  <c r="F180" i="6"/>
  <c r="H180" i="6"/>
  <c r="I180" i="6" s="1"/>
  <c r="K180" i="6"/>
  <c r="F181" i="6"/>
  <c r="H181" i="6"/>
  <c r="I181" i="6"/>
  <c r="K181" i="6"/>
  <c r="L181" i="6"/>
  <c r="F182" i="6"/>
  <c r="H182" i="6"/>
  <c r="I182" i="6" s="1"/>
  <c r="K182" i="6"/>
  <c r="F183" i="6"/>
  <c r="I183" i="6" s="1"/>
  <c r="H183" i="6"/>
  <c r="K183" i="6"/>
  <c r="L183" i="6"/>
  <c r="F184" i="6"/>
  <c r="I184" i="6" s="1"/>
  <c r="H184" i="6"/>
  <c r="K184" i="6"/>
  <c r="L184" i="6" s="1"/>
  <c r="F185" i="6"/>
  <c r="H185" i="6"/>
  <c r="L185" i="6" s="1"/>
  <c r="I185" i="6"/>
  <c r="K185" i="6"/>
  <c r="F186" i="6"/>
  <c r="I186" i="6" s="1"/>
  <c r="H186" i="6"/>
  <c r="L186" i="6" s="1"/>
  <c r="K186" i="6"/>
  <c r="F187" i="6"/>
  <c r="I187" i="6" s="1"/>
  <c r="H187" i="6"/>
  <c r="K187" i="6"/>
  <c r="L187" i="6"/>
  <c r="F190" i="6"/>
  <c r="H190" i="6"/>
  <c r="I190" i="6" s="1"/>
  <c r="K190" i="6"/>
  <c r="L190" i="6"/>
  <c r="F191" i="6"/>
  <c r="H191" i="6"/>
  <c r="I191" i="6"/>
  <c r="K191" i="6"/>
  <c r="L191" i="6"/>
  <c r="F192" i="6"/>
  <c r="H192" i="6"/>
  <c r="L192" i="6" s="1"/>
  <c r="I192" i="6"/>
  <c r="K192" i="6"/>
  <c r="F193" i="6"/>
  <c r="I193" i="6" s="1"/>
  <c r="H193" i="6"/>
  <c r="K193" i="6"/>
  <c r="L193" i="6"/>
  <c r="F194" i="6"/>
  <c r="I194" i="6" s="1"/>
  <c r="H194" i="6"/>
  <c r="L194" i="6" s="1"/>
  <c r="K194" i="6"/>
  <c r="F195" i="6"/>
  <c r="H195" i="6"/>
  <c r="I195" i="6"/>
  <c r="K195" i="6"/>
  <c r="L195" i="6" s="1"/>
  <c r="F196" i="6"/>
  <c r="I196" i="6" s="1"/>
  <c r="H196" i="6"/>
  <c r="L196" i="6" s="1"/>
  <c r="K196" i="6"/>
  <c r="F197" i="6"/>
  <c r="I197" i="6" s="1"/>
  <c r="H197" i="6"/>
  <c r="K197" i="6"/>
  <c r="L197" i="6"/>
  <c r="F198" i="6"/>
  <c r="I198" i="6" s="1"/>
  <c r="H198" i="6"/>
  <c r="K198" i="6"/>
  <c r="L198" i="6"/>
  <c r="F199" i="6"/>
  <c r="H199" i="6"/>
  <c r="I199" i="6"/>
  <c r="K199" i="6"/>
  <c r="L199" i="6"/>
  <c r="F200" i="6"/>
  <c r="H200" i="6"/>
  <c r="L200" i="6" s="1"/>
  <c r="I200" i="6"/>
  <c r="K200" i="6"/>
  <c r="F201" i="6"/>
  <c r="I201" i="6" s="1"/>
  <c r="H201" i="6"/>
  <c r="K201" i="6"/>
  <c r="L201" i="6"/>
  <c r="F202" i="6"/>
  <c r="I202" i="6" s="1"/>
  <c r="H202" i="6"/>
  <c r="L202" i="6" s="1"/>
  <c r="K202" i="6"/>
  <c r="F205" i="6"/>
  <c r="H205" i="6"/>
  <c r="L205" i="6" s="1"/>
  <c r="I205" i="6"/>
  <c r="K205" i="6"/>
  <c r="F210" i="6"/>
  <c r="I210" i="6" s="1"/>
  <c r="H210" i="6"/>
  <c r="L210" i="6" s="1"/>
  <c r="K210" i="6"/>
  <c r="F211" i="6"/>
  <c r="I211" i="6" s="1"/>
  <c r="H211" i="6"/>
  <c r="K211" i="6"/>
  <c r="L211" i="6"/>
  <c r="F212" i="6"/>
  <c r="I212" i="6" s="1"/>
  <c r="H212" i="6"/>
  <c r="K212" i="6"/>
  <c r="L212" i="6"/>
  <c r="F213" i="6"/>
  <c r="H213" i="6"/>
  <c r="I213" i="6"/>
  <c r="K213" i="6"/>
  <c r="L213" i="6"/>
  <c r="F214" i="6"/>
  <c r="H214" i="6"/>
  <c r="L214" i="6" s="1"/>
  <c r="I214" i="6"/>
  <c r="K214" i="6"/>
  <c r="F215" i="6"/>
  <c r="I215" i="6" s="1"/>
  <c r="H215" i="6"/>
  <c r="K215" i="6"/>
  <c r="L215" i="6"/>
  <c r="F216" i="6"/>
  <c r="I216" i="6" s="1"/>
  <c r="H216" i="6"/>
  <c r="L216" i="6" s="1"/>
  <c r="K216" i="6"/>
  <c r="F217" i="6"/>
  <c r="H217" i="6"/>
  <c r="I217" i="6"/>
  <c r="K217" i="6"/>
  <c r="L217" i="6" s="1"/>
  <c r="F219" i="6"/>
  <c r="I219" i="6" s="1"/>
  <c r="H219" i="6"/>
  <c r="L219" i="6" s="1"/>
  <c r="K219" i="6"/>
  <c r="F220" i="6"/>
  <c r="I220" i="6" s="1"/>
  <c r="H220" i="6"/>
  <c r="K220" i="6"/>
  <c r="L220" i="6"/>
  <c r="F221" i="6"/>
  <c r="H221" i="6"/>
  <c r="I221" i="6" s="1"/>
  <c r="K221" i="6"/>
  <c r="L221" i="6"/>
  <c r="F226" i="6"/>
  <c r="H226" i="6"/>
  <c r="I226" i="6"/>
  <c r="K226" i="6"/>
  <c r="L226" i="6"/>
  <c r="F227" i="6"/>
  <c r="H227" i="6"/>
  <c r="I227" i="6"/>
  <c r="K227" i="6"/>
  <c r="F228" i="6"/>
  <c r="I228" i="6" s="1"/>
  <c r="H228" i="6"/>
  <c r="K228" i="6"/>
  <c r="L228" i="6"/>
  <c r="F229" i="6"/>
  <c r="I229" i="6" s="1"/>
  <c r="H229" i="6"/>
  <c r="L229" i="6" s="1"/>
  <c r="K229" i="6"/>
  <c r="F230" i="6"/>
  <c r="H230" i="6"/>
  <c r="I230" i="6"/>
  <c r="K230" i="6"/>
  <c r="L230" i="6" s="1"/>
  <c r="F231" i="6"/>
  <c r="I231" i="6" s="1"/>
  <c r="H231" i="6"/>
  <c r="L231" i="6" s="1"/>
  <c r="K231" i="6"/>
  <c r="F232" i="6"/>
  <c r="I232" i="6" s="1"/>
  <c r="H232" i="6"/>
  <c r="K232" i="6"/>
  <c r="L232" i="6"/>
  <c r="F233" i="6"/>
  <c r="H233" i="6"/>
  <c r="I233" i="6" s="1"/>
  <c r="K233" i="6"/>
  <c r="L233" i="6"/>
  <c r="F235" i="6"/>
  <c r="H235" i="6"/>
  <c r="I235" i="6"/>
  <c r="K235" i="6"/>
  <c r="L235" i="6"/>
  <c r="F236" i="6"/>
  <c r="H236" i="6"/>
  <c r="L236" i="6" s="1"/>
  <c r="I236" i="6"/>
  <c r="K236" i="6"/>
  <c r="F237" i="6"/>
  <c r="I237" i="6" s="1"/>
  <c r="H237" i="6"/>
  <c r="K237" i="6"/>
  <c r="L237" i="6"/>
  <c r="F238" i="6"/>
  <c r="I238" i="6" s="1"/>
  <c r="H238" i="6"/>
  <c r="L238" i="6" s="1"/>
  <c r="K238" i="6"/>
  <c r="F239" i="6"/>
  <c r="H239" i="6"/>
  <c r="I239" i="6"/>
  <c r="K239" i="6"/>
  <c r="L239" i="6" s="1"/>
  <c r="F240" i="6"/>
  <c r="I240" i="6" s="1"/>
  <c r="H240" i="6"/>
  <c r="L240" i="6" s="1"/>
  <c r="K240" i="6"/>
  <c r="F241" i="6"/>
  <c r="I241" i="6" s="1"/>
  <c r="H241" i="6"/>
  <c r="K241" i="6"/>
  <c r="L241" i="6"/>
  <c r="F242" i="6"/>
  <c r="I242" i="6" s="1"/>
  <c r="H242" i="6"/>
  <c r="K242" i="6"/>
  <c r="L242" i="6"/>
  <c r="F243" i="6"/>
  <c r="H243" i="6"/>
  <c r="I243" i="6"/>
  <c r="K243" i="6"/>
  <c r="L243" i="6"/>
  <c r="F244" i="6"/>
  <c r="H244" i="6"/>
  <c r="L244" i="6" s="1"/>
  <c r="I244" i="6"/>
  <c r="K244" i="6"/>
  <c r="F245" i="6"/>
  <c r="I245" i="6" s="1"/>
  <c r="H245" i="6"/>
  <c r="K245" i="6"/>
  <c r="L245" i="6"/>
  <c r="F258" i="6"/>
  <c r="I258" i="6" s="1"/>
  <c r="H258" i="6"/>
  <c r="L258" i="6" s="1"/>
  <c r="K258" i="6"/>
  <c r="F259" i="6"/>
  <c r="H259" i="6"/>
  <c r="I259" i="6"/>
  <c r="K259" i="6"/>
  <c r="L259" i="6" s="1"/>
  <c r="F260" i="6"/>
  <c r="I260" i="6" s="1"/>
  <c r="H260" i="6"/>
  <c r="L260" i="6" s="1"/>
  <c r="K260" i="6"/>
  <c r="F261" i="6"/>
  <c r="I261" i="6" s="1"/>
  <c r="H261" i="6"/>
  <c r="K261" i="6"/>
  <c r="L261" i="6"/>
  <c r="F262" i="6"/>
  <c r="I262" i="6" s="1"/>
  <c r="H262" i="6"/>
  <c r="K262" i="6"/>
  <c r="L262" i="6"/>
  <c r="F263" i="6"/>
  <c r="H263" i="6"/>
  <c r="L263" i="6" s="1"/>
  <c r="I263" i="6"/>
  <c r="K263" i="6"/>
  <c r="F264" i="6"/>
  <c r="H264" i="6"/>
  <c r="L264" i="6" s="1"/>
  <c r="I264" i="6"/>
  <c r="K264" i="6"/>
  <c r="F265" i="6"/>
  <c r="I265" i="6" s="1"/>
  <c r="H265" i="6"/>
  <c r="K265" i="6"/>
  <c r="L265" i="6"/>
  <c r="F266" i="6"/>
  <c r="I266" i="6" s="1"/>
  <c r="H266" i="6"/>
  <c r="L266" i="6" s="1"/>
  <c r="K266" i="6"/>
  <c r="F267" i="6"/>
  <c r="H267" i="6"/>
  <c r="I267" i="6"/>
  <c r="K267" i="6"/>
  <c r="L267" i="6" s="1"/>
  <c r="F268" i="6"/>
  <c r="I268" i="6" s="1"/>
  <c r="H268" i="6"/>
  <c r="L268" i="6" s="1"/>
  <c r="K268" i="6"/>
  <c r="F274" i="6"/>
  <c r="I274" i="6" s="1"/>
  <c r="H274" i="6"/>
  <c r="K274" i="6"/>
  <c r="L274" i="6"/>
  <c r="F275" i="6"/>
  <c r="I275" i="6" s="1"/>
  <c r="H275" i="6"/>
  <c r="K275" i="6"/>
  <c r="L275" i="6"/>
  <c r="F276" i="6"/>
  <c r="H276" i="6"/>
  <c r="L276" i="6" s="1"/>
  <c r="I276" i="6"/>
  <c r="K276" i="6"/>
  <c r="F277" i="6"/>
  <c r="H277" i="6"/>
  <c r="L277" i="6" s="1"/>
  <c r="I277" i="6"/>
  <c r="K277" i="6"/>
  <c r="F278" i="6"/>
  <c r="I278" i="6" s="1"/>
  <c r="H278" i="6"/>
  <c r="K278" i="6"/>
  <c r="L278" i="6"/>
  <c r="F279" i="6"/>
  <c r="I279" i="6" s="1"/>
  <c r="H279" i="6"/>
  <c r="L279" i="6" s="1"/>
  <c r="K279" i="6"/>
  <c r="F280" i="6"/>
  <c r="H280" i="6"/>
  <c r="I280" i="6"/>
  <c r="K280" i="6"/>
  <c r="L280" i="6" s="1"/>
  <c r="F281" i="6"/>
  <c r="I281" i="6" s="1"/>
  <c r="H281" i="6"/>
  <c r="L281" i="6" s="1"/>
  <c r="K281" i="6"/>
  <c r="F290" i="6"/>
  <c r="I290" i="6" s="1"/>
  <c r="H290" i="6"/>
  <c r="K290" i="6"/>
  <c r="L290" i="6"/>
  <c r="F291" i="6"/>
  <c r="I291" i="6" s="1"/>
  <c r="H291" i="6"/>
  <c r="K291" i="6"/>
  <c r="L291" i="6"/>
  <c r="F292" i="6"/>
  <c r="H292" i="6"/>
  <c r="L292" i="6" s="1"/>
  <c r="I292" i="6"/>
  <c r="K292" i="6"/>
  <c r="F293" i="6"/>
  <c r="H293" i="6"/>
  <c r="L293" i="6" s="1"/>
  <c r="I293" i="6"/>
  <c r="K293" i="6"/>
  <c r="F294" i="6"/>
  <c r="I294" i="6" s="1"/>
  <c r="H294" i="6"/>
  <c r="K294" i="6"/>
  <c r="L294" i="6"/>
  <c r="F295" i="6"/>
  <c r="I295" i="6" s="1"/>
  <c r="H295" i="6"/>
  <c r="L295" i="6" s="1"/>
  <c r="K295" i="6"/>
  <c r="F296" i="6"/>
  <c r="H296" i="6"/>
  <c r="I296" i="6"/>
  <c r="K296" i="6"/>
  <c r="L296" i="6" s="1"/>
  <c r="F297" i="6"/>
  <c r="I297" i="6" s="1"/>
  <c r="H297" i="6"/>
  <c r="L297" i="6" s="1"/>
  <c r="K297" i="6"/>
  <c r="F306" i="6"/>
  <c r="I306" i="6" s="1"/>
  <c r="H306" i="6"/>
  <c r="K306" i="6"/>
  <c r="L306" i="6"/>
  <c r="F308" i="6"/>
  <c r="I308" i="6" s="1"/>
  <c r="H308" i="6"/>
  <c r="K308" i="6"/>
  <c r="L308" i="6"/>
  <c r="F309" i="6"/>
  <c r="H309" i="6"/>
  <c r="L309" i="6" s="1"/>
  <c r="I309" i="6"/>
  <c r="K309" i="6"/>
  <c r="F310" i="6"/>
  <c r="H310" i="6"/>
  <c r="L310" i="6" s="1"/>
  <c r="I310" i="6"/>
  <c r="K310" i="6"/>
  <c r="F311" i="6"/>
  <c r="I311" i="6" s="1"/>
  <c r="H311" i="6"/>
  <c r="K311" i="6"/>
  <c r="L311" i="6"/>
  <c r="F312" i="6"/>
  <c r="I312" i="6" s="1"/>
  <c r="H312" i="6"/>
  <c r="L312" i="6" s="1"/>
  <c r="K312" i="6"/>
  <c r="F313" i="6"/>
  <c r="H313" i="6"/>
  <c r="I313" i="6"/>
  <c r="K313" i="6"/>
  <c r="L313" i="6" s="1"/>
  <c r="F315" i="6"/>
  <c r="I315" i="6" s="1"/>
  <c r="H315" i="6"/>
  <c r="L315" i="6" s="1"/>
  <c r="K315" i="6"/>
  <c r="S204" i="1"/>
  <c r="S205" i="1"/>
  <c r="Q220" i="1"/>
  <c r="R220" i="1" s="1"/>
  <c r="S220" i="1" s="1"/>
  <c r="Q221" i="1"/>
  <c r="R221" i="1" s="1"/>
  <c r="S221" i="1" s="1"/>
  <c r="Q219" i="1"/>
  <c r="Q205" i="1"/>
  <c r="R205" i="1" s="1"/>
  <c r="Q204" i="1"/>
  <c r="Q160" i="1"/>
  <c r="R160" i="1" s="1"/>
  <c r="S160" i="1" s="1"/>
  <c r="Q161" i="1"/>
  <c r="R161" i="1" s="1"/>
  <c r="S161" i="1" s="1"/>
  <c r="Q159" i="1"/>
  <c r="Q158" i="1"/>
  <c r="R158" i="1" s="1"/>
  <c r="S158" i="1" s="1"/>
  <c r="Q149" i="1"/>
  <c r="Q148" i="1"/>
  <c r="Q146" i="1"/>
  <c r="Q128" i="1"/>
  <c r="Q129" i="1"/>
  <c r="R129" i="1" s="1"/>
  <c r="S129" i="1" s="1"/>
  <c r="Q127" i="1"/>
  <c r="Q95" i="1"/>
  <c r="Q96" i="1"/>
  <c r="R96" i="1" s="1"/>
  <c r="S96" i="1" s="1"/>
  <c r="Q97" i="1"/>
  <c r="R97" i="1" s="1"/>
  <c r="S97" i="1" s="1"/>
  <c r="Q94" i="1"/>
  <c r="Q79" i="1"/>
  <c r="Q80" i="1"/>
  <c r="Q81" i="1"/>
  <c r="Q78" i="1"/>
  <c r="Q65" i="1"/>
  <c r="Q63" i="1"/>
  <c r="Q62" i="1"/>
  <c r="Q47" i="1"/>
  <c r="Q48" i="1"/>
  <c r="Q49" i="1"/>
  <c r="Q46" i="1"/>
  <c r="Q37" i="1"/>
  <c r="Q36" i="1"/>
  <c r="Q31" i="1"/>
  <c r="Q32" i="1"/>
  <c r="Q33" i="1"/>
  <c r="R33" i="1" s="1"/>
  <c r="S33" i="1" s="1"/>
  <c r="Q34" i="1"/>
  <c r="Q30" i="1"/>
  <c r="Q28" i="1"/>
  <c r="Q21" i="1"/>
  <c r="P21" i="1"/>
  <c r="P28" i="1"/>
  <c r="R30" i="1"/>
  <c r="S30" i="1" s="1"/>
  <c r="P30" i="1"/>
  <c r="P31" i="1"/>
  <c r="P32" i="1"/>
  <c r="P33" i="1"/>
  <c r="P34" i="1"/>
  <c r="R34" i="1" s="1"/>
  <c r="S34" i="1" s="1"/>
  <c r="R36" i="1"/>
  <c r="S36" i="1" s="1"/>
  <c r="P36" i="1"/>
  <c r="P37" i="1"/>
  <c r="P46" i="1"/>
  <c r="P47" i="1"/>
  <c r="R48" i="1"/>
  <c r="S48" i="1" s="1"/>
  <c r="P48" i="1"/>
  <c r="P49" i="1"/>
  <c r="P62" i="1"/>
  <c r="P63" i="1"/>
  <c r="R63" i="1"/>
  <c r="S63" i="1" s="1"/>
  <c r="R65" i="1"/>
  <c r="P65" i="1"/>
  <c r="Q18" i="1"/>
  <c r="R18" i="1" s="1"/>
  <c r="S18" i="1" s="1"/>
  <c r="Q19" i="1"/>
  <c r="R19" i="1" s="1"/>
  <c r="S19" i="1" s="1"/>
  <c r="Q20" i="1"/>
  <c r="R20" i="1"/>
  <c r="S20" i="1" s="1"/>
  <c r="Q22" i="1"/>
  <c r="R22" i="1"/>
  <c r="S22" i="1" s="1"/>
  <c r="Q23" i="1"/>
  <c r="R23" i="1" s="1"/>
  <c r="S23" i="1" s="1"/>
  <c r="Q24" i="1"/>
  <c r="R24" i="1"/>
  <c r="S24" i="1" s="1"/>
  <c r="Q25" i="1"/>
  <c r="R25" i="1" s="1"/>
  <c r="S25" i="1" s="1"/>
  <c r="Q26" i="1"/>
  <c r="R26" i="1" s="1"/>
  <c r="S26" i="1" s="1"/>
  <c r="Q27" i="1"/>
  <c r="R27" i="1" s="1"/>
  <c r="S27" i="1" s="1"/>
  <c r="Q29" i="1"/>
  <c r="R29" i="1" s="1"/>
  <c r="S29" i="1" s="1"/>
  <c r="Q35" i="1"/>
  <c r="R35" i="1"/>
  <c r="S35" i="1"/>
  <c r="Q38" i="1"/>
  <c r="R38" i="1"/>
  <c r="S38" i="1" s="1"/>
  <c r="Q39" i="1"/>
  <c r="R39" i="1" s="1"/>
  <c r="S39" i="1" s="1"/>
  <c r="Q40" i="1"/>
  <c r="R40" i="1" s="1"/>
  <c r="S40" i="1" s="1"/>
  <c r="Q41" i="1"/>
  <c r="R41" i="1" s="1"/>
  <c r="S41" i="1" s="1"/>
  <c r="Q42" i="1"/>
  <c r="R42" i="1" s="1"/>
  <c r="S42" i="1" s="1"/>
  <c r="Q43" i="1"/>
  <c r="R43" i="1"/>
  <c r="S43" i="1"/>
  <c r="Q44" i="1"/>
  <c r="R44" i="1"/>
  <c r="S44" i="1" s="1"/>
  <c r="Q45" i="1"/>
  <c r="R45" i="1" s="1"/>
  <c r="S45" i="1" s="1"/>
  <c r="Q50" i="1"/>
  <c r="R50" i="1" s="1"/>
  <c r="S50" i="1" s="1"/>
  <c r="Q51" i="1"/>
  <c r="R51" i="1"/>
  <c r="S51" i="1"/>
  <c r="Q52" i="1"/>
  <c r="R52" i="1"/>
  <c r="S52" i="1" s="1"/>
  <c r="Q53" i="1"/>
  <c r="R53" i="1" s="1"/>
  <c r="Q54" i="1"/>
  <c r="R54" i="1"/>
  <c r="S54" i="1" s="1"/>
  <c r="Q55" i="1"/>
  <c r="R55" i="1" s="1"/>
  <c r="S55" i="1" s="1"/>
  <c r="Q56" i="1"/>
  <c r="R56" i="1" s="1"/>
  <c r="S56" i="1" s="1"/>
  <c r="Q57" i="1"/>
  <c r="R57" i="1" s="1"/>
  <c r="Q58" i="1"/>
  <c r="R58" i="1" s="1"/>
  <c r="S58" i="1" s="1"/>
  <c r="Q59" i="1"/>
  <c r="R59" i="1"/>
  <c r="S59" i="1"/>
  <c r="Q60" i="1"/>
  <c r="R60" i="1"/>
  <c r="S60" i="1" s="1"/>
  <c r="Q61" i="1"/>
  <c r="R61" i="1" s="1"/>
  <c r="Q64" i="1"/>
  <c r="R64" i="1" s="1"/>
  <c r="S64" i="1" s="1"/>
  <c r="Q66" i="1"/>
  <c r="R66" i="1" s="1"/>
  <c r="S66" i="1" s="1"/>
  <c r="Q67" i="1"/>
  <c r="R67" i="1"/>
  <c r="S67" i="1"/>
  <c r="Q68" i="1"/>
  <c r="R68" i="1"/>
  <c r="S68" i="1" s="1"/>
  <c r="Q69" i="1"/>
  <c r="R69" i="1" s="1"/>
  <c r="S69" i="1" s="1"/>
  <c r="Q70" i="1"/>
  <c r="R70" i="1"/>
  <c r="S70" i="1" s="1"/>
  <c r="Q71" i="1"/>
  <c r="R71" i="1" s="1"/>
  <c r="S71" i="1" s="1"/>
  <c r="Q72" i="1"/>
  <c r="R72" i="1" s="1"/>
  <c r="S72" i="1" s="1"/>
  <c r="Q73" i="1"/>
  <c r="R73" i="1" s="1"/>
  <c r="S73" i="1" s="1"/>
  <c r="Q74" i="1"/>
  <c r="R74" i="1" s="1"/>
  <c r="S74" i="1" s="1"/>
  <c r="Q75" i="1"/>
  <c r="R75" i="1"/>
  <c r="S75" i="1"/>
  <c r="Q76" i="1"/>
  <c r="R76" i="1"/>
  <c r="S76" i="1" s="1"/>
  <c r="Q77" i="1"/>
  <c r="R77" i="1" s="1"/>
  <c r="S77" i="1" s="1"/>
  <c r="R78" i="1"/>
  <c r="S78" i="1" s="1"/>
  <c r="R79" i="1"/>
  <c r="S79" i="1" s="1"/>
  <c r="R80" i="1"/>
  <c r="S80" i="1" s="1"/>
  <c r="R81" i="1"/>
  <c r="S81" i="1" s="1"/>
  <c r="Q82" i="1"/>
  <c r="R82" i="1" s="1"/>
  <c r="S82" i="1" s="1"/>
  <c r="Q83" i="1"/>
  <c r="R83" i="1"/>
  <c r="S83" i="1"/>
  <c r="Q84" i="1"/>
  <c r="R84" i="1"/>
  <c r="S84" i="1" s="1"/>
  <c r="Q85" i="1"/>
  <c r="R85" i="1"/>
  <c r="S85" i="1" s="1"/>
  <c r="Q86" i="1"/>
  <c r="R86" i="1"/>
  <c r="S86" i="1" s="1"/>
  <c r="Q87" i="1"/>
  <c r="R87" i="1" s="1"/>
  <c r="S87" i="1" s="1"/>
  <c r="Q88" i="1"/>
  <c r="R88" i="1" s="1"/>
  <c r="S88" i="1" s="1"/>
  <c r="Q89" i="1"/>
  <c r="R89" i="1" s="1"/>
  <c r="S89" i="1" s="1"/>
  <c r="Q90" i="1"/>
  <c r="R90" i="1" s="1"/>
  <c r="S90" i="1" s="1"/>
  <c r="Q91" i="1"/>
  <c r="R91" i="1"/>
  <c r="S91" i="1"/>
  <c r="Q92" i="1"/>
  <c r="R92" i="1"/>
  <c r="S92" i="1" s="1"/>
  <c r="Q93" i="1"/>
  <c r="R93" i="1"/>
  <c r="S93" i="1" s="1"/>
  <c r="R94" i="1"/>
  <c r="S94" i="1" s="1"/>
  <c r="R95" i="1"/>
  <c r="S95" i="1" s="1"/>
  <c r="Q98" i="1"/>
  <c r="R98" i="1" s="1"/>
  <c r="S98" i="1" s="1"/>
  <c r="Q99" i="1"/>
  <c r="R99" i="1"/>
  <c r="S99" i="1"/>
  <c r="Q100" i="1"/>
  <c r="R100" i="1"/>
  <c r="S100" i="1" s="1"/>
  <c r="Q101" i="1"/>
  <c r="R101" i="1"/>
  <c r="S101" i="1" s="1"/>
  <c r="Q102" i="1"/>
  <c r="R102" i="1"/>
  <c r="S102" i="1" s="1"/>
  <c r="Q103" i="1"/>
  <c r="R103" i="1" s="1"/>
  <c r="S103" i="1" s="1"/>
  <c r="Q104" i="1"/>
  <c r="R104" i="1" s="1"/>
  <c r="S104" i="1" s="1"/>
  <c r="Q105" i="1"/>
  <c r="R105" i="1" s="1"/>
  <c r="S105" i="1" s="1"/>
  <c r="Q106" i="1"/>
  <c r="R106" i="1" s="1"/>
  <c r="S106" i="1" s="1"/>
  <c r="Q107" i="1"/>
  <c r="R107" i="1"/>
  <c r="S107" i="1"/>
  <c r="Q108" i="1"/>
  <c r="R108" i="1"/>
  <c r="S108" i="1" s="1"/>
  <c r="Q109" i="1"/>
  <c r="R109" i="1"/>
  <c r="S109" i="1" s="1"/>
  <c r="Q110" i="1"/>
  <c r="R110" i="1"/>
  <c r="S110" i="1" s="1"/>
  <c r="Q111" i="1"/>
  <c r="R111" i="1" s="1"/>
  <c r="S111" i="1" s="1"/>
  <c r="Q112" i="1"/>
  <c r="R112" i="1" s="1"/>
  <c r="S112" i="1" s="1"/>
  <c r="Q113" i="1"/>
  <c r="R113" i="1" s="1"/>
  <c r="S113" i="1"/>
  <c r="Q114" i="1"/>
  <c r="R114" i="1" s="1"/>
  <c r="S114" i="1" s="1"/>
  <c r="Q115" i="1"/>
  <c r="R115" i="1"/>
  <c r="S115" i="1"/>
  <c r="Q116" i="1"/>
  <c r="R116" i="1"/>
  <c r="S116" i="1" s="1"/>
  <c r="Q117" i="1"/>
  <c r="R117" i="1" s="1"/>
  <c r="S117" i="1" s="1"/>
  <c r="Q118" i="1"/>
  <c r="R118" i="1"/>
  <c r="S118" i="1" s="1"/>
  <c r="Q119" i="1"/>
  <c r="R119" i="1" s="1"/>
  <c r="S119" i="1" s="1"/>
  <c r="Q120" i="1"/>
  <c r="R120" i="1" s="1"/>
  <c r="S120" i="1" s="1"/>
  <c r="Q121" i="1"/>
  <c r="R121" i="1" s="1"/>
  <c r="S121" i="1" s="1"/>
  <c r="Q122" i="1"/>
  <c r="R122" i="1" s="1"/>
  <c r="S122" i="1" s="1"/>
  <c r="Q123" i="1"/>
  <c r="R123" i="1"/>
  <c r="S123" i="1"/>
  <c r="Q124" i="1"/>
  <c r="R124" i="1"/>
  <c r="S124" i="1" s="1"/>
  <c r="Q125" i="1"/>
  <c r="R125" i="1" s="1"/>
  <c r="S125" i="1" s="1"/>
  <c r="R127" i="1"/>
  <c r="S127" i="1" s="1"/>
  <c r="R128" i="1"/>
  <c r="S128" i="1" s="1"/>
  <c r="Q130" i="1"/>
  <c r="R130" i="1" s="1"/>
  <c r="S130" i="1" s="1"/>
  <c r="Q131" i="1"/>
  <c r="R131" i="1"/>
  <c r="S131" i="1"/>
  <c r="Q132" i="1"/>
  <c r="R132" i="1"/>
  <c r="S132" i="1" s="1"/>
  <c r="Q133" i="1"/>
  <c r="R133" i="1"/>
  <c r="S133" i="1" s="1"/>
  <c r="Q134" i="1"/>
  <c r="R134" i="1"/>
  <c r="S134" i="1" s="1"/>
  <c r="Q135" i="1"/>
  <c r="R135" i="1" s="1"/>
  <c r="S135" i="1" s="1"/>
  <c r="Q136" i="1"/>
  <c r="R136" i="1" s="1"/>
  <c r="S136" i="1" s="1"/>
  <c r="Q137" i="1"/>
  <c r="R137" i="1" s="1"/>
  <c r="S137" i="1"/>
  <c r="Q138" i="1"/>
  <c r="R138" i="1" s="1"/>
  <c r="S138" i="1" s="1"/>
  <c r="Q139" i="1"/>
  <c r="R139" i="1"/>
  <c r="S139" i="1"/>
  <c r="Q140" i="1"/>
  <c r="R140" i="1"/>
  <c r="S140" i="1" s="1"/>
  <c r="Q141" i="1"/>
  <c r="R141" i="1" s="1"/>
  <c r="S141" i="1" s="1"/>
  <c r="Q142" i="1"/>
  <c r="R142" i="1"/>
  <c r="S142" i="1" s="1"/>
  <c r="Q143" i="1"/>
  <c r="R143" i="1" s="1"/>
  <c r="S143" i="1" s="1"/>
  <c r="Q144" i="1"/>
  <c r="R144" i="1" s="1"/>
  <c r="S144" i="1" s="1"/>
  <c r="Q145" i="1"/>
  <c r="R145" i="1" s="1"/>
  <c r="S145" i="1" s="1"/>
  <c r="R146" i="1"/>
  <c r="S146" i="1" s="1"/>
  <c r="Q147" i="1"/>
  <c r="R147" i="1"/>
  <c r="S147" i="1"/>
  <c r="R148" i="1"/>
  <c r="S148" i="1" s="1"/>
  <c r="R149" i="1"/>
  <c r="S149" i="1" s="1"/>
  <c r="Q150" i="1"/>
  <c r="R150" i="1"/>
  <c r="S150" i="1" s="1"/>
  <c r="Q151" i="1"/>
  <c r="R151" i="1" s="1"/>
  <c r="S151" i="1" s="1"/>
  <c r="Q152" i="1"/>
  <c r="R152" i="1" s="1"/>
  <c r="S152" i="1" s="1"/>
  <c r="Q153" i="1"/>
  <c r="R153" i="1" s="1"/>
  <c r="S153" i="1"/>
  <c r="Q154" i="1"/>
  <c r="R154" i="1" s="1"/>
  <c r="S154" i="1" s="1"/>
  <c r="Q155" i="1"/>
  <c r="R155" i="1"/>
  <c r="S155" i="1"/>
  <c r="Q156" i="1"/>
  <c r="R156" i="1"/>
  <c r="S156" i="1" s="1"/>
  <c r="Q157" i="1"/>
  <c r="R157" i="1" s="1"/>
  <c r="S157" i="1" s="1"/>
  <c r="R159" i="1"/>
  <c r="S159" i="1" s="1"/>
  <c r="Q162" i="1"/>
  <c r="R162" i="1" s="1"/>
  <c r="S162" i="1" s="1"/>
  <c r="Q163" i="1"/>
  <c r="R163" i="1"/>
  <c r="S163" i="1"/>
  <c r="Q164" i="1"/>
  <c r="R164" i="1"/>
  <c r="S164" i="1" s="1"/>
  <c r="Q165" i="1"/>
  <c r="R165" i="1" s="1"/>
  <c r="S165" i="1" s="1"/>
  <c r="Q166" i="1"/>
  <c r="R166" i="1"/>
  <c r="S166" i="1" s="1"/>
  <c r="Q167" i="1"/>
  <c r="R167" i="1" s="1"/>
  <c r="S167" i="1" s="1"/>
  <c r="Q168" i="1"/>
  <c r="R168" i="1" s="1"/>
  <c r="S168" i="1" s="1"/>
  <c r="Q169" i="1"/>
  <c r="R169" i="1" s="1"/>
  <c r="S169" i="1"/>
  <c r="Q171" i="1"/>
  <c r="R171" i="1"/>
  <c r="S171" i="1"/>
  <c r="Q172" i="1"/>
  <c r="R172" i="1"/>
  <c r="S172" i="1" s="1"/>
  <c r="Q173" i="1"/>
  <c r="R173" i="1" s="1"/>
  <c r="S173" i="1" s="1"/>
  <c r="Q174" i="1"/>
  <c r="R174" i="1"/>
  <c r="S174" i="1" s="1"/>
  <c r="Q175" i="1"/>
  <c r="R175" i="1" s="1"/>
  <c r="S175" i="1" s="1"/>
  <c r="Q176" i="1"/>
  <c r="R176" i="1" s="1"/>
  <c r="S176" i="1" s="1"/>
  <c r="Q177" i="1"/>
  <c r="R177" i="1" s="1"/>
  <c r="S177" i="1"/>
  <c r="Q178" i="1"/>
  <c r="R178" i="1" s="1"/>
  <c r="S178" i="1" s="1"/>
  <c r="Q179" i="1"/>
  <c r="R179" i="1"/>
  <c r="S179" i="1"/>
  <c r="Q180" i="1"/>
  <c r="R180" i="1"/>
  <c r="S180" i="1" s="1"/>
  <c r="Q181" i="1"/>
  <c r="R181" i="1" s="1"/>
  <c r="S181" i="1" s="1"/>
  <c r="Q182" i="1"/>
  <c r="R182" i="1"/>
  <c r="S182" i="1" s="1"/>
  <c r="Q183" i="1"/>
  <c r="R183" i="1" s="1"/>
  <c r="S183" i="1" s="1"/>
  <c r="Q184" i="1"/>
  <c r="R184" i="1" s="1"/>
  <c r="S184" i="1" s="1"/>
  <c r="Q185" i="1"/>
  <c r="R185" i="1" s="1"/>
  <c r="Q186" i="1"/>
  <c r="R186" i="1" s="1"/>
  <c r="S186" i="1" s="1"/>
  <c r="Q187" i="1"/>
  <c r="R187" i="1"/>
  <c r="S187" i="1"/>
  <c r="Q190" i="1"/>
  <c r="R190" i="1"/>
  <c r="S190" i="1" s="1"/>
  <c r="Q191" i="1"/>
  <c r="R191" i="1" s="1"/>
  <c r="S191" i="1" s="1"/>
  <c r="Q192" i="1"/>
  <c r="R192" i="1" s="1"/>
  <c r="S192" i="1" s="1"/>
  <c r="Q193" i="1"/>
  <c r="R193" i="1" s="1"/>
  <c r="S193" i="1" s="1"/>
  <c r="Q194" i="1"/>
  <c r="R194" i="1" s="1"/>
  <c r="S194" i="1" s="1"/>
  <c r="Q195" i="1"/>
  <c r="Q196" i="1"/>
  <c r="R196" i="1"/>
  <c r="S196" i="1" s="1"/>
  <c r="Q197" i="1"/>
  <c r="Q198" i="1"/>
  <c r="Q199" i="1"/>
  <c r="Q200" i="1"/>
  <c r="Q201" i="1"/>
  <c r="R201" i="1" s="1"/>
  <c r="S201" i="1" s="1"/>
  <c r="R204" i="1"/>
  <c r="Q210" i="1"/>
  <c r="Q211" i="1"/>
  <c r="Q212" i="1"/>
  <c r="Q213" i="1"/>
  <c r="Q214" i="1"/>
  <c r="Q215" i="1"/>
  <c r="Q216" i="1"/>
  <c r="Q217" i="1"/>
  <c r="R219" i="1"/>
  <c r="Q226" i="1"/>
  <c r="Q290" i="1"/>
  <c r="Q291" i="1"/>
  <c r="R291" i="1" s="1"/>
  <c r="S291" i="1" s="1"/>
  <c r="Q292" i="1"/>
  <c r="R292" i="1"/>
  <c r="S292" i="1" s="1"/>
  <c r="Q293" i="1"/>
  <c r="R293" i="1" s="1"/>
  <c r="S293" i="1" s="1"/>
  <c r="Q294" i="1"/>
  <c r="R294" i="1"/>
  <c r="S294" i="1" s="1"/>
  <c r="Q295" i="1"/>
  <c r="R295" i="1" s="1"/>
  <c r="S295" i="1" s="1"/>
  <c r="Q296" i="1"/>
  <c r="R296" i="1"/>
  <c r="S296" i="1" s="1"/>
  <c r="Q297" i="1"/>
  <c r="R297" i="1" s="1"/>
  <c r="S297" i="1"/>
  <c r="Q306" i="1"/>
  <c r="R306" i="1" s="1"/>
  <c r="S306" i="1" s="1"/>
  <c r="Q307" i="1"/>
  <c r="R307" i="1" s="1"/>
  <c r="S307" i="1" s="1"/>
  <c r="Q308" i="1"/>
  <c r="R308" i="1"/>
  <c r="S308" i="1" s="1"/>
  <c r="Q309" i="1"/>
  <c r="R309" i="1" s="1"/>
  <c r="S309" i="1" s="1"/>
  <c r="Q310" i="1"/>
  <c r="R310" i="1"/>
  <c r="S310" i="1" s="1"/>
  <c r="Q311" i="1"/>
  <c r="R311" i="1" s="1"/>
  <c r="S311" i="1" s="1"/>
  <c r="Q312" i="1"/>
  <c r="R312" i="1"/>
  <c r="S312" i="1" s="1"/>
  <c r="Q313" i="1"/>
  <c r="R313" i="1" s="1"/>
  <c r="S313" i="1"/>
  <c r="Q315" i="1"/>
  <c r="R315" i="1" s="1"/>
  <c r="S315" i="1" s="1"/>
  <c r="M18" i="1"/>
  <c r="M19" i="1"/>
  <c r="M20" i="1"/>
  <c r="M22" i="1"/>
  <c r="M23" i="1"/>
  <c r="M24" i="1"/>
  <c r="M25" i="1"/>
  <c r="M26" i="1"/>
  <c r="M27" i="1"/>
  <c r="M29" i="1"/>
  <c r="M35" i="1"/>
  <c r="M38" i="1"/>
  <c r="M39" i="1"/>
  <c r="M40" i="1"/>
  <c r="M41" i="1"/>
  <c r="M42" i="1"/>
  <c r="M43" i="1"/>
  <c r="M44" i="1"/>
  <c r="M45" i="1"/>
  <c r="M50" i="1"/>
  <c r="M51" i="1"/>
  <c r="M52" i="1"/>
  <c r="M53" i="1"/>
  <c r="M54" i="1"/>
  <c r="M55" i="1"/>
  <c r="M56" i="1"/>
  <c r="M57" i="1"/>
  <c r="M58" i="1"/>
  <c r="M59" i="1"/>
  <c r="M60" i="1"/>
  <c r="M61" i="1"/>
  <c r="M64" i="1"/>
  <c r="M66" i="1"/>
  <c r="M67" i="1"/>
  <c r="M68" i="1"/>
  <c r="M69" i="1"/>
  <c r="M70" i="1"/>
  <c r="M71" i="1"/>
  <c r="M72" i="1"/>
  <c r="M73" i="1"/>
  <c r="M74" i="1"/>
  <c r="M75" i="1"/>
  <c r="M76" i="1"/>
  <c r="M77" i="1"/>
  <c r="M82" i="1"/>
  <c r="M83" i="1"/>
  <c r="M84" i="1"/>
  <c r="M85" i="1"/>
  <c r="M86" i="1"/>
  <c r="M87" i="1"/>
  <c r="M88" i="1"/>
  <c r="M89" i="1"/>
  <c r="M90" i="1"/>
  <c r="M91" i="1"/>
  <c r="M92" i="1"/>
  <c r="M93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7" i="1"/>
  <c r="M150" i="1"/>
  <c r="M151" i="1"/>
  <c r="M152" i="1"/>
  <c r="M153" i="1"/>
  <c r="M154" i="1"/>
  <c r="M155" i="1"/>
  <c r="M156" i="1"/>
  <c r="M157" i="1"/>
  <c r="M162" i="1"/>
  <c r="M163" i="1"/>
  <c r="M164" i="1"/>
  <c r="M165" i="1"/>
  <c r="M166" i="1"/>
  <c r="M167" i="1"/>
  <c r="M168" i="1"/>
  <c r="M169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90" i="1"/>
  <c r="M191" i="1"/>
  <c r="M192" i="1"/>
  <c r="M193" i="1"/>
  <c r="M194" i="1"/>
  <c r="M195" i="1"/>
  <c r="R195" i="1" s="1"/>
  <c r="S195" i="1" s="1"/>
  <c r="M196" i="1"/>
  <c r="M197" i="1"/>
  <c r="M198" i="1"/>
  <c r="R198" i="1" s="1"/>
  <c r="S198" i="1" s="1"/>
  <c r="M199" i="1"/>
  <c r="M200" i="1"/>
  <c r="R200" i="1" s="1"/>
  <c r="S200" i="1" s="1"/>
  <c r="M201" i="1"/>
  <c r="M231" i="1"/>
  <c r="M240" i="1"/>
  <c r="M261" i="1"/>
  <c r="M291" i="1"/>
  <c r="M292" i="1"/>
  <c r="M293" i="1"/>
  <c r="M294" i="1"/>
  <c r="M295" i="1"/>
  <c r="M296" i="1"/>
  <c r="M297" i="1"/>
  <c r="M306" i="1"/>
  <c r="M307" i="1"/>
  <c r="M308" i="1"/>
  <c r="M309" i="1"/>
  <c r="M310" i="1"/>
  <c r="M311" i="1"/>
  <c r="M312" i="1"/>
  <c r="M313" i="1"/>
  <c r="M315" i="1"/>
  <c r="P315" i="1"/>
  <c r="P313" i="1"/>
  <c r="P312" i="1"/>
  <c r="P311" i="1"/>
  <c r="P310" i="1"/>
  <c r="P309" i="1"/>
  <c r="P308" i="1"/>
  <c r="P307" i="1"/>
  <c r="P306" i="1"/>
  <c r="P297" i="1"/>
  <c r="P296" i="1"/>
  <c r="P295" i="1"/>
  <c r="P294" i="1"/>
  <c r="P293" i="1"/>
  <c r="P292" i="1"/>
  <c r="P291" i="1"/>
  <c r="P290" i="1"/>
  <c r="P281" i="1"/>
  <c r="Q281" i="1" s="1"/>
  <c r="P280" i="1"/>
  <c r="Q280" i="1" s="1"/>
  <c r="P279" i="1"/>
  <c r="Q279" i="1" s="1"/>
  <c r="R279" i="1" s="1"/>
  <c r="S279" i="1" s="1"/>
  <c r="P278" i="1"/>
  <c r="Q278" i="1" s="1"/>
  <c r="P277" i="1"/>
  <c r="P276" i="1"/>
  <c r="Q276" i="1" s="1"/>
  <c r="P275" i="1"/>
  <c r="Q275" i="1" s="1"/>
  <c r="P274" i="1"/>
  <c r="Q274" i="1" s="1"/>
  <c r="P268" i="1"/>
  <c r="Q268" i="1" s="1"/>
  <c r="P267" i="1"/>
  <c r="Q267" i="1" s="1"/>
  <c r="P266" i="1"/>
  <c r="Q266" i="1" s="1"/>
  <c r="R266" i="1" s="1"/>
  <c r="S266" i="1" s="1"/>
  <c r="P265" i="1"/>
  <c r="P264" i="1"/>
  <c r="Q264" i="1" s="1"/>
  <c r="P263" i="1"/>
  <c r="Q263" i="1" s="1"/>
  <c r="P262" i="1"/>
  <c r="Q262" i="1" s="1"/>
  <c r="P261" i="1"/>
  <c r="Q261" i="1" s="1"/>
  <c r="R261" i="1" s="1"/>
  <c r="S261" i="1" s="1"/>
  <c r="P260" i="1"/>
  <c r="P259" i="1"/>
  <c r="Q259" i="1" s="1"/>
  <c r="P258" i="1"/>
  <c r="Q258" i="1" s="1"/>
  <c r="P249" i="1"/>
  <c r="Q249" i="1" s="1"/>
  <c r="P248" i="1"/>
  <c r="Q248" i="1" s="1"/>
  <c r="P247" i="1"/>
  <c r="Q247" i="1" s="1"/>
  <c r="P246" i="1"/>
  <c r="Q246" i="1" s="1"/>
  <c r="P241" i="1"/>
  <c r="Q241" i="1" s="1"/>
  <c r="P240" i="1"/>
  <c r="Q240" i="1" s="1"/>
  <c r="P239" i="1"/>
  <c r="Q239" i="1" s="1"/>
  <c r="P238" i="1"/>
  <c r="Q238" i="1" s="1"/>
  <c r="P237" i="1"/>
  <c r="Q237" i="1" s="1"/>
  <c r="P236" i="1"/>
  <c r="Q236" i="1" s="1"/>
  <c r="P235" i="1"/>
  <c r="Q235" i="1" s="1"/>
  <c r="P233" i="1"/>
  <c r="Q233" i="1" s="1"/>
  <c r="P232" i="1"/>
  <c r="Q232" i="1" s="1"/>
  <c r="P231" i="1"/>
  <c r="Q231" i="1" s="1"/>
  <c r="R231" i="1" s="1"/>
  <c r="S231" i="1" s="1"/>
  <c r="P230" i="1"/>
  <c r="Q230" i="1" s="1"/>
  <c r="P229" i="1"/>
  <c r="Q229" i="1" s="1"/>
  <c r="P228" i="1"/>
  <c r="Q228" i="1" s="1"/>
  <c r="P227" i="1"/>
  <c r="Q227" i="1" s="1"/>
  <c r="P226" i="1"/>
  <c r="P221" i="1"/>
  <c r="P220" i="1"/>
  <c r="P219" i="1"/>
  <c r="P217" i="1"/>
  <c r="P216" i="1"/>
  <c r="P215" i="1"/>
  <c r="P214" i="1"/>
  <c r="P213" i="1"/>
  <c r="P212" i="1"/>
  <c r="P211" i="1"/>
  <c r="P210" i="1"/>
  <c r="P205" i="1"/>
  <c r="P204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4" i="1"/>
  <c r="P61" i="1"/>
  <c r="P60" i="1"/>
  <c r="P59" i="1"/>
  <c r="P58" i="1"/>
  <c r="P57" i="1"/>
  <c r="P56" i="1"/>
  <c r="P55" i="1"/>
  <c r="P54" i="1"/>
  <c r="P53" i="1"/>
  <c r="P52" i="1"/>
  <c r="P51" i="1"/>
  <c r="P50" i="1"/>
  <c r="P45" i="1"/>
  <c r="P44" i="1"/>
  <c r="P43" i="1"/>
  <c r="P42" i="1"/>
  <c r="P41" i="1"/>
  <c r="P40" i="1"/>
  <c r="P39" i="1"/>
  <c r="P38" i="1"/>
  <c r="P35" i="1"/>
  <c r="P29" i="1"/>
  <c r="P27" i="1"/>
  <c r="P26" i="1"/>
  <c r="P25" i="1"/>
  <c r="P24" i="1"/>
  <c r="P23" i="1"/>
  <c r="P22" i="1"/>
  <c r="P20" i="1"/>
  <c r="P19" i="1"/>
  <c r="P18" i="1"/>
  <c r="P17" i="1"/>
  <c r="Q17" i="1" s="1"/>
  <c r="P2" i="1"/>
  <c r="L315" i="1"/>
  <c r="J315" i="1"/>
  <c r="H315" i="1"/>
  <c r="L313" i="1"/>
  <c r="J313" i="1"/>
  <c r="H313" i="1"/>
  <c r="L312" i="1"/>
  <c r="J312" i="1"/>
  <c r="H312" i="1"/>
  <c r="L311" i="1"/>
  <c r="J311" i="1"/>
  <c r="H311" i="1"/>
  <c r="L310" i="1"/>
  <c r="J310" i="1"/>
  <c r="H310" i="1"/>
  <c r="L309" i="1"/>
  <c r="J309" i="1"/>
  <c r="H309" i="1"/>
  <c r="L308" i="1"/>
  <c r="J308" i="1"/>
  <c r="H308" i="1"/>
  <c r="L307" i="1"/>
  <c r="J307" i="1"/>
  <c r="H307" i="1"/>
  <c r="L306" i="1"/>
  <c r="J306" i="1"/>
  <c r="H306" i="1"/>
  <c r="L297" i="1"/>
  <c r="J297" i="1"/>
  <c r="H297" i="1"/>
  <c r="L296" i="1"/>
  <c r="J296" i="1"/>
  <c r="H296" i="1"/>
  <c r="L295" i="1"/>
  <c r="J295" i="1"/>
  <c r="H295" i="1"/>
  <c r="L294" i="1"/>
  <c r="J294" i="1"/>
  <c r="H294" i="1"/>
  <c r="L293" i="1"/>
  <c r="J293" i="1"/>
  <c r="H293" i="1"/>
  <c r="L292" i="1"/>
  <c r="J292" i="1"/>
  <c r="H292" i="1"/>
  <c r="L291" i="1"/>
  <c r="J291" i="1"/>
  <c r="H291" i="1"/>
  <c r="L290" i="1"/>
  <c r="J290" i="1"/>
  <c r="M290" i="1" s="1"/>
  <c r="H290" i="1"/>
  <c r="L281" i="1"/>
  <c r="J281" i="1"/>
  <c r="M281" i="1" s="1"/>
  <c r="H281" i="1"/>
  <c r="L280" i="1"/>
  <c r="J280" i="1"/>
  <c r="M280" i="1" s="1"/>
  <c r="H280" i="1"/>
  <c r="L279" i="1"/>
  <c r="J279" i="1"/>
  <c r="M279" i="1" s="1"/>
  <c r="H279" i="1"/>
  <c r="L278" i="1"/>
  <c r="J278" i="1"/>
  <c r="M278" i="1" s="1"/>
  <c r="H278" i="1"/>
  <c r="R278" i="1" s="1"/>
  <c r="S278" i="1" s="1"/>
  <c r="L277" i="1"/>
  <c r="J277" i="1"/>
  <c r="M277" i="1" s="1"/>
  <c r="H277" i="1"/>
  <c r="L276" i="1"/>
  <c r="J276" i="1"/>
  <c r="M276" i="1" s="1"/>
  <c r="H276" i="1"/>
  <c r="L275" i="1"/>
  <c r="J275" i="1"/>
  <c r="M275" i="1" s="1"/>
  <c r="H275" i="1"/>
  <c r="L274" i="1"/>
  <c r="J274" i="1"/>
  <c r="M274" i="1" s="1"/>
  <c r="H274" i="1"/>
  <c r="H268" i="1"/>
  <c r="R268" i="1" s="1"/>
  <c r="S268" i="1" s="1"/>
  <c r="H267" i="1"/>
  <c r="R267" i="1" s="1"/>
  <c r="S267" i="1" s="1"/>
  <c r="H266" i="1"/>
  <c r="L265" i="1"/>
  <c r="J265" i="1"/>
  <c r="M265" i="1" s="1"/>
  <c r="G265" i="1"/>
  <c r="H265" i="1" s="1"/>
  <c r="Q265" i="1" s="1"/>
  <c r="L264" i="1"/>
  <c r="J264" i="1"/>
  <c r="M264" i="1" s="1"/>
  <c r="G264" i="1"/>
  <c r="H264" i="1" s="1"/>
  <c r="R264" i="1" s="1"/>
  <c r="S264" i="1" s="1"/>
  <c r="L263" i="1"/>
  <c r="J263" i="1"/>
  <c r="M263" i="1" s="1"/>
  <c r="H263" i="1"/>
  <c r="G263" i="1"/>
  <c r="L262" i="1"/>
  <c r="J262" i="1"/>
  <c r="M262" i="1" s="1"/>
  <c r="G262" i="1"/>
  <c r="H262" i="1" s="1"/>
  <c r="L261" i="1"/>
  <c r="J261" i="1"/>
  <c r="H261" i="1"/>
  <c r="L260" i="1"/>
  <c r="J260" i="1"/>
  <c r="M260" i="1" s="1"/>
  <c r="H260" i="1"/>
  <c r="L259" i="1"/>
  <c r="J259" i="1"/>
  <c r="M259" i="1" s="1"/>
  <c r="H259" i="1"/>
  <c r="H258" i="1"/>
  <c r="L249" i="1"/>
  <c r="J249" i="1"/>
  <c r="M249" i="1" s="1"/>
  <c r="G249" i="1"/>
  <c r="H249" i="1" s="1"/>
  <c r="L248" i="1"/>
  <c r="J248" i="1"/>
  <c r="M248" i="1" s="1"/>
  <c r="G248" i="1"/>
  <c r="H248" i="1" s="1"/>
  <c r="L247" i="1"/>
  <c r="J247" i="1"/>
  <c r="M247" i="1" s="1"/>
  <c r="G247" i="1"/>
  <c r="H247" i="1" s="1"/>
  <c r="L246" i="1"/>
  <c r="J246" i="1"/>
  <c r="M246" i="1" s="1"/>
  <c r="G246" i="1"/>
  <c r="H246" i="1" s="1"/>
  <c r="L241" i="1"/>
  <c r="J241" i="1"/>
  <c r="M241" i="1" s="1"/>
  <c r="H241" i="1"/>
  <c r="L240" i="1"/>
  <c r="J240" i="1"/>
  <c r="H240" i="1"/>
  <c r="R240" i="1" s="1"/>
  <c r="S240" i="1" s="1"/>
  <c r="L239" i="1"/>
  <c r="J239" i="1"/>
  <c r="M239" i="1" s="1"/>
  <c r="H239" i="1"/>
  <c r="L238" i="1"/>
  <c r="J238" i="1"/>
  <c r="M238" i="1" s="1"/>
  <c r="H238" i="1"/>
  <c r="L237" i="1"/>
  <c r="J237" i="1"/>
  <c r="M237" i="1" s="1"/>
  <c r="H237" i="1"/>
  <c r="L236" i="1"/>
  <c r="J236" i="1"/>
  <c r="M236" i="1" s="1"/>
  <c r="R236" i="1" s="1"/>
  <c r="S236" i="1" s="1"/>
  <c r="H236" i="1"/>
  <c r="L235" i="1"/>
  <c r="J235" i="1"/>
  <c r="M235" i="1" s="1"/>
  <c r="G235" i="1"/>
  <c r="H235" i="1" s="1"/>
  <c r="L233" i="1"/>
  <c r="J233" i="1"/>
  <c r="M233" i="1" s="1"/>
  <c r="H233" i="1"/>
  <c r="L232" i="1"/>
  <c r="J232" i="1"/>
  <c r="M232" i="1" s="1"/>
  <c r="H232" i="1"/>
  <c r="R232" i="1" s="1"/>
  <c r="S232" i="1" s="1"/>
  <c r="L231" i="1"/>
  <c r="J231" i="1"/>
  <c r="H231" i="1"/>
  <c r="L230" i="1"/>
  <c r="J230" i="1"/>
  <c r="M230" i="1" s="1"/>
  <c r="R230" i="1" s="1"/>
  <c r="S230" i="1" s="1"/>
  <c r="G230" i="1"/>
  <c r="H230" i="1" s="1"/>
  <c r="L229" i="1"/>
  <c r="J229" i="1"/>
  <c r="M229" i="1" s="1"/>
  <c r="H229" i="1"/>
  <c r="L228" i="1"/>
  <c r="J228" i="1"/>
  <c r="M228" i="1" s="1"/>
  <c r="H228" i="1"/>
  <c r="L227" i="1"/>
  <c r="J227" i="1"/>
  <c r="M227" i="1" s="1"/>
  <c r="H227" i="1"/>
  <c r="L226" i="1"/>
  <c r="M226" i="1" s="1"/>
  <c r="J226" i="1"/>
  <c r="H226" i="1"/>
  <c r="H221" i="1"/>
  <c r="H220" i="1"/>
  <c r="H219" i="1"/>
  <c r="L217" i="1"/>
  <c r="M217" i="1" s="1"/>
  <c r="J217" i="1"/>
  <c r="H217" i="1"/>
  <c r="L216" i="1"/>
  <c r="M216" i="1" s="1"/>
  <c r="R216" i="1" s="1"/>
  <c r="S216" i="1" s="1"/>
  <c r="J216" i="1"/>
  <c r="H216" i="1"/>
  <c r="G216" i="1"/>
  <c r="L215" i="1"/>
  <c r="M215" i="1" s="1"/>
  <c r="J215" i="1"/>
  <c r="G215" i="1"/>
  <c r="H215" i="1" s="1"/>
  <c r="L214" i="1"/>
  <c r="M214" i="1" s="1"/>
  <c r="R214" i="1" s="1"/>
  <c r="S214" i="1" s="1"/>
  <c r="J214" i="1"/>
  <c r="H214" i="1"/>
  <c r="G214" i="1"/>
  <c r="L213" i="1"/>
  <c r="M213" i="1" s="1"/>
  <c r="J213" i="1"/>
  <c r="H213" i="1"/>
  <c r="L212" i="1"/>
  <c r="M212" i="1" s="1"/>
  <c r="R212" i="1" s="1"/>
  <c r="S212" i="1" s="1"/>
  <c r="J212" i="1"/>
  <c r="H212" i="1"/>
  <c r="L211" i="1"/>
  <c r="M211" i="1" s="1"/>
  <c r="J211" i="1"/>
  <c r="H211" i="1"/>
  <c r="L210" i="1"/>
  <c r="M210" i="1" s="1"/>
  <c r="J210" i="1"/>
  <c r="H210" i="1"/>
  <c r="H205" i="1"/>
  <c r="H204" i="1"/>
  <c r="L201" i="1"/>
  <c r="J201" i="1"/>
  <c r="G201" i="1"/>
  <c r="H201" i="1" s="1"/>
  <c r="L200" i="1"/>
  <c r="J200" i="1"/>
  <c r="H200" i="1"/>
  <c r="L199" i="1"/>
  <c r="J199" i="1"/>
  <c r="H199" i="1"/>
  <c r="G199" i="1"/>
  <c r="L198" i="1"/>
  <c r="J198" i="1"/>
  <c r="H198" i="1"/>
  <c r="L197" i="1"/>
  <c r="J197" i="1"/>
  <c r="H197" i="1"/>
  <c r="L196" i="1"/>
  <c r="J196" i="1"/>
  <c r="H196" i="1"/>
  <c r="L195" i="1"/>
  <c r="J195" i="1"/>
  <c r="H195" i="1"/>
  <c r="L194" i="1"/>
  <c r="J194" i="1"/>
  <c r="H194" i="1"/>
  <c r="L193" i="1"/>
  <c r="J193" i="1"/>
  <c r="G193" i="1"/>
  <c r="H193" i="1" s="1"/>
  <c r="L192" i="1"/>
  <c r="J192" i="1"/>
  <c r="H192" i="1"/>
  <c r="G192" i="1"/>
  <c r="L191" i="1"/>
  <c r="J191" i="1"/>
  <c r="H191" i="1"/>
  <c r="L190" i="1"/>
  <c r="J190" i="1"/>
  <c r="H190" i="1"/>
  <c r="L187" i="1"/>
  <c r="J187" i="1"/>
  <c r="H187" i="1"/>
  <c r="L186" i="1"/>
  <c r="J186" i="1"/>
  <c r="H186" i="1"/>
  <c r="L185" i="1"/>
  <c r="J185" i="1"/>
  <c r="H185" i="1"/>
  <c r="L184" i="1"/>
  <c r="J184" i="1"/>
  <c r="G184" i="1"/>
  <c r="H184" i="1" s="1"/>
  <c r="L183" i="1"/>
  <c r="J183" i="1"/>
  <c r="G183" i="1"/>
  <c r="H183" i="1" s="1"/>
  <c r="L182" i="1"/>
  <c r="J182" i="1"/>
  <c r="H182" i="1"/>
  <c r="L181" i="1"/>
  <c r="J181" i="1"/>
  <c r="H181" i="1"/>
  <c r="L180" i="1"/>
  <c r="J180" i="1"/>
  <c r="H180" i="1"/>
  <c r="L179" i="1"/>
  <c r="J179" i="1"/>
  <c r="H179" i="1"/>
  <c r="L178" i="1"/>
  <c r="J178" i="1"/>
  <c r="H178" i="1"/>
  <c r="L177" i="1"/>
  <c r="J177" i="1"/>
  <c r="H177" i="1"/>
  <c r="L176" i="1"/>
  <c r="J176" i="1"/>
  <c r="H176" i="1"/>
  <c r="L175" i="1"/>
  <c r="J175" i="1"/>
  <c r="H175" i="1"/>
  <c r="L174" i="1"/>
  <c r="J174" i="1"/>
  <c r="H174" i="1"/>
  <c r="L173" i="1"/>
  <c r="J173" i="1"/>
  <c r="H173" i="1"/>
  <c r="L172" i="1"/>
  <c r="J172" i="1"/>
  <c r="H172" i="1"/>
  <c r="L171" i="1"/>
  <c r="J171" i="1"/>
  <c r="G171" i="1"/>
  <c r="H171" i="1" s="1"/>
  <c r="L169" i="1"/>
  <c r="J169" i="1"/>
  <c r="H169" i="1"/>
  <c r="G169" i="1"/>
  <c r="L168" i="1"/>
  <c r="J168" i="1"/>
  <c r="G168" i="1"/>
  <c r="H168" i="1" s="1"/>
  <c r="L167" i="1"/>
  <c r="J167" i="1"/>
  <c r="H167" i="1"/>
  <c r="L166" i="1"/>
  <c r="J166" i="1"/>
  <c r="H166" i="1"/>
  <c r="G166" i="1"/>
  <c r="L165" i="1"/>
  <c r="J165" i="1"/>
  <c r="H165" i="1"/>
  <c r="L164" i="1"/>
  <c r="J164" i="1"/>
  <c r="H164" i="1"/>
  <c r="L163" i="1"/>
  <c r="J163" i="1"/>
  <c r="H163" i="1"/>
  <c r="L162" i="1"/>
  <c r="J162" i="1"/>
  <c r="H162" i="1"/>
  <c r="H161" i="1"/>
  <c r="H160" i="1"/>
  <c r="H159" i="1"/>
  <c r="H158" i="1"/>
  <c r="L157" i="1"/>
  <c r="J157" i="1"/>
  <c r="H157" i="1"/>
  <c r="L156" i="1"/>
  <c r="J156" i="1"/>
  <c r="H156" i="1"/>
  <c r="L155" i="1"/>
  <c r="J155" i="1"/>
  <c r="H155" i="1"/>
  <c r="L154" i="1"/>
  <c r="J154" i="1"/>
  <c r="H154" i="1"/>
  <c r="L153" i="1"/>
  <c r="J153" i="1"/>
  <c r="H153" i="1"/>
  <c r="L152" i="1"/>
  <c r="J152" i="1"/>
  <c r="H152" i="1"/>
  <c r="L151" i="1"/>
  <c r="J151" i="1"/>
  <c r="H151" i="1"/>
  <c r="L150" i="1"/>
  <c r="J150" i="1"/>
  <c r="H150" i="1"/>
  <c r="H149" i="1"/>
  <c r="H148" i="1"/>
  <c r="L147" i="1"/>
  <c r="J147" i="1"/>
  <c r="H147" i="1"/>
  <c r="H146" i="1"/>
  <c r="L145" i="1"/>
  <c r="J145" i="1"/>
  <c r="H145" i="1"/>
  <c r="L144" i="1"/>
  <c r="J144" i="1"/>
  <c r="H144" i="1"/>
  <c r="L143" i="1"/>
  <c r="J143" i="1"/>
  <c r="H143" i="1"/>
  <c r="L142" i="1"/>
  <c r="J142" i="1"/>
  <c r="H142" i="1"/>
  <c r="L141" i="1"/>
  <c r="J141" i="1"/>
  <c r="H141" i="1"/>
  <c r="L140" i="1"/>
  <c r="J140" i="1"/>
  <c r="H140" i="1"/>
  <c r="L139" i="1"/>
  <c r="J139" i="1"/>
  <c r="H139" i="1"/>
  <c r="L138" i="1"/>
  <c r="J138" i="1"/>
  <c r="H138" i="1"/>
  <c r="L137" i="1"/>
  <c r="J137" i="1"/>
  <c r="H137" i="1"/>
  <c r="L136" i="1"/>
  <c r="J136" i="1"/>
  <c r="H136" i="1"/>
  <c r="L135" i="1"/>
  <c r="J135" i="1"/>
  <c r="H135" i="1"/>
  <c r="L134" i="1"/>
  <c r="J134" i="1"/>
  <c r="H134" i="1"/>
  <c r="L133" i="1"/>
  <c r="J133" i="1"/>
  <c r="H133" i="1"/>
  <c r="L132" i="1"/>
  <c r="J132" i="1"/>
  <c r="H132" i="1"/>
  <c r="L131" i="1"/>
  <c r="J131" i="1"/>
  <c r="H131" i="1"/>
  <c r="L130" i="1"/>
  <c r="J130" i="1"/>
  <c r="H130" i="1"/>
  <c r="H129" i="1"/>
  <c r="H128" i="1"/>
  <c r="H127" i="1"/>
  <c r="L125" i="1"/>
  <c r="J125" i="1"/>
  <c r="H125" i="1"/>
  <c r="L124" i="1"/>
  <c r="J124" i="1"/>
  <c r="H124" i="1"/>
  <c r="L123" i="1"/>
  <c r="J123" i="1"/>
  <c r="H123" i="1"/>
  <c r="L122" i="1"/>
  <c r="J122" i="1"/>
  <c r="H122" i="1"/>
  <c r="L121" i="1"/>
  <c r="J121" i="1"/>
  <c r="H121" i="1"/>
  <c r="L120" i="1"/>
  <c r="J120" i="1"/>
  <c r="H120" i="1"/>
  <c r="L119" i="1"/>
  <c r="J119" i="1"/>
  <c r="H119" i="1"/>
  <c r="L118" i="1"/>
  <c r="J118" i="1"/>
  <c r="H118" i="1"/>
  <c r="L117" i="1"/>
  <c r="J117" i="1"/>
  <c r="H117" i="1"/>
  <c r="L116" i="1"/>
  <c r="J116" i="1"/>
  <c r="H116" i="1"/>
  <c r="L115" i="1"/>
  <c r="J115" i="1"/>
  <c r="H115" i="1"/>
  <c r="L114" i="1"/>
  <c r="J114" i="1"/>
  <c r="H114" i="1"/>
  <c r="L113" i="1"/>
  <c r="J113" i="1"/>
  <c r="H113" i="1"/>
  <c r="L112" i="1"/>
  <c r="J112" i="1"/>
  <c r="H112" i="1"/>
  <c r="L111" i="1"/>
  <c r="J111" i="1"/>
  <c r="H111" i="1"/>
  <c r="L110" i="1"/>
  <c r="J110" i="1"/>
  <c r="H110" i="1"/>
  <c r="L109" i="1"/>
  <c r="J109" i="1"/>
  <c r="H109" i="1"/>
  <c r="L108" i="1"/>
  <c r="J108" i="1"/>
  <c r="H108" i="1"/>
  <c r="L107" i="1"/>
  <c r="J107" i="1"/>
  <c r="H107" i="1"/>
  <c r="L106" i="1"/>
  <c r="J106" i="1"/>
  <c r="H106" i="1"/>
  <c r="L105" i="1"/>
  <c r="J105" i="1"/>
  <c r="H105" i="1"/>
  <c r="L104" i="1"/>
  <c r="J104" i="1"/>
  <c r="H104" i="1"/>
  <c r="L103" i="1"/>
  <c r="J103" i="1"/>
  <c r="H103" i="1"/>
  <c r="L102" i="1"/>
  <c r="J102" i="1"/>
  <c r="H102" i="1"/>
  <c r="L101" i="1"/>
  <c r="J101" i="1"/>
  <c r="H101" i="1"/>
  <c r="L100" i="1"/>
  <c r="J100" i="1"/>
  <c r="H100" i="1"/>
  <c r="L99" i="1"/>
  <c r="J99" i="1"/>
  <c r="H99" i="1"/>
  <c r="L98" i="1"/>
  <c r="J98" i="1"/>
  <c r="H98" i="1"/>
  <c r="H97" i="1"/>
  <c r="H96" i="1"/>
  <c r="H95" i="1"/>
  <c r="H94" i="1"/>
  <c r="L93" i="1"/>
  <c r="J93" i="1"/>
  <c r="H93" i="1"/>
  <c r="L92" i="1"/>
  <c r="J92" i="1"/>
  <c r="H92" i="1"/>
  <c r="L91" i="1"/>
  <c r="J91" i="1"/>
  <c r="H91" i="1"/>
  <c r="L90" i="1"/>
  <c r="J90" i="1"/>
  <c r="H90" i="1"/>
  <c r="L89" i="1"/>
  <c r="J89" i="1"/>
  <c r="H89" i="1"/>
  <c r="L88" i="1"/>
  <c r="J88" i="1"/>
  <c r="H88" i="1"/>
  <c r="L87" i="1"/>
  <c r="J87" i="1"/>
  <c r="H87" i="1"/>
  <c r="L86" i="1"/>
  <c r="J86" i="1"/>
  <c r="H86" i="1"/>
  <c r="L85" i="1"/>
  <c r="J85" i="1"/>
  <c r="H85" i="1"/>
  <c r="L84" i="1"/>
  <c r="J84" i="1"/>
  <c r="H84" i="1"/>
  <c r="L83" i="1"/>
  <c r="J83" i="1"/>
  <c r="H83" i="1"/>
  <c r="L82" i="1"/>
  <c r="J82" i="1"/>
  <c r="H82" i="1"/>
  <c r="H81" i="1"/>
  <c r="H80" i="1"/>
  <c r="H79" i="1"/>
  <c r="H78" i="1"/>
  <c r="L77" i="1"/>
  <c r="J77" i="1"/>
  <c r="H77" i="1"/>
  <c r="L76" i="1"/>
  <c r="J76" i="1"/>
  <c r="H76" i="1"/>
  <c r="L75" i="1"/>
  <c r="J75" i="1"/>
  <c r="H75" i="1"/>
  <c r="L74" i="1"/>
  <c r="J74" i="1"/>
  <c r="H74" i="1"/>
  <c r="L73" i="1"/>
  <c r="J73" i="1"/>
  <c r="H73" i="1"/>
  <c r="L72" i="1"/>
  <c r="J72" i="1"/>
  <c r="H72" i="1"/>
  <c r="L71" i="1"/>
  <c r="J71" i="1"/>
  <c r="H71" i="1"/>
  <c r="L70" i="1"/>
  <c r="J70" i="1"/>
  <c r="H70" i="1"/>
  <c r="L69" i="1"/>
  <c r="J69" i="1"/>
  <c r="H69" i="1"/>
  <c r="L68" i="1"/>
  <c r="J68" i="1"/>
  <c r="H68" i="1"/>
  <c r="L67" i="1"/>
  <c r="J67" i="1"/>
  <c r="H67" i="1"/>
  <c r="L66" i="1"/>
  <c r="J66" i="1"/>
  <c r="H66" i="1"/>
  <c r="H65" i="1"/>
  <c r="L64" i="1"/>
  <c r="J64" i="1"/>
  <c r="H64" i="1"/>
  <c r="H63" i="1"/>
  <c r="H62" i="1"/>
  <c r="L61" i="1"/>
  <c r="J61" i="1"/>
  <c r="H61" i="1"/>
  <c r="L60" i="1"/>
  <c r="J60" i="1"/>
  <c r="H60" i="1"/>
  <c r="L59" i="1"/>
  <c r="J59" i="1"/>
  <c r="H59" i="1"/>
  <c r="L58" i="1"/>
  <c r="J58" i="1"/>
  <c r="H58" i="1"/>
  <c r="L57" i="1"/>
  <c r="J57" i="1"/>
  <c r="H57" i="1"/>
  <c r="L56" i="1"/>
  <c r="J56" i="1"/>
  <c r="H56" i="1"/>
  <c r="L55" i="1"/>
  <c r="J55" i="1"/>
  <c r="H55" i="1"/>
  <c r="L54" i="1"/>
  <c r="J54" i="1"/>
  <c r="H54" i="1"/>
  <c r="L53" i="1"/>
  <c r="J53" i="1"/>
  <c r="H53" i="1"/>
  <c r="L52" i="1"/>
  <c r="J52" i="1"/>
  <c r="H52" i="1"/>
  <c r="L51" i="1"/>
  <c r="J51" i="1"/>
  <c r="H51" i="1"/>
  <c r="L50" i="1"/>
  <c r="J50" i="1"/>
  <c r="H50" i="1"/>
  <c r="H49" i="1"/>
  <c r="H48" i="1"/>
  <c r="H47" i="1"/>
  <c r="H46" i="1"/>
  <c r="L45" i="1"/>
  <c r="J45" i="1"/>
  <c r="H45" i="1"/>
  <c r="L44" i="1"/>
  <c r="J44" i="1"/>
  <c r="H44" i="1"/>
  <c r="L43" i="1"/>
  <c r="J43" i="1"/>
  <c r="H43" i="1"/>
  <c r="L42" i="1"/>
  <c r="J42" i="1"/>
  <c r="H42" i="1"/>
  <c r="L41" i="1"/>
  <c r="J41" i="1"/>
  <c r="H41" i="1"/>
  <c r="L40" i="1"/>
  <c r="J40" i="1"/>
  <c r="H40" i="1"/>
  <c r="L39" i="1"/>
  <c r="J39" i="1"/>
  <c r="H39" i="1"/>
  <c r="L38" i="1"/>
  <c r="J38" i="1"/>
  <c r="H38" i="1"/>
  <c r="H37" i="1"/>
  <c r="H36" i="1"/>
  <c r="L35" i="1"/>
  <c r="J35" i="1"/>
  <c r="H35" i="1"/>
  <c r="H34" i="1"/>
  <c r="H33" i="1"/>
  <c r="H32" i="1"/>
  <c r="H31" i="1"/>
  <c r="H30" i="1"/>
  <c r="L29" i="1"/>
  <c r="J29" i="1"/>
  <c r="H29" i="1"/>
  <c r="H28" i="1"/>
  <c r="L27" i="1"/>
  <c r="J27" i="1"/>
  <c r="H27" i="1"/>
  <c r="L26" i="1"/>
  <c r="J26" i="1"/>
  <c r="H26" i="1"/>
  <c r="L25" i="1"/>
  <c r="J25" i="1"/>
  <c r="H25" i="1"/>
  <c r="L24" i="1"/>
  <c r="J24" i="1"/>
  <c r="H24" i="1"/>
  <c r="L23" i="1"/>
  <c r="J23" i="1"/>
  <c r="H23" i="1"/>
  <c r="L22" i="1"/>
  <c r="J22" i="1"/>
  <c r="H22" i="1"/>
  <c r="H21" i="1"/>
  <c r="L20" i="1"/>
  <c r="J20" i="1"/>
  <c r="H20" i="1"/>
  <c r="L19" i="1"/>
  <c r="J19" i="1"/>
  <c r="H19" i="1"/>
  <c r="L18" i="1"/>
  <c r="J18" i="1"/>
  <c r="H18" i="1"/>
  <c r="L17" i="1"/>
  <c r="J17" i="1"/>
  <c r="H17" i="1"/>
  <c r="L16" i="1"/>
  <c r="J16" i="1"/>
  <c r="M16" i="1" s="1"/>
  <c r="H16" i="1"/>
  <c r="L15" i="1"/>
  <c r="J15" i="1"/>
  <c r="M15" i="1" s="1"/>
  <c r="H15" i="1"/>
  <c r="L14" i="1"/>
  <c r="J14" i="1"/>
  <c r="H14" i="1"/>
  <c r="L13" i="1"/>
  <c r="J13" i="1"/>
  <c r="H13" i="1"/>
  <c r="Q13" i="1" s="1"/>
  <c r="R13" i="1" s="1"/>
  <c r="L12" i="1"/>
  <c r="J12" i="1"/>
  <c r="H12" i="1"/>
  <c r="L11" i="1"/>
  <c r="J11" i="1"/>
  <c r="M11" i="1" s="1"/>
  <c r="H11" i="1"/>
  <c r="L10" i="1"/>
  <c r="J10" i="1"/>
  <c r="M10" i="1" s="1"/>
  <c r="H10" i="1"/>
  <c r="L9" i="1"/>
  <c r="J9" i="1"/>
  <c r="H9" i="1"/>
  <c r="L8" i="1"/>
  <c r="J8" i="1"/>
  <c r="M8" i="1" s="1"/>
  <c r="H8" i="1"/>
  <c r="L7" i="1"/>
  <c r="M7" i="1" s="1"/>
  <c r="J7" i="1"/>
  <c r="H7" i="1"/>
  <c r="L6" i="1"/>
  <c r="J6" i="1"/>
  <c r="H6" i="1"/>
  <c r="L5" i="1"/>
  <c r="M5" i="1" s="1"/>
  <c r="J5" i="1"/>
  <c r="H5" i="1"/>
  <c r="L4" i="1"/>
  <c r="M4" i="1" s="1"/>
  <c r="J4" i="1"/>
  <c r="H4" i="1"/>
  <c r="L3" i="1"/>
  <c r="J3" i="1"/>
  <c r="M3" i="1" s="1"/>
  <c r="H3" i="1"/>
  <c r="L2" i="1"/>
  <c r="J2" i="1"/>
  <c r="M2" i="1" s="1"/>
  <c r="H2" i="1"/>
  <c r="Q6" i="1"/>
  <c r="M6" i="1"/>
  <c r="M9" i="1"/>
  <c r="Q12" i="1"/>
  <c r="M12" i="1"/>
  <c r="M13" i="1"/>
  <c r="M14" i="1"/>
  <c r="M17" i="1"/>
  <c r="Q14" i="1"/>
  <c r="D241" i="1"/>
  <c r="D237" i="1"/>
  <c r="D233" i="1"/>
  <c r="D229" i="1"/>
  <c r="D240" i="1"/>
  <c r="D236" i="1"/>
  <c r="D232" i="1"/>
  <c r="D228" i="1"/>
  <c r="D239" i="1"/>
  <c r="D235" i="1"/>
  <c r="D231" i="1"/>
  <c r="D227" i="1"/>
  <c r="D238" i="1"/>
  <c r="D230" i="1"/>
  <c r="D226" i="1"/>
  <c r="D221" i="1"/>
  <c r="D217" i="1"/>
  <c r="D213" i="1"/>
  <c r="D216" i="1"/>
  <c r="D212" i="1"/>
  <c r="D215" i="1"/>
  <c r="D211" i="1"/>
  <c r="D214" i="1"/>
  <c r="D210" i="1"/>
  <c r="D205" i="1"/>
  <c r="D201" i="1"/>
  <c r="D197" i="1"/>
  <c r="D204" i="1"/>
  <c r="D200" i="1"/>
  <c r="D196" i="1"/>
  <c r="D199" i="1"/>
  <c r="D195" i="1"/>
  <c r="D198" i="1"/>
  <c r="D194" i="1"/>
  <c r="D193" i="1"/>
  <c r="D181" i="1"/>
  <c r="D192" i="1"/>
  <c r="D184" i="1"/>
  <c r="D180" i="1"/>
  <c r="D191" i="1"/>
  <c r="D187" i="1"/>
  <c r="D183" i="1"/>
  <c r="D179" i="1"/>
  <c r="D190" i="1"/>
  <c r="D182" i="1"/>
  <c r="D178" i="1"/>
  <c r="D177" i="1"/>
  <c r="D173" i="1"/>
  <c r="D169" i="1"/>
  <c r="D165" i="1"/>
  <c r="D176" i="1"/>
  <c r="D172" i="1"/>
  <c r="D168" i="1"/>
  <c r="D164" i="1"/>
  <c r="D175" i="1"/>
  <c r="D171" i="1"/>
  <c r="D167" i="1"/>
  <c r="D163" i="1"/>
  <c r="D174" i="1"/>
  <c r="D166" i="1"/>
  <c r="D162" i="1"/>
  <c r="D313" i="1"/>
  <c r="D309" i="1"/>
  <c r="D312" i="1"/>
  <c r="D315" i="1"/>
  <c r="D311" i="1"/>
  <c r="D307" i="1"/>
  <c r="D310" i="1"/>
  <c r="D306" i="1"/>
  <c r="D281" i="1"/>
  <c r="D277" i="1"/>
  <c r="D280" i="1"/>
  <c r="D276" i="1"/>
  <c r="D279" i="1"/>
  <c r="D275" i="1"/>
  <c r="D278" i="1"/>
  <c r="D274" i="1"/>
  <c r="D265" i="1"/>
  <c r="D261" i="1"/>
  <c r="D268" i="1"/>
  <c r="D264" i="1"/>
  <c r="D260" i="1"/>
  <c r="D267" i="1"/>
  <c r="D263" i="1"/>
  <c r="D259" i="1"/>
  <c r="D266" i="1"/>
  <c r="D262" i="1"/>
  <c r="D258" i="1"/>
  <c r="D249" i="1"/>
  <c r="D248" i="1"/>
  <c r="D247" i="1"/>
  <c r="D246" i="1"/>
  <c r="D161" i="1"/>
  <c r="D157" i="1"/>
  <c r="D153" i="1"/>
  <c r="D149" i="1"/>
  <c r="D160" i="1"/>
  <c r="D156" i="1"/>
  <c r="D152" i="1"/>
  <c r="D148" i="1"/>
  <c r="D159" i="1"/>
  <c r="D155" i="1"/>
  <c r="D151" i="1"/>
  <c r="D147" i="1"/>
  <c r="D158" i="1"/>
  <c r="D154" i="1"/>
  <c r="D150" i="1"/>
  <c r="D146" i="1"/>
  <c r="D145" i="1"/>
  <c r="D141" i="1"/>
  <c r="D137" i="1"/>
  <c r="D133" i="1"/>
  <c r="D144" i="1"/>
  <c r="D140" i="1"/>
  <c r="D136" i="1"/>
  <c r="D132" i="1"/>
  <c r="D143" i="1"/>
  <c r="D139" i="1"/>
  <c r="D135" i="1"/>
  <c r="D131" i="1"/>
  <c r="D142" i="1"/>
  <c r="D138" i="1"/>
  <c r="D130" i="1"/>
  <c r="D134" i="1"/>
  <c r="D129" i="1"/>
  <c r="D125" i="1"/>
  <c r="D121" i="1"/>
  <c r="D117" i="1"/>
  <c r="D128" i="1"/>
  <c r="D124" i="1"/>
  <c r="D120" i="1"/>
  <c r="D116" i="1"/>
  <c r="D127" i="1"/>
  <c r="D123" i="1"/>
  <c r="D119" i="1"/>
  <c r="D115" i="1"/>
  <c r="D118" i="1"/>
  <c r="D122" i="1"/>
  <c r="D114" i="1"/>
  <c r="D97" i="1"/>
  <c r="D93" i="1"/>
  <c r="D89" i="1"/>
  <c r="D85" i="1"/>
  <c r="D96" i="1"/>
  <c r="D92" i="1"/>
  <c r="D88" i="1"/>
  <c r="D84" i="1"/>
  <c r="D95" i="1"/>
  <c r="D91" i="1"/>
  <c r="D87" i="1"/>
  <c r="D83" i="1"/>
  <c r="D94" i="1"/>
  <c r="D90" i="1"/>
  <c r="D86" i="1"/>
  <c r="D82" i="1"/>
  <c r="D81" i="1"/>
  <c r="D77" i="1"/>
  <c r="D73" i="1"/>
  <c r="D69" i="1"/>
  <c r="D80" i="1"/>
  <c r="D76" i="1"/>
  <c r="D72" i="1"/>
  <c r="D68" i="1"/>
  <c r="D79" i="1"/>
  <c r="D71" i="1"/>
  <c r="D74" i="1"/>
  <c r="D75" i="1"/>
  <c r="D67" i="1"/>
  <c r="D78" i="1"/>
  <c r="D70" i="1"/>
  <c r="D66" i="1"/>
  <c r="D64" i="1"/>
  <c r="D60" i="1"/>
  <c r="D56" i="1"/>
  <c r="D52" i="1"/>
  <c r="D63" i="1"/>
  <c r="D59" i="1"/>
  <c r="D55" i="1"/>
  <c r="D51" i="1"/>
  <c r="D62" i="1"/>
  <c r="D58" i="1"/>
  <c r="D54" i="1"/>
  <c r="D50" i="1"/>
  <c r="D49" i="1"/>
  <c r="D45" i="1"/>
  <c r="D41" i="1"/>
  <c r="D37" i="1"/>
  <c r="D48" i="1"/>
  <c r="D44" i="1"/>
  <c r="D40" i="1"/>
  <c r="D36" i="1"/>
  <c r="D47" i="1"/>
  <c r="D43" i="1"/>
  <c r="D39" i="1"/>
  <c r="D35" i="1"/>
  <c r="D46" i="1"/>
  <c r="D42" i="1"/>
  <c r="D38" i="1"/>
  <c r="D34" i="1"/>
  <c r="D33" i="1"/>
  <c r="D29" i="1"/>
  <c r="D25" i="1"/>
  <c r="D21" i="1"/>
  <c r="D32" i="1"/>
  <c r="D28" i="1"/>
  <c r="D24" i="1"/>
  <c r="D31" i="1"/>
  <c r="D27" i="1"/>
  <c r="D23" i="1"/>
  <c r="D19" i="1"/>
  <c r="D30" i="1"/>
  <c r="D26" i="1"/>
  <c r="D22" i="1"/>
  <c r="D18" i="1"/>
  <c r="L182" i="6" l="1"/>
  <c r="L100" i="6"/>
  <c r="L92" i="6"/>
  <c r="L180" i="6"/>
  <c r="L129" i="6"/>
  <c r="L112" i="6"/>
  <c r="L96" i="6"/>
  <c r="L88" i="6"/>
  <c r="L80" i="6"/>
  <c r="L72" i="6"/>
  <c r="L48" i="6"/>
  <c r="L32" i="6"/>
  <c r="L24" i="6"/>
  <c r="R227" i="1"/>
  <c r="S227" i="1" s="1"/>
  <c r="R248" i="1"/>
  <c r="S248" i="1" s="1"/>
  <c r="R262" i="1"/>
  <c r="S262" i="1" s="1"/>
  <c r="R237" i="1"/>
  <c r="S237" i="1" s="1"/>
  <c r="R249" i="1"/>
  <c r="S249" i="1" s="1"/>
  <c r="R260" i="1"/>
  <c r="S260" i="1" s="1"/>
  <c r="R265" i="1"/>
  <c r="S265" i="1" s="1"/>
  <c r="R280" i="1"/>
  <c r="S280" i="1" s="1"/>
  <c r="R239" i="1"/>
  <c r="S239" i="1" s="1"/>
  <c r="R259" i="1"/>
  <c r="S259" i="1" s="1"/>
  <c r="R228" i="1"/>
  <c r="S228" i="1" s="1"/>
  <c r="R281" i="1"/>
  <c r="S281" i="1" s="1"/>
  <c r="R241" i="1"/>
  <c r="S241" i="1" s="1"/>
  <c r="R274" i="1"/>
  <c r="S274" i="1" s="1"/>
  <c r="R233" i="1"/>
  <c r="S233" i="1" s="1"/>
  <c r="R246" i="1"/>
  <c r="S246" i="1" s="1"/>
  <c r="R275" i="1"/>
  <c r="S275" i="1" s="1"/>
  <c r="R229" i="1"/>
  <c r="S229" i="1" s="1"/>
  <c r="R238" i="1"/>
  <c r="S238" i="1" s="1"/>
  <c r="R258" i="1"/>
  <c r="S258" i="1" s="1"/>
  <c r="R276" i="1"/>
  <c r="S276" i="1" s="1"/>
  <c r="R235" i="1"/>
  <c r="S235" i="1" s="1"/>
  <c r="R247" i="1"/>
  <c r="S247" i="1" s="1"/>
  <c r="R263" i="1"/>
  <c r="S263" i="1" s="1"/>
  <c r="Q277" i="1"/>
  <c r="R277" i="1" s="1"/>
  <c r="S277" i="1" s="1"/>
  <c r="R215" i="1"/>
  <c r="S215" i="1" s="1"/>
  <c r="Q260" i="1"/>
  <c r="R197" i="1"/>
  <c r="S197" i="1" s="1"/>
  <c r="R213" i="1"/>
  <c r="S213" i="1" s="1"/>
  <c r="R290" i="1"/>
  <c r="S290" i="1" s="1"/>
  <c r="R217" i="1"/>
  <c r="S217" i="1" s="1"/>
  <c r="R211" i="1"/>
  <c r="S211" i="1" s="1"/>
  <c r="R199" i="1"/>
  <c r="S199" i="1" s="1"/>
  <c r="R226" i="1"/>
  <c r="S226" i="1" s="1"/>
  <c r="R210" i="1"/>
  <c r="S210" i="1" s="1"/>
  <c r="R47" i="1"/>
  <c r="S47" i="1" s="1"/>
  <c r="R49" i="1"/>
  <c r="S49" i="1" s="1"/>
  <c r="R37" i="1"/>
  <c r="S37" i="1" s="1"/>
  <c r="R28" i="1"/>
  <c r="S28" i="1" s="1"/>
  <c r="R21" i="1"/>
  <c r="S21" i="1" s="1"/>
  <c r="R32" i="1"/>
  <c r="S32" i="1" s="1"/>
  <c r="R31" i="1"/>
  <c r="S31" i="1" s="1"/>
  <c r="R46" i="1"/>
  <c r="S46" i="1" s="1"/>
  <c r="R62" i="1"/>
  <c r="S62" i="1" s="1"/>
  <c r="Q2" i="1"/>
  <c r="R2" i="1" s="1"/>
  <c r="Q3" i="1"/>
  <c r="R3" i="1" s="1"/>
  <c r="Q11" i="1"/>
  <c r="R11" i="1" s="1"/>
  <c r="R6" i="1"/>
  <c r="R14" i="1"/>
  <c r="Q4" i="1"/>
  <c r="R4" i="1" s="1"/>
  <c r="Q5" i="1"/>
  <c r="R5" i="1" s="1"/>
  <c r="S5" i="1" s="1"/>
  <c r="Q15" i="1"/>
  <c r="R15" i="1" s="1"/>
  <c r="Q16" i="1"/>
  <c r="R16" i="1" s="1"/>
  <c r="Q8" i="1"/>
  <c r="R8" i="1" s="1"/>
  <c r="Q10" i="1"/>
  <c r="R10" i="1" s="1"/>
  <c r="R12" i="1"/>
  <c r="R17" i="1"/>
  <c r="Q9" i="1"/>
  <c r="R9" i="1" s="1"/>
  <c r="Q7" i="1"/>
  <c r="R7" i="1" s="1"/>
  <c r="S14" i="1"/>
  <c r="D17" i="1"/>
  <c r="D13" i="1"/>
  <c r="S13" i="1" s="1"/>
  <c r="D9" i="1"/>
  <c r="D16" i="1"/>
  <c r="D12" i="1"/>
  <c r="D8" i="1"/>
  <c r="D4" i="1"/>
  <c r="D15" i="1"/>
  <c r="D11" i="1"/>
  <c r="D7" i="1"/>
  <c r="D3" i="1"/>
  <c r="D14" i="1"/>
  <c r="D10" i="1"/>
  <c r="D6" i="1"/>
  <c r="D2" i="1"/>
  <c r="D113" i="1"/>
  <c r="D109" i="1"/>
  <c r="D105" i="1"/>
  <c r="D101" i="1"/>
  <c r="D112" i="1"/>
  <c r="D108" i="1"/>
  <c r="D104" i="1"/>
  <c r="D100" i="1"/>
  <c r="D111" i="1"/>
  <c r="D107" i="1"/>
  <c r="D103" i="1"/>
  <c r="D99" i="1"/>
  <c r="D110" i="1"/>
  <c r="D106" i="1"/>
  <c r="D102" i="1"/>
  <c r="D98" i="1"/>
  <c r="D294" i="1"/>
  <c r="D297" i="1"/>
  <c r="D293" i="1"/>
  <c r="D296" i="1"/>
  <c r="D292" i="1"/>
  <c r="D295" i="1"/>
  <c r="D291" i="1"/>
  <c r="D290" i="1"/>
  <c r="D312" i="2"/>
  <c r="D304" i="2"/>
  <c r="D292" i="2"/>
  <c r="D468" i="2"/>
  <c r="D460" i="2"/>
  <c r="D283" i="2"/>
  <c r="D276" i="2"/>
  <c r="D196" i="2"/>
  <c r="D179" i="2"/>
  <c r="D76" i="2"/>
  <c r="D60" i="2"/>
  <c r="D48" i="2"/>
  <c r="D36" i="2"/>
  <c r="D28" i="2"/>
  <c r="D24" i="2"/>
  <c r="D16" i="2"/>
  <c r="D8" i="2"/>
  <c r="D839" i="2"/>
  <c r="D851" i="2"/>
  <c r="D847" i="2"/>
  <c r="D843" i="2"/>
  <c r="D835" i="2"/>
  <c r="D819" i="2"/>
  <c r="D696" i="2"/>
  <c r="D655" i="2"/>
  <c r="D651" i="2"/>
  <c r="D615" i="2"/>
  <c r="D380" i="2"/>
  <c r="D352" i="2"/>
  <c r="D347" i="2"/>
  <c r="D343" i="2"/>
  <c r="D424" i="2"/>
  <c r="D404" i="2"/>
  <c r="D388" i="2"/>
  <c r="S4" i="1" l="1"/>
  <c r="S6" i="1"/>
  <c r="S3" i="1"/>
  <c r="S10" i="1"/>
  <c r="S15" i="1"/>
  <c r="S8" i="1"/>
  <c r="S16" i="1"/>
  <c r="S9" i="1"/>
  <c r="S7" i="1"/>
  <c r="S12" i="1"/>
  <c r="S11" i="1"/>
  <c r="S17" i="1"/>
  <c r="S2" i="1"/>
</calcChain>
</file>

<file path=xl/sharedStrings.xml><?xml version="1.0" encoding="utf-8"?>
<sst xmlns="http://schemas.openxmlformats.org/spreadsheetml/2006/main" count="5841" uniqueCount="163">
  <si>
    <t>PG x CON – REP 1</t>
  </si>
  <si>
    <t>Plot ID</t>
  </si>
  <si>
    <t>Horizon</t>
  </si>
  <si>
    <t>Replicate</t>
  </si>
  <si>
    <t>Tin (g)</t>
  </si>
  <si>
    <t>Whole sample - fresh (g)</t>
  </si>
  <si>
    <t>Sub-sample - fresh (g)</t>
  </si>
  <si>
    <t>Sub-sample - dry (g)</t>
  </si>
  <si>
    <t>Bag (g)</t>
  </si>
  <si>
    <t>F</t>
  </si>
  <si>
    <t>A</t>
  </si>
  <si>
    <t>PG x CON – REP 2</t>
  </si>
  <si>
    <t>PG x BL – REP 1</t>
  </si>
  <si>
    <t>PG x BL – REP 2</t>
  </si>
  <si>
    <t>PG x CTRL</t>
  </si>
  <si>
    <t>PP x CON – REP 1</t>
  </si>
  <si>
    <t>PP x CON – REP 2</t>
  </si>
  <si>
    <t>PP x BL – REP 1</t>
  </si>
  <si>
    <t>PP x BL – REP 2</t>
  </si>
  <si>
    <t>PP x CTRL</t>
  </si>
  <si>
    <t>MP x CON – REP 1</t>
  </si>
  <si>
    <t>MP x CON – REP 2</t>
  </si>
  <si>
    <t>MP x BL – REP 1</t>
  </si>
  <si>
    <t>MP x BL – REP 2</t>
  </si>
  <si>
    <t>MP x CTRL</t>
  </si>
  <si>
    <t>BS x CON – REP 1</t>
  </si>
  <si>
    <t>BS x CON – REP 2</t>
  </si>
  <si>
    <t>BS x BL – REP 1</t>
  </si>
  <si>
    <t>BS x BL – REP 2</t>
  </si>
  <si>
    <t>BS x CTRL</t>
  </si>
  <si>
    <t>Thickness (cm)</t>
  </si>
  <si>
    <t>H1</t>
  </si>
  <si>
    <t>H2</t>
  </si>
  <si>
    <t>NS</t>
  </si>
  <si>
    <t>NR</t>
  </si>
  <si>
    <t>Sampling date</t>
  </si>
  <si>
    <t>PG X CON - REP 1</t>
  </si>
  <si>
    <t>PG X CON - REP 2</t>
  </si>
  <si>
    <t>PG X BL - REP 1</t>
  </si>
  <si>
    <t>PG X BL - REP 2</t>
  </si>
  <si>
    <t>PG X CTRL</t>
  </si>
  <si>
    <t>PP X CON - REP 1</t>
  </si>
  <si>
    <t>PP X CON - REP 2</t>
  </si>
  <si>
    <t>PP X BL - REP 1</t>
  </si>
  <si>
    <t>PP X BL - REP 2</t>
  </si>
  <si>
    <t>PP X CTRL</t>
  </si>
  <si>
    <t>MP X CON - REP 1</t>
  </si>
  <si>
    <t>MP X CON - REP 2</t>
  </si>
  <si>
    <t>MP X BL - REP 1</t>
  </si>
  <si>
    <t>MP X BL - REP 2</t>
  </si>
  <si>
    <t>MP X CTRL</t>
  </si>
  <si>
    <t>BS X CON - REP 1</t>
  </si>
  <si>
    <t>BS X CON - REP 2</t>
  </si>
  <si>
    <t>BS X BL - REP 1</t>
  </si>
  <si>
    <t>BS X BL - REP 2</t>
  </si>
  <si>
    <t>BS X CTRL</t>
  </si>
  <si>
    <t>NS 82300 98100</t>
  </si>
  <si>
    <t>NS 82183 98060</t>
  </si>
  <si>
    <t>NS 82538 97988</t>
  </si>
  <si>
    <t>NS 82269 98449</t>
  </si>
  <si>
    <t>NS 82500 98420</t>
  </si>
  <si>
    <t>NS 82231 98508</t>
  </si>
  <si>
    <t>NS 82300 98700</t>
  </si>
  <si>
    <t>NS 81588 98105</t>
  </si>
  <si>
    <t>NS 82210 98800</t>
  </si>
  <si>
    <t>NS 81576 98102</t>
  </si>
  <si>
    <t>NS 81399 98168</t>
  </si>
  <si>
    <t>NS 82081 99082</t>
  </si>
  <si>
    <t>NS 81945 99210</t>
  </si>
  <si>
    <t>NS 81806 99378</t>
  </si>
  <si>
    <t>NS 81490 99301</t>
  </si>
  <si>
    <t>NN 81457 00070</t>
  </si>
  <si>
    <t>NN 81478 00129</t>
  </si>
  <si>
    <t>NS 81600 99800</t>
  </si>
  <si>
    <t>NS 81500 99300</t>
  </si>
  <si>
    <t>NS 81560 99635</t>
  </si>
  <si>
    <r>
      <t>Volume (cm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)</t>
    </r>
  </si>
  <si>
    <t>Whole sample - fresh + bag (g)</t>
  </si>
  <si>
    <t>Sub-sample - fresh + tin (g)</t>
  </si>
  <si>
    <t>Sub-sample - dry + tin (g)</t>
  </si>
  <si>
    <t>RM tin (g)</t>
  </si>
  <si>
    <t>MC</t>
  </si>
  <si>
    <t>Sub-sample RM + tin (g)</t>
  </si>
  <si>
    <t>Sub-sample RM (g)</t>
  </si>
  <si>
    <t>Whole sample RM (g)</t>
  </si>
  <si>
    <t>Whole sample &lt;2 mm (g)</t>
  </si>
  <si>
    <t>Bulk density (g/cm3)</t>
  </si>
  <si>
    <t>RI</t>
  </si>
  <si>
    <t>NA</t>
  </si>
  <si>
    <t>NP</t>
  </si>
  <si>
    <t>10-12</t>
  </si>
  <si>
    <t>7-9</t>
  </si>
  <si>
    <t>4-6</t>
  </si>
  <si>
    <t>1-3</t>
  </si>
  <si>
    <t>%C</t>
  </si>
  <si>
    <t>Sub-sample after 550°C (g)</t>
  </si>
  <si>
    <t>Sub-sample after 550°C + crucible (g)</t>
  </si>
  <si>
    <t>Sub-sample after 105°C (g)</t>
  </si>
  <si>
    <t>Sub-sample after 105°C + crucible (g)</t>
  </si>
  <si>
    <t>Sub-sample @ RT (g)</t>
  </si>
  <si>
    <t>Sub-sample @ RT + crucible (g)</t>
  </si>
  <si>
    <t>Crucible (g)</t>
  </si>
  <si>
    <t>Core no.</t>
  </si>
  <si>
    <t>Horizon no.</t>
  </si>
  <si>
    <t>Stock (kg/m2)</t>
  </si>
  <si>
    <t>Column name</t>
  </si>
  <si>
    <t>Description</t>
  </si>
  <si>
    <t>Identifier of the 20 plots in the format soil type x woodland type - replicate number. Where: PG = peaty gley, PP = peaty podzol, MP = mineral podzol, BS = brown soil; CON = conifer, BL = broadleaf, CTRL = unplanted control; REP 1 = first replicate of soil type x woodland type, REP 2 = second replicate of soil type x woodland type</t>
  </si>
  <si>
    <t>The date that sampling took place, in format DD-MM-YYYY</t>
  </si>
  <si>
    <t>Location</t>
  </si>
  <si>
    <t xml:space="preserve">Location of the bottom left hand corner of the plot, using the British National Grid </t>
  </si>
  <si>
    <t>Soil horizon descriptor, where: F = fermentation, H1 = humus upper layer, H2 = humus lower layer, A = mineral. Corresponds to Scottish soil taxonomy system</t>
  </si>
  <si>
    <t>Thickness</t>
  </si>
  <si>
    <t>The number of the core within each plot, 1-12</t>
  </si>
  <si>
    <t>The thickness of the horizon, in centrimetres, measured to the nearest 0.5 cm</t>
  </si>
  <si>
    <t>Volume</t>
  </si>
  <si>
    <r>
      <t>Volume of soil collected per horizon per sample, in cubic centimetres. Determined from area of the box (25 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 and/or gouge (4.9 cm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 corers multiplied by the horizon thickness, then summed for the each of the three cores bulked per sample</t>
    </r>
  </si>
  <si>
    <t>Bag</t>
  </si>
  <si>
    <t>Tin</t>
  </si>
  <si>
    <t>Whole sample - fresh + bag</t>
  </si>
  <si>
    <t>Whole sample - fresh</t>
  </si>
  <si>
    <t>Sub-sample - fresh + tin</t>
  </si>
  <si>
    <t>Sub-sample - fresh</t>
  </si>
  <si>
    <t>Sub-sample - dry + tin</t>
  </si>
  <si>
    <t>Sub-sample - dry</t>
  </si>
  <si>
    <t>RM tin</t>
  </si>
  <si>
    <t>Sub-sample RM + tin</t>
  </si>
  <si>
    <t>Sub-sample RM</t>
  </si>
  <si>
    <t>Whole sample RM</t>
  </si>
  <si>
    <t>Whole sample &lt;2 mm</t>
  </si>
  <si>
    <t>Mass of the tin that the sample was weighed in, in grams</t>
  </si>
  <si>
    <t>Mass of the bag that the sample was weighed in, in grams</t>
  </si>
  <si>
    <t>Mass of the field moist (fresh) sample, including the mass of the bag</t>
  </si>
  <si>
    <t>Mass of the tin that the retained materials (RM) were weighed in, in grams</t>
  </si>
  <si>
    <t>Mass of the field moist (fresh) sample, determined by subtracting the mass of the bag from the mass of the sample in the bag, in grams</t>
  </si>
  <si>
    <t>Mass of the ~1/4 sub-sample of the field moist (fresh) sample, including the mass of the tin, in grams</t>
  </si>
  <si>
    <t>Mass of the ~1/4 sub-sample of the field moist (fresh) sample, determined by subtracting the mass of the tin from the mass of the sub-sample in the tin, in grams</t>
  </si>
  <si>
    <r>
      <t>Mass of the ~1/4 sub-sample of the dry (to 105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C for 24 h) sample, including the mass of the tin, in grams</t>
    </r>
  </si>
  <si>
    <t>Mass of the ~1/4 sub-sample of the dry (to 105°C for 24 h) sample, determined by subtracting the mass of the tin from the mass of the sub-sample in the tin, in grams</t>
  </si>
  <si>
    <t>Moisture content of the field moist (fresh) sample, determined by subtracting the mass of the dry sub-sample from the mass of the fresh sample, and dividing by the mass of the fresh sample, in grams</t>
  </si>
  <si>
    <t>Mass of the retained materials (RM), including the mass of the tin, in grams</t>
  </si>
  <si>
    <t>Mass of the retained materials (RM), determined by subtracting the mass of the tin from the mass of the sub-sample in the tin, in grams</t>
  </si>
  <si>
    <t>Mass of sample &lt;2 mm, determined as the mass of the fresh whole sample multiplied by 1 minus the moisture content of the fresh sample, less the whole sample retained materials (RM), in grams</t>
  </si>
  <si>
    <t>Mass of the retained materials (RM) in the whole sample, determined by multiplying the mass of the retained materials of the sub-sample by one over the mass of the fresh sub-sample divided by the mass of the fresh whole sample, in grams</t>
  </si>
  <si>
    <t>The bulk density of the horizon, calculated as the mass of the whole sample &lt;2 mm divided by the volume of the sample, expressed as grams per cubic centimetre</t>
  </si>
  <si>
    <t>Bulk density</t>
  </si>
  <si>
    <t>Crucible</t>
  </si>
  <si>
    <t>The mass of the crucible used to contain the sample, in grams</t>
  </si>
  <si>
    <t>Sub-sample @ RT + crucible</t>
  </si>
  <si>
    <t>Sub-sample @ RT</t>
  </si>
  <si>
    <t>Sub-sample after 105°C + crucible</t>
  </si>
  <si>
    <t>Sub-sample after 105°C</t>
  </si>
  <si>
    <t>Sub-sample after 550°C + crucible</t>
  </si>
  <si>
    <t>Sub-sample after 550°C</t>
  </si>
  <si>
    <t>The mass of the sub-sample at room temperature (RT), determined by subtracting the mass of the crucible from the mass of the sub-sample in the crucible, in grams</t>
  </si>
  <si>
    <t>The mass of the sub-sample at room temperature (RT), including the mass of the crucible, in grams</t>
  </si>
  <si>
    <r>
      <t>The mass of the sub-sample after 24 hours at 105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C, including the mass of the crucible, in grams</t>
    </r>
  </si>
  <si>
    <t>The mass of the sub-sample after 24 hours at 105°C, determined by subtracting the mass of the crucible from the mass of the sub-sample in the crucible, in grams</t>
  </si>
  <si>
    <r>
      <t>The mass of the sub-sample after 4 hours at 550</t>
    </r>
    <r>
      <rPr>
        <sz val="11"/>
        <color theme="1"/>
        <rFont val="Calibri"/>
        <family val="2"/>
      </rPr>
      <t>°</t>
    </r>
    <r>
      <rPr>
        <sz val="11"/>
        <color theme="1"/>
        <rFont val="Calibri"/>
        <family val="2"/>
        <scheme val="minor"/>
      </rPr>
      <t>C, including the mass of the crucible, in grams</t>
    </r>
  </si>
  <si>
    <t>The mass of the sub-sample after 4 hours at 550°C, determined by subtracting the mass of the crucible from the mass of the sub-sample in the crucible, in grams</t>
  </si>
  <si>
    <t>The percentage carbon (C) content of the soil in the horizon, determined by subtracting the mass of the sub-sample at 550C from the mass of the sub-sample at 105C, multiplied by a known SOM to SOC conversion factor from Housego et al. 2024</t>
  </si>
  <si>
    <t>Stock</t>
  </si>
  <si>
    <t>The stock of carbon in the horizon, expressed as kilograms per square metre, calculated by multiplying together the horizon bulk density, %C, and thickness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</si>
</sst>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scheme val="minor"/>
    </font>
    <font>
      <sz val="9"/>
      <color theme="1"/>
      <name val="Helvetica"/>
      <family val="18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0" fontId="4" fillId="0" borderId="0" xfId="0" applyFont="1"/>
    <xf numFmtId="0" fontId="0" fillId="0" borderId="0" xfId="0" applyAlignment="1">
      <alignment vertical="center"/>
    </xf>
    <xf numFmtId="0" fontId="0" fillId="0" borderId="0" xfId="0" quotePrefix="1"/>
    <xf numFmtId="16" fontId="0" fillId="0" borderId="0" xfId="0" quotePrefix="1" applyNumberFormat="1"/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165" fontId="0" fillId="0" borderId="0" xfId="0" applyNumberFormat="1"/>
    <xf numFmtId="2" fontId="0" fillId="2" borderId="0" xfId="0" applyNumberFormat="1" applyFill="1"/>
    <xf numFmtId="0" fontId="0" fillId="2" borderId="0" xfId="0" applyFill="1"/>
    <xf numFmtId="164" fontId="0" fillId="2" borderId="0" xfId="0" applyNumberFormat="1" applyFill="1" applyAlignment="1">
      <alignment wrapText="1"/>
    </xf>
    <xf numFmtId="0" fontId="0" fillId="2" borderId="0" xfId="0" applyFill="1" applyAlignment="1">
      <alignment wrapText="1"/>
    </xf>
    <xf numFmtId="165" fontId="0" fillId="2" borderId="0" xfId="0" applyNumberFormat="1" applyFill="1"/>
    <xf numFmtId="0" fontId="0" fillId="2" borderId="0" xfId="0" quotePrefix="1" applyFill="1"/>
    <xf numFmtId="0" fontId="5" fillId="0" borderId="0" xfId="0" applyFont="1"/>
    <xf numFmtId="0" fontId="6" fillId="0" borderId="0" xfId="0" applyFont="1" applyAlignment="1">
      <alignment wrapText="1"/>
    </xf>
    <xf numFmtId="0" fontId="6" fillId="0" borderId="0" xfId="0" applyFont="1"/>
    <xf numFmtId="0" fontId="5" fillId="0" borderId="0" xfId="0" applyFont="1" applyAlignment="1">
      <alignment wrapText="1"/>
    </xf>
    <xf numFmtId="16" fontId="0" fillId="2" borderId="0" xfId="0" quotePrefix="1" applyNumberFormat="1" applyFill="1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Border="1"/>
    <xf numFmtId="2" fontId="0" fillId="0" borderId="0" xfId="0" applyNumberFormat="1" applyBorder="1"/>
    <xf numFmtId="166" fontId="0" fillId="0" borderId="0" xfId="0" applyNumberFormat="1" applyBorder="1"/>
    <xf numFmtId="0" fontId="0" fillId="0" borderId="0" xfId="0" applyFont="1"/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74285-8DAA-4108-825C-F52902932687}">
  <dimension ref="A1:B32"/>
  <sheetViews>
    <sheetView tabSelected="1" workbookViewId="0">
      <selection activeCell="B37" sqref="B37"/>
    </sheetView>
  </sheetViews>
  <sheetFormatPr defaultRowHeight="14.5" x14ac:dyDescent="0.35"/>
  <cols>
    <col min="1" max="1" width="29.54296875" bestFit="1" customWidth="1"/>
    <col min="2" max="2" width="255.6328125" bestFit="1" customWidth="1"/>
  </cols>
  <sheetData>
    <row r="1" spans="1:2" x14ac:dyDescent="0.35">
      <c r="A1" s="5" t="s">
        <v>105</v>
      </c>
      <c r="B1" s="5" t="s">
        <v>106</v>
      </c>
    </row>
    <row r="2" spans="1:2" x14ac:dyDescent="0.35">
      <c r="A2" t="s">
        <v>1</v>
      </c>
      <c r="B2" t="s">
        <v>107</v>
      </c>
    </row>
    <row r="3" spans="1:2" x14ac:dyDescent="0.35">
      <c r="A3" t="s">
        <v>35</v>
      </c>
      <c r="B3" t="s">
        <v>108</v>
      </c>
    </row>
    <row r="4" spans="1:2" x14ac:dyDescent="0.35">
      <c r="A4" t="s">
        <v>109</v>
      </c>
      <c r="B4" t="s">
        <v>110</v>
      </c>
    </row>
    <row r="5" spans="1:2" x14ac:dyDescent="0.35">
      <c r="A5" t="s">
        <v>2</v>
      </c>
      <c r="B5" t="s">
        <v>111</v>
      </c>
    </row>
    <row r="6" spans="1:2" x14ac:dyDescent="0.35">
      <c r="A6" t="s">
        <v>102</v>
      </c>
      <c r="B6" t="s">
        <v>113</v>
      </c>
    </row>
    <row r="7" spans="1:2" x14ac:dyDescent="0.35">
      <c r="A7" t="s">
        <v>112</v>
      </c>
      <c r="B7" t="s">
        <v>114</v>
      </c>
    </row>
    <row r="8" spans="1:2" ht="16.5" x14ac:dyDescent="0.35">
      <c r="A8" t="s">
        <v>115</v>
      </c>
      <c r="B8" t="s">
        <v>116</v>
      </c>
    </row>
    <row r="9" spans="1:2" x14ac:dyDescent="0.35">
      <c r="A9" s="29" t="s">
        <v>117</v>
      </c>
      <c r="B9" t="s">
        <v>131</v>
      </c>
    </row>
    <row r="10" spans="1:2" x14ac:dyDescent="0.35">
      <c r="A10" s="29" t="s">
        <v>118</v>
      </c>
      <c r="B10" t="s">
        <v>130</v>
      </c>
    </row>
    <row r="11" spans="1:2" x14ac:dyDescent="0.35">
      <c r="A11" s="29" t="s">
        <v>119</v>
      </c>
      <c r="B11" t="s">
        <v>132</v>
      </c>
    </row>
    <row r="12" spans="1:2" x14ac:dyDescent="0.35">
      <c r="A12" s="29" t="s">
        <v>120</v>
      </c>
      <c r="B12" t="s">
        <v>134</v>
      </c>
    </row>
    <row r="13" spans="1:2" x14ac:dyDescent="0.35">
      <c r="A13" s="29" t="s">
        <v>121</v>
      </c>
      <c r="B13" t="s">
        <v>135</v>
      </c>
    </row>
    <row r="14" spans="1:2" x14ac:dyDescent="0.35">
      <c r="A14" s="29" t="s">
        <v>122</v>
      </c>
      <c r="B14" t="s">
        <v>136</v>
      </c>
    </row>
    <row r="15" spans="1:2" x14ac:dyDescent="0.35">
      <c r="A15" s="29" t="s">
        <v>123</v>
      </c>
      <c r="B15" t="s">
        <v>137</v>
      </c>
    </row>
    <row r="16" spans="1:2" x14ac:dyDescent="0.35">
      <c r="A16" s="29" t="s">
        <v>124</v>
      </c>
      <c r="B16" t="s">
        <v>138</v>
      </c>
    </row>
    <row r="17" spans="1:2" x14ac:dyDescent="0.35">
      <c r="A17" s="29" t="s">
        <v>81</v>
      </c>
      <c r="B17" t="s">
        <v>139</v>
      </c>
    </row>
    <row r="18" spans="1:2" x14ac:dyDescent="0.35">
      <c r="A18" s="29" t="s">
        <v>125</v>
      </c>
      <c r="B18" t="s">
        <v>133</v>
      </c>
    </row>
    <row r="19" spans="1:2" x14ac:dyDescent="0.35">
      <c r="A19" s="29" t="s">
        <v>126</v>
      </c>
      <c r="B19" t="s">
        <v>140</v>
      </c>
    </row>
    <row r="20" spans="1:2" x14ac:dyDescent="0.35">
      <c r="A20" s="29" t="s">
        <v>127</v>
      </c>
      <c r="B20" t="s">
        <v>141</v>
      </c>
    </row>
    <row r="21" spans="1:2" x14ac:dyDescent="0.35">
      <c r="A21" s="29" t="s">
        <v>128</v>
      </c>
      <c r="B21" t="s">
        <v>143</v>
      </c>
    </row>
    <row r="22" spans="1:2" x14ac:dyDescent="0.35">
      <c r="A22" s="29" t="s">
        <v>129</v>
      </c>
      <c r="B22" t="s">
        <v>142</v>
      </c>
    </row>
    <row r="23" spans="1:2" x14ac:dyDescent="0.35">
      <c r="A23" s="29" t="s">
        <v>145</v>
      </c>
      <c r="B23" t="s">
        <v>144</v>
      </c>
    </row>
    <row r="24" spans="1:2" x14ac:dyDescent="0.35">
      <c r="A24" s="30" t="s">
        <v>146</v>
      </c>
      <c r="B24" t="s">
        <v>147</v>
      </c>
    </row>
    <row r="25" spans="1:2" x14ac:dyDescent="0.35">
      <c r="A25" s="29" t="s">
        <v>148</v>
      </c>
      <c r="B25" t="s">
        <v>155</v>
      </c>
    </row>
    <row r="26" spans="1:2" x14ac:dyDescent="0.35">
      <c r="A26" s="29" t="s">
        <v>149</v>
      </c>
      <c r="B26" t="s">
        <v>154</v>
      </c>
    </row>
    <row r="27" spans="1:2" x14ac:dyDescent="0.35">
      <c r="A27" s="29" t="s">
        <v>150</v>
      </c>
      <c r="B27" t="s">
        <v>156</v>
      </c>
    </row>
    <row r="28" spans="1:2" x14ac:dyDescent="0.35">
      <c r="A28" s="29" t="s">
        <v>151</v>
      </c>
      <c r="B28" t="s">
        <v>157</v>
      </c>
    </row>
    <row r="29" spans="1:2" x14ac:dyDescent="0.35">
      <c r="A29" s="29" t="s">
        <v>152</v>
      </c>
      <c r="B29" t="s">
        <v>158</v>
      </c>
    </row>
    <row r="30" spans="1:2" x14ac:dyDescent="0.35">
      <c r="A30" s="29" t="s">
        <v>153</v>
      </c>
      <c r="B30" t="s">
        <v>159</v>
      </c>
    </row>
    <row r="31" spans="1:2" x14ac:dyDescent="0.35">
      <c r="A31" s="29" t="s">
        <v>94</v>
      </c>
      <c r="B31" t="s">
        <v>160</v>
      </c>
    </row>
    <row r="32" spans="1:2" x14ac:dyDescent="0.35">
      <c r="A32" s="29" t="s">
        <v>161</v>
      </c>
      <c r="B32" t="s">
        <v>162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A568-9983-4843-B2CA-0ABE64ADA83D}">
  <dimension ref="A1:C21"/>
  <sheetViews>
    <sheetView workbookViewId="0">
      <selection activeCell="G34" sqref="G34"/>
    </sheetView>
  </sheetViews>
  <sheetFormatPr defaultRowHeight="14.5" x14ac:dyDescent="0.35"/>
  <cols>
    <col min="1" max="1" width="15.08984375" bestFit="1" customWidth="1"/>
    <col min="2" max="2" width="13.08984375" bestFit="1" customWidth="1"/>
    <col min="3" max="3" width="14.36328125" bestFit="1" customWidth="1"/>
  </cols>
  <sheetData>
    <row r="1" spans="1:3" x14ac:dyDescent="0.35">
      <c r="A1" t="s">
        <v>1</v>
      </c>
      <c r="B1" t="s">
        <v>35</v>
      </c>
      <c r="C1" t="s">
        <v>109</v>
      </c>
    </row>
    <row r="2" spans="1:3" x14ac:dyDescent="0.35">
      <c r="A2" t="s">
        <v>36</v>
      </c>
      <c r="B2" s="2">
        <v>45411</v>
      </c>
      <c r="C2" t="s">
        <v>67</v>
      </c>
    </row>
    <row r="3" spans="1:3" x14ac:dyDescent="0.35">
      <c r="A3" t="s">
        <v>37</v>
      </c>
      <c r="B3" s="2">
        <v>45412</v>
      </c>
      <c r="C3" t="s">
        <v>62</v>
      </c>
    </row>
    <row r="4" spans="1:3" x14ac:dyDescent="0.35">
      <c r="A4" t="s">
        <v>38</v>
      </c>
      <c r="B4" s="2">
        <v>45411</v>
      </c>
      <c r="C4" t="s">
        <v>68</v>
      </c>
    </row>
    <row r="5" spans="1:3" x14ac:dyDescent="0.35">
      <c r="A5" t="s">
        <v>39</v>
      </c>
      <c r="B5" s="2">
        <v>45412</v>
      </c>
      <c r="C5" t="s">
        <v>64</v>
      </c>
    </row>
    <row r="6" spans="1:3" x14ac:dyDescent="0.35">
      <c r="A6" t="s">
        <v>40</v>
      </c>
      <c r="B6" s="2">
        <v>45413</v>
      </c>
      <c r="C6" t="s">
        <v>69</v>
      </c>
    </row>
    <row r="7" spans="1:3" x14ac:dyDescent="0.35">
      <c r="A7" t="s">
        <v>41</v>
      </c>
      <c r="B7" s="2">
        <v>45415</v>
      </c>
      <c r="C7" t="s">
        <v>59</v>
      </c>
    </row>
    <row r="8" spans="1:3" x14ac:dyDescent="0.35">
      <c r="A8" t="s">
        <v>42</v>
      </c>
      <c r="B8" s="2">
        <v>45414</v>
      </c>
      <c r="C8" t="s">
        <v>61</v>
      </c>
    </row>
    <row r="9" spans="1:3" x14ac:dyDescent="0.35">
      <c r="A9" t="s">
        <v>43</v>
      </c>
      <c r="B9" s="2">
        <v>45414</v>
      </c>
      <c r="C9" t="s">
        <v>57</v>
      </c>
    </row>
    <row r="10" spans="1:3" x14ac:dyDescent="0.35">
      <c r="A10" t="s">
        <v>44</v>
      </c>
      <c r="B10" s="2">
        <v>45415</v>
      </c>
      <c r="C10" t="s">
        <v>56</v>
      </c>
    </row>
    <row r="11" spans="1:3" x14ac:dyDescent="0.35">
      <c r="A11" t="s">
        <v>45</v>
      </c>
      <c r="B11" s="2">
        <v>45413</v>
      </c>
      <c r="C11" t="s">
        <v>58</v>
      </c>
    </row>
    <row r="12" spans="1:3" x14ac:dyDescent="0.35">
      <c r="A12" t="s">
        <v>46</v>
      </c>
      <c r="B12" s="2">
        <v>45404</v>
      </c>
      <c r="C12" t="s">
        <v>73</v>
      </c>
    </row>
    <row r="13" spans="1:3" x14ac:dyDescent="0.35">
      <c r="A13" t="s">
        <v>47</v>
      </c>
      <c r="B13" s="2">
        <v>45404</v>
      </c>
      <c r="C13" t="s">
        <v>75</v>
      </c>
    </row>
    <row r="14" spans="1:3" x14ac:dyDescent="0.35">
      <c r="A14" t="s">
        <v>48</v>
      </c>
      <c r="B14" s="2">
        <v>45405</v>
      </c>
      <c r="C14" t="s">
        <v>70</v>
      </c>
    </row>
    <row r="15" spans="1:3" x14ac:dyDescent="0.35">
      <c r="A15" t="s">
        <v>49</v>
      </c>
      <c r="B15" s="2">
        <v>45405</v>
      </c>
      <c r="C15" t="s">
        <v>74</v>
      </c>
    </row>
    <row r="16" spans="1:3" x14ac:dyDescent="0.35">
      <c r="A16" t="s">
        <v>50</v>
      </c>
      <c r="B16" s="2">
        <v>45406</v>
      </c>
      <c r="C16" t="s">
        <v>71</v>
      </c>
    </row>
    <row r="17" spans="1:3" x14ac:dyDescent="0.35">
      <c r="A17" t="s">
        <v>51</v>
      </c>
      <c r="B17" s="2">
        <v>45407</v>
      </c>
      <c r="C17" t="s">
        <v>63</v>
      </c>
    </row>
    <row r="18" spans="1:3" x14ac:dyDescent="0.35">
      <c r="A18" t="s">
        <v>52</v>
      </c>
      <c r="B18" s="2">
        <v>45407</v>
      </c>
      <c r="C18" t="s">
        <v>66</v>
      </c>
    </row>
    <row r="19" spans="1:3" x14ac:dyDescent="0.35">
      <c r="A19" t="s">
        <v>53</v>
      </c>
      <c r="B19" s="2">
        <v>45408</v>
      </c>
      <c r="C19" t="s">
        <v>60</v>
      </c>
    </row>
    <row r="20" spans="1:3" x14ac:dyDescent="0.35">
      <c r="A20" t="s">
        <v>54</v>
      </c>
      <c r="B20" s="2">
        <v>45408</v>
      </c>
      <c r="C20" t="s">
        <v>65</v>
      </c>
    </row>
    <row r="21" spans="1:3" x14ac:dyDescent="0.35">
      <c r="A21" t="s">
        <v>55</v>
      </c>
      <c r="B21" s="2">
        <v>45406</v>
      </c>
      <c r="C21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63BEA-D03B-4E69-9ECD-4738AE345DE5}">
  <dimension ref="A1:D961"/>
  <sheetViews>
    <sheetView zoomScaleNormal="100" workbookViewId="0">
      <selection activeCell="C2" sqref="C2"/>
    </sheetView>
  </sheetViews>
  <sheetFormatPr defaultRowHeight="14.5" x14ac:dyDescent="0.35"/>
  <cols>
    <col min="1" max="1" width="15.6328125" bestFit="1" customWidth="1"/>
    <col min="2" max="2" width="7.453125" bestFit="1" customWidth="1"/>
    <col min="3" max="3" width="8.81640625" bestFit="1" customWidth="1"/>
    <col min="4" max="4" width="13.453125" customWidth="1"/>
  </cols>
  <sheetData>
    <row r="1" spans="1:4" x14ac:dyDescent="0.35">
      <c r="A1" s="1" t="s">
        <v>1</v>
      </c>
      <c r="B1" s="1" t="s">
        <v>2</v>
      </c>
      <c r="C1" s="1" t="s">
        <v>102</v>
      </c>
      <c r="D1" s="1" t="s">
        <v>30</v>
      </c>
    </row>
    <row r="2" spans="1:4" x14ac:dyDescent="0.35">
      <c r="A2" t="s">
        <v>0</v>
      </c>
      <c r="B2" t="s">
        <v>9</v>
      </c>
      <c r="C2">
        <v>1</v>
      </c>
      <c r="D2">
        <v>2.5</v>
      </c>
    </row>
    <row r="3" spans="1:4" x14ac:dyDescent="0.35">
      <c r="A3" t="s">
        <v>0</v>
      </c>
      <c r="B3" t="s">
        <v>31</v>
      </c>
      <c r="C3">
        <v>1</v>
      </c>
      <c r="D3">
        <v>3.5</v>
      </c>
    </row>
    <row r="4" spans="1:4" x14ac:dyDescent="0.35">
      <c r="A4" t="s">
        <v>0</v>
      </c>
      <c r="B4" t="s">
        <v>32</v>
      </c>
      <c r="C4">
        <v>1</v>
      </c>
      <c r="D4">
        <v>17.5</v>
      </c>
    </row>
    <row r="5" spans="1:4" x14ac:dyDescent="0.35">
      <c r="A5" t="s">
        <v>0</v>
      </c>
      <c r="B5" t="s">
        <v>10</v>
      </c>
      <c r="C5">
        <v>1</v>
      </c>
      <c r="D5">
        <v>5</v>
      </c>
    </row>
    <row r="6" spans="1:4" x14ac:dyDescent="0.35">
      <c r="A6" t="s">
        <v>0</v>
      </c>
      <c r="B6" t="s">
        <v>9</v>
      </c>
      <c r="C6">
        <v>2</v>
      </c>
      <c r="D6">
        <v>7</v>
      </c>
    </row>
    <row r="7" spans="1:4" x14ac:dyDescent="0.35">
      <c r="A7" t="s">
        <v>0</v>
      </c>
      <c r="B7" t="s">
        <v>31</v>
      </c>
      <c r="C7">
        <v>2</v>
      </c>
      <c r="D7">
        <v>6.5</v>
      </c>
    </row>
    <row r="8" spans="1:4" x14ac:dyDescent="0.35">
      <c r="A8" t="s">
        <v>0</v>
      </c>
      <c r="B8" t="s">
        <v>32</v>
      </c>
      <c r="C8">
        <v>2</v>
      </c>
      <c r="D8">
        <f>7+4+3</f>
        <v>14</v>
      </c>
    </row>
    <row r="9" spans="1:4" x14ac:dyDescent="0.35">
      <c r="A9" t="s">
        <v>0</v>
      </c>
      <c r="B9" t="s">
        <v>10</v>
      </c>
      <c r="C9">
        <v>2</v>
      </c>
      <c r="D9">
        <v>12.5</v>
      </c>
    </row>
    <row r="10" spans="1:4" x14ac:dyDescent="0.35">
      <c r="A10" t="s">
        <v>0</v>
      </c>
      <c r="B10" t="s">
        <v>9</v>
      </c>
      <c r="C10">
        <v>3</v>
      </c>
      <c r="D10">
        <v>4</v>
      </c>
    </row>
    <row r="11" spans="1:4" x14ac:dyDescent="0.35">
      <c r="A11" t="s">
        <v>0</v>
      </c>
      <c r="B11" t="s">
        <v>31</v>
      </c>
      <c r="C11">
        <v>3</v>
      </c>
      <c r="D11">
        <v>6</v>
      </c>
    </row>
    <row r="12" spans="1:4" x14ac:dyDescent="0.35">
      <c r="A12" t="s">
        <v>0</v>
      </c>
      <c r="B12" t="s">
        <v>32</v>
      </c>
      <c r="C12">
        <v>3</v>
      </c>
      <c r="D12">
        <v>24</v>
      </c>
    </row>
    <row r="13" spans="1:4" x14ac:dyDescent="0.35">
      <c r="A13" t="s">
        <v>0</v>
      </c>
      <c r="B13" t="s">
        <v>10</v>
      </c>
      <c r="C13">
        <v>3</v>
      </c>
      <c r="D13">
        <v>4.5</v>
      </c>
    </row>
    <row r="14" spans="1:4" x14ac:dyDescent="0.35">
      <c r="A14" t="s">
        <v>0</v>
      </c>
      <c r="B14" t="s">
        <v>9</v>
      </c>
      <c r="C14">
        <v>4</v>
      </c>
      <c r="D14">
        <v>2</v>
      </c>
    </row>
    <row r="15" spans="1:4" x14ac:dyDescent="0.35">
      <c r="A15" t="s">
        <v>0</v>
      </c>
      <c r="B15" t="s">
        <v>31</v>
      </c>
      <c r="C15">
        <v>4</v>
      </c>
      <c r="D15">
        <v>7.5</v>
      </c>
    </row>
    <row r="16" spans="1:4" x14ac:dyDescent="0.35">
      <c r="A16" t="s">
        <v>0</v>
      </c>
      <c r="B16" t="s">
        <v>32</v>
      </c>
      <c r="C16">
        <v>4</v>
      </c>
      <c r="D16">
        <f>4.5+4+14</f>
        <v>22.5</v>
      </c>
    </row>
    <row r="17" spans="1:4" x14ac:dyDescent="0.35">
      <c r="A17" t="s">
        <v>0</v>
      </c>
      <c r="B17" t="s">
        <v>10</v>
      </c>
      <c r="C17">
        <v>4</v>
      </c>
      <c r="D17">
        <v>13</v>
      </c>
    </row>
    <row r="18" spans="1:4" x14ac:dyDescent="0.35">
      <c r="A18" t="s">
        <v>0</v>
      </c>
      <c r="B18" t="s">
        <v>9</v>
      </c>
      <c r="C18">
        <v>5</v>
      </c>
      <c r="D18">
        <v>3</v>
      </c>
    </row>
    <row r="19" spans="1:4" x14ac:dyDescent="0.35">
      <c r="A19" t="s">
        <v>0</v>
      </c>
      <c r="B19" t="s">
        <v>31</v>
      </c>
      <c r="C19">
        <v>5</v>
      </c>
      <c r="D19">
        <v>9.5</v>
      </c>
    </row>
    <row r="20" spans="1:4" x14ac:dyDescent="0.35">
      <c r="A20" t="s">
        <v>0</v>
      </c>
      <c r="B20" t="s">
        <v>32</v>
      </c>
      <c r="C20">
        <v>5</v>
      </c>
      <c r="D20">
        <v>16</v>
      </c>
    </row>
    <row r="21" spans="1:4" x14ac:dyDescent="0.35">
      <c r="A21" t="s">
        <v>0</v>
      </c>
      <c r="B21" t="s">
        <v>10</v>
      </c>
      <c r="C21">
        <v>5</v>
      </c>
      <c r="D21">
        <v>3</v>
      </c>
    </row>
    <row r="22" spans="1:4" x14ac:dyDescent="0.35">
      <c r="A22" t="s">
        <v>0</v>
      </c>
      <c r="B22" t="s">
        <v>9</v>
      </c>
      <c r="C22">
        <v>6</v>
      </c>
      <c r="D22">
        <v>2</v>
      </c>
    </row>
    <row r="23" spans="1:4" x14ac:dyDescent="0.35">
      <c r="A23" t="s">
        <v>0</v>
      </c>
      <c r="B23" t="s">
        <v>31</v>
      </c>
      <c r="C23">
        <v>6</v>
      </c>
      <c r="D23">
        <v>7.5</v>
      </c>
    </row>
    <row r="24" spans="1:4" x14ac:dyDescent="0.35">
      <c r="A24" t="s">
        <v>0</v>
      </c>
      <c r="B24" t="s">
        <v>32</v>
      </c>
      <c r="C24">
        <v>6</v>
      </c>
      <c r="D24">
        <f>3+3.5+17</f>
        <v>23.5</v>
      </c>
    </row>
    <row r="25" spans="1:4" x14ac:dyDescent="0.35">
      <c r="A25" t="s">
        <v>0</v>
      </c>
      <c r="B25" t="s">
        <v>10</v>
      </c>
      <c r="C25">
        <v>6</v>
      </c>
      <c r="D25">
        <v>1</v>
      </c>
    </row>
    <row r="26" spans="1:4" x14ac:dyDescent="0.35">
      <c r="A26" t="s">
        <v>0</v>
      </c>
      <c r="B26" t="s">
        <v>9</v>
      </c>
      <c r="C26">
        <v>7</v>
      </c>
      <c r="D26">
        <v>5</v>
      </c>
    </row>
    <row r="27" spans="1:4" x14ac:dyDescent="0.35">
      <c r="A27" t="s">
        <v>0</v>
      </c>
      <c r="B27" t="s">
        <v>31</v>
      </c>
      <c r="C27">
        <v>7</v>
      </c>
      <c r="D27">
        <v>7.5</v>
      </c>
    </row>
    <row r="28" spans="1:4" x14ac:dyDescent="0.35">
      <c r="A28" t="s">
        <v>0</v>
      </c>
      <c r="B28" t="s">
        <v>32</v>
      </c>
      <c r="C28">
        <v>7</v>
      </c>
      <c r="D28">
        <f>5+4+8.5</f>
        <v>17.5</v>
      </c>
    </row>
    <row r="29" spans="1:4" x14ac:dyDescent="0.35">
      <c r="A29" t="s">
        <v>0</v>
      </c>
      <c r="B29" t="s">
        <v>10</v>
      </c>
      <c r="C29">
        <v>7</v>
      </c>
      <c r="D29">
        <v>12</v>
      </c>
    </row>
    <row r="30" spans="1:4" x14ac:dyDescent="0.35">
      <c r="A30" t="s">
        <v>0</v>
      </c>
      <c r="B30" t="s">
        <v>9</v>
      </c>
      <c r="C30">
        <v>8</v>
      </c>
      <c r="D30">
        <v>2.5</v>
      </c>
    </row>
    <row r="31" spans="1:4" x14ac:dyDescent="0.35">
      <c r="A31" t="s">
        <v>0</v>
      </c>
      <c r="B31" t="s">
        <v>31</v>
      </c>
      <c r="C31">
        <v>8</v>
      </c>
      <c r="D31">
        <v>9</v>
      </c>
    </row>
    <row r="32" spans="1:4" x14ac:dyDescent="0.35">
      <c r="A32" t="s">
        <v>0</v>
      </c>
      <c r="B32" t="s">
        <v>32</v>
      </c>
      <c r="C32">
        <v>8</v>
      </c>
      <c r="D32">
        <v>11</v>
      </c>
    </row>
    <row r="33" spans="1:4" x14ac:dyDescent="0.35">
      <c r="A33" t="s">
        <v>0</v>
      </c>
      <c r="B33" t="s">
        <v>10</v>
      </c>
      <c r="C33">
        <v>8</v>
      </c>
      <c r="D33">
        <v>15.5</v>
      </c>
    </row>
    <row r="34" spans="1:4" x14ac:dyDescent="0.35">
      <c r="A34" t="s">
        <v>0</v>
      </c>
      <c r="B34" t="s">
        <v>9</v>
      </c>
      <c r="C34">
        <v>9</v>
      </c>
      <c r="D34">
        <v>3</v>
      </c>
    </row>
    <row r="35" spans="1:4" x14ac:dyDescent="0.35">
      <c r="A35" t="s">
        <v>0</v>
      </c>
      <c r="B35" t="s">
        <v>31</v>
      </c>
      <c r="C35">
        <v>9</v>
      </c>
      <c r="D35">
        <v>8.5</v>
      </c>
    </row>
    <row r="36" spans="1:4" x14ac:dyDescent="0.35">
      <c r="A36" t="s">
        <v>0</v>
      </c>
      <c r="B36" t="s">
        <v>32</v>
      </c>
      <c r="C36">
        <v>9</v>
      </c>
      <c r="D36">
        <f>8.5+3.5+10</f>
        <v>22</v>
      </c>
    </row>
    <row r="37" spans="1:4" x14ac:dyDescent="0.35">
      <c r="A37" t="s">
        <v>0</v>
      </c>
      <c r="B37" t="s">
        <v>10</v>
      </c>
      <c r="C37">
        <v>9</v>
      </c>
      <c r="D37">
        <v>15</v>
      </c>
    </row>
    <row r="38" spans="1:4" x14ac:dyDescent="0.35">
      <c r="A38" t="s">
        <v>0</v>
      </c>
      <c r="B38" t="s">
        <v>9</v>
      </c>
      <c r="C38">
        <v>10</v>
      </c>
      <c r="D38">
        <v>3</v>
      </c>
    </row>
    <row r="39" spans="1:4" x14ac:dyDescent="0.35">
      <c r="A39" t="s">
        <v>0</v>
      </c>
      <c r="B39" t="s">
        <v>31</v>
      </c>
      <c r="C39">
        <v>10</v>
      </c>
      <c r="D39">
        <v>8</v>
      </c>
    </row>
    <row r="40" spans="1:4" x14ac:dyDescent="0.35">
      <c r="A40" t="s">
        <v>0</v>
      </c>
      <c r="B40" t="s">
        <v>32</v>
      </c>
      <c r="C40">
        <v>10</v>
      </c>
      <c r="D40">
        <v>15</v>
      </c>
    </row>
    <row r="41" spans="1:4" x14ac:dyDescent="0.35">
      <c r="A41" t="s">
        <v>0</v>
      </c>
      <c r="B41" t="s">
        <v>10</v>
      </c>
      <c r="C41">
        <v>10</v>
      </c>
      <c r="D41">
        <v>4.5</v>
      </c>
    </row>
    <row r="42" spans="1:4" x14ac:dyDescent="0.35">
      <c r="A42" t="s">
        <v>0</v>
      </c>
      <c r="B42" t="s">
        <v>9</v>
      </c>
      <c r="C42">
        <v>11</v>
      </c>
      <c r="D42">
        <v>4.5</v>
      </c>
    </row>
    <row r="43" spans="1:4" x14ac:dyDescent="0.35">
      <c r="A43" t="s">
        <v>0</v>
      </c>
      <c r="B43" t="s">
        <v>31</v>
      </c>
      <c r="C43">
        <v>11</v>
      </c>
      <c r="D43">
        <v>9.5</v>
      </c>
    </row>
    <row r="44" spans="1:4" x14ac:dyDescent="0.35">
      <c r="A44" t="s">
        <v>0</v>
      </c>
      <c r="B44" t="s">
        <v>32</v>
      </c>
      <c r="C44">
        <v>11</v>
      </c>
      <c r="D44">
        <v>9</v>
      </c>
    </row>
    <row r="45" spans="1:4" x14ac:dyDescent="0.35">
      <c r="A45" t="s">
        <v>0</v>
      </c>
      <c r="B45" t="s">
        <v>10</v>
      </c>
      <c r="C45">
        <v>11</v>
      </c>
      <c r="D45" t="s">
        <v>33</v>
      </c>
    </row>
    <row r="46" spans="1:4" x14ac:dyDescent="0.35">
      <c r="A46" t="s">
        <v>0</v>
      </c>
      <c r="B46" t="s">
        <v>9</v>
      </c>
      <c r="C46">
        <v>12</v>
      </c>
      <c r="D46">
        <v>2.5</v>
      </c>
    </row>
    <row r="47" spans="1:4" x14ac:dyDescent="0.35">
      <c r="A47" t="s">
        <v>0</v>
      </c>
      <c r="B47" t="s">
        <v>31</v>
      </c>
      <c r="C47">
        <v>12</v>
      </c>
      <c r="D47">
        <v>9</v>
      </c>
    </row>
    <row r="48" spans="1:4" x14ac:dyDescent="0.35">
      <c r="A48" t="s">
        <v>0</v>
      </c>
      <c r="B48" t="s">
        <v>32</v>
      </c>
      <c r="C48">
        <v>12</v>
      </c>
      <c r="D48">
        <f>5+18.5</f>
        <v>23.5</v>
      </c>
    </row>
    <row r="49" spans="1:4" x14ac:dyDescent="0.35">
      <c r="A49" t="s">
        <v>0</v>
      </c>
      <c r="B49" t="s">
        <v>10</v>
      </c>
      <c r="C49">
        <v>12</v>
      </c>
      <c r="D49">
        <v>5.5</v>
      </c>
    </row>
    <row r="50" spans="1:4" x14ac:dyDescent="0.35">
      <c r="A50" t="s">
        <v>11</v>
      </c>
      <c r="B50" t="s">
        <v>9</v>
      </c>
      <c r="C50">
        <v>1</v>
      </c>
      <c r="D50">
        <v>4.5</v>
      </c>
    </row>
    <row r="51" spans="1:4" x14ac:dyDescent="0.35">
      <c r="A51" t="s">
        <v>11</v>
      </c>
      <c r="B51" t="s">
        <v>31</v>
      </c>
      <c r="C51">
        <v>1</v>
      </c>
      <c r="D51">
        <v>5</v>
      </c>
    </row>
    <row r="52" spans="1:4" x14ac:dyDescent="0.35">
      <c r="A52" t="s">
        <v>11</v>
      </c>
      <c r="B52" t="s">
        <v>32</v>
      </c>
      <c r="C52">
        <v>1</v>
      </c>
      <c r="D52">
        <v>14</v>
      </c>
    </row>
    <row r="53" spans="1:4" x14ac:dyDescent="0.35">
      <c r="A53" t="s">
        <v>11</v>
      </c>
      <c r="B53" t="s">
        <v>10</v>
      </c>
      <c r="C53">
        <v>1</v>
      </c>
      <c r="D53">
        <v>17</v>
      </c>
    </row>
    <row r="54" spans="1:4" x14ac:dyDescent="0.35">
      <c r="A54" t="s">
        <v>11</v>
      </c>
      <c r="B54" t="s">
        <v>9</v>
      </c>
      <c r="C54">
        <v>2</v>
      </c>
      <c r="D54">
        <v>7</v>
      </c>
    </row>
    <row r="55" spans="1:4" x14ac:dyDescent="0.35">
      <c r="A55" t="s">
        <v>11</v>
      </c>
      <c r="B55" t="s">
        <v>31</v>
      </c>
      <c r="C55">
        <v>2</v>
      </c>
      <c r="D55">
        <v>2</v>
      </c>
    </row>
    <row r="56" spans="1:4" x14ac:dyDescent="0.35">
      <c r="A56" t="s">
        <v>11</v>
      </c>
      <c r="B56" t="s">
        <v>32</v>
      </c>
      <c r="C56">
        <v>2</v>
      </c>
      <c r="D56">
        <v>13</v>
      </c>
    </row>
    <row r="57" spans="1:4" x14ac:dyDescent="0.35">
      <c r="A57" t="s">
        <v>11</v>
      </c>
      <c r="B57" t="s">
        <v>10</v>
      </c>
      <c r="C57">
        <v>2</v>
      </c>
      <c r="D57">
        <v>10</v>
      </c>
    </row>
    <row r="58" spans="1:4" x14ac:dyDescent="0.35">
      <c r="A58" t="s">
        <v>11</v>
      </c>
      <c r="B58" t="s">
        <v>9</v>
      </c>
      <c r="C58">
        <v>3</v>
      </c>
      <c r="D58">
        <v>4</v>
      </c>
    </row>
    <row r="59" spans="1:4" x14ac:dyDescent="0.35">
      <c r="A59" t="s">
        <v>11</v>
      </c>
      <c r="B59" t="s">
        <v>31</v>
      </c>
      <c r="C59">
        <v>3</v>
      </c>
      <c r="D59">
        <v>7.5</v>
      </c>
    </row>
    <row r="60" spans="1:4" x14ac:dyDescent="0.35">
      <c r="A60" t="s">
        <v>11</v>
      </c>
      <c r="B60" t="s">
        <v>32</v>
      </c>
      <c r="C60">
        <v>3</v>
      </c>
      <c r="D60">
        <f>7+4+19.5</f>
        <v>30.5</v>
      </c>
    </row>
    <row r="61" spans="1:4" x14ac:dyDescent="0.35">
      <c r="A61" t="s">
        <v>11</v>
      </c>
      <c r="B61" t="s">
        <v>10</v>
      </c>
      <c r="C61">
        <v>3</v>
      </c>
      <c r="D61">
        <v>7.5</v>
      </c>
    </row>
    <row r="62" spans="1:4" x14ac:dyDescent="0.35">
      <c r="A62" t="s">
        <v>11</v>
      </c>
      <c r="B62" t="s">
        <v>9</v>
      </c>
      <c r="C62">
        <v>4</v>
      </c>
      <c r="D62">
        <v>5</v>
      </c>
    </row>
    <row r="63" spans="1:4" x14ac:dyDescent="0.35">
      <c r="A63" t="s">
        <v>11</v>
      </c>
      <c r="B63" t="s">
        <v>31</v>
      </c>
      <c r="C63">
        <v>4</v>
      </c>
      <c r="D63">
        <v>8</v>
      </c>
    </row>
    <row r="64" spans="1:4" x14ac:dyDescent="0.35">
      <c r="A64" t="s">
        <v>11</v>
      </c>
      <c r="B64" t="s">
        <v>32</v>
      </c>
      <c r="C64">
        <v>4</v>
      </c>
      <c r="D64">
        <v>13</v>
      </c>
    </row>
    <row r="65" spans="1:4" x14ac:dyDescent="0.35">
      <c r="A65" t="s">
        <v>11</v>
      </c>
      <c r="B65" t="s">
        <v>10</v>
      </c>
      <c r="C65">
        <v>4</v>
      </c>
      <c r="D65">
        <v>19</v>
      </c>
    </row>
    <row r="66" spans="1:4" x14ac:dyDescent="0.35">
      <c r="A66" t="s">
        <v>11</v>
      </c>
      <c r="B66" t="s">
        <v>9</v>
      </c>
      <c r="C66">
        <v>5</v>
      </c>
      <c r="D66">
        <v>8</v>
      </c>
    </row>
    <row r="67" spans="1:4" x14ac:dyDescent="0.35">
      <c r="A67" t="s">
        <v>11</v>
      </c>
      <c r="B67" t="s">
        <v>31</v>
      </c>
      <c r="C67">
        <v>5</v>
      </c>
      <c r="D67">
        <v>6</v>
      </c>
    </row>
    <row r="68" spans="1:4" x14ac:dyDescent="0.35">
      <c r="A68" t="s">
        <v>11</v>
      </c>
      <c r="B68" t="s">
        <v>32</v>
      </c>
      <c r="C68">
        <v>5</v>
      </c>
      <c r="D68">
        <v>18</v>
      </c>
    </row>
    <row r="69" spans="1:4" x14ac:dyDescent="0.35">
      <c r="A69" t="s">
        <v>11</v>
      </c>
      <c r="B69" t="s">
        <v>10</v>
      </c>
      <c r="C69">
        <v>5</v>
      </c>
      <c r="D69">
        <v>13</v>
      </c>
    </row>
    <row r="70" spans="1:4" x14ac:dyDescent="0.35">
      <c r="A70" t="s">
        <v>11</v>
      </c>
      <c r="B70" t="s">
        <v>9</v>
      </c>
      <c r="C70">
        <v>6</v>
      </c>
      <c r="D70">
        <v>3</v>
      </c>
    </row>
    <row r="71" spans="1:4" x14ac:dyDescent="0.35">
      <c r="A71" t="s">
        <v>11</v>
      </c>
      <c r="B71" t="s">
        <v>31</v>
      </c>
      <c r="C71">
        <v>6</v>
      </c>
      <c r="D71">
        <v>8.5</v>
      </c>
    </row>
    <row r="72" spans="1:4" x14ac:dyDescent="0.35">
      <c r="A72" t="s">
        <v>11</v>
      </c>
      <c r="B72" t="s">
        <v>32</v>
      </c>
      <c r="C72">
        <v>6</v>
      </c>
      <c r="D72">
        <v>9</v>
      </c>
    </row>
    <row r="73" spans="1:4" x14ac:dyDescent="0.35">
      <c r="A73" t="s">
        <v>11</v>
      </c>
      <c r="B73" t="s">
        <v>10</v>
      </c>
      <c r="C73">
        <v>6</v>
      </c>
      <c r="D73">
        <v>16</v>
      </c>
    </row>
    <row r="74" spans="1:4" x14ac:dyDescent="0.35">
      <c r="A74" t="s">
        <v>11</v>
      </c>
      <c r="B74" t="s">
        <v>9</v>
      </c>
      <c r="C74">
        <v>7</v>
      </c>
      <c r="D74">
        <v>4</v>
      </c>
    </row>
    <row r="75" spans="1:4" x14ac:dyDescent="0.35">
      <c r="A75" t="s">
        <v>11</v>
      </c>
      <c r="B75" t="s">
        <v>31</v>
      </c>
      <c r="C75">
        <v>7</v>
      </c>
      <c r="D75">
        <v>9</v>
      </c>
    </row>
    <row r="76" spans="1:4" x14ac:dyDescent="0.35">
      <c r="A76" t="s">
        <v>11</v>
      </c>
      <c r="B76" t="s">
        <v>32</v>
      </c>
      <c r="C76">
        <v>7</v>
      </c>
      <c r="D76">
        <f>10.5+9+5</f>
        <v>24.5</v>
      </c>
    </row>
    <row r="77" spans="1:4" x14ac:dyDescent="0.35">
      <c r="A77" t="s">
        <v>11</v>
      </c>
      <c r="B77" t="s">
        <v>10</v>
      </c>
      <c r="C77">
        <v>7</v>
      </c>
      <c r="D77">
        <v>16</v>
      </c>
    </row>
    <row r="78" spans="1:4" x14ac:dyDescent="0.35">
      <c r="A78" t="s">
        <v>11</v>
      </c>
      <c r="B78" t="s">
        <v>9</v>
      </c>
      <c r="C78">
        <v>8</v>
      </c>
      <c r="D78">
        <v>4</v>
      </c>
    </row>
    <row r="79" spans="1:4" x14ac:dyDescent="0.35">
      <c r="A79" t="s">
        <v>11</v>
      </c>
      <c r="B79" t="s">
        <v>31</v>
      </c>
      <c r="C79">
        <v>8</v>
      </c>
      <c r="D79">
        <v>6.5</v>
      </c>
    </row>
    <row r="80" spans="1:4" x14ac:dyDescent="0.35">
      <c r="A80" t="s">
        <v>11</v>
      </c>
      <c r="B80" t="s">
        <v>32</v>
      </c>
      <c r="C80">
        <v>8</v>
      </c>
      <c r="D80">
        <v>21</v>
      </c>
    </row>
    <row r="81" spans="1:4" x14ac:dyDescent="0.35">
      <c r="A81" t="s">
        <v>11</v>
      </c>
      <c r="B81" t="s">
        <v>10</v>
      </c>
      <c r="C81">
        <v>8</v>
      </c>
      <c r="D81">
        <v>23</v>
      </c>
    </row>
    <row r="82" spans="1:4" x14ac:dyDescent="0.35">
      <c r="A82" t="s">
        <v>11</v>
      </c>
      <c r="B82" t="s">
        <v>9</v>
      </c>
      <c r="C82">
        <v>9</v>
      </c>
      <c r="D82">
        <v>2</v>
      </c>
    </row>
    <row r="83" spans="1:4" x14ac:dyDescent="0.35">
      <c r="A83" t="s">
        <v>11</v>
      </c>
      <c r="B83" t="s">
        <v>31</v>
      </c>
      <c r="C83">
        <v>9</v>
      </c>
      <c r="D83">
        <v>8.5</v>
      </c>
    </row>
    <row r="84" spans="1:4" x14ac:dyDescent="0.35">
      <c r="A84" t="s">
        <v>11</v>
      </c>
      <c r="B84" t="s">
        <v>32</v>
      </c>
      <c r="C84">
        <v>9</v>
      </c>
      <c r="D84">
        <v>20.5</v>
      </c>
    </row>
    <row r="85" spans="1:4" x14ac:dyDescent="0.35">
      <c r="A85" t="s">
        <v>11</v>
      </c>
      <c r="B85" t="s">
        <v>10</v>
      </c>
      <c r="C85">
        <v>9</v>
      </c>
      <c r="D85">
        <v>21.5</v>
      </c>
    </row>
    <row r="86" spans="1:4" x14ac:dyDescent="0.35">
      <c r="A86" t="s">
        <v>11</v>
      </c>
      <c r="B86" t="s">
        <v>9</v>
      </c>
      <c r="C86">
        <v>10</v>
      </c>
      <c r="D86">
        <v>7.5</v>
      </c>
    </row>
    <row r="87" spans="1:4" x14ac:dyDescent="0.35">
      <c r="A87" t="s">
        <v>11</v>
      </c>
      <c r="B87" t="s">
        <v>31</v>
      </c>
      <c r="C87">
        <v>10</v>
      </c>
      <c r="D87">
        <v>21</v>
      </c>
    </row>
    <row r="88" spans="1:4" x14ac:dyDescent="0.35">
      <c r="A88" t="s">
        <v>11</v>
      </c>
      <c r="B88" t="s">
        <v>32</v>
      </c>
      <c r="C88">
        <v>10</v>
      </c>
      <c r="D88" t="s">
        <v>33</v>
      </c>
    </row>
    <row r="89" spans="1:4" x14ac:dyDescent="0.35">
      <c r="A89" t="s">
        <v>11</v>
      </c>
      <c r="B89" t="s">
        <v>10</v>
      </c>
      <c r="C89">
        <v>10</v>
      </c>
      <c r="D89" t="s">
        <v>33</v>
      </c>
    </row>
    <row r="90" spans="1:4" x14ac:dyDescent="0.35">
      <c r="A90" t="s">
        <v>11</v>
      </c>
      <c r="B90" t="s">
        <v>9</v>
      </c>
      <c r="C90">
        <v>11</v>
      </c>
      <c r="D90">
        <v>2.5</v>
      </c>
    </row>
    <row r="91" spans="1:4" x14ac:dyDescent="0.35">
      <c r="A91" t="s">
        <v>11</v>
      </c>
      <c r="B91" t="s">
        <v>31</v>
      </c>
      <c r="C91">
        <v>11</v>
      </c>
      <c r="D91">
        <v>5.5</v>
      </c>
    </row>
    <row r="92" spans="1:4" x14ac:dyDescent="0.35">
      <c r="A92" t="s">
        <v>11</v>
      </c>
      <c r="B92" t="s">
        <v>32</v>
      </c>
      <c r="C92">
        <v>11</v>
      </c>
      <c r="D92">
        <v>22.5</v>
      </c>
    </row>
    <row r="93" spans="1:4" x14ac:dyDescent="0.35">
      <c r="A93" t="s">
        <v>11</v>
      </c>
      <c r="B93" t="s">
        <v>10</v>
      </c>
      <c r="C93">
        <v>11</v>
      </c>
      <c r="D93">
        <v>24</v>
      </c>
    </row>
    <row r="94" spans="1:4" x14ac:dyDescent="0.35">
      <c r="A94" t="s">
        <v>11</v>
      </c>
      <c r="B94" t="s">
        <v>9</v>
      </c>
      <c r="C94">
        <v>12</v>
      </c>
      <c r="D94">
        <v>6</v>
      </c>
    </row>
    <row r="95" spans="1:4" x14ac:dyDescent="0.35">
      <c r="A95" t="s">
        <v>11</v>
      </c>
      <c r="B95" t="s">
        <v>31</v>
      </c>
      <c r="C95">
        <v>12</v>
      </c>
      <c r="D95">
        <v>8</v>
      </c>
    </row>
    <row r="96" spans="1:4" x14ac:dyDescent="0.35">
      <c r="A96" t="s">
        <v>11</v>
      </c>
      <c r="B96" t="s">
        <v>32</v>
      </c>
      <c r="C96">
        <v>12</v>
      </c>
      <c r="D96">
        <v>9.5</v>
      </c>
    </row>
    <row r="97" spans="1:4" x14ac:dyDescent="0.35">
      <c r="A97" t="s">
        <v>11</v>
      </c>
      <c r="B97" t="s">
        <v>10</v>
      </c>
      <c r="C97">
        <v>12</v>
      </c>
      <c r="D97">
        <v>24</v>
      </c>
    </row>
    <row r="98" spans="1:4" x14ac:dyDescent="0.35">
      <c r="A98" t="s">
        <v>12</v>
      </c>
      <c r="B98" t="s">
        <v>9</v>
      </c>
      <c r="C98">
        <v>1</v>
      </c>
      <c r="D98">
        <v>7</v>
      </c>
    </row>
    <row r="99" spans="1:4" x14ac:dyDescent="0.35">
      <c r="A99" t="s">
        <v>12</v>
      </c>
      <c r="B99" t="s">
        <v>31</v>
      </c>
      <c r="C99">
        <v>1</v>
      </c>
      <c r="D99">
        <v>20</v>
      </c>
    </row>
    <row r="100" spans="1:4" x14ac:dyDescent="0.35">
      <c r="A100" t="s">
        <v>12</v>
      </c>
      <c r="B100" t="s">
        <v>32</v>
      </c>
      <c r="C100">
        <v>1</v>
      </c>
      <c r="D100" t="s">
        <v>33</v>
      </c>
    </row>
    <row r="101" spans="1:4" x14ac:dyDescent="0.35">
      <c r="A101" t="s">
        <v>12</v>
      </c>
      <c r="B101" t="s">
        <v>10</v>
      </c>
      <c r="C101">
        <v>1</v>
      </c>
      <c r="D101" t="s">
        <v>33</v>
      </c>
    </row>
    <row r="102" spans="1:4" x14ac:dyDescent="0.35">
      <c r="A102" t="s">
        <v>12</v>
      </c>
      <c r="B102" t="s">
        <v>9</v>
      </c>
      <c r="C102">
        <v>2</v>
      </c>
      <c r="D102">
        <v>3</v>
      </c>
    </row>
    <row r="103" spans="1:4" x14ac:dyDescent="0.35">
      <c r="A103" t="s">
        <v>12</v>
      </c>
      <c r="B103" t="s">
        <v>31</v>
      </c>
      <c r="C103">
        <v>2</v>
      </c>
      <c r="D103">
        <v>7</v>
      </c>
    </row>
    <row r="104" spans="1:4" x14ac:dyDescent="0.35">
      <c r="A104" t="s">
        <v>12</v>
      </c>
      <c r="B104" t="s">
        <v>32</v>
      </c>
      <c r="C104">
        <v>2</v>
      </c>
      <c r="D104">
        <v>11.5</v>
      </c>
    </row>
    <row r="105" spans="1:4" x14ac:dyDescent="0.35">
      <c r="A105" t="s">
        <v>12</v>
      </c>
      <c r="B105" t="s">
        <v>10</v>
      </c>
      <c r="C105">
        <v>2</v>
      </c>
      <c r="D105" t="s">
        <v>33</v>
      </c>
    </row>
    <row r="106" spans="1:4" x14ac:dyDescent="0.35">
      <c r="A106" t="s">
        <v>12</v>
      </c>
      <c r="B106" t="s">
        <v>9</v>
      </c>
      <c r="C106">
        <v>3</v>
      </c>
      <c r="D106">
        <v>4</v>
      </c>
    </row>
    <row r="107" spans="1:4" x14ac:dyDescent="0.35">
      <c r="A107" t="s">
        <v>12</v>
      </c>
      <c r="B107" t="s">
        <v>31</v>
      </c>
      <c r="C107">
        <v>3</v>
      </c>
      <c r="D107">
        <v>4</v>
      </c>
    </row>
    <row r="108" spans="1:4" x14ac:dyDescent="0.35">
      <c r="A108" t="s">
        <v>12</v>
      </c>
      <c r="B108" t="s">
        <v>32</v>
      </c>
      <c r="C108">
        <v>3</v>
      </c>
      <c r="D108">
        <v>14.5</v>
      </c>
    </row>
    <row r="109" spans="1:4" x14ac:dyDescent="0.35">
      <c r="A109" t="s">
        <v>12</v>
      </c>
      <c r="B109" t="s">
        <v>10</v>
      </c>
      <c r="C109">
        <v>3</v>
      </c>
      <c r="D109">
        <v>6</v>
      </c>
    </row>
    <row r="110" spans="1:4" x14ac:dyDescent="0.35">
      <c r="A110" t="s">
        <v>12</v>
      </c>
      <c r="B110" t="s">
        <v>9</v>
      </c>
      <c r="C110">
        <v>4</v>
      </c>
      <c r="D110">
        <v>2</v>
      </c>
    </row>
    <row r="111" spans="1:4" x14ac:dyDescent="0.35">
      <c r="A111" t="s">
        <v>12</v>
      </c>
      <c r="B111" t="s">
        <v>31</v>
      </c>
      <c r="C111">
        <v>4</v>
      </c>
      <c r="D111">
        <v>7.25</v>
      </c>
    </row>
    <row r="112" spans="1:4" x14ac:dyDescent="0.35">
      <c r="A112" t="s">
        <v>12</v>
      </c>
      <c r="B112" t="s">
        <v>32</v>
      </c>
      <c r="C112">
        <v>4</v>
      </c>
      <c r="D112">
        <v>15</v>
      </c>
    </row>
    <row r="113" spans="1:4" x14ac:dyDescent="0.35">
      <c r="A113" t="s">
        <v>12</v>
      </c>
      <c r="B113" t="s">
        <v>10</v>
      </c>
      <c r="C113">
        <v>4</v>
      </c>
      <c r="D113" t="s">
        <v>33</v>
      </c>
    </row>
    <row r="114" spans="1:4" x14ac:dyDescent="0.35">
      <c r="A114" t="s">
        <v>12</v>
      </c>
      <c r="B114" t="s">
        <v>9</v>
      </c>
      <c r="C114">
        <v>5</v>
      </c>
      <c r="D114">
        <v>4</v>
      </c>
    </row>
    <row r="115" spans="1:4" x14ac:dyDescent="0.35">
      <c r="A115" t="s">
        <v>12</v>
      </c>
      <c r="B115" t="s">
        <v>31</v>
      </c>
      <c r="C115">
        <v>5</v>
      </c>
      <c r="D115">
        <v>4</v>
      </c>
    </row>
    <row r="116" spans="1:4" x14ac:dyDescent="0.35">
      <c r="A116" t="s">
        <v>12</v>
      </c>
      <c r="B116" t="s">
        <v>32</v>
      </c>
      <c r="C116">
        <v>5</v>
      </c>
      <c r="D116">
        <v>12.5</v>
      </c>
    </row>
    <row r="117" spans="1:4" x14ac:dyDescent="0.35">
      <c r="A117" t="s">
        <v>12</v>
      </c>
      <c r="B117" t="s">
        <v>10</v>
      </c>
      <c r="C117">
        <v>5</v>
      </c>
      <c r="D117" t="s">
        <v>33</v>
      </c>
    </row>
    <row r="118" spans="1:4" x14ac:dyDescent="0.35">
      <c r="A118" t="s">
        <v>12</v>
      </c>
      <c r="B118" t="s">
        <v>9</v>
      </c>
      <c r="C118">
        <v>6</v>
      </c>
      <c r="D118">
        <v>3.5</v>
      </c>
    </row>
    <row r="119" spans="1:4" x14ac:dyDescent="0.35">
      <c r="A119" t="s">
        <v>12</v>
      </c>
      <c r="B119" t="s">
        <v>31</v>
      </c>
      <c r="C119">
        <v>6</v>
      </c>
      <c r="D119">
        <v>4</v>
      </c>
    </row>
    <row r="120" spans="1:4" x14ac:dyDescent="0.35">
      <c r="A120" t="s">
        <v>12</v>
      </c>
      <c r="B120" t="s">
        <v>32</v>
      </c>
      <c r="C120">
        <v>6</v>
      </c>
      <c r="D120">
        <v>13</v>
      </c>
    </row>
    <row r="121" spans="1:4" x14ac:dyDescent="0.35">
      <c r="A121" t="s">
        <v>12</v>
      </c>
      <c r="B121" t="s">
        <v>10</v>
      </c>
      <c r="C121">
        <v>6</v>
      </c>
      <c r="D121">
        <v>5</v>
      </c>
    </row>
    <row r="122" spans="1:4" x14ac:dyDescent="0.35">
      <c r="A122" t="s">
        <v>12</v>
      </c>
      <c r="B122" t="s">
        <v>9</v>
      </c>
      <c r="C122">
        <v>7</v>
      </c>
      <c r="D122">
        <v>4.5</v>
      </c>
    </row>
    <row r="123" spans="1:4" x14ac:dyDescent="0.35">
      <c r="A123" t="s">
        <v>12</v>
      </c>
      <c r="B123" t="s">
        <v>31</v>
      </c>
      <c r="C123">
        <v>7</v>
      </c>
      <c r="D123">
        <v>4</v>
      </c>
    </row>
    <row r="124" spans="1:4" x14ac:dyDescent="0.35">
      <c r="A124" t="s">
        <v>12</v>
      </c>
      <c r="B124" t="s">
        <v>32</v>
      </c>
      <c r="C124">
        <v>7</v>
      </c>
      <c r="D124">
        <v>12</v>
      </c>
    </row>
    <row r="125" spans="1:4" x14ac:dyDescent="0.35">
      <c r="A125" t="s">
        <v>12</v>
      </c>
      <c r="B125" t="s">
        <v>10</v>
      </c>
      <c r="C125">
        <v>7</v>
      </c>
      <c r="D125" t="s">
        <v>33</v>
      </c>
    </row>
    <row r="126" spans="1:4" x14ac:dyDescent="0.35">
      <c r="A126" t="s">
        <v>12</v>
      </c>
      <c r="B126" t="s">
        <v>9</v>
      </c>
      <c r="C126">
        <v>8</v>
      </c>
      <c r="D126">
        <v>3</v>
      </c>
    </row>
    <row r="127" spans="1:4" x14ac:dyDescent="0.35">
      <c r="A127" t="s">
        <v>12</v>
      </c>
      <c r="B127" t="s">
        <v>31</v>
      </c>
      <c r="C127">
        <v>8</v>
      </c>
      <c r="D127">
        <v>7</v>
      </c>
    </row>
    <row r="128" spans="1:4" x14ac:dyDescent="0.35">
      <c r="A128" t="s">
        <v>12</v>
      </c>
      <c r="B128" t="s">
        <v>32</v>
      </c>
      <c r="C128">
        <v>8</v>
      </c>
      <c r="D128">
        <v>21</v>
      </c>
    </row>
    <row r="129" spans="1:4" x14ac:dyDescent="0.35">
      <c r="A129" t="s">
        <v>12</v>
      </c>
      <c r="B129" t="s">
        <v>10</v>
      </c>
      <c r="C129">
        <v>8</v>
      </c>
      <c r="D129">
        <v>9</v>
      </c>
    </row>
    <row r="130" spans="1:4" x14ac:dyDescent="0.35">
      <c r="A130" t="s">
        <v>12</v>
      </c>
      <c r="B130" t="s">
        <v>9</v>
      </c>
      <c r="C130">
        <v>9</v>
      </c>
      <c r="D130">
        <v>4.5</v>
      </c>
    </row>
    <row r="131" spans="1:4" x14ac:dyDescent="0.35">
      <c r="A131" t="s">
        <v>12</v>
      </c>
      <c r="B131" t="s">
        <v>31</v>
      </c>
      <c r="C131">
        <v>9</v>
      </c>
      <c r="D131">
        <v>7.5</v>
      </c>
    </row>
    <row r="132" spans="1:4" x14ac:dyDescent="0.35">
      <c r="A132" t="s">
        <v>12</v>
      </c>
      <c r="B132" t="s">
        <v>32</v>
      </c>
      <c r="C132">
        <v>9</v>
      </c>
      <c r="D132">
        <v>12.5</v>
      </c>
    </row>
    <row r="133" spans="1:4" x14ac:dyDescent="0.35">
      <c r="A133" t="s">
        <v>12</v>
      </c>
      <c r="B133" t="s">
        <v>10</v>
      </c>
      <c r="C133">
        <v>9</v>
      </c>
      <c r="D133" t="s">
        <v>33</v>
      </c>
    </row>
    <row r="134" spans="1:4" x14ac:dyDescent="0.35">
      <c r="A134" t="s">
        <v>12</v>
      </c>
      <c r="B134" t="s">
        <v>9</v>
      </c>
      <c r="C134">
        <v>10</v>
      </c>
      <c r="D134">
        <v>4.5</v>
      </c>
    </row>
    <row r="135" spans="1:4" x14ac:dyDescent="0.35">
      <c r="A135" t="s">
        <v>12</v>
      </c>
      <c r="B135" t="s">
        <v>31</v>
      </c>
      <c r="C135">
        <v>10</v>
      </c>
      <c r="D135">
        <v>4.5</v>
      </c>
    </row>
    <row r="136" spans="1:4" x14ac:dyDescent="0.35">
      <c r="A136" t="s">
        <v>12</v>
      </c>
      <c r="B136" t="s">
        <v>32</v>
      </c>
      <c r="C136">
        <v>10</v>
      </c>
      <c r="D136">
        <v>14</v>
      </c>
    </row>
    <row r="137" spans="1:4" x14ac:dyDescent="0.35">
      <c r="A137" t="s">
        <v>12</v>
      </c>
      <c r="B137" t="s">
        <v>10</v>
      </c>
      <c r="C137">
        <v>10</v>
      </c>
      <c r="D137">
        <v>1</v>
      </c>
    </row>
    <row r="138" spans="1:4" x14ac:dyDescent="0.35">
      <c r="A138" t="s">
        <v>12</v>
      </c>
      <c r="B138" t="s">
        <v>9</v>
      </c>
      <c r="C138">
        <v>11</v>
      </c>
      <c r="D138">
        <v>0</v>
      </c>
    </row>
    <row r="139" spans="1:4" x14ac:dyDescent="0.35">
      <c r="A139" t="s">
        <v>12</v>
      </c>
      <c r="B139" t="s">
        <v>31</v>
      </c>
      <c r="C139">
        <v>11</v>
      </c>
      <c r="D139">
        <v>3.5</v>
      </c>
    </row>
    <row r="140" spans="1:4" x14ac:dyDescent="0.35">
      <c r="A140" t="s">
        <v>12</v>
      </c>
      <c r="B140" t="s">
        <v>32</v>
      </c>
      <c r="C140">
        <v>11</v>
      </c>
      <c r="D140">
        <v>17</v>
      </c>
    </row>
    <row r="141" spans="1:4" x14ac:dyDescent="0.35">
      <c r="A141" t="s">
        <v>12</v>
      </c>
      <c r="B141" t="s">
        <v>10</v>
      </c>
      <c r="C141">
        <v>11</v>
      </c>
      <c r="D141">
        <v>3</v>
      </c>
    </row>
    <row r="142" spans="1:4" x14ac:dyDescent="0.35">
      <c r="A142" t="s">
        <v>12</v>
      </c>
      <c r="B142" t="s">
        <v>9</v>
      </c>
      <c r="C142">
        <v>12</v>
      </c>
      <c r="D142">
        <v>0.5</v>
      </c>
    </row>
    <row r="143" spans="1:4" x14ac:dyDescent="0.35">
      <c r="A143" t="s">
        <v>12</v>
      </c>
      <c r="B143" t="s">
        <v>31</v>
      </c>
      <c r="C143">
        <v>12</v>
      </c>
      <c r="D143">
        <v>4</v>
      </c>
    </row>
    <row r="144" spans="1:4" x14ac:dyDescent="0.35">
      <c r="A144" t="s">
        <v>12</v>
      </c>
      <c r="B144" t="s">
        <v>32</v>
      </c>
      <c r="C144">
        <v>12</v>
      </c>
      <c r="D144">
        <v>2.5</v>
      </c>
    </row>
    <row r="145" spans="1:4" x14ac:dyDescent="0.35">
      <c r="A145" t="s">
        <v>12</v>
      </c>
      <c r="B145" t="s">
        <v>10</v>
      </c>
      <c r="C145">
        <v>12</v>
      </c>
      <c r="D145">
        <v>8</v>
      </c>
    </row>
    <row r="146" spans="1:4" x14ac:dyDescent="0.35">
      <c r="A146" t="s">
        <v>13</v>
      </c>
      <c r="B146" t="s">
        <v>9</v>
      </c>
      <c r="C146">
        <v>1</v>
      </c>
      <c r="D146">
        <v>5</v>
      </c>
    </row>
    <row r="147" spans="1:4" x14ac:dyDescent="0.35">
      <c r="A147" t="s">
        <v>13</v>
      </c>
      <c r="B147" t="s">
        <v>31</v>
      </c>
      <c r="C147">
        <v>1</v>
      </c>
      <c r="D147">
        <v>8</v>
      </c>
    </row>
    <row r="148" spans="1:4" x14ac:dyDescent="0.35">
      <c r="A148" t="s">
        <v>13</v>
      </c>
      <c r="B148" t="s">
        <v>32</v>
      </c>
      <c r="C148">
        <v>1</v>
      </c>
      <c r="D148">
        <v>20</v>
      </c>
    </row>
    <row r="149" spans="1:4" x14ac:dyDescent="0.35">
      <c r="A149" t="s">
        <v>13</v>
      </c>
      <c r="B149" t="s">
        <v>10</v>
      </c>
      <c r="C149">
        <v>1</v>
      </c>
      <c r="D149">
        <v>6.5</v>
      </c>
    </row>
    <row r="150" spans="1:4" x14ac:dyDescent="0.35">
      <c r="A150" t="s">
        <v>13</v>
      </c>
      <c r="B150" t="s">
        <v>9</v>
      </c>
      <c r="C150">
        <v>2</v>
      </c>
      <c r="D150">
        <v>3</v>
      </c>
    </row>
    <row r="151" spans="1:4" x14ac:dyDescent="0.35">
      <c r="A151" t="s">
        <v>13</v>
      </c>
      <c r="B151" t="s">
        <v>31</v>
      </c>
      <c r="C151">
        <v>2</v>
      </c>
      <c r="D151">
        <v>13</v>
      </c>
    </row>
    <row r="152" spans="1:4" x14ac:dyDescent="0.35">
      <c r="A152" t="s">
        <v>13</v>
      </c>
      <c r="B152" t="s">
        <v>32</v>
      </c>
      <c r="C152">
        <v>2</v>
      </c>
      <c r="D152">
        <v>18</v>
      </c>
    </row>
    <row r="153" spans="1:4" x14ac:dyDescent="0.35">
      <c r="A153" t="s">
        <v>13</v>
      </c>
      <c r="B153" t="s">
        <v>10</v>
      </c>
      <c r="C153">
        <v>2</v>
      </c>
      <c r="D153">
        <v>4.5</v>
      </c>
    </row>
    <row r="154" spans="1:4" x14ac:dyDescent="0.35">
      <c r="A154" t="s">
        <v>13</v>
      </c>
      <c r="B154" t="s">
        <v>9</v>
      </c>
      <c r="C154">
        <v>3</v>
      </c>
      <c r="D154">
        <v>3</v>
      </c>
    </row>
    <row r="155" spans="1:4" x14ac:dyDescent="0.35">
      <c r="A155" t="s">
        <v>13</v>
      </c>
      <c r="B155" t="s">
        <v>31</v>
      </c>
      <c r="C155">
        <v>3</v>
      </c>
      <c r="D155">
        <v>16.5</v>
      </c>
    </row>
    <row r="156" spans="1:4" x14ac:dyDescent="0.35">
      <c r="A156" t="s">
        <v>13</v>
      </c>
      <c r="B156" t="s">
        <v>32</v>
      </c>
      <c r="C156">
        <v>3</v>
      </c>
      <c r="D156">
        <v>2</v>
      </c>
    </row>
    <row r="157" spans="1:4" x14ac:dyDescent="0.35">
      <c r="A157" t="s">
        <v>13</v>
      </c>
      <c r="B157" t="s">
        <v>10</v>
      </c>
      <c r="C157">
        <v>3</v>
      </c>
      <c r="D157">
        <v>2.5</v>
      </c>
    </row>
    <row r="158" spans="1:4" x14ac:dyDescent="0.35">
      <c r="A158" t="s">
        <v>13</v>
      </c>
      <c r="B158" t="s">
        <v>9</v>
      </c>
      <c r="C158">
        <v>4</v>
      </c>
      <c r="D158">
        <v>4.5</v>
      </c>
    </row>
    <row r="159" spans="1:4" x14ac:dyDescent="0.35">
      <c r="A159" t="s">
        <v>13</v>
      </c>
      <c r="B159" t="s">
        <v>31</v>
      </c>
      <c r="C159">
        <v>4</v>
      </c>
      <c r="D159">
        <v>6.5</v>
      </c>
    </row>
    <row r="160" spans="1:4" x14ac:dyDescent="0.35">
      <c r="A160" t="s">
        <v>13</v>
      </c>
      <c r="B160" t="s">
        <v>32</v>
      </c>
      <c r="C160">
        <v>4</v>
      </c>
      <c r="D160">
        <v>18.5</v>
      </c>
    </row>
    <row r="161" spans="1:4" x14ac:dyDescent="0.35">
      <c r="A161" t="s">
        <v>13</v>
      </c>
      <c r="B161" t="s">
        <v>10</v>
      </c>
      <c r="C161">
        <v>4</v>
      </c>
      <c r="D161" t="s">
        <v>33</v>
      </c>
    </row>
    <row r="162" spans="1:4" x14ac:dyDescent="0.35">
      <c r="A162" t="s">
        <v>13</v>
      </c>
      <c r="B162" t="s">
        <v>9</v>
      </c>
      <c r="C162">
        <v>5</v>
      </c>
      <c r="D162">
        <v>3.5</v>
      </c>
    </row>
    <row r="163" spans="1:4" x14ac:dyDescent="0.35">
      <c r="A163" t="s">
        <v>13</v>
      </c>
      <c r="B163" t="s">
        <v>31</v>
      </c>
      <c r="C163">
        <v>5</v>
      </c>
      <c r="D163">
        <v>15</v>
      </c>
    </row>
    <row r="164" spans="1:4" x14ac:dyDescent="0.35">
      <c r="A164" t="s">
        <v>13</v>
      </c>
      <c r="B164" t="s">
        <v>32</v>
      </c>
      <c r="C164">
        <v>5</v>
      </c>
      <c r="D164">
        <v>6</v>
      </c>
    </row>
    <row r="165" spans="1:4" x14ac:dyDescent="0.35">
      <c r="A165" t="s">
        <v>13</v>
      </c>
      <c r="B165" t="s">
        <v>10</v>
      </c>
      <c r="C165">
        <v>5</v>
      </c>
      <c r="D165">
        <v>4</v>
      </c>
    </row>
    <row r="166" spans="1:4" x14ac:dyDescent="0.35">
      <c r="A166" t="s">
        <v>13</v>
      </c>
      <c r="B166" t="s">
        <v>9</v>
      </c>
      <c r="C166">
        <v>6</v>
      </c>
      <c r="D166">
        <v>3</v>
      </c>
    </row>
    <row r="167" spans="1:4" x14ac:dyDescent="0.35">
      <c r="A167" t="s">
        <v>13</v>
      </c>
      <c r="B167" t="s">
        <v>31</v>
      </c>
      <c r="C167">
        <v>6</v>
      </c>
      <c r="D167">
        <v>20.5</v>
      </c>
    </row>
    <row r="168" spans="1:4" x14ac:dyDescent="0.35">
      <c r="A168" t="s">
        <v>13</v>
      </c>
      <c r="B168" t="s">
        <v>32</v>
      </c>
      <c r="C168">
        <v>6</v>
      </c>
      <c r="D168">
        <v>5</v>
      </c>
    </row>
    <row r="169" spans="1:4" x14ac:dyDescent="0.35">
      <c r="A169" t="s">
        <v>13</v>
      </c>
      <c r="B169" t="s">
        <v>10</v>
      </c>
      <c r="C169">
        <v>6</v>
      </c>
      <c r="D169">
        <v>4.5</v>
      </c>
    </row>
    <row r="170" spans="1:4" x14ac:dyDescent="0.35">
      <c r="A170" t="s">
        <v>13</v>
      </c>
      <c r="B170" t="s">
        <v>9</v>
      </c>
      <c r="C170">
        <v>7</v>
      </c>
      <c r="D170">
        <v>7</v>
      </c>
    </row>
    <row r="171" spans="1:4" x14ac:dyDescent="0.35">
      <c r="A171" t="s">
        <v>13</v>
      </c>
      <c r="B171" t="s">
        <v>31</v>
      </c>
      <c r="C171">
        <v>7</v>
      </c>
      <c r="D171">
        <v>10.5</v>
      </c>
    </row>
    <row r="172" spans="1:4" x14ac:dyDescent="0.35">
      <c r="A172" t="s">
        <v>13</v>
      </c>
      <c r="B172" t="s">
        <v>32</v>
      </c>
      <c r="C172">
        <v>7</v>
      </c>
      <c r="D172">
        <v>4</v>
      </c>
    </row>
    <row r="173" spans="1:4" x14ac:dyDescent="0.35">
      <c r="A173" t="s">
        <v>13</v>
      </c>
      <c r="B173" t="s">
        <v>10</v>
      </c>
      <c r="C173">
        <v>7</v>
      </c>
      <c r="D173">
        <v>21</v>
      </c>
    </row>
    <row r="174" spans="1:4" x14ac:dyDescent="0.35">
      <c r="A174" t="s">
        <v>13</v>
      </c>
      <c r="B174" t="s">
        <v>9</v>
      </c>
      <c r="C174">
        <v>8</v>
      </c>
      <c r="D174">
        <v>6.5</v>
      </c>
    </row>
    <row r="175" spans="1:4" x14ac:dyDescent="0.35">
      <c r="A175" t="s">
        <v>13</v>
      </c>
      <c r="B175" t="s">
        <v>31</v>
      </c>
      <c r="C175">
        <v>8</v>
      </c>
      <c r="D175">
        <v>5.5</v>
      </c>
    </row>
    <row r="176" spans="1:4" x14ac:dyDescent="0.35">
      <c r="A176" t="s">
        <v>13</v>
      </c>
      <c r="B176" t="s">
        <v>32</v>
      </c>
      <c r="C176">
        <v>8</v>
      </c>
      <c r="D176">
        <v>7.5</v>
      </c>
    </row>
    <row r="177" spans="1:4" x14ac:dyDescent="0.35">
      <c r="A177" t="s">
        <v>13</v>
      </c>
      <c r="B177" t="s">
        <v>10</v>
      </c>
      <c r="C177">
        <v>8</v>
      </c>
      <c r="D177">
        <v>11.5</v>
      </c>
    </row>
    <row r="178" spans="1:4" x14ac:dyDescent="0.35">
      <c r="A178" t="s">
        <v>13</v>
      </c>
      <c r="B178" t="s">
        <v>9</v>
      </c>
      <c r="C178">
        <v>9</v>
      </c>
      <c r="D178">
        <v>5</v>
      </c>
    </row>
    <row r="179" spans="1:4" x14ac:dyDescent="0.35">
      <c r="A179" t="s">
        <v>13</v>
      </c>
      <c r="B179" t="s">
        <v>31</v>
      </c>
      <c r="C179">
        <v>9</v>
      </c>
      <c r="D179">
        <f>19.5+3.5</f>
        <v>23</v>
      </c>
    </row>
    <row r="180" spans="1:4" x14ac:dyDescent="0.35">
      <c r="A180" t="s">
        <v>13</v>
      </c>
      <c r="B180" t="s">
        <v>32</v>
      </c>
      <c r="C180">
        <v>9</v>
      </c>
      <c r="D180">
        <v>10.5</v>
      </c>
    </row>
    <row r="181" spans="1:4" x14ac:dyDescent="0.35">
      <c r="A181" t="s">
        <v>13</v>
      </c>
      <c r="B181" t="s">
        <v>10</v>
      </c>
      <c r="C181">
        <v>9</v>
      </c>
      <c r="D181" t="s">
        <v>33</v>
      </c>
    </row>
    <row r="182" spans="1:4" x14ac:dyDescent="0.35">
      <c r="A182" t="s">
        <v>13</v>
      </c>
      <c r="B182" t="s">
        <v>9</v>
      </c>
      <c r="C182">
        <v>10</v>
      </c>
    </row>
    <row r="183" spans="1:4" x14ac:dyDescent="0.35">
      <c r="A183" t="s">
        <v>13</v>
      </c>
      <c r="B183" t="s">
        <v>31</v>
      </c>
      <c r="C183">
        <v>10</v>
      </c>
    </row>
    <row r="184" spans="1:4" x14ac:dyDescent="0.35">
      <c r="A184" t="s">
        <v>13</v>
      </c>
      <c r="B184" t="s">
        <v>32</v>
      </c>
      <c r="C184">
        <v>10</v>
      </c>
    </row>
    <row r="185" spans="1:4" x14ac:dyDescent="0.35">
      <c r="A185" t="s">
        <v>13</v>
      </c>
      <c r="B185" t="s">
        <v>10</v>
      </c>
      <c r="C185">
        <v>10</v>
      </c>
    </row>
    <row r="186" spans="1:4" x14ac:dyDescent="0.35">
      <c r="A186" t="s">
        <v>13</v>
      </c>
      <c r="B186" t="s">
        <v>9</v>
      </c>
      <c r="C186">
        <v>11</v>
      </c>
    </row>
    <row r="187" spans="1:4" x14ac:dyDescent="0.35">
      <c r="A187" t="s">
        <v>13</v>
      </c>
      <c r="B187" t="s">
        <v>31</v>
      </c>
      <c r="C187">
        <v>11</v>
      </c>
    </row>
    <row r="188" spans="1:4" x14ac:dyDescent="0.35">
      <c r="A188" t="s">
        <v>13</v>
      </c>
      <c r="B188" t="s">
        <v>32</v>
      </c>
      <c r="C188">
        <v>11</v>
      </c>
    </row>
    <row r="189" spans="1:4" x14ac:dyDescent="0.35">
      <c r="A189" t="s">
        <v>13</v>
      </c>
      <c r="B189" t="s">
        <v>10</v>
      </c>
      <c r="C189">
        <v>11</v>
      </c>
    </row>
    <row r="190" spans="1:4" x14ac:dyDescent="0.35">
      <c r="A190" t="s">
        <v>13</v>
      </c>
      <c r="B190" t="s">
        <v>9</v>
      </c>
      <c r="C190">
        <v>12</v>
      </c>
      <c r="D190">
        <v>5</v>
      </c>
    </row>
    <row r="191" spans="1:4" x14ac:dyDescent="0.35">
      <c r="A191" t="s">
        <v>13</v>
      </c>
      <c r="B191" t="s">
        <v>31</v>
      </c>
      <c r="C191">
        <v>12</v>
      </c>
      <c r="D191">
        <v>6.5</v>
      </c>
    </row>
    <row r="192" spans="1:4" x14ac:dyDescent="0.35">
      <c r="A192" t="s">
        <v>13</v>
      </c>
      <c r="B192" t="s">
        <v>32</v>
      </c>
      <c r="C192">
        <v>12</v>
      </c>
      <c r="D192">
        <v>14</v>
      </c>
    </row>
    <row r="193" spans="1:4" x14ac:dyDescent="0.35">
      <c r="A193" t="s">
        <v>13</v>
      </c>
      <c r="B193" t="s">
        <v>10</v>
      </c>
      <c r="C193">
        <v>12</v>
      </c>
      <c r="D193">
        <v>10.5</v>
      </c>
    </row>
    <row r="194" spans="1:4" x14ac:dyDescent="0.35">
      <c r="A194" t="s">
        <v>14</v>
      </c>
      <c r="B194" t="s">
        <v>9</v>
      </c>
      <c r="C194">
        <v>1</v>
      </c>
      <c r="D194">
        <v>2</v>
      </c>
    </row>
    <row r="195" spans="1:4" x14ac:dyDescent="0.35">
      <c r="A195" t="s">
        <v>14</v>
      </c>
      <c r="B195" t="s">
        <v>31</v>
      </c>
      <c r="C195">
        <v>1</v>
      </c>
      <c r="D195">
        <v>12</v>
      </c>
    </row>
    <row r="196" spans="1:4" x14ac:dyDescent="0.35">
      <c r="A196" t="s">
        <v>14</v>
      </c>
      <c r="B196" t="s">
        <v>32</v>
      </c>
      <c r="C196">
        <v>1</v>
      </c>
      <c r="D196">
        <f>6+3.5+8</f>
        <v>17.5</v>
      </c>
    </row>
    <row r="197" spans="1:4" x14ac:dyDescent="0.35">
      <c r="A197" t="s">
        <v>14</v>
      </c>
      <c r="B197" t="s">
        <v>10</v>
      </c>
      <c r="C197">
        <v>1</v>
      </c>
      <c r="D197">
        <v>12.5</v>
      </c>
    </row>
    <row r="198" spans="1:4" x14ac:dyDescent="0.35">
      <c r="A198" t="s">
        <v>14</v>
      </c>
      <c r="B198" t="s">
        <v>9</v>
      </c>
      <c r="C198">
        <v>2</v>
      </c>
      <c r="D198">
        <v>2.5</v>
      </c>
    </row>
    <row r="199" spans="1:4" x14ac:dyDescent="0.35">
      <c r="A199" t="s">
        <v>14</v>
      </c>
      <c r="B199" t="s">
        <v>31</v>
      </c>
      <c r="C199">
        <v>2</v>
      </c>
      <c r="D199">
        <v>11</v>
      </c>
    </row>
    <row r="200" spans="1:4" x14ac:dyDescent="0.35">
      <c r="A200" t="s">
        <v>14</v>
      </c>
      <c r="B200" t="s">
        <v>32</v>
      </c>
      <c r="C200">
        <v>2</v>
      </c>
      <c r="D200">
        <v>13</v>
      </c>
    </row>
    <row r="201" spans="1:4" x14ac:dyDescent="0.35">
      <c r="A201" t="s">
        <v>14</v>
      </c>
      <c r="B201" t="s">
        <v>10</v>
      </c>
      <c r="C201">
        <v>2</v>
      </c>
      <c r="D201">
        <v>11</v>
      </c>
    </row>
    <row r="202" spans="1:4" x14ac:dyDescent="0.35">
      <c r="A202" t="s">
        <v>14</v>
      </c>
      <c r="B202" t="s">
        <v>9</v>
      </c>
      <c r="C202">
        <v>3</v>
      </c>
      <c r="D202">
        <v>3</v>
      </c>
    </row>
    <row r="203" spans="1:4" x14ac:dyDescent="0.35">
      <c r="A203" t="s">
        <v>14</v>
      </c>
      <c r="B203" t="s">
        <v>31</v>
      </c>
      <c r="C203">
        <v>3</v>
      </c>
      <c r="D203">
        <v>6</v>
      </c>
    </row>
    <row r="204" spans="1:4" x14ac:dyDescent="0.35">
      <c r="A204" t="s">
        <v>14</v>
      </c>
      <c r="B204" t="s">
        <v>32</v>
      </c>
      <c r="C204">
        <v>3</v>
      </c>
      <c r="D204">
        <v>17</v>
      </c>
    </row>
    <row r="205" spans="1:4" x14ac:dyDescent="0.35">
      <c r="A205" t="s">
        <v>14</v>
      </c>
      <c r="B205" t="s">
        <v>10</v>
      </c>
      <c r="C205">
        <v>3</v>
      </c>
      <c r="D205">
        <v>6.5</v>
      </c>
    </row>
    <row r="206" spans="1:4" x14ac:dyDescent="0.35">
      <c r="A206" t="s">
        <v>14</v>
      </c>
      <c r="B206" t="s">
        <v>9</v>
      </c>
      <c r="C206">
        <v>4</v>
      </c>
      <c r="D206">
        <v>1.5</v>
      </c>
    </row>
    <row r="207" spans="1:4" x14ac:dyDescent="0.35">
      <c r="A207" t="s">
        <v>14</v>
      </c>
      <c r="B207" t="s">
        <v>31</v>
      </c>
      <c r="C207">
        <v>4</v>
      </c>
      <c r="D207">
        <v>5</v>
      </c>
    </row>
    <row r="208" spans="1:4" x14ac:dyDescent="0.35">
      <c r="A208" t="s">
        <v>14</v>
      </c>
      <c r="B208" t="s">
        <v>32</v>
      </c>
      <c r="C208">
        <v>4</v>
      </c>
      <c r="D208">
        <v>8</v>
      </c>
    </row>
    <row r="209" spans="1:4" x14ac:dyDescent="0.35">
      <c r="A209" t="s">
        <v>14</v>
      </c>
      <c r="B209" t="s">
        <v>10</v>
      </c>
      <c r="C209">
        <v>4</v>
      </c>
      <c r="D209" t="s">
        <v>33</v>
      </c>
    </row>
    <row r="210" spans="1:4" x14ac:dyDescent="0.35">
      <c r="A210" t="s">
        <v>14</v>
      </c>
      <c r="B210" t="s">
        <v>9</v>
      </c>
      <c r="C210">
        <v>5</v>
      </c>
      <c r="D210">
        <v>4.5</v>
      </c>
    </row>
    <row r="211" spans="1:4" x14ac:dyDescent="0.35">
      <c r="A211" t="s">
        <v>14</v>
      </c>
      <c r="B211" t="s">
        <v>31</v>
      </c>
      <c r="C211">
        <v>5</v>
      </c>
      <c r="D211">
        <v>10</v>
      </c>
    </row>
    <row r="212" spans="1:4" x14ac:dyDescent="0.35">
      <c r="A212" t="s">
        <v>14</v>
      </c>
      <c r="B212" t="s">
        <v>32</v>
      </c>
      <c r="C212">
        <v>5</v>
      </c>
      <c r="D212">
        <v>16</v>
      </c>
    </row>
    <row r="213" spans="1:4" x14ac:dyDescent="0.35">
      <c r="A213" t="s">
        <v>14</v>
      </c>
      <c r="B213" t="s">
        <v>10</v>
      </c>
      <c r="C213">
        <v>5</v>
      </c>
      <c r="D213">
        <v>8</v>
      </c>
    </row>
    <row r="214" spans="1:4" x14ac:dyDescent="0.35">
      <c r="A214" t="s">
        <v>14</v>
      </c>
      <c r="B214" t="s">
        <v>9</v>
      </c>
      <c r="C214">
        <v>6</v>
      </c>
      <c r="D214">
        <v>2</v>
      </c>
    </row>
    <row r="215" spans="1:4" x14ac:dyDescent="0.35">
      <c r="A215" t="s">
        <v>14</v>
      </c>
      <c r="B215" t="s">
        <v>31</v>
      </c>
      <c r="C215">
        <v>6</v>
      </c>
      <c r="D215">
        <v>12</v>
      </c>
    </row>
    <row r="216" spans="1:4" x14ac:dyDescent="0.35">
      <c r="A216" t="s">
        <v>14</v>
      </c>
      <c r="B216" t="s">
        <v>32</v>
      </c>
      <c r="C216">
        <v>6</v>
      </c>
      <c r="D216">
        <v>8.5</v>
      </c>
    </row>
    <row r="217" spans="1:4" x14ac:dyDescent="0.35">
      <c r="A217" t="s">
        <v>14</v>
      </c>
      <c r="B217" t="s">
        <v>10</v>
      </c>
      <c r="C217">
        <v>6</v>
      </c>
      <c r="D217">
        <v>0.5</v>
      </c>
    </row>
    <row r="218" spans="1:4" x14ac:dyDescent="0.35">
      <c r="A218" t="s">
        <v>14</v>
      </c>
      <c r="B218" t="s">
        <v>9</v>
      </c>
      <c r="C218">
        <v>7</v>
      </c>
      <c r="D218">
        <v>5</v>
      </c>
    </row>
    <row r="219" spans="1:4" x14ac:dyDescent="0.35">
      <c r="A219" t="s">
        <v>14</v>
      </c>
      <c r="B219" t="s">
        <v>31</v>
      </c>
      <c r="C219">
        <v>7</v>
      </c>
      <c r="D219">
        <v>5.5</v>
      </c>
    </row>
    <row r="220" spans="1:4" x14ac:dyDescent="0.35">
      <c r="A220" t="s">
        <v>14</v>
      </c>
      <c r="B220" t="s">
        <v>32</v>
      </c>
      <c r="C220">
        <v>7</v>
      </c>
      <c r="D220">
        <v>19</v>
      </c>
    </row>
    <row r="221" spans="1:4" x14ac:dyDescent="0.35">
      <c r="A221" t="s">
        <v>14</v>
      </c>
      <c r="B221" t="s">
        <v>10</v>
      </c>
      <c r="C221">
        <v>7</v>
      </c>
      <c r="D221">
        <v>2</v>
      </c>
    </row>
    <row r="222" spans="1:4" x14ac:dyDescent="0.35">
      <c r="A222" t="s">
        <v>14</v>
      </c>
      <c r="B222" t="s">
        <v>9</v>
      </c>
      <c r="C222">
        <v>8</v>
      </c>
      <c r="D222">
        <v>3.5</v>
      </c>
    </row>
    <row r="223" spans="1:4" x14ac:dyDescent="0.35">
      <c r="A223" t="s">
        <v>14</v>
      </c>
      <c r="B223" t="s">
        <v>31</v>
      </c>
      <c r="C223">
        <v>8</v>
      </c>
      <c r="D223">
        <v>6</v>
      </c>
    </row>
    <row r="224" spans="1:4" x14ac:dyDescent="0.35">
      <c r="A224" t="s">
        <v>14</v>
      </c>
      <c r="B224" t="s">
        <v>32</v>
      </c>
      <c r="C224">
        <v>8</v>
      </c>
      <c r="D224">
        <v>19</v>
      </c>
    </row>
    <row r="225" spans="1:4" x14ac:dyDescent="0.35">
      <c r="A225" t="s">
        <v>14</v>
      </c>
      <c r="B225" t="s">
        <v>10</v>
      </c>
      <c r="C225">
        <v>8</v>
      </c>
      <c r="D225" t="s">
        <v>33</v>
      </c>
    </row>
    <row r="226" spans="1:4" x14ac:dyDescent="0.35">
      <c r="A226" t="s">
        <v>14</v>
      </c>
      <c r="B226" t="s">
        <v>9</v>
      </c>
      <c r="C226">
        <v>9</v>
      </c>
      <c r="D226">
        <v>4</v>
      </c>
    </row>
    <row r="227" spans="1:4" x14ac:dyDescent="0.35">
      <c r="A227" t="s">
        <v>14</v>
      </c>
      <c r="B227" t="s">
        <v>31</v>
      </c>
      <c r="C227">
        <v>9</v>
      </c>
      <c r="D227">
        <v>10</v>
      </c>
    </row>
    <row r="228" spans="1:4" x14ac:dyDescent="0.35">
      <c r="A228" t="s">
        <v>14</v>
      </c>
      <c r="B228" t="s">
        <v>32</v>
      </c>
      <c r="C228">
        <v>9</v>
      </c>
      <c r="D228">
        <v>21</v>
      </c>
    </row>
    <row r="229" spans="1:4" x14ac:dyDescent="0.35">
      <c r="A229" t="s">
        <v>14</v>
      </c>
      <c r="B229" t="s">
        <v>10</v>
      </c>
      <c r="C229">
        <v>9</v>
      </c>
      <c r="D229">
        <v>9</v>
      </c>
    </row>
    <row r="230" spans="1:4" x14ac:dyDescent="0.35">
      <c r="A230" t="s">
        <v>14</v>
      </c>
      <c r="B230" t="s">
        <v>9</v>
      </c>
      <c r="C230">
        <v>10</v>
      </c>
      <c r="D230">
        <v>4</v>
      </c>
    </row>
    <row r="231" spans="1:4" x14ac:dyDescent="0.35">
      <c r="A231" t="s">
        <v>14</v>
      </c>
      <c r="B231" t="s">
        <v>31</v>
      </c>
      <c r="C231">
        <v>10</v>
      </c>
      <c r="D231">
        <v>8</v>
      </c>
    </row>
    <row r="232" spans="1:4" x14ac:dyDescent="0.35">
      <c r="A232" t="s">
        <v>14</v>
      </c>
      <c r="B232" t="s">
        <v>32</v>
      </c>
      <c r="C232">
        <v>10</v>
      </c>
      <c r="D232">
        <v>12.5</v>
      </c>
    </row>
    <row r="233" spans="1:4" x14ac:dyDescent="0.35">
      <c r="A233" t="s">
        <v>14</v>
      </c>
      <c r="B233" t="s">
        <v>10</v>
      </c>
      <c r="C233">
        <v>10</v>
      </c>
      <c r="D233">
        <v>5</v>
      </c>
    </row>
    <row r="234" spans="1:4" x14ac:dyDescent="0.35">
      <c r="A234" t="s">
        <v>14</v>
      </c>
      <c r="B234" t="s">
        <v>9</v>
      </c>
      <c r="C234">
        <v>11</v>
      </c>
      <c r="D234">
        <v>2</v>
      </c>
    </row>
    <row r="235" spans="1:4" x14ac:dyDescent="0.35">
      <c r="A235" t="s">
        <v>14</v>
      </c>
      <c r="B235" t="s">
        <v>31</v>
      </c>
      <c r="C235">
        <v>11</v>
      </c>
      <c r="D235">
        <v>5</v>
      </c>
    </row>
    <row r="236" spans="1:4" x14ac:dyDescent="0.35">
      <c r="A236" t="s">
        <v>14</v>
      </c>
      <c r="B236" t="s">
        <v>32</v>
      </c>
      <c r="C236">
        <v>11</v>
      </c>
      <c r="D236">
        <v>19</v>
      </c>
    </row>
    <row r="237" spans="1:4" x14ac:dyDescent="0.35">
      <c r="A237" t="s">
        <v>14</v>
      </c>
      <c r="B237" t="s">
        <v>10</v>
      </c>
      <c r="C237">
        <v>11</v>
      </c>
      <c r="D237">
        <v>8</v>
      </c>
    </row>
    <row r="238" spans="1:4" x14ac:dyDescent="0.35">
      <c r="A238" t="s">
        <v>14</v>
      </c>
      <c r="B238" t="s">
        <v>9</v>
      </c>
      <c r="C238">
        <v>12</v>
      </c>
      <c r="D238">
        <v>3.5</v>
      </c>
    </row>
    <row r="239" spans="1:4" x14ac:dyDescent="0.35">
      <c r="A239" t="s">
        <v>14</v>
      </c>
      <c r="B239" t="s">
        <v>31</v>
      </c>
      <c r="C239">
        <v>12</v>
      </c>
      <c r="D239">
        <v>5</v>
      </c>
    </row>
    <row r="240" spans="1:4" x14ac:dyDescent="0.35">
      <c r="A240" t="s">
        <v>14</v>
      </c>
      <c r="B240" t="s">
        <v>32</v>
      </c>
      <c r="C240">
        <v>12</v>
      </c>
      <c r="D240">
        <v>22</v>
      </c>
    </row>
    <row r="241" spans="1:4" x14ac:dyDescent="0.35">
      <c r="A241" t="s">
        <v>14</v>
      </c>
      <c r="B241" t="s">
        <v>10</v>
      </c>
      <c r="C241">
        <v>12</v>
      </c>
      <c r="D241">
        <v>1</v>
      </c>
    </row>
    <row r="242" spans="1:4" x14ac:dyDescent="0.35">
      <c r="A242" t="s">
        <v>15</v>
      </c>
      <c r="B242" t="s">
        <v>9</v>
      </c>
      <c r="C242">
        <v>1</v>
      </c>
      <c r="D242">
        <v>3</v>
      </c>
    </row>
    <row r="243" spans="1:4" x14ac:dyDescent="0.35">
      <c r="A243" t="s">
        <v>15</v>
      </c>
      <c r="B243" t="s">
        <v>31</v>
      </c>
      <c r="C243">
        <v>1</v>
      </c>
      <c r="D243">
        <v>4</v>
      </c>
    </row>
    <row r="244" spans="1:4" x14ac:dyDescent="0.35">
      <c r="A244" t="s">
        <v>15</v>
      </c>
      <c r="B244" t="s">
        <v>32</v>
      </c>
      <c r="C244">
        <v>1</v>
      </c>
      <c r="D244">
        <v>13</v>
      </c>
    </row>
    <row r="245" spans="1:4" x14ac:dyDescent="0.35">
      <c r="A245" t="s">
        <v>15</v>
      </c>
      <c r="B245" t="s">
        <v>10</v>
      </c>
      <c r="C245">
        <v>1</v>
      </c>
      <c r="D245">
        <v>14</v>
      </c>
    </row>
    <row r="246" spans="1:4" x14ac:dyDescent="0.35">
      <c r="A246" t="s">
        <v>15</v>
      </c>
      <c r="B246" t="s">
        <v>9</v>
      </c>
      <c r="C246">
        <v>2</v>
      </c>
      <c r="D246">
        <v>2</v>
      </c>
    </row>
    <row r="247" spans="1:4" x14ac:dyDescent="0.35">
      <c r="A247" t="s">
        <v>15</v>
      </c>
      <c r="B247" t="s">
        <v>31</v>
      </c>
      <c r="C247">
        <v>2</v>
      </c>
      <c r="D247">
        <v>9</v>
      </c>
    </row>
    <row r="248" spans="1:4" x14ac:dyDescent="0.35">
      <c r="A248" t="s">
        <v>15</v>
      </c>
      <c r="B248" t="s">
        <v>32</v>
      </c>
      <c r="C248">
        <v>2</v>
      </c>
      <c r="D248">
        <v>11.5</v>
      </c>
    </row>
    <row r="249" spans="1:4" x14ac:dyDescent="0.35">
      <c r="A249" t="s">
        <v>15</v>
      </c>
      <c r="B249" t="s">
        <v>10</v>
      </c>
      <c r="C249">
        <v>2</v>
      </c>
      <c r="D249">
        <v>4</v>
      </c>
    </row>
    <row r="250" spans="1:4" x14ac:dyDescent="0.35">
      <c r="A250" t="s">
        <v>15</v>
      </c>
      <c r="B250" t="s">
        <v>9</v>
      </c>
      <c r="C250">
        <v>3</v>
      </c>
      <c r="D250">
        <v>4.5</v>
      </c>
    </row>
    <row r="251" spans="1:4" x14ac:dyDescent="0.35">
      <c r="A251" t="s">
        <v>15</v>
      </c>
      <c r="B251" t="s">
        <v>31</v>
      </c>
      <c r="C251">
        <v>3</v>
      </c>
      <c r="D251">
        <v>6.5</v>
      </c>
    </row>
    <row r="252" spans="1:4" x14ac:dyDescent="0.35">
      <c r="A252" t="s">
        <v>15</v>
      </c>
      <c r="B252" t="s">
        <v>32</v>
      </c>
      <c r="C252">
        <v>3</v>
      </c>
      <c r="D252">
        <v>11.5</v>
      </c>
    </row>
    <row r="253" spans="1:4" x14ac:dyDescent="0.35">
      <c r="A253" t="s">
        <v>15</v>
      </c>
      <c r="B253" t="s">
        <v>10</v>
      </c>
      <c r="C253">
        <v>3</v>
      </c>
      <c r="D253">
        <v>4</v>
      </c>
    </row>
    <row r="254" spans="1:4" x14ac:dyDescent="0.35">
      <c r="A254" t="s">
        <v>15</v>
      </c>
      <c r="B254" t="s">
        <v>9</v>
      </c>
      <c r="C254">
        <v>4</v>
      </c>
      <c r="D254">
        <v>2</v>
      </c>
    </row>
    <row r="255" spans="1:4" x14ac:dyDescent="0.35">
      <c r="A255" t="s">
        <v>15</v>
      </c>
      <c r="B255" t="s">
        <v>31</v>
      </c>
      <c r="C255">
        <v>4</v>
      </c>
      <c r="D255">
        <v>18.5</v>
      </c>
    </row>
    <row r="256" spans="1:4" x14ac:dyDescent="0.35">
      <c r="A256" t="s">
        <v>15</v>
      </c>
      <c r="B256" t="s">
        <v>32</v>
      </c>
      <c r="C256">
        <v>4</v>
      </c>
      <c r="D256">
        <v>5</v>
      </c>
    </row>
    <row r="257" spans="1:4" x14ac:dyDescent="0.35">
      <c r="A257" t="s">
        <v>15</v>
      </c>
      <c r="B257" t="s">
        <v>10</v>
      </c>
      <c r="C257">
        <v>4</v>
      </c>
      <c r="D257">
        <v>1.5</v>
      </c>
    </row>
    <row r="258" spans="1:4" x14ac:dyDescent="0.35">
      <c r="A258" t="s">
        <v>15</v>
      </c>
      <c r="B258" t="s">
        <v>9</v>
      </c>
      <c r="C258">
        <v>5</v>
      </c>
      <c r="D258">
        <v>1</v>
      </c>
    </row>
    <row r="259" spans="1:4" x14ac:dyDescent="0.35">
      <c r="A259" t="s">
        <v>15</v>
      </c>
      <c r="B259" t="s">
        <v>31</v>
      </c>
      <c r="C259">
        <v>5</v>
      </c>
      <c r="D259">
        <v>5.5</v>
      </c>
    </row>
    <row r="260" spans="1:4" x14ac:dyDescent="0.35">
      <c r="A260" t="s">
        <v>15</v>
      </c>
      <c r="B260" t="s">
        <v>32</v>
      </c>
      <c r="C260">
        <v>5</v>
      </c>
      <c r="D260">
        <v>16</v>
      </c>
    </row>
    <row r="261" spans="1:4" x14ac:dyDescent="0.35">
      <c r="A261" t="s">
        <v>15</v>
      </c>
      <c r="B261" t="s">
        <v>10</v>
      </c>
      <c r="C261">
        <v>5</v>
      </c>
      <c r="D261" t="s">
        <v>33</v>
      </c>
    </row>
    <row r="262" spans="1:4" x14ac:dyDescent="0.35">
      <c r="A262" t="s">
        <v>15</v>
      </c>
      <c r="B262" t="s">
        <v>9</v>
      </c>
      <c r="C262">
        <v>6</v>
      </c>
      <c r="D262">
        <v>3</v>
      </c>
    </row>
    <row r="263" spans="1:4" x14ac:dyDescent="0.35">
      <c r="A263" t="s">
        <v>15</v>
      </c>
      <c r="B263" t="s">
        <v>31</v>
      </c>
      <c r="C263">
        <v>6</v>
      </c>
      <c r="D263">
        <v>9.5</v>
      </c>
    </row>
    <row r="264" spans="1:4" x14ac:dyDescent="0.35">
      <c r="A264" t="s">
        <v>15</v>
      </c>
      <c r="B264" t="s">
        <v>32</v>
      </c>
      <c r="C264">
        <v>6</v>
      </c>
      <c r="D264">
        <v>8</v>
      </c>
    </row>
    <row r="265" spans="1:4" x14ac:dyDescent="0.35">
      <c r="A265" t="s">
        <v>15</v>
      </c>
      <c r="B265" t="s">
        <v>10</v>
      </c>
      <c r="C265">
        <v>6</v>
      </c>
      <c r="D265">
        <v>3</v>
      </c>
    </row>
    <row r="266" spans="1:4" x14ac:dyDescent="0.35">
      <c r="A266" t="s">
        <v>15</v>
      </c>
      <c r="B266" t="s">
        <v>9</v>
      </c>
      <c r="C266">
        <v>7</v>
      </c>
      <c r="D266">
        <v>2.5</v>
      </c>
    </row>
    <row r="267" spans="1:4" x14ac:dyDescent="0.35">
      <c r="A267" t="s">
        <v>15</v>
      </c>
      <c r="B267" t="s">
        <v>31</v>
      </c>
      <c r="C267">
        <v>7</v>
      </c>
      <c r="D267">
        <v>5.5</v>
      </c>
    </row>
    <row r="268" spans="1:4" x14ac:dyDescent="0.35">
      <c r="A268" t="s">
        <v>15</v>
      </c>
      <c r="B268" t="s">
        <v>32</v>
      </c>
      <c r="C268">
        <v>7</v>
      </c>
      <c r="D268">
        <v>17</v>
      </c>
    </row>
    <row r="269" spans="1:4" x14ac:dyDescent="0.35">
      <c r="A269" t="s">
        <v>15</v>
      </c>
      <c r="B269" t="s">
        <v>10</v>
      </c>
      <c r="C269">
        <v>7</v>
      </c>
      <c r="D269">
        <v>20.5</v>
      </c>
    </row>
    <row r="270" spans="1:4" x14ac:dyDescent="0.35">
      <c r="A270" t="s">
        <v>15</v>
      </c>
      <c r="B270" t="s">
        <v>9</v>
      </c>
      <c r="C270">
        <v>8</v>
      </c>
      <c r="D270">
        <v>5.5</v>
      </c>
    </row>
    <row r="271" spans="1:4" x14ac:dyDescent="0.35">
      <c r="A271" t="s">
        <v>15</v>
      </c>
      <c r="B271" t="s">
        <v>31</v>
      </c>
      <c r="C271">
        <v>8</v>
      </c>
      <c r="D271">
        <v>6</v>
      </c>
    </row>
    <row r="272" spans="1:4" x14ac:dyDescent="0.35">
      <c r="A272" t="s">
        <v>15</v>
      </c>
      <c r="B272" t="s">
        <v>32</v>
      </c>
      <c r="C272">
        <v>8</v>
      </c>
      <c r="D272">
        <v>9.5</v>
      </c>
    </row>
    <row r="273" spans="1:4" x14ac:dyDescent="0.35">
      <c r="A273" t="s">
        <v>15</v>
      </c>
      <c r="B273" t="s">
        <v>10</v>
      </c>
      <c r="C273">
        <v>8</v>
      </c>
      <c r="D273">
        <v>13.5</v>
      </c>
    </row>
    <row r="274" spans="1:4" x14ac:dyDescent="0.35">
      <c r="A274" t="s">
        <v>15</v>
      </c>
      <c r="B274" t="s">
        <v>9</v>
      </c>
      <c r="C274">
        <v>9</v>
      </c>
      <c r="D274">
        <v>4.5</v>
      </c>
    </row>
    <row r="275" spans="1:4" x14ac:dyDescent="0.35">
      <c r="A275" t="s">
        <v>15</v>
      </c>
      <c r="B275" t="s">
        <v>31</v>
      </c>
      <c r="C275">
        <v>9</v>
      </c>
      <c r="D275">
        <v>8</v>
      </c>
    </row>
    <row r="276" spans="1:4" x14ac:dyDescent="0.35">
      <c r="A276" t="s">
        <v>15</v>
      </c>
      <c r="B276" t="s">
        <v>32</v>
      </c>
      <c r="C276">
        <v>9</v>
      </c>
      <c r="D276">
        <f>0.5+4+11.5</f>
        <v>16</v>
      </c>
    </row>
    <row r="277" spans="1:4" x14ac:dyDescent="0.35">
      <c r="A277" t="s">
        <v>15</v>
      </c>
      <c r="B277" t="s">
        <v>10</v>
      </c>
      <c r="C277">
        <v>9</v>
      </c>
      <c r="D277">
        <v>8</v>
      </c>
    </row>
    <row r="278" spans="1:4" x14ac:dyDescent="0.35">
      <c r="A278" t="s">
        <v>15</v>
      </c>
      <c r="B278" t="s">
        <v>9</v>
      </c>
      <c r="C278">
        <v>10</v>
      </c>
      <c r="D278">
        <v>2</v>
      </c>
    </row>
    <row r="279" spans="1:4" x14ac:dyDescent="0.35">
      <c r="A279" t="s">
        <v>15</v>
      </c>
      <c r="B279" t="s">
        <v>31</v>
      </c>
      <c r="C279">
        <v>10</v>
      </c>
      <c r="D279">
        <v>8</v>
      </c>
    </row>
    <row r="280" spans="1:4" x14ac:dyDescent="0.35">
      <c r="A280" t="s">
        <v>15</v>
      </c>
      <c r="B280" t="s">
        <v>32</v>
      </c>
      <c r="C280">
        <v>10</v>
      </c>
      <c r="D280">
        <v>8.5</v>
      </c>
    </row>
    <row r="281" spans="1:4" x14ac:dyDescent="0.35">
      <c r="A281" t="s">
        <v>15</v>
      </c>
      <c r="B281" t="s">
        <v>10</v>
      </c>
      <c r="C281">
        <v>10</v>
      </c>
      <c r="D281">
        <v>20</v>
      </c>
    </row>
    <row r="282" spans="1:4" x14ac:dyDescent="0.35">
      <c r="A282" t="s">
        <v>15</v>
      </c>
      <c r="B282" t="s">
        <v>9</v>
      </c>
      <c r="C282">
        <v>11</v>
      </c>
      <c r="D282">
        <v>2</v>
      </c>
    </row>
    <row r="283" spans="1:4" x14ac:dyDescent="0.35">
      <c r="A283" t="s">
        <v>15</v>
      </c>
      <c r="B283" t="s">
        <v>31</v>
      </c>
      <c r="C283">
        <v>11</v>
      </c>
      <c r="D283">
        <f>9.5+4+4.5</f>
        <v>18</v>
      </c>
    </row>
    <row r="284" spans="1:4" x14ac:dyDescent="0.35">
      <c r="A284" t="s">
        <v>15</v>
      </c>
      <c r="B284" t="s">
        <v>32</v>
      </c>
      <c r="C284">
        <v>11</v>
      </c>
      <c r="D284">
        <v>13</v>
      </c>
    </row>
    <row r="285" spans="1:4" x14ac:dyDescent="0.35">
      <c r="A285" t="s">
        <v>15</v>
      </c>
      <c r="B285" t="s">
        <v>10</v>
      </c>
      <c r="C285">
        <v>11</v>
      </c>
      <c r="D285">
        <v>8</v>
      </c>
    </row>
    <row r="286" spans="1:4" x14ac:dyDescent="0.35">
      <c r="A286" t="s">
        <v>15</v>
      </c>
      <c r="B286" t="s">
        <v>9</v>
      </c>
      <c r="C286">
        <v>12</v>
      </c>
      <c r="D286">
        <v>1</v>
      </c>
    </row>
    <row r="287" spans="1:4" x14ac:dyDescent="0.35">
      <c r="A287" t="s">
        <v>15</v>
      </c>
      <c r="B287" t="s">
        <v>31</v>
      </c>
      <c r="C287">
        <v>12</v>
      </c>
      <c r="D287">
        <v>4.5</v>
      </c>
    </row>
    <row r="288" spans="1:4" x14ac:dyDescent="0.35">
      <c r="A288" t="s">
        <v>15</v>
      </c>
      <c r="B288" t="s">
        <v>32</v>
      </c>
      <c r="C288">
        <v>12</v>
      </c>
      <c r="D288">
        <v>8</v>
      </c>
    </row>
    <row r="289" spans="1:4" x14ac:dyDescent="0.35">
      <c r="A289" t="s">
        <v>15</v>
      </c>
      <c r="B289" t="s">
        <v>10</v>
      </c>
      <c r="C289">
        <v>12</v>
      </c>
      <c r="D289">
        <v>1.5</v>
      </c>
    </row>
    <row r="290" spans="1:4" x14ac:dyDescent="0.35">
      <c r="A290" t="s">
        <v>16</v>
      </c>
      <c r="B290" t="s">
        <v>9</v>
      </c>
      <c r="C290">
        <v>1</v>
      </c>
      <c r="D290">
        <v>3.5</v>
      </c>
    </row>
    <row r="291" spans="1:4" x14ac:dyDescent="0.35">
      <c r="A291" t="s">
        <v>16</v>
      </c>
      <c r="B291" t="s">
        <v>31</v>
      </c>
      <c r="C291">
        <v>1</v>
      </c>
      <c r="D291">
        <v>6</v>
      </c>
    </row>
    <row r="292" spans="1:4" x14ac:dyDescent="0.35">
      <c r="A292" t="s">
        <v>16</v>
      </c>
      <c r="B292" t="s">
        <v>32</v>
      </c>
      <c r="C292">
        <v>1</v>
      </c>
      <c r="D292">
        <f>5.5+4+17.5</f>
        <v>27</v>
      </c>
    </row>
    <row r="293" spans="1:4" x14ac:dyDescent="0.35">
      <c r="A293" t="s">
        <v>16</v>
      </c>
      <c r="B293" t="s">
        <v>10</v>
      </c>
      <c r="C293">
        <v>1</v>
      </c>
      <c r="D293">
        <v>7.5</v>
      </c>
    </row>
    <row r="294" spans="1:4" x14ac:dyDescent="0.35">
      <c r="A294" t="s">
        <v>16</v>
      </c>
      <c r="B294" t="s">
        <v>9</v>
      </c>
      <c r="C294">
        <v>2</v>
      </c>
      <c r="D294">
        <v>4</v>
      </c>
    </row>
    <row r="295" spans="1:4" x14ac:dyDescent="0.35">
      <c r="A295" t="s">
        <v>16</v>
      </c>
      <c r="B295" t="s">
        <v>31</v>
      </c>
      <c r="C295">
        <v>2</v>
      </c>
      <c r="D295">
        <v>7.5</v>
      </c>
    </row>
    <row r="296" spans="1:4" x14ac:dyDescent="0.35">
      <c r="A296" t="s">
        <v>16</v>
      </c>
      <c r="B296" t="s">
        <v>32</v>
      </c>
      <c r="C296">
        <v>2</v>
      </c>
      <c r="D296">
        <v>17.5</v>
      </c>
    </row>
    <row r="297" spans="1:4" x14ac:dyDescent="0.35">
      <c r="A297" t="s">
        <v>16</v>
      </c>
      <c r="B297" t="s">
        <v>10</v>
      </c>
      <c r="C297">
        <v>2</v>
      </c>
      <c r="D297">
        <v>3.5</v>
      </c>
    </row>
    <row r="298" spans="1:4" x14ac:dyDescent="0.35">
      <c r="A298" t="s">
        <v>16</v>
      </c>
      <c r="B298" t="s">
        <v>9</v>
      </c>
      <c r="C298">
        <v>3</v>
      </c>
      <c r="D298">
        <v>3.5</v>
      </c>
    </row>
    <row r="299" spans="1:4" x14ac:dyDescent="0.35">
      <c r="A299" t="s">
        <v>16</v>
      </c>
      <c r="B299" t="s">
        <v>31</v>
      </c>
      <c r="C299">
        <v>3</v>
      </c>
      <c r="D299">
        <v>12.5</v>
      </c>
    </row>
    <row r="300" spans="1:4" x14ac:dyDescent="0.35">
      <c r="A300" t="s">
        <v>16</v>
      </c>
      <c r="B300" t="s">
        <v>32</v>
      </c>
      <c r="C300">
        <v>3</v>
      </c>
      <c r="D300">
        <v>18</v>
      </c>
    </row>
    <row r="301" spans="1:4" x14ac:dyDescent="0.35">
      <c r="A301" t="s">
        <v>16</v>
      </c>
      <c r="B301" t="s">
        <v>10</v>
      </c>
      <c r="C301">
        <v>3</v>
      </c>
      <c r="D301">
        <v>6.5</v>
      </c>
    </row>
    <row r="302" spans="1:4" x14ac:dyDescent="0.35">
      <c r="A302" t="s">
        <v>16</v>
      </c>
      <c r="B302" t="s">
        <v>9</v>
      </c>
      <c r="C302">
        <v>4</v>
      </c>
      <c r="D302">
        <v>4</v>
      </c>
    </row>
    <row r="303" spans="1:4" x14ac:dyDescent="0.35">
      <c r="A303" t="s">
        <v>16</v>
      </c>
      <c r="B303" t="s">
        <v>31</v>
      </c>
      <c r="C303">
        <v>4</v>
      </c>
      <c r="D303">
        <v>8</v>
      </c>
    </row>
    <row r="304" spans="1:4" x14ac:dyDescent="0.35">
      <c r="A304" t="s">
        <v>16</v>
      </c>
      <c r="B304" t="s">
        <v>32</v>
      </c>
      <c r="C304">
        <v>4</v>
      </c>
      <c r="D304">
        <f>9.5+11.5</f>
        <v>21</v>
      </c>
    </row>
    <row r="305" spans="1:4" x14ac:dyDescent="0.35">
      <c r="A305" t="s">
        <v>16</v>
      </c>
      <c r="B305" t="s">
        <v>10</v>
      </c>
      <c r="C305">
        <v>4</v>
      </c>
      <c r="D305">
        <v>8.5</v>
      </c>
    </row>
    <row r="306" spans="1:4" x14ac:dyDescent="0.35">
      <c r="A306" t="s">
        <v>16</v>
      </c>
      <c r="B306" t="s">
        <v>9</v>
      </c>
      <c r="C306">
        <v>5</v>
      </c>
      <c r="D306">
        <v>4</v>
      </c>
    </row>
    <row r="307" spans="1:4" x14ac:dyDescent="0.35">
      <c r="A307" t="s">
        <v>16</v>
      </c>
      <c r="B307" t="s">
        <v>31</v>
      </c>
      <c r="C307">
        <v>5</v>
      </c>
      <c r="D307">
        <v>5</v>
      </c>
    </row>
    <row r="308" spans="1:4" x14ac:dyDescent="0.35">
      <c r="A308" t="s">
        <v>16</v>
      </c>
      <c r="B308" t="s">
        <v>32</v>
      </c>
      <c r="C308">
        <v>5</v>
      </c>
      <c r="D308">
        <v>19</v>
      </c>
    </row>
    <row r="309" spans="1:4" x14ac:dyDescent="0.35">
      <c r="A309" t="s">
        <v>16</v>
      </c>
      <c r="B309" t="s">
        <v>10</v>
      </c>
      <c r="C309">
        <v>5</v>
      </c>
      <c r="D309">
        <v>10.5</v>
      </c>
    </row>
    <row r="310" spans="1:4" x14ac:dyDescent="0.35">
      <c r="A310" t="s">
        <v>16</v>
      </c>
      <c r="B310" t="s">
        <v>9</v>
      </c>
      <c r="C310">
        <v>6</v>
      </c>
      <c r="D310">
        <v>3</v>
      </c>
    </row>
    <row r="311" spans="1:4" x14ac:dyDescent="0.35">
      <c r="A311" t="s">
        <v>16</v>
      </c>
      <c r="B311" t="s">
        <v>31</v>
      </c>
      <c r="C311">
        <v>6</v>
      </c>
      <c r="D311">
        <v>6.5</v>
      </c>
    </row>
    <row r="312" spans="1:4" x14ac:dyDescent="0.35">
      <c r="A312" t="s">
        <v>16</v>
      </c>
      <c r="B312" t="s">
        <v>32</v>
      </c>
      <c r="C312">
        <v>6</v>
      </c>
      <c r="D312">
        <f>5.5+12.5</f>
        <v>18</v>
      </c>
    </row>
    <row r="313" spans="1:4" x14ac:dyDescent="0.35">
      <c r="A313" t="s">
        <v>16</v>
      </c>
      <c r="B313" t="s">
        <v>10</v>
      </c>
      <c r="C313">
        <v>6</v>
      </c>
      <c r="D313">
        <v>2.5</v>
      </c>
    </row>
    <row r="314" spans="1:4" x14ac:dyDescent="0.35">
      <c r="A314" t="s">
        <v>16</v>
      </c>
      <c r="B314" t="s">
        <v>9</v>
      </c>
      <c r="C314">
        <v>7</v>
      </c>
      <c r="D314">
        <v>5.5</v>
      </c>
    </row>
    <row r="315" spans="1:4" x14ac:dyDescent="0.35">
      <c r="A315" t="s">
        <v>16</v>
      </c>
      <c r="B315" t="s">
        <v>31</v>
      </c>
      <c r="C315">
        <v>7</v>
      </c>
      <c r="D315">
        <v>5</v>
      </c>
    </row>
    <row r="316" spans="1:4" x14ac:dyDescent="0.35">
      <c r="A316" t="s">
        <v>16</v>
      </c>
      <c r="B316" t="s">
        <v>32</v>
      </c>
      <c r="C316">
        <v>7</v>
      </c>
      <c r="D316">
        <v>6</v>
      </c>
    </row>
    <row r="317" spans="1:4" x14ac:dyDescent="0.35">
      <c r="A317" t="s">
        <v>16</v>
      </c>
      <c r="B317" t="s">
        <v>10</v>
      </c>
      <c r="C317">
        <v>7</v>
      </c>
      <c r="D317">
        <v>14</v>
      </c>
    </row>
    <row r="318" spans="1:4" x14ac:dyDescent="0.35">
      <c r="A318" t="s">
        <v>16</v>
      </c>
      <c r="B318" t="s">
        <v>9</v>
      </c>
      <c r="C318">
        <v>8</v>
      </c>
      <c r="D318">
        <v>3.5</v>
      </c>
    </row>
    <row r="319" spans="1:4" x14ac:dyDescent="0.35">
      <c r="A319" t="s">
        <v>16</v>
      </c>
      <c r="B319" t="s">
        <v>31</v>
      </c>
      <c r="C319">
        <v>8</v>
      </c>
      <c r="D319">
        <v>12</v>
      </c>
    </row>
    <row r="320" spans="1:4" x14ac:dyDescent="0.35">
      <c r="A320" t="s">
        <v>16</v>
      </c>
      <c r="B320" t="s">
        <v>32</v>
      </c>
      <c r="C320">
        <v>8</v>
      </c>
      <c r="D320">
        <v>7.5</v>
      </c>
    </row>
    <row r="321" spans="1:4" x14ac:dyDescent="0.35">
      <c r="A321" t="s">
        <v>16</v>
      </c>
      <c r="B321" t="s">
        <v>10</v>
      </c>
      <c r="C321">
        <v>8</v>
      </c>
      <c r="D321">
        <v>11.5</v>
      </c>
    </row>
    <row r="322" spans="1:4" x14ac:dyDescent="0.35">
      <c r="A322" t="s">
        <v>16</v>
      </c>
      <c r="B322" t="s">
        <v>9</v>
      </c>
      <c r="C322">
        <v>9</v>
      </c>
      <c r="D322">
        <v>3</v>
      </c>
    </row>
    <row r="323" spans="1:4" x14ac:dyDescent="0.35">
      <c r="A323" t="s">
        <v>16</v>
      </c>
      <c r="B323" t="s">
        <v>31</v>
      </c>
      <c r="C323">
        <v>9</v>
      </c>
      <c r="D323">
        <v>11.5</v>
      </c>
    </row>
    <row r="324" spans="1:4" x14ac:dyDescent="0.35">
      <c r="A324" t="s">
        <v>16</v>
      </c>
      <c r="B324" t="s">
        <v>32</v>
      </c>
      <c r="C324">
        <v>9</v>
      </c>
      <c r="D324">
        <v>8</v>
      </c>
    </row>
    <row r="325" spans="1:4" x14ac:dyDescent="0.35">
      <c r="A325" t="s">
        <v>16</v>
      </c>
      <c r="B325" t="s">
        <v>10</v>
      </c>
      <c r="C325">
        <v>9</v>
      </c>
      <c r="D325">
        <v>4.5</v>
      </c>
    </row>
    <row r="326" spans="1:4" x14ac:dyDescent="0.35">
      <c r="A326" t="s">
        <v>16</v>
      </c>
      <c r="B326" t="s">
        <v>9</v>
      </c>
      <c r="C326">
        <v>10</v>
      </c>
      <c r="D326">
        <v>2.5</v>
      </c>
    </row>
    <row r="327" spans="1:4" x14ac:dyDescent="0.35">
      <c r="A327" t="s">
        <v>16</v>
      </c>
      <c r="B327" t="s">
        <v>31</v>
      </c>
      <c r="C327">
        <v>10</v>
      </c>
      <c r="D327">
        <v>4</v>
      </c>
    </row>
    <row r="328" spans="1:4" x14ac:dyDescent="0.35">
      <c r="A328" t="s">
        <v>16</v>
      </c>
      <c r="B328" t="s">
        <v>32</v>
      </c>
      <c r="C328">
        <v>10</v>
      </c>
      <c r="D328">
        <v>15</v>
      </c>
    </row>
    <row r="329" spans="1:4" x14ac:dyDescent="0.35">
      <c r="A329" t="s">
        <v>16</v>
      </c>
      <c r="B329" t="s">
        <v>10</v>
      </c>
      <c r="C329">
        <v>10</v>
      </c>
      <c r="D329">
        <v>5.5</v>
      </c>
    </row>
    <row r="330" spans="1:4" x14ac:dyDescent="0.35">
      <c r="A330" t="s">
        <v>16</v>
      </c>
      <c r="B330" t="s">
        <v>9</v>
      </c>
      <c r="C330">
        <v>11</v>
      </c>
      <c r="D330">
        <v>3</v>
      </c>
    </row>
    <row r="331" spans="1:4" x14ac:dyDescent="0.35">
      <c r="A331" t="s">
        <v>16</v>
      </c>
      <c r="B331" t="s">
        <v>31</v>
      </c>
      <c r="C331">
        <v>11</v>
      </c>
      <c r="D331">
        <v>11</v>
      </c>
    </row>
    <row r="332" spans="1:4" x14ac:dyDescent="0.35">
      <c r="A332" t="s">
        <v>16</v>
      </c>
      <c r="B332" t="s">
        <v>32</v>
      </c>
      <c r="C332">
        <v>11</v>
      </c>
      <c r="D332">
        <v>10</v>
      </c>
    </row>
    <row r="333" spans="1:4" x14ac:dyDescent="0.35">
      <c r="A333" t="s">
        <v>16</v>
      </c>
      <c r="B333" t="s">
        <v>10</v>
      </c>
      <c r="C333">
        <v>11</v>
      </c>
      <c r="D333">
        <v>12.5</v>
      </c>
    </row>
    <row r="334" spans="1:4" x14ac:dyDescent="0.35">
      <c r="A334" t="s">
        <v>16</v>
      </c>
      <c r="B334" t="s">
        <v>9</v>
      </c>
      <c r="C334">
        <v>12</v>
      </c>
      <c r="D334">
        <v>2.5</v>
      </c>
    </row>
    <row r="335" spans="1:4" x14ac:dyDescent="0.35">
      <c r="A335" t="s">
        <v>16</v>
      </c>
      <c r="B335" t="s">
        <v>31</v>
      </c>
      <c r="C335">
        <v>12</v>
      </c>
      <c r="D335">
        <v>8.5</v>
      </c>
    </row>
    <row r="336" spans="1:4" x14ac:dyDescent="0.35">
      <c r="A336" t="s">
        <v>16</v>
      </c>
      <c r="B336" t="s">
        <v>32</v>
      </c>
      <c r="C336">
        <v>12</v>
      </c>
      <c r="D336">
        <v>10</v>
      </c>
    </row>
    <row r="337" spans="1:4" x14ac:dyDescent="0.35">
      <c r="A337" t="s">
        <v>16</v>
      </c>
      <c r="B337" t="s">
        <v>10</v>
      </c>
      <c r="C337">
        <v>12</v>
      </c>
      <c r="D337">
        <v>9.5</v>
      </c>
    </row>
    <row r="338" spans="1:4" x14ac:dyDescent="0.35">
      <c r="A338" t="s">
        <v>17</v>
      </c>
      <c r="B338" t="s">
        <v>9</v>
      </c>
      <c r="C338">
        <v>1</v>
      </c>
      <c r="D338">
        <v>2.5</v>
      </c>
    </row>
    <row r="339" spans="1:4" x14ac:dyDescent="0.35">
      <c r="A339" t="s">
        <v>17</v>
      </c>
      <c r="B339" t="s">
        <v>31</v>
      </c>
      <c r="C339">
        <v>1</v>
      </c>
      <c r="D339">
        <v>5.5</v>
      </c>
    </row>
    <row r="340" spans="1:4" x14ac:dyDescent="0.35">
      <c r="A340" t="s">
        <v>17</v>
      </c>
      <c r="B340" t="s">
        <v>32</v>
      </c>
      <c r="C340">
        <v>1</v>
      </c>
      <c r="D340">
        <v>15</v>
      </c>
    </row>
    <row r="341" spans="1:4" x14ac:dyDescent="0.35">
      <c r="A341" t="s">
        <v>17</v>
      </c>
      <c r="B341" t="s">
        <v>10</v>
      </c>
      <c r="C341">
        <v>1</v>
      </c>
      <c r="D341" t="s">
        <v>33</v>
      </c>
    </row>
    <row r="342" spans="1:4" x14ac:dyDescent="0.35">
      <c r="A342" t="s">
        <v>17</v>
      </c>
      <c r="B342" t="s">
        <v>9</v>
      </c>
      <c r="C342">
        <v>2</v>
      </c>
      <c r="D342">
        <v>5</v>
      </c>
    </row>
    <row r="343" spans="1:4" x14ac:dyDescent="0.35">
      <c r="A343" t="s">
        <v>17</v>
      </c>
      <c r="B343" t="s">
        <v>31</v>
      </c>
      <c r="C343">
        <v>2</v>
      </c>
      <c r="D343">
        <f>6+8.5</f>
        <v>14.5</v>
      </c>
    </row>
    <row r="344" spans="1:4" x14ac:dyDescent="0.35">
      <c r="A344" t="s">
        <v>17</v>
      </c>
      <c r="B344" t="s">
        <v>32</v>
      </c>
      <c r="C344">
        <v>2</v>
      </c>
      <c r="D344">
        <v>7</v>
      </c>
    </row>
    <row r="345" spans="1:4" x14ac:dyDescent="0.35">
      <c r="A345" t="s">
        <v>17</v>
      </c>
      <c r="B345" t="s">
        <v>10</v>
      </c>
      <c r="C345">
        <v>2</v>
      </c>
      <c r="D345" t="s">
        <v>33</v>
      </c>
    </row>
    <row r="346" spans="1:4" x14ac:dyDescent="0.35">
      <c r="A346" t="s">
        <v>17</v>
      </c>
      <c r="B346" t="s">
        <v>9</v>
      </c>
      <c r="C346">
        <v>3</v>
      </c>
      <c r="D346">
        <v>2</v>
      </c>
    </row>
    <row r="347" spans="1:4" x14ac:dyDescent="0.35">
      <c r="A347" t="s">
        <v>17</v>
      </c>
      <c r="B347" t="s">
        <v>31</v>
      </c>
      <c r="C347">
        <v>3</v>
      </c>
      <c r="D347">
        <f>7.5+4+25</f>
        <v>36.5</v>
      </c>
    </row>
    <row r="348" spans="1:4" x14ac:dyDescent="0.35">
      <c r="A348" t="s">
        <v>17</v>
      </c>
      <c r="B348" t="s">
        <v>32</v>
      </c>
      <c r="C348">
        <v>3</v>
      </c>
      <c r="D348">
        <v>14</v>
      </c>
    </row>
    <row r="349" spans="1:4" x14ac:dyDescent="0.35">
      <c r="A349" t="s">
        <v>17</v>
      </c>
      <c r="B349" t="s">
        <v>10</v>
      </c>
      <c r="C349">
        <v>3</v>
      </c>
      <c r="D349" t="s">
        <v>33</v>
      </c>
    </row>
    <row r="350" spans="1:4" x14ac:dyDescent="0.35">
      <c r="A350" t="s">
        <v>17</v>
      </c>
      <c r="B350" t="s">
        <v>9</v>
      </c>
      <c r="C350">
        <v>4</v>
      </c>
      <c r="D350">
        <v>2.5</v>
      </c>
    </row>
    <row r="351" spans="1:4" x14ac:dyDescent="0.35">
      <c r="A351" t="s">
        <v>17</v>
      </c>
      <c r="B351" t="s">
        <v>31</v>
      </c>
      <c r="C351">
        <v>4</v>
      </c>
      <c r="D351">
        <v>3.5</v>
      </c>
    </row>
    <row r="352" spans="1:4" x14ac:dyDescent="0.35">
      <c r="A352" t="s">
        <v>17</v>
      </c>
      <c r="B352" t="s">
        <v>32</v>
      </c>
      <c r="C352">
        <v>4</v>
      </c>
      <c r="D352">
        <f>4+7.5</f>
        <v>11.5</v>
      </c>
    </row>
    <row r="353" spans="1:4" x14ac:dyDescent="0.35">
      <c r="A353" t="s">
        <v>17</v>
      </c>
      <c r="B353" t="s">
        <v>10</v>
      </c>
      <c r="C353">
        <v>4</v>
      </c>
      <c r="D353">
        <v>2</v>
      </c>
    </row>
    <row r="354" spans="1:4" x14ac:dyDescent="0.35">
      <c r="A354" t="s">
        <v>17</v>
      </c>
      <c r="B354" t="s">
        <v>9</v>
      </c>
      <c r="C354">
        <v>5</v>
      </c>
      <c r="D354">
        <v>4.5</v>
      </c>
    </row>
    <row r="355" spans="1:4" x14ac:dyDescent="0.35">
      <c r="A355" t="s">
        <v>17</v>
      </c>
      <c r="B355" t="s">
        <v>31</v>
      </c>
      <c r="C355">
        <v>5</v>
      </c>
      <c r="D355">
        <v>11</v>
      </c>
    </row>
    <row r="356" spans="1:4" x14ac:dyDescent="0.35">
      <c r="A356" t="s">
        <v>17</v>
      </c>
      <c r="B356" t="s">
        <v>32</v>
      </c>
      <c r="C356">
        <v>5</v>
      </c>
      <c r="D356">
        <v>3.5</v>
      </c>
    </row>
    <row r="357" spans="1:4" x14ac:dyDescent="0.35">
      <c r="A357" t="s">
        <v>17</v>
      </c>
      <c r="B357" t="s">
        <v>10</v>
      </c>
      <c r="C357">
        <v>5</v>
      </c>
      <c r="D357" t="s">
        <v>33</v>
      </c>
    </row>
    <row r="358" spans="1:4" x14ac:dyDescent="0.35">
      <c r="A358" t="s">
        <v>17</v>
      </c>
      <c r="B358" t="s">
        <v>9</v>
      </c>
      <c r="C358">
        <v>6</v>
      </c>
      <c r="D358">
        <v>4.5</v>
      </c>
    </row>
    <row r="359" spans="1:4" x14ac:dyDescent="0.35">
      <c r="A359" t="s">
        <v>17</v>
      </c>
      <c r="B359" t="s">
        <v>31</v>
      </c>
      <c r="C359">
        <v>6</v>
      </c>
      <c r="D359">
        <v>5.5</v>
      </c>
    </row>
    <row r="360" spans="1:4" x14ac:dyDescent="0.35">
      <c r="A360" t="s">
        <v>17</v>
      </c>
      <c r="B360" t="s">
        <v>32</v>
      </c>
      <c r="C360">
        <v>6</v>
      </c>
      <c r="D360">
        <v>17.5</v>
      </c>
    </row>
    <row r="361" spans="1:4" x14ac:dyDescent="0.35">
      <c r="A361" t="s">
        <v>17</v>
      </c>
      <c r="B361" t="s">
        <v>10</v>
      </c>
      <c r="C361">
        <v>6</v>
      </c>
      <c r="D361" t="s">
        <v>33</v>
      </c>
    </row>
    <row r="362" spans="1:4" x14ac:dyDescent="0.35">
      <c r="A362" t="s">
        <v>17</v>
      </c>
      <c r="B362" t="s">
        <v>9</v>
      </c>
      <c r="C362">
        <v>7</v>
      </c>
      <c r="D362">
        <v>4</v>
      </c>
    </row>
    <row r="363" spans="1:4" x14ac:dyDescent="0.35">
      <c r="A363" t="s">
        <v>17</v>
      </c>
      <c r="B363" t="s">
        <v>31</v>
      </c>
      <c r="C363">
        <v>7</v>
      </c>
      <c r="D363">
        <v>17.5</v>
      </c>
    </row>
    <row r="364" spans="1:4" x14ac:dyDescent="0.35">
      <c r="A364" t="s">
        <v>17</v>
      </c>
      <c r="B364" t="s">
        <v>32</v>
      </c>
      <c r="C364">
        <v>7</v>
      </c>
      <c r="D364">
        <v>8</v>
      </c>
    </row>
    <row r="365" spans="1:4" x14ac:dyDescent="0.35">
      <c r="A365" t="s">
        <v>17</v>
      </c>
      <c r="B365" t="s">
        <v>10</v>
      </c>
      <c r="C365">
        <v>7</v>
      </c>
      <c r="D365" t="s">
        <v>33</v>
      </c>
    </row>
    <row r="366" spans="1:4" x14ac:dyDescent="0.35">
      <c r="A366" t="s">
        <v>17</v>
      </c>
      <c r="B366" t="s">
        <v>9</v>
      </c>
      <c r="C366">
        <v>8</v>
      </c>
      <c r="D366">
        <v>4.5</v>
      </c>
    </row>
    <row r="367" spans="1:4" x14ac:dyDescent="0.35">
      <c r="A367" t="s">
        <v>17</v>
      </c>
      <c r="B367" t="s">
        <v>31</v>
      </c>
      <c r="C367">
        <v>8</v>
      </c>
      <c r="D367">
        <v>6</v>
      </c>
    </row>
    <row r="368" spans="1:4" x14ac:dyDescent="0.35">
      <c r="A368" t="s">
        <v>17</v>
      </c>
      <c r="B368" t="s">
        <v>32</v>
      </c>
      <c r="C368">
        <v>8</v>
      </c>
      <c r="D368">
        <v>11.5</v>
      </c>
    </row>
    <row r="369" spans="1:4" x14ac:dyDescent="0.35">
      <c r="A369" t="s">
        <v>17</v>
      </c>
      <c r="B369" t="s">
        <v>10</v>
      </c>
      <c r="C369">
        <v>8</v>
      </c>
      <c r="D369">
        <v>2</v>
      </c>
    </row>
    <row r="370" spans="1:4" x14ac:dyDescent="0.35">
      <c r="A370" t="s">
        <v>17</v>
      </c>
      <c r="B370" t="s">
        <v>9</v>
      </c>
      <c r="C370">
        <v>9</v>
      </c>
      <c r="D370">
        <v>2</v>
      </c>
    </row>
    <row r="371" spans="1:4" x14ac:dyDescent="0.35">
      <c r="A371" t="s">
        <v>17</v>
      </c>
      <c r="B371" t="s">
        <v>31</v>
      </c>
      <c r="C371">
        <v>9</v>
      </c>
      <c r="D371">
        <v>6</v>
      </c>
    </row>
    <row r="372" spans="1:4" x14ac:dyDescent="0.35">
      <c r="A372" t="s">
        <v>17</v>
      </c>
      <c r="B372" t="s">
        <v>32</v>
      </c>
      <c r="C372">
        <v>9</v>
      </c>
      <c r="D372">
        <v>12</v>
      </c>
    </row>
    <row r="373" spans="1:4" x14ac:dyDescent="0.35">
      <c r="A373" t="s">
        <v>17</v>
      </c>
      <c r="B373" t="s">
        <v>10</v>
      </c>
      <c r="C373">
        <v>9</v>
      </c>
      <c r="D373" t="s">
        <v>33</v>
      </c>
    </row>
    <row r="374" spans="1:4" x14ac:dyDescent="0.35">
      <c r="A374" t="s">
        <v>17</v>
      </c>
      <c r="B374" t="s">
        <v>9</v>
      </c>
      <c r="C374">
        <v>10</v>
      </c>
      <c r="D374">
        <v>5</v>
      </c>
    </row>
    <row r="375" spans="1:4" x14ac:dyDescent="0.35">
      <c r="A375" t="s">
        <v>17</v>
      </c>
      <c r="B375" t="s">
        <v>31</v>
      </c>
      <c r="C375">
        <v>10</v>
      </c>
      <c r="D375">
        <v>9</v>
      </c>
    </row>
    <row r="376" spans="1:4" x14ac:dyDescent="0.35">
      <c r="A376" t="s">
        <v>17</v>
      </c>
      <c r="B376" t="s">
        <v>32</v>
      </c>
      <c r="C376">
        <v>10</v>
      </c>
      <c r="D376">
        <v>10</v>
      </c>
    </row>
    <row r="377" spans="1:4" x14ac:dyDescent="0.35">
      <c r="A377" t="s">
        <v>17</v>
      </c>
      <c r="B377" t="s">
        <v>10</v>
      </c>
      <c r="C377">
        <v>10</v>
      </c>
      <c r="D377" t="s">
        <v>33</v>
      </c>
    </row>
    <row r="378" spans="1:4" x14ac:dyDescent="0.35">
      <c r="A378" t="s">
        <v>17</v>
      </c>
      <c r="B378" t="s">
        <v>9</v>
      </c>
      <c r="C378">
        <v>11</v>
      </c>
      <c r="D378">
        <v>4.5</v>
      </c>
    </row>
    <row r="379" spans="1:4" x14ac:dyDescent="0.35">
      <c r="A379" t="s">
        <v>17</v>
      </c>
      <c r="B379" t="s">
        <v>31</v>
      </c>
      <c r="C379">
        <v>11</v>
      </c>
      <c r="D379">
        <v>5.5</v>
      </c>
    </row>
    <row r="380" spans="1:4" x14ac:dyDescent="0.35">
      <c r="A380" t="s">
        <v>17</v>
      </c>
      <c r="B380" t="s">
        <v>32</v>
      </c>
      <c r="C380">
        <v>11</v>
      </c>
      <c r="D380">
        <f>7.5+12</f>
        <v>19.5</v>
      </c>
    </row>
    <row r="381" spans="1:4" x14ac:dyDescent="0.35">
      <c r="A381" t="s">
        <v>17</v>
      </c>
      <c r="B381" t="s">
        <v>10</v>
      </c>
      <c r="C381">
        <v>11</v>
      </c>
      <c r="D381" t="s">
        <v>33</v>
      </c>
    </row>
    <row r="382" spans="1:4" x14ac:dyDescent="0.35">
      <c r="A382" t="s">
        <v>17</v>
      </c>
      <c r="B382" t="s">
        <v>9</v>
      </c>
      <c r="C382">
        <v>12</v>
      </c>
      <c r="D382">
        <v>2.5</v>
      </c>
    </row>
    <row r="383" spans="1:4" x14ac:dyDescent="0.35">
      <c r="A383" t="s">
        <v>17</v>
      </c>
      <c r="B383" t="s">
        <v>31</v>
      </c>
      <c r="C383">
        <v>12</v>
      </c>
      <c r="D383">
        <v>17.5</v>
      </c>
    </row>
    <row r="384" spans="1:4" x14ac:dyDescent="0.35">
      <c r="A384" t="s">
        <v>17</v>
      </c>
      <c r="B384" t="s">
        <v>32</v>
      </c>
      <c r="C384">
        <v>12</v>
      </c>
      <c r="D384">
        <v>6</v>
      </c>
    </row>
    <row r="385" spans="1:4" x14ac:dyDescent="0.35">
      <c r="A385" t="s">
        <v>17</v>
      </c>
      <c r="B385" t="s">
        <v>10</v>
      </c>
      <c r="C385">
        <v>12</v>
      </c>
      <c r="D385">
        <v>4.5</v>
      </c>
    </row>
    <row r="386" spans="1:4" x14ac:dyDescent="0.35">
      <c r="A386" t="s">
        <v>18</v>
      </c>
      <c r="B386" t="s">
        <v>9</v>
      </c>
      <c r="C386">
        <v>1</v>
      </c>
      <c r="D386">
        <v>3.5</v>
      </c>
    </row>
    <row r="387" spans="1:4" x14ac:dyDescent="0.35">
      <c r="A387" t="s">
        <v>18</v>
      </c>
      <c r="B387" t="s">
        <v>31</v>
      </c>
      <c r="C387">
        <v>1</v>
      </c>
      <c r="D387">
        <v>5.5</v>
      </c>
    </row>
    <row r="388" spans="1:4" x14ac:dyDescent="0.35">
      <c r="A388" t="s">
        <v>18</v>
      </c>
      <c r="B388" t="s">
        <v>32</v>
      </c>
      <c r="C388">
        <v>1</v>
      </c>
      <c r="D388">
        <f>7 + 8.5</f>
        <v>15.5</v>
      </c>
    </row>
    <row r="389" spans="1:4" x14ac:dyDescent="0.35">
      <c r="A389" t="s">
        <v>18</v>
      </c>
      <c r="B389" t="s">
        <v>10</v>
      </c>
      <c r="C389">
        <v>1</v>
      </c>
      <c r="D389">
        <v>16.5</v>
      </c>
    </row>
    <row r="390" spans="1:4" x14ac:dyDescent="0.35">
      <c r="A390" t="s">
        <v>18</v>
      </c>
      <c r="B390" t="s">
        <v>9</v>
      </c>
      <c r="C390">
        <v>2</v>
      </c>
      <c r="D390">
        <v>7</v>
      </c>
    </row>
    <row r="391" spans="1:4" x14ac:dyDescent="0.35">
      <c r="A391" t="s">
        <v>18</v>
      </c>
      <c r="B391" t="s">
        <v>31</v>
      </c>
      <c r="C391">
        <v>2</v>
      </c>
      <c r="D391">
        <v>8</v>
      </c>
    </row>
    <row r="392" spans="1:4" x14ac:dyDescent="0.35">
      <c r="A392" t="s">
        <v>18</v>
      </c>
      <c r="B392" t="s">
        <v>32</v>
      </c>
      <c r="C392">
        <v>2</v>
      </c>
      <c r="D392">
        <v>12.5</v>
      </c>
    </row>
    <row r="393" spans="1:4" x14ac:dyDescent="0.35">
      <c r="A393" t="s">
        <v>18</v>
      </c>
      <c r="B393" t="s">
        <v>10</v>
      </c>
      <c r="C393">
        <v>2</v>
      </c>
      <c r="D393">
        <v>19</v>
      </c>
    </row>
    <row r="394" spans="1:4" x14ac:dyDescent="0.35">
      <c r="A394" t="s">
        <v>18</v>
      </c>
      <c r="B394" t="s">
        <v>9</v>
      </c>
      <c r="C394">
        <v>3</v>
      </c>
      <c r="D394">
        <v>5</v>
      </c>
    </row>
    <row r="395" spans="1:4" x14ac:dyDescent="0.35">
      <c r="A395" t="s">
        <v>18</v>
      </c>
      <c r="B395" t="s">
        <v>31</v>
      </c>
      <c r="C395">
        <v>3</v>
      </c>
      <c r="D395">
        <v>8</v>
      </c>
    </row>
    <row r="396" spans="1:4" x14ac:dyDescent="0.35">
      <c r="A396" t="s">
        <v>18</v>
      </c>
      <c r="B396" t="s">
        <v>32</v>
      </c>
      <c r="C396">
        <v>3</v>
      </c>
      <c r="D396">
        <v>5</v>
      </c>
    </row>
    <row r="397" spans="1:4" x14ac:dyDescent="0.35">
      <c r="A397" t="s">
        <v>18</v>
      </c>
      <c r="B397" t="s">
        <v>10</v>
      </c>
      <c r="C397">
        <v>3</v>
      </c>
      <c r="D397">
        <v>28</v>
      </c>
    </row>
    <row r="398" spans="1:4" x14ac:dyDescent="0.35">
      <c r="A398" t="s">
        <v>18</v>
      </c>
      <c r="B398" t="s">
        <v>9</v>
      </c>
      <c r="C398">
        <v>4</v>
      </c>
      <c r="D398">
        <v>4.5</v>
      </c>
    </row>
    <row r="399" spans="1:4" x14ac:dyDescent="0.35">
      <c r="A399" t="s">
        <v>18</v>
      </c>
      <c r="B399" t="s">
        <v>31</v>
      </c>
      <c r="C399">
        <v>4</v>
      </c>
      <c r="D399">
        <v>6</v>
      </c>
    </row>
    <row r="400" spans="1:4" x14ac:dyDescent="0.35">
      <c r="A400" t="s">
        <v>18</v>
      </c>
      <c r="B400" t="s">
        <v>32</v>
      </c>
      <c r="C400">
        <v>4</v>
      </c>
      <c r="D400">
        <v>6.5</v>
      </c>
    </row>
    <row r="401" spans="1:4" x14ac:dyDescent="0.35">
      <c r="A401" t="s">
        <v>18</v>
      </c>
      <c r="B401" t="s">
        <v>10</v>
      </c>
      <c r="C401">
        <v>4</v>
      </c>
      <c r="D401">
        <v>16.5</v>
      </c>
    </row>
    <row r="402" spans="1:4" x14ac:dyDescent="0.35">
      <c r="A402" t="s">
        <v>18</v>
      </c>
      <c r="B402" t="s">
        <v>9</v>
      </c>
      <c r="C402">
        <v>5</v>
      </c>
      <c r="D402">
        <v>9.5</v>
      </c>
    </row>
    <row r="403" spans="1:4" x14ac:dyDescent="0.35">
      <c r="A403" t="s">
        <v>18</v>
      </c>
      <c r="B403" t="s">
        <v>31</v>
      </c>
      <c r="C403">
        <v>5</v>
      </c>
      <c r="D403">
        <v>6</v>
      </c>
    </row>
    <row r="404" spans="1:4" x14ac:dyDescent="0.35">
      <c r="A404" t="s">
        <v>18</v>
      </c>
      <c r="B404" t="s">
        <v>32</v>
      </c>
      <c r="C404">
        <v>5</v>
      </c>
      <c r="D404">
        <f>7+5.5</f>
        <v>12.5</v>
      </c>
    </row>
    <row r="405" spans="1:4" x14ac:dyDescent="0.35">
      <c r="A405" t="s">
        <v>18</v>
      </c>
      <c r="B405" t="s">
        <v>10</v>
      </c>
      <c r="C405">
        <v>5</v>
      </c>
      <c r="D405">
        <v>22</v>
      </c>
    </row>
    <row r="406" spans="1:4" x14ac:dyDescent="0.35">
      <c r="A406" t="s">
        <v>18</v>
      </c>
      <c r="B406" t="s">
        <v>9</v>
      </c>
      <c r="C406">
        <v>6</v>
      </c>
      <c r="D406">
        <v>7</v>
      </c>
    </row>
    <row r="407" spans="1:4" x14ac:dyDescent="0.35">
      <c r="A407" t="s">
        <v>18</v>
      </c>
      <c r="B407" t="s">
        <v>31</v>
      </c>
      <c r="C407">
        <v>6</v>
      </c>
      <c r="D407">
        <v>1.5</v>
      </c>
    </row>
    <row r="408" spans="1:4" x14ac:dyDescent="0.35">
      <c r="A408" t="s">
        <v>18</v>
      </c>
      <c r="B408" t="s">
        <v>32</v>
      </c>
      <c r="C408">
        <v>6</v>
      </c>
      <c r="D408">
        <v>8</v>
      </c>
    </row>
    <row r="409" spans="1:4" x14ac:dyDescent="0.35">
      <c r="A409" t="s">
        <v>18</v>
      </c>
      <c r="B409" t="s">
        <v>10</v>
      </c>
      <c r="C409">
        <v>6</v>
      </c>
      <c r="D409">
        <v>11.5</v>
      </c>
    </row>
    <row r="410" spans="1:4" x14ac:dyDescent="0.35">
      <c r="A410" t="s">
        <v>18</v>
      </c>
      <c r="B410" t="s">
        <v>9</v>
      </c>
      <c r="C410">
        <v>7</v>
      </c>
      <c r="D410">
        <v>4.5</v>
      </c>
    </row>
    <row r="411" spans="1:4" x14ac:dyDescent="0.35">
      <c r="A411" t="s">
        <v>18</v>
      </c>
      <c r="B411" t="s">
        <v>31</v>
      </c>
      <c r="C411">
        <v>7</v>
      </c>
      <c r="D411">
        <v>7.5</v>
      </c>
    </row>
    <row r="412" spans="1:4" x14ac:dyDescent="0.35">
      <c r="A412" t="s">
        <v>18</v>
      </c>
      <c r="B412" t="s">
        <v>32</v>
      </c>
      <c r="C412">
        <v>7</v>
      </c>
      <c r="D412">
        <v>3.5</v>
      </c>
    </row>
    <row r="413" spans="1:4" x14ac:dyDescent="0.35">
      <c r="A413" t="s">
        <v>18</v>
      </c>
      <c r="B413" t="s">
        <v>10</v>
      </c>
      <c r="C413">
        <v>7</v>
      </c>
      <c r="D413">
        <v>31</v>
      </c>
    </row>
    <row r="414" spans="1:4" x14ac:dyDescent="0.35">
      <c r="A414" t="s">
        <v>18</v>
      </c>
      <c r="B414" t="s">
        <v>9</v>
      </c>
      <c r="C414">
        <v>8</v>
      </c>
      <c r="D414">
        <v>2.5</v>
      </c>
    </row>
    <row r="415" spans="1:4" x14ac:dyDescent="0.35">
      <c r="A415" t="s">
        <v>18</v>
      </c>
      <c r="B415" t="s">
        <v>31</v>
      </c>
      <c r="C415">
        <v>8</v>
      </c>
      <c r="D415">
        <v>11.5</v>
      </c>
    </row>
    <row r="416" spans="1:4" x14ac:dyDescent="0.35">
      <c r="A416" t="s">
        <v>18</v>
      </c>
      <c r="B416" t="s">
        <v>32</v>
      </c>
      <c r="C416">
        <v>8</v>
      </c>
      <c r="D416">
        <v>3.5</v>
      </c>
    </row>
    <row r="417" spans="1:4" x14ac:dyDescent="0.35">
      <c r="A417" t="s">
        <v>18</v>
      </c>
      <c r="B417" t="s">
        <v>10</v>
      </c>
      <c r="C417">
        <v>8</v>
      </c>
      <c r="D417">
        <v>29.5</v>
      </c>
    </row>
    <row r="418" spans="1:4" x14ac:dyDescent="0.35">
      <c r="A418" t="s">
        <v>18</v>
      </c>
      <c r="B418" t="s">
        <v>9</v>
      </c>
      <c r="C418">
        <v>9</v>
      </c>
      <c r="D418">
        <v>4</v>
      </c>
    </row>
    <row r="419" spans="1:4" x14ac:dyDescent="0.35">
      <c r="A419" t="s">
        <v>18</v>
      </c>
      <c r="B419" t="s">
        <v>31</v>
      </c>
      <c r="C419">
        <v>9</v>
      </c>
      <c r="D419">
        <v>3.5</v>
      </c>
    </row>
    <row r="420" spans="1:4" x14ac:dyDescent="0.35">
      <c r="A420" t="s">
        <v>18</v>
      </c>
      <c r="B420" t="s">
        <v>32</v>
      </c>
      <c r="C420">
        <v>9</v>
      </c>
      <c r="D420">
        <v>7</v>
      </c>
    </row>
    <row r="421" spans="1:4" x14ac:dyDescent="0.35">
      <c r="A421" t="s">
        <v>18</v>
      </c>
      <c r="B421" t="s">
        <v>10</v>
      </c>
      <c r="C421">
        <v>9</v>
      </c>
      <c r="D421">
        <v>5</v>
      </c>
    </row>
    <row r="422" spans="1:4" x14ac:dyDescent="0.35">
      <c r="A422" t="s">
        <v>18</v>
      </c>
      <c r="B422" t="s">
        <v>9</v>
      </c>
      <c r="C422">
        <v>10</v>
      </c>
      <c r="D422">
        <v>6</v>
      </c>
    </row>
    <row r="423" spans="1:4" x14ac:dyDescent="0.35">
      <c r="A423" t="s">
        <v>18</v>
      </c>
      <c r="B423" t="s">
        <v>31</v>
      </c>
      <c r="C423">
        <v>10</v>
      </c>
      <c r="D423">
        <v>4.5</v>
      </c>
    </row>
    <row r="424" spans="1:4" x14ac:dyDescent="0.35">
      <c r="A424" t="s">
        <v>18</v>
      </c>
      <c r="B424" t="s">
        <v>32</v>
      </c>
      <c r="C424">
        <v>10</v>
      </c>
      <c r="D424">
        <f>7.5+5.5</f>
        <v>13</v>
      </c>
    </row>
    <row r="425" spans="1:4" x14ac:dyDescent="0.35">
      <c r="A425" t="s">
        <v>18</v>
      </c>
      <c r="B425" t="s">
        <v>10</v>
      </c>
      <c r="C425">
        <v>10</v>
      </c>
      <c r="D425">
        <v>19.5</v>
      </c>
    </row>
    <row r="426" spans="1:4" x14ac:dyDescent="0.35">
      <c r="A426" t="s">
        <v>18</v>
      </c>
      <c r="B426" t="s">
        <v>9</v>
      </c>
      <c r="C426">
        <v>11</v>
      </c>
      <c r="D426">
        <v>5</v>
      </c>
    </row>
    <row r="427" spans="1:4" x14ac:dyDescent="0.35">
      <c r="A427" t="s">
        <v>18</v>
      </c>
      <c r="B427" t="s">
        <v>31</v>
      </c>
      <c r="C427">
        <v>11</v>
      </c>
      <c r="D427">
        <v>7</v>
      </c>
    </row>
    <row r="428" spans="1:4" x14ac:dyDescent="0.35">
      <c r="A428" t="s">
        <v>18</v>
      </c>
      <c r="B428" t="s">
        <v>32</v>
      </c>
      <c r="C428">
        <v>11</v>
      </c>
      <c r="D428">
        <v>15</v>
      </c>
    </row>
    <row r="429" spans="1:4" x14ac:dyDescent="0.35">
      <c r="A429" t="s">
        <v>18</v>
      </c>
      <c r="B429" t="s">
        <v>10</v>
      </c>
      <c r="C429">
        <v>11</v>
      </c>
      <c r="D429">
        <v>19.5</v>
      </c>
    </row>
    <row r="430" spans="1:4" x14ac:dyDescent="0.35">
      <c r="A430" t="s">
        <v>18</v>
      </c>
      <c r="B430" t="s">
        <v>9</v>
      </c>
      <c r="C430">
        <v>12</v>
      </c>
      <c r="D430">
        <v>4.5</v>
      </c>
    </row>
    <row r="431" spans="1:4" x14ac:dyDescent="0.35">
      <c r="A431" t="s">
        <v>18</v>
      </c>
      <c r="B431" t="s">
        <v>31</v>
      </c>
      <c r="C431">
        <v>12</v>
      </c>
      <c r="D431">
        <v>5.5</v>
      </c>
    </row>
    <row r="432" spans="1:4" x14ac:dyDescent="0.35">
      <c r="A432" t="s">
        <v>18</v>
      </c>
      <c r="B432" t="s">
        <v>32</v>
      </c>
      <c r="C432">
        <v>12</v>
      </c>
      <c r="D432">
        <v>5</v>
      </c>
    </row>
    <row r="433" spans="1:4" x14ac:dyDescent="0.35">
      <c r="A433" t="s">
        <v>18</v>
      </c>
      <c r="B433" t="s">
        <v>10</v>
      </c>
      <c r="C433">
        <v>12</v>
      </c>
      <c r="D433">
        <v>24</v>
      </c>
    </row>
    <row r="434" spans="1:4" x14ac:dyDescent="0.35">
      <c r="A434" t="s">
        <v>19</v>
      </c>
      <c r="B434" t="s">
        <v>9</v>
      </c>
      <c r="C434">
        <v>1</v>
      </c>
      <c r="D434">
        <v>2</v>
      </c>
    </row>
    <row r="435" spans="1:4" x14ac:dyDescent="0.35">
      <c r="A435" t="s">
        <v>19</v>
      </c>
      <c r="B435" t="s">
        <v>31</v>
      </c>
      <c r="C435">
        <v>1</v>
      </c>
      <c r="D435">
        <v>4</v>
      </c>
    </row>
    <row r="436" spans="1:4" x14ac:dyDescent="0.35">
      <c r="A436" t="s">
        <v>19</v>
      </c>
      <c r="B436" t="s">
        <v>32</v>
      </c>
      <c r="C436">
        <v>1</v>
      </c>
      <c r="D436">
        <v>8</v>
      </c>
    </row>
    <row r="437" spans="1:4" x14ac:dyDescent="0.35">
      <c r="A437" t="s">
        <v>19</v>
      </c>
      <c r="B437" t="s">
        <v>10</v>
      </c>
      <c r="C437">
        <v>1</v>
      </c>
      <c r="D437" t="s">
        <v>33</v>
      </c>
    </row>
    <row r="438" spans="1:4" x14ac:dyDescent="0.35">
      <c r="A438" t="s">
        <v>19</v>
      </c>
      <c r="B438" t="s">
        <v>9</v>
      </c>
      <c r="C438">
        <v>2</v>
      </c>
      <c r="D438">
        <v>2</v>
      </c>
    </row>
    <row r="439" spans="1:4" x14ac:dyDescent="0.35">
      <c r="A439" t="s">
        <v>19</v>
      </c>
      <c r="B439" t="s">
        <v>31</v>
      </c>
      <c r="C439">
        <v>2</v>
      </c>
      <c r="D439">
        <v>8</v>
      </c>
    </row>
    <row r="440" spans="1:4" x14ac:dyDescent="0.35">
      <c r="A440" t="s">
        <v>19</v>
      </c>
      <c r="B440" t="s">
        <v>32</v>
      </c>
      <c r="C440">
        <v>2</v>
      </c>
      <c r="D440">
        <v>6</v>
      </c>
    </row>
    <row r="441" spans="1:4" x14ac:dyDescent="0.35">
      <c r="A441" t="s">
        <v>19</v>
      </c>
      <c r="B441" t="s">
        <v>10</v>
      </c>
      <c r="C441">
        <v>2</v>
      </c>
      <c r="D441" t="s">
        <v>33</v>
      </c>
    </row>
    <row r="442" spans="1:4" x14ac:dyDescent="0.35">
      <c r="A442" t="s">
        <v>19</v>
      </c>
      <c r="B442" t="s">
        <v>9</v>
      </c>
      <c r="C442">
        <v>3</v>
      </c>
      <c r="D442">
        <v>4</v>
      </c>
    </row>
    <row r="443" spans="1:4" x14ac:dyDescent="0.35">
      <c r="A443" t="s">
        <v>19</v>
      </c>
      <c r="B443" t="s">
        <v>31</v>
      </c>
      <c r="C443">
        <v>3</v>
      </c>
      <c r="D443">
        <v>8</v>
      </c>
    </row>
    <row r="444" spans="1:4" x14ac:dyDescent="0.35">
      <c r="A444" t="s">
        <v>19</v>
      </c>
      <c r="B444" t="s">
        <v>32</v>
      </c>
      <c r="C444">
        <v>3</v>
      </c>
      <c r="D444">
        <v>11</v>
      </c>
    </row>
    <row r="445" spans="1:4" x14ac:dyDescent="0.35">
      <c r="A445" t="s">
        <v>19</v>
      </c>
      <c r="B445" t="s">
        <v>10</v>
      </c>
      <c r="C445">
        <v>3</v>
      </c>
      <c r="D445">
        <v>10</v>
      </c>
    </row>
    <row r="446" spans="1:4" x14ac:dyDescent="0.35">
      <c r="A446" t="s">
        <v>19</v>
      </c>
      <c r="B446" t="s">
        <v>9</v>
      </c>
      <c r="C446">
        <v>4</v>
      </c>
      <c r="D446">
        <v>5</v>
      </c>
    </row>
    <row r="447" spans="1:4" x14ac:dyDescent="0.35">
      <c r="A447" t="s">
        <v>19</v>
      </c>
      <c r="B447" t="s">
        <v>31</v>
      </c>
      <c r="C447">
        <v>4</v>
      </c>
      <c r="D447">
        <v>9</v>
      </c>
    </row>
    <row r="448" spans="1:4" x14ac:dyDescent="0.35">
      <c r="A448" t="s">
        <v>19</v>
      </c>
      <c r="B448" t="s">
        <v>32</v>
      </c>
      <c r="C448">
        <v>4</v>
      </c>
      <c r="D448">
        <v>9.5</v>
      </c>
    </row>
    <row r="449" spans="1:4" x14ac:dyDescent="0.35">
      <c r="A449" t="s">
        <v>19</v>
      </c>
      <c r="B449" t="s">
        <v>10</v>
      </c>
      <c r="C449">
        <v>4</v>
      </c>
      <c r="D449">
        <v>8</v>
      </c>
    </row>
    <row r="450" spans="1:4" x14ac:dyDescent="0.35">
      <c r="A450" t="s">
        <v>19</v>
      </c>
      <c r="B450" t="s">
        <v>9</v>
      </c>
      <c r="C450">
        <v>5</v>
      </c>
      <c r="D450">
        <v>4.5</v>
      </c>
    </row>
    <row r="451" spans="1:4" x14ac:dyDescent="0.35">
      <c r="A451" t="s">
        <v>19</v>
      </c>
      <c r="B451" t="s">
        <v>31</v>
      </c>
      <c r="C451">
        <v>5</v>
      </c>
      <c r="D451">
        <v>4</v>
      </c>
    </row>
    <row r="452" spans="1:4" x14ac:dyDescent="0.35">
      <c r="A452" t="s">
        <v>19</v>
      </c>
      <c r="B452" t="s">
        <v>32</v>
      </c>
      <c r="C452">
        <v>5</v>
      </c>
      <c r="D452">
        <v>10</v>
      </c>
    </row>
    <row r="453" spans="1:4" x14ac:dyDescent="0.35">
      <c r="A453" t="s">
        <v>19</v>
      </c>
      <c r="B453" t="s">
        <v>10</v>
      </c>
      <c r="C453">
        <v>5</v>
      </c>
      <c r="D453">
        <v>9</v>
      </c>
    </row>
    <row r="454" spans="1:4" x14ac:dyDescent="0.35">
      <c r="A454" t="s">
        <v>19</v>
      </c>
      <c r="B454" t="s">
        <v>9</v>
      </c>
      <c r="C454">
        <v>6</v>
      </c>
      <c r="D454">
        <v>3</v>
      </c>
    </row>
    <row r="455" spans="1:4" x14ac:dyDescent="0.35">
      <c r="A455" t="s">
        <v>19</v>
      </c>
      <c r="B455" t="s">
        <v>31</v>
      </c>
      <c r="C455">
        <v>6</v>
      </c>
      <c r="D455">
        <v>4.5</v>
      </c>
    </row>
    <row r="456" spans="1:4" x14ac:dyDescent="0.35">
      <c r="A456" t="s">
        <v>19</v>
      </c>
      <c r="B456" t="s">
        <v>32</v>
      </c>
      <c r="C456">
        <v>6</v>
      </c>
      <c r="D456">
        <v>7</v>
      </c>
    </row>
    <row r="457" spans="1:4" x14ac:dyDescent="0.35">
      <c r="A457" t="s">
        <v>19</v>
      </c>
      <c r="B457" t="s">
        <v>10</v>
      </c>
      <c r="C457">
        <v>6</v>
      </c>
      <c r="D457">
        <v>11</v>
      </c>
    </row>
    <row r="458" spans="1:4" x14ac:dyDescent="0.35">
      <c r="A458" t="s">
        <v>19</v>
      </c>
      <c r="B458" t="s">
        <v>9</v>
      </c>
      <c r="C458">
        <v>7</v>
      </c>
      <c r="D458">
        <v>2</v>
      </c>
    </row>
    <row r="459" spans="1:4" x14ac:dyDescent="0.35">
      <c r="A459" t="s">
        <v>19</v>
      </c>
      <c r="B459" t="s">
        <v>31</v>
      </c>
      <c r="C459">
        <v>7</v>
      </c>
      <c r="D459">
        <v>5</v>
      </c>
    </row>
    <row r="460" spans="1:4" x14ac:dyDescent="0.35">
      <c r="A460" t="s">
        <v>19</v>
      </c>
      <c r="B460" t="s">
        <v>32</v>
      </c>
      <c r="C460">
        <v>7</v>
      </c>
      <c r="D460">
        <f>7+5.5</f>
        <v>12.5</v>
      </c>
    </row>
    <row r="461" spans="1:4" x14ac:dyDescent="0.35">
      <c r="A461" t="s">
        <v>19</v>
      </c>
      <c r="B461" t="s">
        <v>10</v>
      </c>
      <c r="C461">
        <v>7</v>
      </c>
      <c r="D461">
        <v>12</v>
      </c>
    </row>
    <row r="462" spans="1:4" x14ac:dyDescent="0.35">
      <c r="A462" t="s">
        <v>19</v>
      </c>
      <c r="B462" t="s">
        <v>9</v>
      </c>
      <c r="C462">
        <v>8</v>
      </c>
      <c r="D462">
        <v>2</v>
      </c>
    </row>
    <row r="463" spans="1:4" x14ac:dyDescent="0.35">
      <c r="A463" t="s">
        <v>19</v>
      </c>
      <c r="B463" t="s">
        <v>31</v>
      </c>
      <c r="C463">
        <v>8</v>
      </c>
      <c r="D463">
        <v>7.5</v>
      </c>
    </row>
    <row r="464" spans="1:4" x14ac:dyDescent="0.35">
      <c r="A464" t="s">
        <v>19</v>
      </c>
      <c r="B464" t="s">
        <v>32</v>
      </c>
      <c r="C464">
        <v>8</v>
      </c>
      <c r="D464">
        <v>16</v>
      </c>
    </row>
    <row r="465" spans="1:4" x14ac:dyDescent="0.35">
      <c r="A465" t="s">
        <v>19</v>
      </c>
      <c r="B465" t="s">
        <v>10</v>
      </c>
      <c r="C465">
        <v>8</v>
      </c>
      <c r="D465">
        <v>7.5</v>
      </c>
    </row>
    <row r="466" spans="1:4" x14ac:dyDescent="0.35">
      <c r="A466" t="s">
        <v>19</v>
      </c>
      <c r="B466" t="s">
        <v>9</v>
      </c>
      <c r="C466">
        <v>9</v>
      </c>
      <c r="D466">
        <v>3.5</v>
      </c>
    </row>
    <row r="467" spans="1:4" x14ac:dyDescent="0.35">
      <c r="A467" t="s">
        <v>19</v>
      </c>
      <c r="B467" t="s">
        <v>31</v>
      </c>
      <c r="C467">
        <v>9</v>
      </c>
      <c r="D467">
        <v>10</v>
      </c>
    </row>
    <row r="468" spans="1:4" x14ac:dyDescent="0.35">
      <c r="A468" t="s">
        <v>19</v>
      </c>
      <c r="B468" t="s">
        <v>32</v>
      </c>
      <c r="C468">
        <v>9</v>
      </c>
      <c r="D468">
        <f>5+7.5</f>
        <v>12.5</v>
      </c>
    </row>
    <row r="469" spans="1:4" x14ac:dyDescent="0.35">
      <c r="A469" t="s">
        <v>19</v>
      </c>
      <c r="B469" t="s">
        <v>10</v>
      </c>
      <c r="C469">
        <v>9</v>
      </c>
      <c r="D469" t="s">
        <v>33</v>
      </c>
    </row>
    <row r="470" spans="1:4" x14ac:dyDescent="0.35">
      <c r="A470" t="s">
        <v>19</v>
      </c>
      <c r="B470" t="s">
        <v>9</v>
      </c>
      <c r="C470">
        <v>10</v>
      </c>
      <c r="D470">
        <v>1.5</v>
      </c>
    </row>
    <row r="471" spans="1:4" x14ac:dyDescent="0.35">
      <c r="A471" t="s">
        <v>19</v>
      </c>
      <c r="B471" t="s">
        <v>31</v>
      </c>
      <c r="C471">
        <v>10</v>
      </c>
      <c r="D471">
        <v>18.5</v>
      </c>
    </row>
    <row r="472" spans="1:4" x14ac:dyDescent="0.35">
      <c r="A472" t="s">
        <v>19</v>
      </c>
      <c r="B472" t="s">
        <v>32</v>
      </c>
      <c r="C472">
        <v>10</v>
      </c>
      <c r="D472">
        <v>10</v>
      </c>
    </row>
    <row r="473" spans="1:4" x14ac:dyDescent="0.35">
      <c r="A473" t="s">
        <v>19</v>
      </c>
      <c r="B473" t="s">
        <v>10</v>
      </c>
      <c r="C473">
        <v>10</v>
      </c>
      <c r="D473">
        <v>2.5</v>
      </c>
    </row>
    <row r="474" spans="1:4" x14ac:dyDescent="0.35">
      <c r="A474" t="s">
        <v>19</v>
      </c>
      <c r="B474" t="s">
        <v>9</v>
      </c>
      <c r="C474">
        <v>11</v>
      </c>
      <c r="D474">
        <v>2</v>
      </c>
    </row>
    <row r="475" spans="1:4" x14ac:dyDescent="0.35">
      <c r="A475" t="s">
        <v>19</v>
      </c>
      <c r="B475" t="s">
        <v>31</v>
      </c>
      <c r="C475">
        <v>11</v>
      </c>
      <c r="D475">
        <v>6.5</v>
      </c>
    </row>
    <row r="476" spans="1:4" x14ac:dyDescent="0.35">
      <c r="A476" t="s">
        <v>19</v>
      </c>
      <c r="B476" t="s">
        <v>32</v>
      </c>
      <c r="C476">
        <v>11</v>
      </c>
      <c r="D476">
        <v>20.5</v>
      </c>
    </row>
    <row r="477" spans="1:4" x14ac:dyDescent="0.35">
      <c r="A477" t="s">
        <v>19</v>
      </c>
      <c r="B477" t="s">
        <v>10</v>
      </c>
      <c r="C477">
        <v>11</v>
      </c>
      <c r="D477">
        <v>4</v>
      </c>
    </row>
    <row r="478" spans="1:4" x14ac:dyDescent="0.35">
      <c r="A478" t="s">
        <v>19</v>
      </c>
      <c r="B478" t="s">
        <v>9</v>
      </c>
      <c r="C478">
        <v>12</v>
      </c>
      <c r="D478">
        <v>2</v>
      </c>
    </row>
    <row r="479" spans="1:4" x14ac:dyDescent="0.35">
      <c r="A479" t="s">
        <v>19</v>
      </c>
      <c r="B479" t="s">
        <v>31</v>
      </c>
      <c r="C479">
        <v>12</v>
      </c>
      <c r="D479">
        <v>12.5</v>
      </c>
    </row>
    <row r="480" spans="1:4" x14ac:dyDescent="0.35">
      <c r="A480" t="s">
        <v>19</v>
      </c>
      <c r="B480" t="s">
        <v>32</v>
      </c>
      <c r="C480">
        <v>12</v>
      </c>
      <c r="D480">
        <v>15.5</v>
      </c>
    </row>
    <row r="481" spans="1:4" x14ac:dyDescent="0.35">
      <c r="A481" t="s">
        <v>19</v>
      </c>
      <c r="B481" t="s">
        <v>10</v>
      </c>
      <c r="C481">
        <v>12</v>
      </c>
      <c r="D481">
        <v>1</v>
      </c>
    </row>
    <row r="482" spans="1:4" x14ac:dyDescent="0.35">
      <c r="A482" t="s">
        <v>20</v>
      </c>
      <c r="B482" t="s">
        <v>9</v>
      </c>
      <c r="C482">
        <v>1</v>
      </c>
      <c r="D482">
        <v>4</v>
      </c>
    </row>
    <row r="483" spans="1:4" x14ac:dyDescent="0.35">
      <c r="A483" t="s">
        <v>20</v>
      </c>
      <c r="B483" t="s">
        <v>31</v>
      </c>
      <c r="C483">
        <v>1</v>
      </c>
      <c r="D483">
        <v>4</v>
      </c>
    </row>
    <row r="484" spans="1:4" x14ac:dyDescent="0.35">
      <c r="A484" t="s">
        <v>20</v>
      </c>
      <c r="B484" t="s">
        <v>32</v>
      </c>
      <c r="C484">
        <v>1</v>
      </c>
      <c r="D484">
        <v>0</v>
      </c>
    </row>
    <row r="485" spans="1:4" x14ac:dyDescent="0.35">
      <c r="A485" t="s">
        <v>20</v>
      </c>
      <c r="B485" t="s">
        <v>10</v>
      </c>
      <c r="C485">
        <v>1</v>
      </c>
      <c r="D485">
        <v>2</v>
      </c>
    </row>
    <row r="486" spans="1:4" x14ac:dyDescent="0.35">
      <c r="A486" t="s">
        <v>20</v>
      </c>
      <c r="B486" t="s">
        <v>9</v>
      </c>
      <c r="C486">
        <v>2</v>
      </c>
      <c r="D486">
        <v>3.5</v>
      </c>
    </row>
    <row r="487" spans="1:4" x14ac:dyDescent="0.35">
      <c r="A487" t="s">
        <v>20</v>
      </c>
      <c r="B487" t="s">
        <v>31</v>
      </c>
      <c r="C487">
        <v>2</v>
      </c>
      <c r="D487">
        <v>9</v>
      </c>
    </row>
    <row r="488" spans="1:4" x14ac:dyDescent="0.35">
      <c r="A488" t="s">
        <v>20</v>
      </c>
      <c r="B488" t="s">
        <v>32</v>
      </c>
      <c r="C488">
        <v>2</v>
      </c>
      <c r="D488">
        <v>0</v>
      </c>
    </row>
    <row r="489" spans="1:4" x14ac:dyDescent="0.35">
      <c r="A489" t="s">
        <v>20</v>
      </c>
      <c r="B489" t="s">
        <v>10</v>
      </c>
      <c r="C489">
        <v>2</v>
      </c>
      <c r="D489">
        <v>2</v>
      </c>
    </row>
    <row r="490" spans="1:4" x14ac:dyDescent="0.35">
      <c r="A490" t="s">
        <v>20</v>
      </c>
      <c r="B490" t="s">
        <v>9</v>
      </c>
      <c r="C490">
        <v>3</v>
      </c>
      <c r="D490">
        <v>3.5</v>
      </c>
    </row>
    <row r="491" spans="1:4" x14ac:dyDescent="0.35">
      <c r="A491" t="s">
        <v>20</v>
      </c>
      <c r="B491" t="s">
        <v>31</v>
      </c>
      <c r="C491">
        <v>3</v>
      </c>
      <c r="D491">
        <v>4.5</v>
      </c>
    </row>
    <row r="492" spans="1:4" x14ac:dyDescent="0.35">
      <c r="A492" t="s">
        <v>20</v>
      </c>
      <c r="B492" t="s">
        <v>32</v>
      </c>
      <c r="C492">
        <v>3</v>
      </c>
      <c r="D492">
        <v>0</v>
      </c>
    </row>
    <row r="493" spans="1:4" x14ac:dyDescent="0.35">
      <c r="A493" t="s">
        <v>20</v>
      </c>
      <c r="B493" t="s">
        <v>10</v>
      </c>
      <c r="C493">
        <v>3</v>
      </c>
      <c r="D493">
        <v>4</v>
      </c>
    </row>
    <row r="494" spans="1:4" x14ac:dyDescent="0.35">
      <c r="A494" t="s">
        <v>20</v>
      </c>
      <c r="B494" t="s">
        <v>9</v>
      </c>
      <c r="C494">
        <v>4</v>
      </c>
      <c r="D494">
        <v>2</v>
      </c>
    </row>
    <row r="495" spans="1:4" x14ac:dyDescent="0.35">
      <c r="A495" t="s">
        <v>20</v>
      </c>
      <c r="B495" t="s">
        <v>31</v>
      </c>
      <c r="C495">
        <v>4</v>
      </c>
      <c r="D495">
        <v>5</v>
      </c>
    </row>
    <row r="496" spans="1:4" x14ac:dyDescent="0.35">
      <c r="A496" t="s">
        <v>20</v>
      </c>
      <c r="B496" t="s">
        <v>32</v>
      </c>
      <c r="C496">
        <v>4</v>
      </c>
      <c r="D496">
        <v>7.5</v>
      </c>
    </row>
    <row r="497" spans="1:4" x14ac:dyDescent="0.35">
      <c r="A497" t="s">
        <v>20</v>
      </c>
      <c r="B497" t="s">
        <v>10</v>
      </c>
      <c r="C497">
        <v>4</v>
      </c>
      <c r="D497">
        <v>4</v>
      </c>
    </row>
    <row r="498" spans="1:4" x14ac:dyDescent="0.35">
      <c r="A498" t="s">
        <v>20</v>
      </c>
      <c r="B498" t="s">
        <v>9</v>
      </c>
      <c r="C498">
        <v>5</v>
      </c>
      <c r="D498">
        <v>3</v>
      </c>
    </row>
    <row r="499" spans="1:4" x14ac:dyDescent="0.35">
      <c r="A499" t="s">
        <v>20</v>
      </c>
      <c r="B499" t="s">
        <v>31</v>
      </c>
      <c r="C499">
        <v>5</v>
      </c>
      <c r="D499">
        <v>4.5</v>
      </c>
    </row>
    <row r="500" spans="1:4" x14ac:dyDescent="0.35">
      <c r="A500" t="s">
        <v>20</v>
      </c>
      <c r="B500" t="s">
        <v>32</v>
      </c>
      <c r="C500">
        <v>5</v>
      </c>
      <c r="D500">
        <v>6</v>
      </c>
    </row>
    <row r="501" spans="1:4" x14ac:dyDescent="0.35">
      <c r="A501" t="s">
        <v>20</v>
      </c>
      <c r="B501" t="s">
        <v>10</v>
      </c>
      <c r="C501">
        <v>5</v>
      </c>
      <c r="D501">
        <v>3</v>
      </c>
    </row>
    <row r="502" spans="1:4" x14ac:dyDescent="0.35">
      <c r="A502" t="s">
        <v>20</v>
      </c>
      <c r="B502" t="s">
        <v>9</v>
      </c>
      <c r="C502">
        <v>6</v>
      </c>
      <c r="D502">
        <v>2</v>
      </c>
    </row>
    <row r="503" spans="1:4" x14ac:dyDescent="0.35">
      <c r="A503" t="s">
        <v>20</v>
      </c>
      <c r="B503" t="s">
        <v>31</v>
      </c>
      <c r="C503">
        <v>6</v>
      </c>
      <c r="D503">
        <v>3</v>
      </c>
    </row>
    <row r="504" spans="1:4" x14ac:dyDescent="0.35">
      <c r="A504" t="s">
        <v>20</v>
      </c>
      <c r="B504" t="s">
        <v>32</v>
      </c>
      <c r="C504">
        <v>6</v>
      </c>
      <c r="D504">
        <v>3</v>
      </c>
    </row>
    <row r="505" spans="1:4" x14ac:dyDescent="0.35">
      <c r="A505" t="s">
        <v>20</v>
      </c>
      <c r="B505" t="s">
        <v>10</v>
      </c>
      <c r="C505">
        <v>6</v>
      </c>
      <c r="D505">
        <v>4</v>
      </c>
    </row>
    <row r="506" spans="1:4" x14ac:dyDescent="0.35">
      <c r="A506" t="s">
        <v>20</v>
      </c>
      <c r="B506" t="s">
        <v>9</v>
      </c>
      <c r="C506">
        <v>7</v>
      </c>
      <c r="D506">
        <v>2</v>
      </c>
    </row>
    <row r="507" spans="1:4" x14ac:dyDescent="0.35">
      <c r="A507" t="s">
        <v>20</v>
      </c>
      <c r="B507" t="s">
        <v>31</v>
      </c>
      <c r="C507">
        <v>7</v>
      </c>
      <c r="D507">
        <v>4.5</v>
      </c>
    </row>
    <row r="508" spans="1:4" x14ac:dyDescent="0.35">
      <c r="A508" t="s">
        <v>20</v>
      </c>
      <c r="B508" t="s">
        <v>32</v>
      </c>
      <c r="C508">
        <v>7</v>
      </c>
      <c r="D508">
        <v>8.5</v>
      </c>
    </row>
    <row r="509" spans="1:4" x14ac:dyDescent="0.35">
      <c r="A509" t="s">
        <v>20</v>
      </c>
      <c r="B509" t="s">
        <v>10</v>
      </c>
      <c r="C509">
        <v>7</v>
      </c>
      <c r="D509">
        <v>3.5</v>
      </c>
    </row>
    <row r="510" spans="1:4" x14ac:dyDescent="0.35">
      <c r="A510" t="s">
        <v>20</v>
      </c>
      <c r="B510" t="s">
        <v>9</v>
      </c>
      <c r="C510">
        <v>8</v>
      </c>
      <c r="D510">
        <v>4</v>
      </c>
    </row>
    <row r="511" spans="1:4" x14ac:dyDescent="0.35">
      <c r="A511" t="s">
        <v>20</v>
      </c>
      <c r="B511" t="s">
        <v>31</v>
      </c>
      <c r="C511">
        <v>8</v>
      </c>
      <c r="D511">
        <v>5.5</v>
      </c>
    </row>
    <row r="512" spans="1:4" x14ac:dyDescent="0.35">
      <c r="A512" t="s">
        <v>20</v>
      </c>
      <c r="B512" t="s">
        <v>32</v>
      </c>
      <c r="C512">
        <v>8</v>
      </c>
      <c r="D512">
        <v>0</v>
      </c>
    </row>
    <row r="513" spans="1:4" x14ac:dyDescent="0.35">
      <c r="A513" t="s">
        <v>20</v>
      </c>
      <c r="B513" t="s">
        <v>10</v>
      </c>
      <c r="C513">
        <v>8</v>
      </c>
      <c r="D513">
        <v>4</v>
      </c>
    </row>
    <row r="514" spans="1:4" x14ac:dyDescent="0.35">
      <c r="A514" t="s">
        <v>20</v>
      </c>
      <c r="B514" t="s">
        <v>9</v>
      </c>
      <c r="C514">
        <v>9</v>
      </c>
      <c r="D514">
        <v>2</v>
      </c>
    </row>
    <row r="515" spans="1:4" x14ac:dyDescent="0.35">
      <c r="A515" t="s">
        <v>20</v>
      </c>
      <c r="B515" t="s">
        <v>31</v>
      </c>
      <c r="C515">
        <v>9</v>
      </c>
      <c r="D515">
        <v>4</v>
      </c>
    </row>
    <row r="516" spans="1:4" x14ac:dyDescent="0.35">
      <c r="A516" t="s">
        <v>20</v>
      </c>
      <c r="B516" t="s">
        <v>32</v>
      </c>
      <c r="C516">
        <v>9</v>
      </c>
      <c r="D516">
        <v>5</v>
      </c>
    </row>
    <row r="517" spans="1:4" x14ac:dyDescent="0.35">
      <c r="A517" t="s">
        <v>20</v>
      </c>
      <c r="B517" t="s">
        <v>10</v>
      </c>
      <c r="C517">
        <v>9</v>
      </c>
      <c r="D517">
        <v>2.5</v>
      </c>
    </row>
    <row r="518" spans="1:4" x14ac:dyDescent="0.35">
      <c r="A518" t="s">
        <v>20</v>
      </c>
      <c r="B518" t="s">
        <v>9</v>
      </c>
      <c r="C518">
        <v>10</v>
      </c>
      <c r="D518">
        <v>3</v>
      </c>
    </row>
    <row r="519" spans="1:4" x14ac:dyDescent="0.35">
      <c r="A519" t="s">
        <v>20</v>
      </c>
      <c r="B519" t="s">
        <v>31</v>
      </c>
      <c r="C519">
        <v>10</v>
      </c>
      <c r="D519">
        <v>3</v>
      </c>
    </row>
    <row r="520" spans="1:4" x14ac:dyDescent="0.35">
      <c r="A520" t="s">
        <v>20</v>
      </c>
      <c r="B520" t="s">
        <v>32</v>
      </c>
      <c r="C520">
        <v>10</v>
      </c>
      <c r="D520">
        <v>2.5</v>
      </c>
    </row>
    <row r="521" spans="1:4" x14ac:dyDescent="0.35">
      <c r="A521" t="s">
        <v>20</v>
      </c>
      <c r="B521" t="s">
        <v>10</v>
      </c>
      <c r="C521">
        <v>10</v>
      </c>
      <c r="D521">
        <v>4</v>
      </c>
    </row>
    <row r="522" spans="1:4" x14ac:dyDescent="0.35">
      <c r="A522" t="s">
        <v>20</v>
      </c>
      <c r="B522" t="s">
        <v>9</v>
      </c>
      <c r="C522">
        <v>11</v>
      </c>
      <c r="D522">
        <v>3</v>
      </c>
    </row>
    <row r="523" spans="1:4" x14ac:dyDescent="0.35">
      <c r="A523" t="s">
        <v>20</v>
      </c>
      <c r="B523" t="s">
        <v>31</v>
      </c>
      <c r="C523">
        <v>11</v>
      </c>
      <c r="D523">
        <v>5.5</v>
      </c>
    </row>
    <row r="524" spans="1:4" x14ac:dyDescent="0.35">
      <c r="A524" t="s">
        <v>20</v>
      </c>
      <c r="B524" t="s">
        <v>32</v>
      </c>
      <c r="C524">
        <v>11</v>
      </c>
      <c r="D524">
        <v>0</v>
      </c>
    </row>
    <row r="525" spans="1:4" x14ac:dyDescent="0.35">
      <c r="A525" t="s">
        <v>20</v>
      </c>
      <c r="B525" t="s">
        <v>10</v>
      </c>
      <c r="C525">
        <v>11</v>
      </c>
      <c r="D525">
        <v>3</v>
      </c>
    </row>
    <row r="526" spans="1:4" x14ac:dyDescent="0.35">
      <c r="A526" t="s">
        <v>20</v>
      </c>
      <c r="B526" t="s">
        <v>9</v>
      </c>
      <c r="C526">
        <v>12</v>
      </c>
      <c r="D526">
        <v>3.5</v>
      </c>
    </row>
    <row r="527" spans="1:4" x14ac:dyDescent="0.35">
      <c r="A527" t="s">
        <v>20</v>
      </c>
      <c r="B527" t="s">
        <v>31</v>
      </c>
      <c r="C527">
        <v>12</v>
      </c>
      <c r="D527">
        <v>5.5</v>
      </c>
    </row>
    <row r="528" spans="1:4" x14ac:dyDescent="0.35">
      <c r="A528" t="s">
        <v>20</v>
      </c>
      <c r="B528" t="s">
        <v>32</v>
      </c>
      <c r="C528">
        <v>12</v>
      </c>
      <c r="D528">
        <v>0</v>
      </c>
    </row>
    <row r="529" spans="1:4" x14ac:dyDescent="0.35">
      <c r="A529" t="s">
        <v>20</v>
      </c>
      <c r="B529" t="s">
        <v>10</v>
      </c>
      <c r="C529">
        <v>12</v>
      </c>
      <c r="D529">
        <v>6</v>
      </c>
    </row>
    <row r="530" spans="1:4" x14ac:dyDescent="0.35">
      <c r="A530" t="s">
        <v>21</v>
      </c>
      <c r="B530" t="s">
        <v>9</v>
      </c>
      <c r="C530">
        <v>1</v>
      </c>
      <c r="D530">
        <v>5</v>
      </c>
    </row>
    <row r="531" spans="1:4" x14ac:dyDescent="0.35">
      <c r="A531" t="s">
        <v>21</v>
      </c>
      <c r="B531" t="s">
        <v>31</v>
      </c>
      <c r="C531">
        <v>1</v>
      </c>
      <c r="D531">
        <v>2</v>
      </c>
    </row>
    <row r="532" spans="1:4" x14ac:dyDescent="0.35">
      <c r="A532" t="s">
        <v>21</v>
      </c>
      <c r="B532" t="s">
        <v>32</v>
      </c>
      <c r="C532">
        <v>1</v>
      </c>
      <c r="D532">
        <v>0</v>
      </c>
    </row>
    <row r="533" spans="1:4" x14ac:dyDescent="0.35">
      <c r="A533" t="s">
        <v>21</v>
      </c>
      <c r="B533" t="s">
        <v>10</v>
      </c>
      <c r="C533">
        <v>1</v>
      </c>
      <c r="D533">
        <v>2.5</v>
      </c>
    </row>
    <row r="534" spans="1:4" x14ac:dyDescent="0.35">
      <c r="A534" t="s">
        <v>21</v>
      </c>
      <c r="B534" t="s">
        <v>9</v>
      </c>
      <c r="C534">
        <v>2</v>
      </c>
      <c r="D534">
        <v>4</v>
      </c>
    </row>
    <row r="535" spans="1:4" x14ac:dyDescent="0.35">
      <c r="A535" t="s">
        <v>21</v>
      </c>
      <c r="B535" t="s">
        <v>31</v>
      </c>
      <c r="C535">
        <v>2</v>
      </c>
      <c r="D535">
        <v>4</v>
      </c>
    </row>
    <row r="536" spans="1:4" x14ac:dyDescent="0.35">
      <c r="A536" t="s">
        <v>21</v>
      </c>
      <c r="B536" t="s">
        <v>32</v>
      </c>
      <c r="C536">
        <v>2</v>
      </c>
      <c r="D536">
        <v>0</v>
      </c>
    </row>
    <row r="537" spans="1:4" x14ac:dyDescent="0.35">
      <c r="A537" t="s">
        <v>21</v>
      </c>
      <c r="B537" t="s">
        <v>10</v>
      </c>
      <c r="C537">
        <v>2</v>
      </c>
      <c r="D537">
        <v>3</v>
      </c>
    </row>
    <row r="538" spans="1:4" x14ac:dyDescent="0.35">
      <c r="A538" t="s">
        <v>21</v>
      </c>
      <c r="B538" t="s">
        <v>9</v>
      </c>
      <c r="C538">
        <v>3</v>
      </c>
      <c r="D538">
        <v>3.5</v>
      </c>
    </row>
    <row r="539" spans="1:4" x14ac:dyDescent="0.35">
      <c r="A539" t="s">
        <v>21</v>
      </c>
      <c r="B539" t="s">
        <v>31</v>
      </c>
      <c r="C539">
        <v>3</v>
      </c>
      <c r="D539">
        <v>2.5</v>
      </c>
    </row>
    <row r="540" spans="1:4" x14ac:dyDescent="0.35">
      <c r="A540" t="s">
        <v>21</v>
      </c>
      <c r="B540" t="s">
        <v>32</v>
      </c>
      <c r="C540">
        <v>3</v>
      </c>
      <c r="D540">
        <v>3</v>
      </c>
    </row>
    <row r="541" spans="1:4" x14ac:dyDescent="0.35">
      <c r="A541" t="s">
        <v>21</v>
      </c>
      <c r="B541" t="s">
        <v>10</v>
      </c>
      <c r="C541">
        <v>3</v>
      </c>
      <c r="D541">
        <v>3</v>
      </c>
    </row>
    <row r="542" spans="1:4" x14ac:dyDescent="0.35">
      <c r="A542" t="s">
        <v>21</v>
      </c>
      <c r="B542" t="s">
        <v>9</v>
      </c>
      <c r="C542">
        <v>4</v>
      </c>
      <c r="D542">
        <v>1</v>
      </c>
    </row>
    <row r="543" spans="1:4" x14ac:dyDescent="0.35">
      <c r="A543" t="s">
        <v>21</v>
      </c>
      <c r="B543" t="s">
        <v>31</v>
      </c>
      <c r="C543">
        <v>4</v>
      </c>
      <c r="D543">
        <v>10.5</v>
      </c>
    </row>
    <row r="544" spans="1:4" x14ac:dyDescent="0.35">
      <c r="A544" t="s">
        <v>21</v>
      </c>
      <c r="B544" t="s">
        <v>32</v>
      </c>
      <c r="C544">
        <v>4</v>
      </c>
      <c r="D544">
        <v>0</v>
      </c>
    </row>
    <row r="545" spans="1:4" x14ac:dyDescent="0.35">
      <c r="A545" t="s">
        <v>21</v>
      </c>
      <c r="B545" t="s">
        <v>10</v>
      </c>
      <c r="C545">
        <v>4</v>
      </c>
      <c r="D545">
        <v>5</v>
      </c>
    </row>
    <row r="546" spans="1:4" x14ac:dyDescent="0.35">
      <c r="A546" t="s">
        <v>21</v>
      </c>
      <c r="B546" t="s">
        <v>9</v>
      </c>
      <c r="C546">
        <v>5</v>
      </c>
      <c r="D546">
        <v>5</v>
      </c>
    </row>
    <row r="547" spans="1:4" x14ac:dyDescent="0.35">
      <c r="A547" t="s">
        <v>21</v>
      </c>
      <c r="B547" t="s">
        <v>31</v>
      </c>
      <c r="C547">
        <v>5</v>
      </c>
      <c r="D547">
        <v>4</v>
      </c>
    </row>
    <row r="548" spans="1:4" x14ac:dyDescent="0.35">
      <c r="A548" t="s">
        <v>21</v>
      </c>
      <c r="B548" t="s">
        <v>32</v>
      </c>
      <c r="C548">
        <v>5</v>
      </c>
      <c r="D548">
        <v>3.5</v>
      </c>
    </row>
    <row r="549" spans="1:4" x14ac:dyDescent="0.35">
      <c r="A549" t="s">
        <v>21</v>
      </c>
      <c r="B549" t="s">
        <v>10</v>
      </c>
      <c r="C549">
        <v>5</v>
      </c>
      <c r="D549">
        <v>4</v>
      </c>
    </row>
    <row r="550" spans="1:4" x14ac:dyDescent="0.35">
      <c r="A550" t="s">
        <v>21</v>
      </c>
      <c r="B550" t="s">
        <v>9</v>
      </c>
      <c r="C550">
        <v>6</v>
      </c>
      <c r="D550">
        <v>3.5</v>
      </c>
    </row>
    <row r="551" spans="1:4" x14ac:dyDescent="0.35">
      <c r="A551" t="s">
        <v>21</v>
      </c>
      <c r="B551" t="s">
        <v>31</v>
      </c>
      <c r="C551">
        <v>6</v>
      </c>
      <c r="D551">
        <v>11.5</v>
      </c>
    </row>
    <row r="552" spans="1:4" x14ac:dyDescent="0.35">
      <c r="A552" t="s">
        <v>21</v>
      </c>
      <c r="B552" t="s">
        <v>32</v>
      </c>
      <c r="C552">
        <v>6</v>
      </c>
      <c r="D552">
        <v>0</v>
      </c>
    </row>
    <row r="553" spans="1:4" x14ac:dyDescent="0.35">
      <c r="A553" t="s">
        <v>21</v>
      </c>
      <c r="B553" t="s">
        <v>10</v>
      </c>
      <c r="C553">
        <v>6</v>
      </c>
      <c r="D553">
        <v>3.5</v>
      </c>
    </row>
    <row r="554" spans="1:4" x14ac:dyDescent="0.35">
      <c r="A554" t="s">
        <v>21</v>
      </c>
      <c r="B554" t="s">
        <v>9</v>
      </c>
      <c r="C554">
        <v>7</v>
      </c>
      <c r="D554">
        <v>3</v>
      </c>
    </row>
    <row r="555" spans="1:4" x14ac:dyDescent="0.35">
      <c r="A555" t="s">
        <v>21</v>
      </c>
      <c r="B555" t="s">
        <v>31</v>
      </c>
      <c r="C555">
        <v>7</v>
      </c>
      <c r="D555">
        <v>18.5</v>
      </c>
    </row>
    <row r="556" spans="1:4" x14ac:dyDescent="0.35">
      <c r="A556" t="s">
        <v>21</v>
      </c>
      <c r="B556" t="s">
        <v>32</v>
      </c>
      <c r="C556">
        <v>7</v>
      </c>
      <c r="D556">
        <v>0</v>
      </c>
    </row>
    <row r="557" spans="1:4" x14ac:dyDescent="0.35">
      <c r="A557" t="s">
        <v>21</v>
      </c>
      <c r="B557" t="s">
        <v>10</v>
      </c>
      <c r="C557">
        <v>7</v>
      </c>
      <c r="D557">
        <v>3.5</v>
      </c>
    </row>
    <row r="558" spans="1:4" x14ac:dyDescent="0.35">
      <c r="A558" t="s">
        <v>21</v>
      </c>
      <c r="B558" t="s">
        <v>9</v>
      </c>
      <c r="C558">
        <v>8</v>
      </c>
      <c r="D558">
        <v>3</v>
      </c>
    </row>
    <row r="559" spans="1:4" x14ac:dyDescent="0.35">
      <c r="A559" t="s">
        <v>21</v>
      </c>
      <c r="B559" t="s">
        <v>31</v>
      </c>
      <c r="C559">
        <v>8</v>
      </c>
      <c r="D559">
        <v>5.5</v>
      </c>
    </row>
    <row r="560" spans="1:4" x14ac:dyDescent="0.35">
      <c r="A560" t="s">
        <v>21</v>
      </c>
      <c r="B560" t="s">
        <v>32</v>
      </c>
      <c r="C560">
        <v>8</v>
      </c>
      <c r="D560">
        <v>0</v>
      </c>
    </row>
    <row r="561" spans="1:4" x14ac:dyDescent="0.35">
      <c r="A561" t="s">
        <v>21</v>
      </c>
      <c r="B561" t="s">
        <v>10</v>
      </c>
      <c r="C561">
        <v>8</v>
      </c>
      <c r="D561">
        <v>9.5</v>
      </c>
    </row>
    <row r="562" spans="1:4" x14ac:dyDescent="0.35">
      <c r="A562" t="s">
        <v>21</v>
      </c>
      <c r="B562" t="s">
        <v>9</v>
      </c>
      <c r="C562">
        <v>9</v>
      </c>
      <c r="D562">
        <v>3.5</v>
      </c>
    </row>
    <row r="563" spans="1:4" x14ac:dyDescent="0.35">
      <c r="A563" t="s">
        <v>21</v>
      </c>
      <c r="B563" t="s">
        <v>31</v>
      </c>
      <c r="C563">
        <v>9</v>
      </c>
      <c r="D563">
        <v>3</v>
      </c>
    </row>
    <row r="564" spans="1:4" x14ac:dyDescent="0.35">
      <c r="A564" t="s">
        <v>21</v>
      </c>
      <c r="B564" t="s">
        <v>32</v>
      </c>
      <c r="C564">
        <v>9</v>
      </c>
      <c r="D564">
        <v>0</v>
      </c>
    </row>
    <row r="565" spans="1:4" x14ac:dyDescent="0.35">
      <c r="A565" t="s">
        <v>21</v>
      </c>
      <c r="B565" t="s">
        <v>10</v>
      </c>
      <c r="C565">
        <v>9</v>
      </c>
      <c r="D565">
        <v>6</v>
      </c>
    </row>
    <row r="566" spans="1:4" x14ac:dyDescent="0.35">
      <c r="A566" t="s">
        <v>21</v>
      </c>
      <c r="B566" t="s">
        <v>9</v>
      </c>
      <c r="C566">
        <v>10</v>
      </c>
      <c r="D566">
        <v>3.5</v>
      </c>
    </row>
    <row r="567" spans="1:4" x14ac:dyDescent="0.35">
      <c r="A567" t="s">
        <v>21</v>
      </c>
      <c r="B567" t="s">
        <v>31</v>
      </c>
      <c r="C567">
        <v>10</v>
      </c>
      <c r="D567">
        <v>3.5</v>
      </c>
    </row>
    <row r="568" spans="1:4" x14ac:dyDescent="0.35">
      <c r="A568" t="s">
        <v>21</v>
      </c>
      <c r="B568" t="s">
        <v>32</v>
      </c>
      <c r="C568">
        <v>10</v>
      </c>
      <c r="D568">
        <v>0</v>
      </c>
    </row>
    <row r="569" spans="1:4" x14ac:dyDescent="0.35">
      <c r="A569" t="s">
        <v>21</v>
      </c>
      <c r="B569" t="s">
        <v>10</v>
      </c>
      <c r="C569">
        <v>10</v>
      </c>
      <c r="D569">
        <v>6.5</v>
      </c>
    </row>
    <row r="570" spans="1:4" x14ac:dyDescent="0.35">
      <c r="A570" t="s">
        <v>21</v>
      </c>
      <c r="B570" t="s">
        <v>9</v>
      </c>
      <c r="C570">
        <v>11</v>
      </c>
      <c r="D570">
        <v>2.5</v>
      </c>
    </row>
    <row r="571" spans="1:4" x14ac:dyDescent="0.35">
      <c r="A571" t="s">
        <v>21</v>
      </c>
      <c r="B571" t="s">
        <v>31</v>
      </c>
      <c r="C571">
        <v>11</v>
      </c>
      <c r="D571" t="s">
        <v>34</v>
      </c>
    </row>
    <row r="572" spans="1:4" x14ac:dyDescent="0.35">
      <c r="A572" t="s">
        <v>21</v>
      </c>
      <c r="B572" t="s">
        <v>32</v>
      </c>
      <c r="C572">
        <v>11</v>
      </c>
      <c r="D572">
        <v>0</v>
      </c>
    </row>
    <row r="573" spans="1:4" x14ac:dyDescent="0.35">
      <c r="A573" t="s">
        <v>21</v>
      </c>
      <c r="B573" t="s">
        <v>10</v>
      </c>
      <c r="C573">
        <v>11</v>
      </c>
      <c r="D573">
        <v>6.5</v>
      </c>
    </row>
    <row r="574" spans="1:4" x14ac:dyDescent="0.35">
      <c r="A574" t="s">
        <v>21</v>
      </c>
      <c r="B574" t="s">
        <v>9</v>
      </c>
      <c r="C574">
        <v>12</v>
      </c>
      <c r="D574">
        <v>3.3</v>
      </c>
    </row>
    <row r="575" spans="1:4" x14ac:dyDescent="0.35">
      <c r="A575" t="s">
        <v>21</v>
      </c>
      <c r="B575" t="s">
        <v>31</v>
      </c>
      <c r="C575">
        <v>12</v>
      </c>
      <c r="D575">
        <v>5.5</v>
      </c>
    </row>
    <row r="576" spans="1:4" x14ac:dyDescent="0.35">
      <c r="A576" t="s">
        <v>21</v>
      </c>
      <c r="B576" t="s">
        <v>32</v>
      </c>
      <c r="C576">
        <v>12</v>
      </c>
      <c r="D576">
        <v>0</v>
      </c>
    </row>
    <row r="577" spans="1:4" x14ac:dyDescent="0.35">
      <c r="A577" t="s">
        <v>21</v>
      </c>
      <c r="B577" t="s">
        <v>10</v>
      </c>
      <c r="C577">
        <v>12</v>
      </c>
      <c r="D577">
        <v>7.5</v>
      </c>
    </row>
    <row r="578" spans="1:4" x14ac:dyDescent="0.35">
      <c r="A578" t="s">
        <v>22</v>
      </c>
      <c r="B578" t="s">
        <v>9</v>
      </c>
      <c r="C578">
        <v>1</v>
      </c>
      <c r="D578">
        <v>3</v>
      </c>
    </row>
    <row r="579" spans="1:4" x14ac:dyDescent="0.35">
      <c r="A579" t="s">
        <v>22</v>
      </c>
      <c r="B579" t="s">
        <v>31</v>
      </c>
      <c r="C579">
        <v>1</v>
      </c>
      <c r="D579">
        <v>11</v>
      </c>
    </row>
    <row r="580" spans="1:4" x14ac:dyDescent="0.35">
      <c r="A580" t="s">
        <v>22</v>
      </c>
      <c r="B580" t="s">
        <v>32</v>
      </c>
      <c r="C580">
        <v>1</v>
      </c>
      <c r="D580" t="s">
        <v>33</v>
      </c>
    </row>
    <row r="581" spans="1:4" x14ac:dyDescent="0.35">
      <c r="A581" t="s">
        <v>22</v>
      </c>
      <c r="B581" t="s">
        <v>10</v>
      </c>
      <c r="C581">
        <v>1</v>
      </c>
      <c r="D581" t="s">
        <v>33</v>
      </c>
    </row>
    <row r="582" spans="1:4" x14ac:dyDescent="0.35">
      <c r="A582" t="s">
        <v>22</v>
      </c>
      <c r="B582" t="s">
        <v>9</v>
      </c>
      <c r="C582">
        <v>2</v>
      </c>
      <c r="D582">
        <v>3.5</v>
      </c>
    </row>
    <row r="583" spans="1:4" x14ac:dyDescent="0.35">
      <c r="A583" t="s">
        <v>22</v>
      </c>
      <c r="B583" t="s">
        <v>31</v>
      </c>
      <c r="C583">
        <v>2</v>
      </c>
      <c r="D583">
        <v>11</v>
      </c>
    </row>
    <row r="584" spans="1:4" x14ac:dyDescent="0.35">
      <c r="A584" t="s">
        <v>22</v>
      </c>
      <c r="B584" t="s">
        <v>32</v>
      </c>
      <c r="C584">
        <v>2</v>
      </c>
      <c r="D584" t="s">
        <v>33</v>
      </c>
    </row>
    <row r="585" spans="1:4" x14ac:dyDescent="0.35">
      <c r="A585" t="s">
        <v>22</v>
      </c>
      <c r="B585" t="s">
        <v>10</v>
      </c>
      <c r="C585">
        <v>2</v>
      </c>
      <c r="D585" t="s">
        <v>33</v>
      </c>
    </row>
    <row r="586" spans="1:4" x14ac:dyDescent="0.35">
      <c r="A586" t="s">
        <v>22</v>
      </c>
      <c r="B586" t="s">
        <v>9</v>
      </c>
      <c r="C586">
        <v>3</v>
      </c>
      <c r="D586">
        <v>3</v>
      </c>
    </row>
    <row r="587" spans="1:4" x14ac:dyDescent="0.35">
      <c r="A587" t="s">
        <v>22</v>
      </c>
      <c r="B587" t="s">
        <v>31</v>
      </c>
      <c r="C587">
        <v>3</v>
      </c>
      <c r="D587">
        <v>8</v>
      </c>
    </row>
    <row r="588" spans="1:4" x14ac:dyDescent="0.35">
      <c r="A588" t="s">
        <v>22</v>
      </c>
      <c r="B588" t="s">
        <v>32</v>
      </c>
      <c r="C588">
        <v>3</v>
      </c>
      <c r="D588" t="s">
        <v>33</v>
      </c>
    </row>
    <row r="589" spans="1:4" x14ac:dyDescent="0.35">
      <c r="A589" t="s">
        <v>22</v>
      </c>
      <c r="B589" t="s">
        <v>10</v>
      </c>
      <c r="C589">
        <v>3</v>
      </c>
      <c r="D589" t="s">
        <v>33</v>
      </c>
    </row>
    <row r="590" spans="1:4" x14ac:dyDescent="0.35">
      <c r="A590" t="s">
        <v>22</v>
      </c>
      <c r="B590" t="s">
        <v>9</v>
      </c>
      <c r="C590">
        <v>4</v>
      </c>
      <c r="D590">
        <v>3</v>
      </c>
    </row>
    <row r="591" spans="1:4" x14ac:dyDescent="0.35">
      <c r="A591" t="s">
        <v>22</v>
      </c>
      <c r="B591" t="s">
        <v>31</v>
      </c>
      <c r="C591">
        <v>4</v>
      </c>
      <c r="D591">
        <v>8</v>
      </c>
    </row>
    <row r="592" spans="1:4" x14ac:dyDescent="0.35">
      <c r="A592" t="s">
        <v>22</v>
      </c>
      <c r="B592" t="s">
        <v>32</v>
      </c>
      <c r="C592">
        <v>4</v>
      </c>
      <c r="D592" t="s">
        <v>33</v>
      </c>
    </row>
    <row r="593" spans="1:4" x14ac:dyDescent="0.35">
      <c r="A593" t="s">
        <v>22</v>
      </c>
      <c r="B593" t="s">
        <v>10</v>
      </c>
      <c r="C593">
        <v>4</v>
      </c>
      <c r="D593" t="s">
        <v>33</v>
      </c>
    </row>
    <row r="594" spans="1:4" x14ac:dyDescent="0.35">
      <c r="A594" t="s">
        <v>22</v>
      </c>
      <c r="B594" t="s">
        <v>9</v>
      </c>
      <c r="C594">
        <v>5</v>
      </c>
      <c r="D594">
        <v>3</v>
      </c>
    </row>
    <row r="595" spans="1:4" x14ac:dyDescent="0.35">
      <c r="A595" t="s">
        <v>22</v>
      </c>
      <c r="B595" t="s">
        <v>31</v>
      </c>
      <c r="C595">
        <v>5</v>
      </c>
      <c r="D595">
        <v>10.5</v>
      </c>
    </row>
    <row r="596" spans="1:4" x14ac:dyDescent="0.35">
      <c r="A596" t="s">
        <v>22</v>
      </c>
      <c r="B596" t="s">
        <v>32</v>
      </c>
      <c r="C596">
        <v>5</v>
      </c>
      <c r="D596" t="s">
        <v>33</v>
      </c>
    </row>
    <row r="597" spans="1:4" x14ac:dyDescent="0.35">
      <c r="A597" t="s">
        <v>22</v>
      </c>
      <c r="B597" t="s">
        <v>10</v>
      </c>
      <c r="C597">
        <v>5</v>
      </c>
      <c r="D597" t="s">
        <v>33</v>
      </c>
    </row>
    <row r="598" spans="1:4" x14ac:dyDescent="0.35">
      <c r="A598" t="s">
        <v>22</v>
      </c>
      <c r="B598" t="s">
        <v>9</v>
      </c>
      <c r="C598">
        <v>6</v>
      </c>
      <c r="D598">
        <v>4.5</v>
      </c>
    </row>
    <row r="599" spans="1:4" x14ac:dyDescent="0.35">
      <c r="A599" t="s">
        <v>22</v>
      </c>
      <c r="B599" t="s">
        <v>31</v>
      </c>
      <c r="C599">
        <v>6</v>
      </c>
      <c r="D599">
        <v>13</v>
      </c>
    </row>
    <row r="600" spans="1:4" x14ac:dyDescent="0.35">
      <c r="A600" t="s">
        <v>22</v>
      </c>
      <c r="B600" t="s">
        <v>32</v>
      </c>
      <c r="C600">
        <v>6</v>
      </c>
      <c r="D600" t="s">
        <v>33</v>
      </c>
    </row>
    <row r="601" spans="1:4" x14ac:dyDescent="0.35">
      <c r="A601" t="s">
        <v>22</v>
      </c>
      <c r="B601" t="s">
        <v>10</v>
      </c>
      <c r="C601">
        <v>6</v>
      </c>
      <c r="D601" t="s">
        <v>33</v>
      </c>
    </row>
    <row r="602" spans="1:4" x14ac:dyDescent="0.35">
      <c r="A602" t="s">
        <v>22</v>
      </c>
      <c r="B602" t="s">
        <v>9</v>
      </c>
      <c r="C602">
        <v>7</v>
      </c>
      <c r="D602">
        <v>3</v>
      </c>
    </row>
    <row r="603" spans="1:4" x14ac:dyDescent="0.35">
      <c r="A603" t="s">
        <v>22</v>
      </c>
      <c r="B603" t="s">
        <v>31</v>
      </c>
      <c r="C603">
        <v>7</v>
      </c>
      <c r="D603">
        <v>10.5</v>
      </c>
    </row>
    <row r="604" spans="1:4" x14ac:dyDescent="0.35">
      <c r="A604" t="s">
        <v>22</v>
      </c>
      <c r="B604" t="s">
        <v>32</v>
      </c>
      <c r="C604">
        <v>7</v>
      </c>
      <c r="D604">
        <v>0</v>
      </c>
    </row>
    <row r="605" spans="1:4" x14ac:dyDescent="0.35">
      <c r="A605" t="s">
        <v>22</v>
      </c>
      <c r="B605" t="s">
        <v>10</v>
      </c>
      <c r="C605">
        <v>7</v>
      </c>
      <c r="D605">
        <v>2</v>
      </c>
    </row>
    <row r="606" spans="1:4" x14ac:dyDescent="0.35">
      <c r="A606" t="s">
        <v>22</v>
      </c>
      <c r="B606" t="s">
        <v>9</v>
      </c>
      <c r="C606">
        <v>8</v>
      </c>
      <c r="D606">
        <v>6</v>
      </c>
    </row>
    <row r="607" spans="1:4" x14ac:dyDescent="0.35">
      <c r="A607" t="s">
        <v>22</v>
      </c>
      <c r="B607" t="s">
        <v>31</v>
      </c>
      <c r="C607">
        <v>8</v>
      </c>
      <c r="D607">
        <v>11.5</v>
      </c>
    </row>
    <row r="608" spans="1:4" x14ac:dyDescent="0.35">
      <c r="A608" t="s">
        <v>22</v>
      </c>
      <c r="B608" t="s">
        <v>32</v>
      </c>
      <c r="C608">
        <v>8</v>
      </c>
      <c r="D608">
        <v>0</v>
      </c>
    </row>
    <row r="609" spans="1:4" x14ac:dyDescent="0.35">
      <c r="A609" t="s">
        <v>22</v>
      </c>
      <c r="B609" t="s">
        <v>10</v>
      </c>
      <c r="C609">
        <v>8</v>
      </c>
      <c r="D609">
        <v>1</v>
      </c>
    </row>
    <row r="610" spans="1:4" x14ac:dyDescent="0.35">
      <c r="A610" t="s">
        <v>22</v>
      </c>
      <c r="B610" t="s">
        <v>9</v>
      </c>
      <c r="C610">
        <v>9</v>
      </c>
      <c r="D610">
        <v>2.5</v>
      </c>
    </row>
    <row r="611" spans="1:4" x14ac:dyDescent="0.35">
      <c r="A611" t="s">
        <v>22</v>
      </c>
      <c r="B611" t="s">
        <v>31</v>
      </c>
      <c r="C611">
        <v>9</v>
      </c>
      <c r="D611">
        <v>17</v>
      </c>
    </row>
    <row r="612" spans="1:4" x14ac:dyDescent="0.35">
      <c r="A612" t="s">
        <v>22</v>
      </c>
      <c r="B612" t="s">
        <v>32</v>
      </c>
      <c r="C612">
        <v>9</v>
      </c>
      <c r="D612" t="s">
        <v>33</v>
      </c>
    </row>
    <row r="613" spans="1:4" x14ac:dyDescent="0.35">
      <c r="A613" t="s">
        <v>22</v>
      </c>
      <c r="B613" t="s">
        <v>10</v>
      </c>
      <c r="C613">
        <v>9</v>
      </c>
      <c r="D613" t="s">
        <v>33</v>
      </c>
    </row>
    <row r="614" spans="1:4" x14ac:dyDescent="0.35">
      <c r="A614" t="s">
        <v>22</v>
      </c>
      <c r="B614" t="s">
        <v>9</v>
      </c>
      <c r="C614">
        <v>10</v>
      </c>
      <c r="D614">
        <v>3.5</v>
      </c>
    </row>
    <row r="615" spans="1:4" x14ac:dyDescent="0.35">
      <c r="A615" t="s">
        <v>22</v>
      </c>
      <c r="B615" t="s">
        <v>31</v>
      </c>
      <c r="C615">
        <v>10</v>
      </c>
      <c r="D615">
        <f>9.5+6.5</f>
        <v>16</v>
      </c>
    </row>
    <row r="616" spans="1:4" x14ac:dyDescent="0.35">
      <c r="A616" t="s">
        <v>22</v>
      </c>
      <c r="B616" t="s">
        <v>32</v>
      </c>
      <c r="C616">
        <v>10</v>
      </c>
      <c r="D616">
        <v>0</v>
      </c>
    </row>
    <row r="617" spans="1:4" x14ac:dyDescent="0.35">
      <c r="A617" t="s">
        <v>22</v>
      </c>
      <c r="B617" t="s">
        <v>10</v>
      </c>
      <c r="C617">
        <v>10</v>
      </c>
      <c r="D617">
        <v>1.5</v>
      </c>
    </row>
    <row r="618" spans="1:4" x14ac:dyDescent="0.35">
      <c r="A618" t="s">
        <v>22</v>
      </c>
      <c r="B618" t="s">
        <v>9</v>
      </c>
      <c r="C618">
        <v>11</v>
      </c>
      <c r="D618">
        <v>4</v>
      </c>
    </row>
    <row r="619" spans="1:4" x14ac:dyDescent="0.35">
      <c r="A619" t="s">
        <v>22</v>
      </c>
      <c r="B619" t="s">
        <v>31</v>
      </c>
      <c r="C619">
        <v>11</v>
      </c>
      <c r="D619">
        <v>12</v>
      </c>
    </row>
    <row r="620" spans="1:4" x14ac:dyDescent="0.35">
      <c r="A620" t="s">
        <v>22</v>
      </c>
      <c r="B620" t="s">
        <v>32</v>
      </c>
      <c r="C620">
        <v>11</v>
      </c>
      <c r="D620">
        <v>0</v>
      </c>
    </row>
    <row r="621" spans="1:4" x14ac:dyDescent="0.35">
      <c r="A621" t="s">
        <v>22</v>
      </c>
      <c r="B621" t="s">
        <v>10</v>
      </c>
      <c r="C621">
        <v>11</v>
      </c>
      <c r="D621">
        <v>1.5</v>
      </c>
    </row>
    <row r="622" spans="1:4" x14ac:dyDescent="0.35">
      <c r="A622" t="s">
        <v>22</v>
      </c>
      <c r="B622" t="s">
        <v>9</v>
      </c>
      <c r="C622">
        <v>12</v>
      </c>
      <c r="D622">
        <v>3.5</v>
      </c>
    </row>
    <row r="623" spans="1:4" x14ac:dyDescent="0.35">
      <c r="A623" t="s">
        <v>22</v>
      </c>
      <c r="B623" t="s">
        <v>31</v>
      </c>
      <c r="C623">
        <v>12</v>
      </c>
      <c r="D623">
        <v>9.5</v>
      </c>
    </row>
    <row r="624" spans="1:4" x14ac:dyDescent="0.35">
      <c r="A624" t="s">
        <v>22</v>
      </c>
      <c r="B624" t="s">
        <v>32</v>
      </c>
      <c r="C624">
        <v>12</v>
      </c>
      <c r="D624" t="s">
        <v>33</v>
      </c>
    </row>
    <row r="625" spans="1:4" x14ac:dyDescent="0.35">
      <c r="A625" t="s">
        <v>22</v>
      </c>
      <c r="B625" t="s">
        <v>10</v>
      </c>
      <c r="C625">
        <v>12</v>
      </c>
      <c r="D625" t="s">
        <v>33</v>
      </c>
    </row>
    <row r="626" spans="1:4" x14ac:dyDescent="0.35">
      <c r="A626" t="s">
        <v>23</v>
      </c>
      <c r="B626" t="s">
        <v>9</v>
      </c>
      <c r="C626">
        <v>1</v>
      </c>
      <c r="D626">
        <v>4</v>
      </c>
    </row>
    <row r="627" spans="1:4" x14ac:dyDescent="0.35">
      <c r="A627" t="s">
        <v>23</v>
      </c>
      <c r="B627" t="s">
        <v>31</v>
      </c>
      <c r="C627">
        <v>1</v>
      </c>
      <c r="D627">
        <v>9</v>
      </c>
    </row>
    <row r="628" spans="1:4" x14ac:dyDescent="0.35">
      <c r="A628" t="s">
        <v>23</v>
      </c>
      <c r="B628" t="s">
        <v>32</v>
      </c>
      <c r="C628">
        <v>1</v>
      </c>
      <c r="D628" t="s">
        <v>33</v>
      </c>
    </row>
    <row r="629" spans="1:4" x14ac:dyDescent="0.35">
      <c r="A629" t="s">
        <v>23</v>
      </c>
      <c r="B629" t="s">
        <v>10</v>
      </c>
      <c r="C629">
        <v>1</v>
      </c>
      <c r="D629" t="s">
        <v>33</v>
      </c>
    </row>
    <row r="630" spans="1:4" x14ac:dyDescent="0.35">
      <c r="A630" t="s">
        <v>23</v>
      </c>
      <c r="B630" t="s">
        <v>9</v>
      </c>
      <c r="C630">
        <v>2</v>
      </c>
      <c r="D630">
        <v>2</v>
      </c>
    </row>
    <row r="631" spans="1:4" x14ac:dyDescent="0.35">
      <c r="A631" t="s">
        <v>23</v>
      </c>
      <c r="B631" t="s">
        <v>31</v>
      </c>
      <c r="C631">
        <v>2</v>
      </c>
      <c r="D631">
        <v>12</v>
      </c>
    </row>
    <row r="632" spans="1:4" x14ac:dyDescent="0.35">
      <c r="A632" t="s">
        <v>23</v>
      </c>
      <c r="B632" t="s">
        <v>32</v>
      </c>
      <c r="C632">
        <v>2</v>
      </c>
      <c r="D632" t="s">
        <v>33</v>
      </c>
    </row>
    <row r="633" spans="1:4" x14ac:dyDescent="0.35">
      <c r="A633" t="s">
        <v>23</v>
      </c>
      <c r="B633" t="s">
        <v>10</v>
      </c>
      <c r="C633">
        <v>2</v>
      </c>
      <c r="D633" t="s">
        <v>33</v>
      </c>
    </row>
    <row r="634" spans="1:4" x14ac:dyDescent="0.35">
      <c r="A634" t="s">
        <v>23</v>
      </c>
      <c r="B634" t="s">
        <v>9</v>
      </c>
      <c r="C634">
        <v>3</v>
      </c>
      <c r="D634">
        <v>3.5</v>
      </c>
    </row>
    <row r="635" spans="1:4" x14ac:dyDescent="0.35">
      <c r="A635" t="s">
        <v>23</v>
      </c>
      <c r="B635" t="s">
        <v>31</v>
      </c>
      <c r="C635">
        <v>3</v>
      </c>
      <c r="D635">
        <v>11.5</v>
      </c>
    </row>
    <row r="636" spans="1:4" x14ac:dyDescent="0.35">
      <c r="A636" t="s">
        <v>23</v>
      </c>
      <c r="B636" t="s">
        <v>32</v>
      </c>
      <c r="C636">
        <v>3</v>
      </c>
      <c r="D636" t="s">
        <v>33</v>
      </c>
    </row>
    <row r="637" spans="1:4" x14ac:dyDescent="0.35">
      <c r="A637" t="s">
        <v>23</v>
      </c>
      <c r="B637" t="s">
        <v>10</v>
      </c>
      <c r="C637">
        <v>3</v>
      </c>
      <c r="D637" t="s">
        <v>33</v>
      </c>
    </row>
    <row r="638" spans="1:4" x14ac:dyDescent="0.35">
      <c r="A638" t="s">
        <v>23</v>
      </c>
      <c r="B638" t="s">
        <v>9</v>
      </c>
      <c r="C638">
        <v>4</v>
      </c>
      <c r="D638">
        <v>1.5</v>
      </c>
    </row>
    <row r="639" spans="1:4" x14ac:dyDescent="0.35">
      <c r="A639" t="s">
        <v>23</v>
      </c>
      <c r="B639" t="s">
        <v>31</v>
      </c>
      <c r="C639">
        <v>4</v>
      </c>
      <c r="D639">
        <v>10.5</v>
      </c>
    </row>
    <row r="640" spans="1:4" x14ac:dyDescent="0.35">
      <c r="A640" t="s">
        <v>23</v>
      </c>
      <c r="B640" t="s">
        <v>32</v>
      </c>
      <c r="C640">
        <v>4</v>
      </c>
      <c r="D640">
        <v>0</v>
      </c>
    </row>
    <row r="641" spans="1:4" x14ac:dyDescent="0.35">
      <c r="A641" t="s">
        <v>23</v>
      </c>
      <c r="B641" t="s">
        <v>10</v>
      </c>
      <c r="C641">
        <v>4</v>
      </c>
      <c r="D641">
        <v>4.5</v>
      </c>
    </row>
    <row r="642" spans="1:4" x14ac:dyDescent="0.35">
      <c r="A642" t="s">
        <v>23</v>
      </c>
      <c r="B642" t="s">
        <v>9</v>
      </c>
      <c r="C642">
        <v>5</v>
      </c>
      <c r="D642">
        <v>3</v>
      </c>
    </row>
    <row r="643" spans="1:4" x14ac:dyDescent="0.35">
      <c r="A643" t="s">
        <v>23</v>
      </c>
      <c r="B643" t="s">
        <v>31</v>
      </c>
      <c r="C643">
        <v>5</v>
      </c>
      <c r="D643">
        <v>10</v>
      </c>
    </row>
    <row r="644" spans="1:4" x14ac:dyDescent="0.35">
      <c r="A644" t="s">
        <v>23</v>
      </c>
      <c r="B644" t="s">
        <v>32</v>
      </c>
      <c r="C644">
        <v>5</v>
      </c>
      <c r="D644" t="s">
        <v>33</v>
      </c>
    </row>
    <row r="645" spans="1:4" x14ac:dyDescent="0.35">
      <c r="A645" t="s">
        <v>23</v>
      </c>
      <c r="B645" t="s">
        <v>10</v>
      </c>
      <c r="C645">
        <v>5</v>
      </c>
      <c r="D645">
        <v>3</v>
      </c>
    </row>
    <row r="646" spans="1:4" x14ac:dyDescent="0.35">
      <c r="A646" t="s">
        <v>23</v>
      </c>
      <c r="B646" t="s">
        <v>9</v>
      </c>
      <c r="C646">
        <v>6</v>
      </c>
      <c r="D646">
        <v>3</v>
      </c>
    </row>
    <row r="647" spans="1:4" x14ac:dyDescent="0.35">
      <c r="A647" t="s">
        <v>23</v>
      </c>
      <c r="B647" t="s">
        <v>31</v>
      </c>
      <c r="C647">
        <v>6</v>
      </c>
      <c r="D647">
        <v>17</v>
      </c>
    </row>
    <row r="648" spans="1:4" x14ac:dyDescent="0.35">
      <c r="A648" t="s">
        <v>23</v>
      </c>
      <c r="B648" t="s">
        <v>32</v>
      </c>
      <c r="C648">
        <v>6</v>
      </c>
      <c r="D648" t="s">
        <v>33</v>
      </c>
    </row>
    <row r="649" spans="1:4" x14ac:dyDescent="0.35">
      <c r="A649" t="s">
        <v>23</v>
      </c>
      <c r="B649" t="s">
        <v>10</v>
      </c>
      <c r="C649">
        <v>6</v>
      </c>
      <c r="D649" t="s">
        <v>33</v>
      </c>
    </row>
    <row r="650" spans="1:4" x14ac:dyDescent="0.35">
      <c r="A650" t="s">
        <v>23</v>
      </c>
      <c r="B650" t="s">
        <v>9</v>
      </c>
      <c r="C650">
        <v>7</v>
      </c>
      <c r="D650">
        <v>2.5</v>
      </c>
    </row>
    <row r="651" spans="1:4" x14ac:dyDescent="0.35">
      <c r="A651" t="s">
        <v>23</v>
      </c>
      <c r="B651" t="s">
        <v>31</v>
      </c>
      <c r="C651">
        <v>7</v>
      </c>
      <c r="D651">
        <f>4.5+8.5</f>
        <v>13</v>
      </c>
    </row>
    <row r="652" spans="1:4" x14ac:dyDescent="0.35">
      <c r="A652" t="s">
        <v>23</v>
      </c>
      <c r="B652" t="s">
        <v>32</v>
      </c>
      <c r="C652">
        <v>7</v>
      </c>
      <c r="D652" t="s">
        <v>33</v>
      </c>
    </row>
    <row r="653" spans="1:4" x14ac:dyDescent="0.35">
      <c r="A653" t="s">
        <v>23</v>
      </c>
      <c r="B653" t="s">
        <v>10</v>
      </c>
      <c r="C653">
        <v>7</v>
      </c>
      <c r="D653" t="s">
        <v>33</v>
      </c>
    </row>
    <row r="654" spans="1:4" x14ac:dyDescent="0.35">
      <c r="A654" t="s">
        <v>23</v>
      </c>
      <c r="B654" t="s">
        <v>9</v>
      </c>
      <c r="C654">
        <v>8</v>
      </c>
      <c r="D654">
        <v>2.5</v>
      </c>
    </row>
    <row r="655" spans="1:4" x14ac:dyDescent="0.35">
      <c r="A655" t="s">
        <v>23</v>
      </c>
      <c r="B655" t="s">
        <v>31</v>
      </c>
      <c r="C655">
        <v>8</v>
      </c>
      <c r="D655">
        <f>4.5+9.5</f>
        <v>14</v>
      </c>
    </row>
    <row r="656" spans="1:4" x14ac:dyDescent="0.35">
      <c r="A656" t="s">
        <v>23</v>
      </c>
      <c r="B656" t="s">
        <v>32</v>
      </c>
      <c r="C656">
        <v>8</v>
      </c>
      <c r="D656" t="s">
        <v>33</v>
      </c>
    </row>
    <row r="657" spans="1:4" x14ac:dyDescent="0.35">
      <c r="A657" t="s">
        <v>23</v>
      </c>
      <c r="B657" t="s">
        <v>10</v>
      </c>
      <c r="C657">
        <v>8</v>
      </c>
      <c r="D657" t="s">
        <v>33</v>
      </c>
    </row>
    <row r="658" spans="1:4" x14ac:dyDescent="0.35">
      <c r="A658" t="s">
        <v>23</v>
      </c>
      <c r="B658" t="s">
        <v>9</v>
      </c>
      <c r="C658">
        <v>9</v>
      </c>
      <c r="D658">
        <v>1</v>
      </c>
    </row>
    <row r="659" spans="1:4" x14ac:dyDescent="0.35">
      <c r="A659" t="s">
        <v>23</v>
      </c>
      <c r="B659" t="s">
        <v>31</v>
      </c>
      <c r="C659">
        <v>9</v>
      </c>
      <c r="D659">
        <v>15.5</v>
      </c>
    </row>
    <row r="660" spans="1:4" x14ac:dyDescent="0.35">
      <c r="A660" t="s">
        <v>23</v>
      </c>
      <c r="B660" t="s">
        <v>32</v>
      </c>
      <c r="C660">
        <v>9</v>
      </c>
      <c r="D660">
        <v>0</v>
      </c>
    </row>
    <row r="661" spans="1:4" x14ac:dyDescent="0.35">
      <c r="A661" t="s">
        <v>23</v>
      </c>
      <c r="B661" t="s">
        <v>10</v>
      </c>
      <c r="C661">
        <v>9</v>
      </c>
      <c r="D661">
        <v>1</v>
      </c>
    </row>
    <row r="662" spans="1:4" x14ac:dyDescent="0.35">
      <c r="A662" t="s">
        <v>23</v>
      </c>
      <c r="B662" t="s">
        <v>9</v>
      </c>
      <c r="C662">
        <v>10</v>
      </c>
      <c r="D662">
        <v>4.5</v>
      </c>
    </row>
    <row r="663" spans="1:4" x14ac:dyDescent="0.35">
      <c r="A663" t="s">
        <v>23</v>
      </c>
      <c r="B663" t="s">
        <v>31</v>
      </c>
      <c r="C663">
        <v>10</v>
      </c>
      <c r="D663">
        <v>14</v>
      </c>
    </row>
    <row r="664" spans="1:4" x14ac:dyDescent="0.35">
      <c r="A664" t="s">
        <v>23</v>
      </c>
      <c r="B664" t="s">
        <v>32</v>
      </c>
      <c r="C664">
        <v>10</v>
      </c>
      <c r="D664">
        <v>0</v>
      </c>
    </row>
    <row r="665" spans="1:4" x14ac:dyDescent="0.35">
      <c r="A665" t="s">
        <v>23</v>
      </c>
      <c r="B665" t="s">
        <v>10</v>
      </c>
      <c r="C665">
        <v>10</v>
      </c>
      <c r="D665">
        <v>1.5</v>
      </c>
    </row>
    <row r="666" spans="1:4" x14ac:dyDescent="0.35">
      <c r="A666" t="s">
        <v>23</v>
      </c>
      <c r="B666" t="s">
        <v>9</v>
      </c>
      <c r="C666">
        <v>11</v>
      </c>
      <c r="D666">
        <v>0.5</v>
      </c>
    </row>
    <row r="667" spans="1:4" x14ac:dyDescent="0.35">
      <c r="A667" t="s">
        <v>23</v>
      </c>
      <c r="B667" t="s">
        <v>31</v>
      </c>
      <c r="C667">
        <v>11</v>
      </c>
      <c r="D667">
        <v>9.5</v>
      </c>
    </row>
    <row r="668" spans="1:4" x14ac:dyDescent="0.35">
      <c r="A668" t="s">
        <v>23</v>
      </c>
      <c r="B668" t="s">
        <v>32</v>
      </c>
      <c r="C668">
        <v>11</v>
      </c>
      <c r="D668">
        <v>0</v>
      </c>
    </row>
    <row r="669" spans="1:4" x14ac:dyDescent="0.35">
      <c r="A669" t="s">
        <v>23</v>
      </c>
      <c r="B669" t="s">
        <v>10</v>
      </c>
      <c r="C669">
        <v>11</v>
      </c>
      <c r="D669">
        <v>2</v>
      </c>
    </row>
    <row r="670" spans="1:4" x14ac:dyDescent="0.35">
      <c r="A670" t="s">
        <v>23</v>
      </c>
      <c r="B670" t="s">
        <v>9</v>
      </c>
      <c r="C670">
        <v>12</v>
      </c>
      <c r="D670">
        <v>1</v>
      </c>
    </row>
    <row r="671" spans="1:4" x14ac:dyDescent="0.35">
      <c r="A671" t="s">
        <v>23</v>
      </c>
      <c r="B671" t="s">
        <v>31</v>
      </c>
      <c r="C671">
        <v>12</v>
      </c>
      <c r="D671">
        <v>12</v>
      </c>
    </row>
    <row r="672" spans="1:4" x14ac:dyDescent="0.35">
      <c r="A672" t="s">
        <v>23</v>
      </c>
      <c r="B672" t="s">
        <v>32</v>
      </c>
      <c r="C672">
        <v>12</v>
      </c>
      <c r="D672">
        <v>0</v>
      </c>
    </row>
    <row r="673" spans="1:4" x14ac:dyDescent="0.35">
      <c r="A673" t="s">
        <v>23</v>
      </c>
      <c r="B673" t="s">
        <v>10</v>
      </c>
      <c r="C673">
        <v>12</v>
      </c>
      <c r="D673">
        <v>2</v>
      </c>
    </row>
    <row r="674" spans="1:4" x14ac:dyDescent="0.35">
      <c r="A674" t="s">
        <v>24</v>
      </c>
      <c r="B674" t="s">
        <v>9</v>
      </c>
      <c r="C674">
        <v>1</v>
      </c>
      <c r="D674">
        <v>1</v>
      </c>
    </row>
    <row r="675" spans="1:4" x14ac:dyDescent="0.35">
      <c r="A675" t="s">
        <v>24</v>
      </c>
      <c r="B675" t="s">
        <v>31</v>
      </c>
      <c r="C675">
        <v>1</v>
      </c>
      <c r="D675">
        <v>15</v>
      </c>
    </row>
    <row r="676" spans="1:4" x14ac:dyDescent="0.35">
      <c r="A676" t="s">
        <v>24</v>
      </c>
      <c r="B676" t="s">
        <v>32</v>
      </c>
      <c r="C676">
        <v>1</v>
      </c>
      <c r="D676">
        <v>0</v>
      </c>
    </row>
    <row r="677" spans="1:4" x14ac:dyDescent="0.35">
      <c r="A677" t="s">
        <v>24</v>
      </c>
      <c r="B677" t="s">
        <v>10</v>
      </c>
      <c r="C677">
        <v>1</v>
      </c>
      <c r="D677">
        <v>4</v>
      </c>
    </row>
    <row r="678" spans="1:4" x14ac:dyDescent="0.35">
      <c r="A678" t="s">
        <v>24</v>
      </c>
      <c r="B678" t="s">
        <v>9</v>
      </c>
      <c r="C678">
        <v>2</v>
      </c>
      <c r="D678">
        <v>3</v>
      </c>
    </row>
    <row r="679" spans="1:4" x14ac:dyDescent="0.35">
      <c r="A679" t="s">
        <v>24</v>
      </c>
      <c r="B679" t="s">
        <v>31</v>
      </c>
      <c r="C679">
        <v>2</v>
      </c>
      <c r="D679">
        <v>7</v>
      </c>
    </row>
    <row r="680" spans="1:4" x14ac:dyDescent="0.35">
      <c r="A680" t="s">
        <v>24</v>
      </c>
      <c r="B680" t="s">
        <v>32</v>
      </c>
      <c r="C680">
        <v>2</v>
      </c>
      <c r="D680">
        <v>0</v>
      </c>
    </row>
    <row r="681" spans="1:4" x14ac:dyDescent="0.35">
      <c r="A681" t="s">
        <v>24</v>
      </c>
      <c r="B681" t="s">
        <v>10</v>
      </c>
      <c r="C681">
        <v>2</v>
      </c>
      <c r="D681">
        <v>6.5</v>
      </c>
    </row>
    <row r="682" spans="1:4" x14ac:dyDescent="0.35">
      <c r="A682" t="s">
        <v>24</v>
      </c>
      <c r="B682" t="s">
        <v>9</v>
      </c>
      <c r="C682">
        <v>3</v>
      </c>
      <c r="D682">
        <v>2</v>
      </c>
    </row>
    <row r="683" spans="1:4" x14ac:dyDescent="0.35">
      <c r="A683" t="s">
        <v>24</v>
      </c>
      <c r="B683" t="s">
        <v>31</v>
      </c>
      <c r="C683">
        <v>3</v>
      </c>
      <c r="D683">
        <v>8.5</v>
      </c>
    </row>
    <row r="684" spans="1:4" x14ac:dyDescent="0.35">
      <c r="A684" t="s">
        <v>24</v>
      </c>
      <c r="B684" t="s">
        <v>32</v>
      </c>
      <c r="C684">
        <v>3</v>
      </c>
      <c r="D684">
        <v>0</v>
      </c>
    </row>
    <row r="685" spans="1:4" x14ac:dyDescent="0.35">
      <c r="A685" t="s">
        <v>24</v>
      </c>
      <c r="B685" t="s">
        <v>10</v>
      </c>
      <c r="C685">
        <v>3</v>
      </c>
      <c r="D685">
        <v>4</v>
      </c>
    </row>
    <row r="686" spans="1:4" x14ac:dyDescent="0.35">
      <c r="A686" t="s">
        <v>24</v>
      </c>
      <c r="B686" t="s">
        <v>9</v>
      </c>
      <c r="C686">
        <v>4</v>
      </c>
      <c r="D686">
        <v>2.5</v>
      </c>
    </row>
    <row r="687" spans="1:4" x14ac:dyDescent="0.35">
      <c r="A687" t="s">
        <v>24</v>
      </c>
      <c r="B687" t="s">
        <v>31</v>
      </c>
      <c r="C687">
        <v>4</v>
      </c>
      <c r="D687">
        <v>5</v>
      </c>
    </row>
    <row r="688" spans="1:4" x14ac:dyDescent="0.35">
      <c r="A688" t="s">
        <v>24</v>
      </c>
      <c r="B688" t="s">
        <v>32</v>
      </c>
      <c r="C688">
        <v>4</v>
      </c>
      <c r="D688">
        <v>3.7</v>
      </c>
    </row>
    <row r="689" spans="1:4" x14ac:dyDescent="0.35">
      <c r="A689" t="s">
        <v>24</v>
      </c>
      <c r="B689" t="s">
        <v>10</v>
      </c>
      <c r="C689">
        <v>4</v>
      </c>
      <c r="D689">
        <v>4</v>
      </c>
    </row>
    <row r="690" spans="1:4" x14ac:dyDescent="0.35">
      <c r="A690" t="s">
        <v>24</v>
      </c>
      <c r="B690" t="s">
        <v>9</v>
      </c>
      <c r="C690">
        <v>5</v>
      </c>
      <c r="D690">
        <v>3</v>
      </c>
    </row>
    <row r="691" spans="1:4" x14ac:dyDescent="0.35">
      <c r="A691" t="s">
        <v>24</v>
      </c>
      <c r="B691" t="s">
        <v>31</v>
      </c>
      <c r="C691">
        <v>5</v>
      </c>
      <c r="D691">
        <v>6</v>
      </c>
    </row>
    <row r="692" spans="1:4" x14ac:dyDescent="0.35">
      <c r="A692" t="s">
        <v>24</v>
      </c>
      <c r="B692" t="s">
        <v>32</v>
      </c>
      <c r="C692">
        <v>5</v>
      </c>
      <c r="D692">
        <v>2.5</v>
      </c>
    </row>
    <row r="693" spans="1:4" x14ac:dyDescent="0.35">
      <c r="A693" t="s">
        <v>24</v>
      </c>
      <c r="B693" t="s">
        <v>10</v>
      </c>
      <c r="C693">
        <v>5</v>
      </c>
      <c r="D693">
        <v>4</v>
      </c>
    </row>
    <row r="694" spans="1:4" x14ac:dyDescent="0.35">
      <c r="A694" t="s">
        <v>24</v>
      </c>
      <c r="B694" t="s">
        <v>9</v>
      </c>
      <c r="C694">
        <v>6</v>
      </c>
      <c r="D694">
        <v>3</v>
      </c>
    </row>
    <row r="695" spans="1:4" x14ac:dyDescent="0.35">
      <c r="A695" t="s">
        <v>24</v>
      </c>
      <c r="B695" t="s">
        <v>31</v>
      </c>
      <c r="C695">
        <v>6</v>
      </c>
      <c r="D695">
        <v>5.5</v>
      </c>
    </row>
    <row r="696" spans="1:4" x14ac:dyDescent="0.35">
      <c r="A696" t="s">
        <v>24</v>
      </c>
      <c r="B696" t="s">
        <v>32</v>
      </c>
      <c r="C696">
        <v>6</v>
      </c>
      <c r="D696">
        <f>1.5+4+7</f>
        <v>12.5</v>
      </c>
    </row>
    <row r="697" spans="1:4" x14ac:dyDescent="0.35">
      <c r="A697" t="s">
        <v>24</v>
      </c>
      <c r="B697" t="s">
        <v>10</v>
      </c>
      <c r="C697">
        <v>6</v>
      </c>
      <c r="D697">
        <v>1.5</v>
      </c>
    </row>
    <row r="698" spans="1:4" x14ac:dyDescent="0.35">
      <c r="A698" t="s">
        <v>24</v>
      </c>
      <c r="B698" t="s">
        <v>9</v>
      </c>
      <c r="C698">
        <v>7</v>
      </c>
      <c r="D698">
        <v>2.5</v>
      </c>
    </row>
    <row r="699" spans="1:4" x14ac:dyDescent="0.35">
      <c r="A699" t="s">
        <v>24</v>
      </c>
      <c r="B699" t="s">
        <v>31</v>
      </c>
      <c r="C699">
        <v>7</v>
      </c>
      <c r="D699">
        <v>5</v>
      </c>
    </row>
    <row r="700" spans="1:4" x14ac:dyDescent="0.35">
      <c r="A700" t="s">
        <v>24</v>
      </c>
      <c r="B700" t="s">
        <v>32</v>
      </c>
      <c r="C700">
        <v>7</v>
      </c>
      <c r="D700">
        <v>7</v>
      </c>
    </row>
    <row r="701" spans="1:4" x14ac:dyDescent="0.35">
      <c r="A701" t="s">
        <v>24</v>
      </c>
      <c r="B701" t="s">
        <v>10</v>
      </c>
      <c r="C701">
        <v>7</v>
      </c>
      <c r="D701" t="s">
        <v>33</v>
      </c>
    </row>
    <row r="702" spans="1:4" x14ac:dyDescent="0.35">
      <c r="A702" t="s">
        <v>24</v>
      </c>
      <c r="B702" t="s">
        <v>9</v>
      </c>
      <c r="C702">
        <v>8</v>
      </c>
      <c r="D702">
        <v>3.5</v>
      </c>
    </row>
    <row r="703" spans="1:4" x14ac:dyDescent="0.35">
      <c r="A703" t="s">
        <v>24</v>
      </c>
      <c r="B703" t="s">
        <v>31</v>
      </c>
      <c r="C703">
        <v>8</v>
      </c>
      <c r="D703">
        <v>5</v>
      </c>
    </row>
    <row r="704" spans="1:4" x14ac:dyDescent="0.35">
      <c r="A704" t="s">
        <v>24</v>
      </c>
      <c r="B704" t="s">
        <v>32</v>
      </c>
      <c r="C704">
        <v>8</v>
      </c>
      <c r="D704">
        <v>2.5</v>
      </c>
    </row>
    <row r="705" spans="1:4" x14ac:dyDescent="0.35">
      <c r="A705" t="s">
        <v>24</v>
      </c>
      <c r="B705" t="s">
        <v>10</v>
      </c>
      <c r="C705">
        <v>8</v>
      </c>
      <c r="D705">
        <v>4</v>
      </c>
    </row>
    <row r="706" spans="1:4" x14ac:dyDescent="0.35">
      <c r="A706" t="s">
        <v>24</v>
      </c>
      <c r="B706" t="s">
        <v>9</v>
      </c>
      <c r="C706">
        <v>9</v>
      </c>
      <c r="D706">
        <v>6.25</v>
      </c>
    </row>
    <row r="707" spans="1:4" x14ac:dyDescent="0.35">
      <c r="A707" t="s">
        <v>24</v>
      </c>
      <c r="B707" t="s">
        <v>31</v>
      </c>
      <c r="C707">
        <v>9</v>
      </c>
      <c r="D707">
        <v>3.5</v>
      </c>
    </row>
    <row r="708" spans="1:4" x14ac:dyDescent="0.35">
      <c r="A708" t="s">
        <v>24</v>
      </c>
      <c r="B708" t="s">
        <v>32</v>
      </c>
      <c r="C708">
        <v>9</v>
      </c>
      <c r="D708">
        <v>2</v>
      </c>
    </row>
    <row r="709" spans="1:4" x14ac:dyDescent="0.35">
      <c r="A709" t="s">
        <v>24</v>
      </c>
      <c r="B709" t="s">
        <v>10</v>
      </c>
      <c r="C709">
        <v>9</v>
      </c>
      <c r="D709">
        <v>4</v>
      </c>
    </row>
    <row r="710" spans="1:4" x14ac:dyDescent="0.35">
      <c r="A710" t="s">
        <v>24</v>
      </c>
      <c r="B710" t="s">
        <v>9</v>
      </c>
      <c r="C710">
        <v>10</v>
      </c>
      <c r="D710">
        <v>2</v>
      </c>
    </row>
    <row r="711" spans="1:4" x14ac:dyDescent="0.35">
      <c r="A711" t="s">
        <v>24</v>
      </c>
      <c r="B711" t="s">
        <v>31</v>
      </c>
      <c r="C711">
        <v>10</v>
      </c>
      <c r="D711">
        <v>2</v>
      </c>
    </row>
    <row r="712" spans="1:4" x14ac:dyDescent="0.35">
      <c r="A712" t="s">
        <v>24</v>
      </c>
      <c r="B712" t="s">
        <v>32</v>
      </c>
      <c r="C712">
        <v>10</v>
      </c>
      <c r="D712">
        <v>1.5</v>
      </c>
    </row>
    <row r="713" spans="1:4" x14ac:dyDescent="0.35">
      <c r="A713" t="s">
        <v>24</v>
      </c>
      <c r="B713" t="s">
        <v>10</v>
      </c>
      <c r="C713">
        <v>10</v>
      </c>
      <c r="D713">
        <v>6</v>
      </c>
    </row>
    <row r="714" spans="1:4" x14ac:dyDescent="0.35">
      <c r="A714" t="s">
        <v>24</v>
      </c>
      <c r="B714" t="s">
        <v>9</v>
      </c>
      <c r="C714">
        <v>11</v>
      </c>
      <c r="D714">
        <v>3</v>
      </c>
    </row>
    <row r="715" spans="1:4" x14ac:dyDescent="0.35">
      <c r="A715" t="s">
        <v>24</v>
      </c>
      <c r="B715" t="s">
        <v>31</v>
      </c>
      <c r="C715">
        <v>11</v>
      </c>
      <c r="D715">
        <v>4.5</v>
      </c>
    </row>
    <row r="716" spans="1:4" x14ac:dyDescent="0.35">
      <c r="A716" t="s">
        <v>24</v>
      </c>
      <c r="B716" t="s">
        <v>32</v>
      </c>
      <c r="C716">
        <v>11</v>
      </c>
      <c r="D716">
        <v>2.5</v>
      </c>
    </row>
    <row r="717" spans="1:4" x14ac:dyDescent="0.35">
      <c r="A717" t="s">
        <v>24</v>
      </c>
      <c r="B717" t="s">
        <v>10</v>
      </c>
      <c r="C717">
        <v>11</v>
      </c>
      <c r="D717" t="s">
        <v>33</v>
      </c>
    </row>
    <row r="718" spans="1:4" x14ac:dyDescent="0.35">
      <c r="A718" t="s">
        <v>24</v>
      </c>
      <c r="B718" t="s">
        <v>9</v>
      </c>
      <c r="C718">
        <v>12</v>
      </c>
      <c r="D718">
        <v>3.5</v>
      </c>
    </row>
    <row r="719" spans="1:4" x14ac:dyDescent="0.35">
      <c r="A719" t="s">
        <v>24</v>
      </c>
      <c r="B719" t="s">
        <v>31</v>
      </c>
      <c r="C719">
        <v>12</v>
      </c>
      <c r="D719">
        <v>4.5</v>
      </c>
    </row>
    <row r="720" spans="1:4" x14ac:dyDescent="0.35">
      <c r="A720" t="s">
        <v>24</v>
      </c>
      <c r="B720" t="s">
        <v>32</v>
      </c>
      <c r="C720">
        <v>12</v>
      </c>
      <c r="D720">
        <v>1.5</v>
      </c>
    </row>
    <row r="721" spans="1:4" x14ac:dyDescent="0.35">
      <c r="A721" t="s">
        <v>24</v>
      </c>
      <c r="B721" t="s">
        <v>10</v>
      </c>
      <c r="C721">
        <v>12</v>
      </c>
      <c r="D721">
        <v>4</v>
      </c>
    </row>
    <row r="722" spans="1:4" x14ac:dyDescent="0.35">
      <c r="A722" t="s">
        <v>25</v>
      </c>
      <c r="B722" t="s">
        <v>9</v>
      </c>
      <c r="C722">
        <v>1</v>
      </c>
      <c r="D722">
        <v>0</v>
      </c>
    </row>
    <row r="723" spans="1:4" x14ac:dyDescent="0.35">
      <c r="A723" t="s">
        <v>25</v>
      </c>
      <c r="B723" t="s">
        <v>31</v>
      </c>
      <c r="C723">
        <v>1</v>
      </c>
      <c r="D723">
        <v>16</v>
      </c>
    </row>
    <row r="724" spans="1:4" x14ac:dyDescent="0.35">
      <c r="A724" t="s">
        <v>25</v>
      </c>
      <c r="B724" t="s">
        <v>32</v>
      </c>
      <c r="C724">
        <v>1</v>
      </c>
      <c r="D724" t="s">
        <v>33</v>
      </c>
    </row>
    <row r="725" spans="1:4" x14ac:dyDescent="0.35">
      <c r="A725" t="s">
        <v>25</v>
      </c>
      <c r="B725" t="s">
        <v>10</v>
      </c>
      <c r="C725">
        <v>1</v>
      </c>
      <c r="D725" t="s">
        <v>33</v>
      </c>
    </row>
    <row r="726" spans="1:4" x14ac:dyDescent="0.35">
      <c r="A726" t="s">
        <v>25</v>
      </c>
      <c r="B726" t="s">
        <v>9</v>
      </c>
      <c r="C726">
        <v>2</v>
      </c>
      <c r="D726">
        <v>0</v>
      </c>
    </row>
    <row r="727" spans="1:4" x14ac:dyDescent="0.35">
      <c r="A727" t="s">
        <v>25</v>
      </c>
      <c r="B727" t="s">
        <v>31</v>
      </c>
      <c r="C727">
        <v>2</v>
      </c>
      <c r="D727">
        <v>8.5</v>
      </c>
    </row>
    <row r="728" spans="1:4" x14ac:dyDescent="0.35">
      <c r="A728" t="s">
        <v>25</v>
      </c>
      <c r="B728" t="s">
        <v>32</v>
      </c>
      <c r="C728">
        <v>2</v>
      </c>
      <c r="D728" t="s">
        <v>33</v>
      </c>
    </row>
    <row r="729" spans="1:4" x14ac:dyDescent="0.35">
      <c r="A729" t="s">
        <v>25</v>
      </c>
      <c r="B729" t="s">
        <v>10</v>
      </c>
      <c r="C729">
        <v>2</v>
      </c>
      <c r="D729" t="s">
        <v>33</v>
      </c>
    </row>
    <row r="730" spans="1:4" x14ac:dyDescent="0.35">
      <c r="A730" t="s">
        <v>25</v>
      </c>
      <c r="B730" t="s">
        <v>9</v>
      </c>
      <c r="C730">
        <v>3</v>
      </c>
      <c r="D730">
        <v>0</v>
      </c>
    </row>
    <row r="731" spans="1:4" x14ac:dyDescent="0.35">
      <c r="A731" t="s">
        <v>25</v>
      </c>
      <c r="B731" t="s">
        <v>31</v>
      </c>
      <c r="C731">
        <v>3</v>
      </c>
      <c r="D731">
        <v>10.5</v>
      </c>
    </row>
    <row r="732" spans="1:4" x14ac:dyDescent="0.35">
      <c r="A732" t="s">
        <v>25</v>
      </c>
      <c r="B732" t="s">
        <v>32</v>
      </c>
      <c r="C732">
        <v>3</v>
      </c>
      <c r="D732" t="s">
        <v>33</v>
      </c>
    </row>
    <row r="733" spans="1:4" x14ac:dyDescent="0.35">
      <c r="A733" t="s">
        <v>25</v>
      </c>
      <c r="B733" t="s">
        <v>10</v>
      </c>
      <c r="C733">
        <v>3</v>
      </c>
      <c r="D733" t="s">
        <v>33</v>
      </c>
    </row>
    <row r="734" spans="1:4" x14ac:dyDescent="0.35">
      <c r="A734" t="s">
        <v>25</v>
      </c>
      <c r="B734" t="s">
        <v>9</v>
      </c>
      <c r="C734">
        <v>4</v>
      </c>
      <c r="D734">
        <v>0</v>
      </c>
    </row>
    <row r="735" spans="1:4" x14ac:dyDescent="0.35">
      <c r="A735" t="s">
        <v>25</v>
      </c>
      <c r="B735" t="s">
        <v>31</v>
      </c>
      <c r="C735">
        <v>4</v>
      </c>
      <c r="D735">
        <v>13.5</v>
      </c>
    </row>
    <row r="736" spans="1:4" x14ac:dyDescent="0.35">
      <c r="A736" t="s">
        <v>25</v>
      </c>
      <c r="B736" t="s">
        <v>32</v>
      </c>
      <c r="C736">
        <v>4</v>
      </c>
      <c r="D736">
        <v>4</v>
      </c>
    </row>
    <row r="737" spans="1:4" x14ac:dyDescent="0.35">
      <c r="A737" t="s">
        <v>25</v>
      </c>
      <c r="B737" t="s">
        <v>10</v>
      </c>
      <c r="C737">
        <v>4</v>
      </c>
      <c r="D737" t="s">
        <v>33</v>
      </c>
    </row>
    <row r="738" spans="1:4" x14ac:dyDescent="0.35">
      <c r="A738" t="s">
        <v>25</v>
      </c>
      <c r="B738" t="s">
        <v>9</v>
      </c>
      <c r="C738">
        <v>5</v>
      </c>
      <c r="D738">
        <v>0</v>
      </c>
    </row>
    <row r="739" spans="1:4" x14ac:dyDescent="0.35">
      <c r="A739" t="s">
        <v>25</v>
      </c>
      <c r="B739" t="s">
        <v>31</v>
      </c>
      <c r="C739">
        <v>5</v>
      </c>
      <c r="D739">
        <v>17</v>
      </c>
    </row>
    <row r="740" spans="1:4" x14ac:dyDescent="0.35">
      <c r="A740" t="s">
        <v>25</v>
      </c>
      <c r="B740" t="s">
        <v>32</v>
      </c>
      <c r="C740">
        <v>5</v>
      </c>
      <c r="D740" t="s">
        <v>33</v>
      </c>
    </row>
    <row r="741" spans="1:4" x14ac:dyDescent="0.35">
      <c r="A741" t="s">
        <v>25</v>
      </c>
      <c r="B741" t="s">
        <v>10</v>
      </c>
      <c r="C741">
        <v>5</v>
      </c>
      <c r="D741" t="s">
        <v>33</v>
      </c>
    </row>
    <row r="742" spans="1:4" x14ac:dyDescent="0.35">
      <c r="A742" t="s">
        <v>25</v>
      </c>
      <c r="B742" t="s">
        <v>9</v>
      </c>
      <c r="C742">
        <v>6</v>
      </c>
      <c r="D742">
        <v>0</v>
      </c>
    </row>
    <row r="743" spans="1:4" x14ac:dyDescent="0.35">
      <c r="A743" t="s">
        <v>25</v>
      </c>
      <c r="B743" t="s">
        <v>31</v>
      </c>
      <c r="C743">
        <v>6</v>
      </c>
      <c r="D743">
        <v>14</v>
      </c>
    </row>
    <row r="744" spans="1:4" x14ac:dyDescent="0.35">
      <c r="A744" t="s">
        <v>25</v>
      </c>
      <c r="B744" t="s">
        <v>32</v>
      </c>
      <c r="C744">
        <v>6</v>
      </c>
      <c r="D744" t="s">
        <v>33</v>
      </c>
    </row>
    <row r="745" spans="1:4" x14ac:dyDescent="0.35">
      <c r="A745" t="s">
        <v>25</v>
      </c>
      <c r="B745" t="s">
        <v>10</v>
      </c>
      <c r="C745">
        <v>6</v>
      </c>
      <c r="D745" t="s">
        <v>33</v>
      </c>
    </row>
    <row r="746" spans="1:4" x14ac:dyDescent="0.35">
      <c r="A746" t="s">
        <v>25</v>
      </c>
      <c r="B746" t="s">
        <v>9</v>
      </c>
      <c r="C746">
        <v>7</v>
      </c>
      <c r="D746">
        <v>0</v>
      </c>
    </row>
    <row r="747" spans="1:4" x14ac:dyDescent="0.35">
      <c r="A747" t="s">
        <v>25</v>
      </c>
      <c r="B747" t="s">
        <v>31</v>
      </c>
      <c r="C747">
        <v>7</v>
      </c>
      <c r="D747">
        <v>11</v>
      </c>
    </row>
    <row r="748" spans="1:4" x14ac:dyDescent="0.35">
      <c r="A748" t="s">
        <v>25</v>
      </c>
      <c r="B748" t="s">
        <v>32</v>
      </c>
      <c r="C748">
        <v>7</v>
      </c>
      <c r="D748" t="s">
        <v>33</v>
      </c>
    </row>
    <row r="749" spans="1:4" x14ac:dyDescent="0.35">
      <c r="A749" t="s">
        <v>25</v>
      </c>
      <c r="B749" t="s">
        <v>10</v>
      </c>
      <c r="C749">
        <v>7</v>
      </c>
      <c r="D749" t="s">
        <v>33</v>
      </c>
    </row>
    <row r="750" spans="1:4" x14ac:dyDescent="0.35">
      <c r="A750" t="s">
        <v>25</v>
      </c>
      <c r="B750" t="s">
        <v>9</v>
      </c>
      <c r="C750">
        <v>8</v>
      </c>
      <c r="D750">
        <v>0</v>
      </c>
    </row>
    <row r="751" spans="1:4" x14ac:dyDescent="0.35">
      <c r="A751" t="s">
        <v>25</v>
      </c>
      <c r="B751" t="s">
        <v>31</v>
      </c>
      <c r="C751">
        <v>8</v>
      </c>
      <c r="D751">
        <v>12.5</v>
      </c>
    </row>
    <row r="752" spans="1:4" x14ac:dyDescent="0.35">
      <c r="A752" t="s">
        <v>25</v>
      </c>
      <c r="B752" t="s">
        <v>32</v>
      </c>
      <c r="C752">
        <v>8</v>
      </c>
      <c r="D752" t="s">
        <v>33</v>
      </c>
    </row>
    <row r="753" spans="1:4" x14ac:dyDescent="0.35">
      <c r="A753" t="s">
        <v>25</v>
      </c>
      <c r="B753" t="s">
        <v>10</v>
      </c>
      <c r="C753">
        <v>8</v>
      </c>
      <c r="D753" t="s">
        <v>33</v>
      </c>
    </row>
    <row r="754" spans="1:4" x14ac:dyDescent="0.35">
      <c r="A754" t="s">
        <v>25</v>
      </c>
      <c r="B754" t="s">
        <v>9</v>
      </c>
      <c r="C754">
        <v>9</v>
      </c>
      <c r="D754">
        <v>0</v>
      </c>
    </row>
    <row r="755" spans="1:4" x14ac:dyDescent="0.35">
      <c r="A755" t="s">
        <v>25</v>
      </c>
      <c r="B755" t="s">
        <v>31</v>
      </c>
      <c r="C755">
        <v>9</v>
      </c>
      <c r="D755">
        <v>11.5</v>
      </c>
    </row>
    <row r="756" spans="1:4" x14ac:dyDescent="0.35">
      <c r="A756" t="s">
        <v>25</v>
      </c>
      <c r="B756" t="s">
        <v>32</v>
      </c>
      <c r="C756">
        <v>9</v>
      </c>
      <c r="D756" t="s">
        <v>33</v>
      </c>
    </row>
    <row r="757" spans="1:4" x14ac:dyDescent="0.35">
      <c r="A757" t="s">
        <v>25</v>
      </c>
      <c r="B757" t="s">
        <v>10</v>
      </c>
      <c r="C757">
        <v>9</v>
      </c>
      <c r="D757" t="s">
        <v>33</v>
      </c>
    </row>
    <row r="758" spans="1:4" x14ac:dyDescent="0.35">
      <c r="A758" t="s">
        <v>25</v>
      </c>
      <c r="B758" t="s">
        <v>9</v>
      </c>
      <c r="C758">
        <v>10</v>
      </c>
      <c r="D758">
        <v>0</v>
      </c>
    </row>
    <row r="759" spans="1:4" x14ac:dyDescent="0.35">
      <c r="A759" t="s">
        <v>25</v>
      </c>
      <c r="B759" t="s">
        <v>31</v>
      </c>
      <c r="C759">
        <v>10</v>
      </c>
      <c r="D759">
        <v>13</v>
      </c>
    </row>
    <row r="760" spans="1:4" x14ac:dyDescent="0.35">
      <c r="A760" t="s">
        <v>25</v>
      </c>
      <c r="B760" t="s">
        <v>32</v>
      </c>
      <c r="C760">
        <v>10</v>
      </c>
      <c r="D760" t="s">
        <v>33</v>
      </c>
    </row>
    <row r="761" spans="1:4" x14ac:dyDescent="0.35">
      <c r="A761" t="s">
        <v>25</v>
      </c>
      <c r="B761" t="s">
        <v>10</v>
      </c>
      <c r="C761">
        <v>10</v>
      </c>
      <c r="D761" t="s">
        <v>33</v>
      </c>
    </row>
    <row r="762" spans="1:4" x14ac:dyDescent="0.35">
      <c r="A762" t="s">
        <v>25</v>
      </c>
      <c r="B762" t="s">
        <v>9</v>
      </c>
      <c r="C762">
        <v>11</v>
      </c>
      <c r="D762">
        <v>0</v>
      </c>
    </row>
    <row r="763" spans="1:4" x14ac:dyDescent="0.35">
      <c r="A763" t="s">
        <v>25</v>
      </c>
      <c r="B763" t="s">
        <v>31</v>
      </c>
      <c r="C763">
        <v>11</v>
      </c>
      <c r="D763">
        <v>21</v>
      </c>
    </row>
    <row r="764" spans="1:4" x14ac:dyDescent="0.35">
      <c r="A764" t="s">
        <v>25</v>
      </c>
      <c r="B764" t="s">
        <v>32</v>
      </c>
      <c r="C764">
        <v>11</v>
      </c>
      <c r="D764" t="s">
        <v>33</v>
      </c>
    </row>
    <row r="765" spans="1:4" x14ac:dyDescent="0.35">
      <c r="A765" t="s">
        <v>25</v>
      </c>
      <c r="B765" t="s">
        <v>10</v>
      </c>
      <c r="C765">
        <v>11</v>
      </c>
      <c r="D765" t="s">
        <v>33</v>
      </c>
    </row>
    <row r="766" spans="1:4" x14ac:dyDescent="0.35">
      <c r="A766" t="s">
        <v>25</v>
      </c>
      <c r="B766" t="s">
        <v>9</v>
      </c>
      <c r="C766">
        <v>12</v>
      </c>
      <c r="D766">
        <v>0</v>
      </c>
    </row>
    <row r="767" spans="1:4" x14ac:dyDescent="0.35">
      <c r="A767" t="s">
        <v>25</v>
      </c>
      <c r="B767" t="s">
        <v>31</v>
      </c>
      <c r="C767">
        <v>12</v>
      </c>
      <c r="D767">
        <v>12</v>
      </c>
    </row>
    <row r="768" spans="1:4" x14ac:dyDescent="0.35">
      <c r="A768" t="s">
        <v>25</v>
      </c>
      <c r="B768" t="s">
        <v>32</v>
      </c>
      <c r="C768">
        <v>12</v>
      </c>
      <c r="D768" t="s">
        <v>33</v>
      </c>
    </row>
    <row r="769" spans="1:4" x14ac:dyDescent="0.35">
      <c r="A769" t="s">
        <v>25</v>
      </c>
      <c r="B769" t="s">
        <v>10</v>
      </c>
      <c r="C769">
        <v>12</v>
      </c>
      <c r="D769" t="s">
        <v>33</v>
      </c>
    </row>
    <row r="770" spans="1:4" x14ac:dyDescent="0.35">
      <c r="A770" t="s">
        <v>26</v>
      </c>
      <c r="B770" t="s">
        <v>9</v>
      </c>
      <c r="C770">
        <v>1</v>
      </c>
      <c r="D770">
        <v>0.5</v>
      </c>
    </row>
    <row r="771" spans="1:4" x14ac:dyDescent="0.35">
      <c r="A771" t="s">
        <v>26</v>
      </c>
      <c r="B771" t="s">
        <v>31</v>
      </c>
      <c r="C771">
        <v>1</v>
      </c>
      <c r="D771">
        <v>17.5</v>
      </c>
    </row>
    <row r="772" spans="1:4" x14ac:dyDescent="0.35">
      <c r="A772" t="s">
        <v>26</v>
      </c>
      <c r="B772" t="s">
        <v>32</v>
      </c>
      <c r="C772">
        <v>1</v>
      </c>
      <c r="D772">
        <v>0</v>
      </c>
    </row>
    <row r="773" spans="1:4" x14ac:dyDescent="0.35">
      <c r="A773" t="s">
        <v>26</v>
      </c>
      <c r="B773" t="s">
        <v>10</v>
      </c>
      <c r="C773">
        <v>1</v>
      </c>
      <c r="D773">
        <v>1</v>
      </c>
    </row>
    <row r="774" spans="1:4" x14ac:dyDescent="0.35">
      <c r="A774" t="s">
        <v>26</v>
      </c>
      <c r="B774" t="s">
        <v>9</v>
      </c>
      <c r="C774">
        <v>2</v>
      </c>
      <c r="D774">
        <v>0.5</v>
      </c>
    </row>
    <row r="775" spans="1:4" x14ac:dyDescent="0.35">
      <c r="A775" t="s">
        <v>26</v>
      </c>
      <c r="B775" t="s">
        <v>31</v>
      </c>
      <c r="C775">
        <v>2</v>
      </c>
      <c r="D775">
        <v>20.5</v>
      </c>
    </row>
    <row r="776" spans="1:4" x14ac:dyDescent="0.35">
      <c r="A776" t="s">
        <v>26</v>
      </c>
      <c r="B776" t="s">
        <v>32</v>
      </c>
      <c r="C776">
        <v>2</v>
      </c>
      <c r="D776" t="s">
        <v>33</v>
      </c>
    </row>
    <row r="777" spans="1:4" x14ac:dyDescent="0.35">
      <c r="A777" t="s">
        <v>26</v>
      </c>
      <c r="B777" t="s">
        <v>10</v>
      </c>
      <c r="C777">
        <v>2</v>
      </c>
      <c r="D777" t="s">
        <v>33</v>
      </c>
    </row>
    <row r="778" spans="1:4" x14ac:dyDescent="0.35">
      <c r="A778" t="s">
        <v>26</v>
      </c>
      <c r="B778" t="s">
        <v>9</v>
      </c>
      <c r="C778">
        <v>3</v>
      </c>
      <c r="D778">
        <v>1.5</v>
      </c>
    </row>
    <row r="779" spans="1:4" x14ac:dyDescent="0.35">
      <c r="A779" t="s">
        <v>26</v>
      </c>
      <c r="B779" t="s">
        <v>31</v>
      </c>
      <c r="C779">
        <v>3</v>
      </c>
      <c r="D779">
        <v>18</v>
      </c>
    </row>
    <row r="780" spans="1:4" x14ac:dyDescent="0.35">
      <c r="A780" t="s">
        <v>26</v>
      </c>
      <c r="B780" t="s">
        <v>32</v>
      </c>
      <c r="C780">
        <v>3</v>
      </c>
      <c r="D780">
        <v>0</v>
      </c>
    </row>
    <row r="781" spans="1:4" x14ac:dyDescent="0.35">
      <c r="A781" t="s">
        <v>26</v>
      </c>
      <c r="B781" t="s">
        <v>10</v>
      </c>
      <c r="C781">
        <v>3</v>
      </c>
      <c r="D781">
        <v>12</v>
      </c>
    </row>
    <row r="782" spans="1:4" x14ac:dyDescent="0.35">
      <c r="A782" t="s">
        <v>26</v>
      </c>
      <c r="B782" t="s">
        <v>9</v>
      </c>
      <c r="C782">
        <v>4</v>
      </c>
      <c r="D782">
        <v>1.5</v>
      </c>
    </row>
    <row r="783" spans="1:4" x14ac:dyDescent="0.35">
      <c r="A783" t="s">
        <v>26</v>
      </c>
      <c r="B783" t="s">
        <v>31</v>
      </c>
      <c r="C783">
        <v>4</v>
      </c>
      <c r="D783">
        <v>24</v>
      </c>
    </row>
    <row r="784" spans="1:4" x14ac:dyDescent="0.35">
      <c r="A784" t="s">
        <v>26</v>
      </c>
      <c r="B784" t="s">
        <v>32</v>
      </c>
      <c r="C784">
        <v>4</v>
      </c>
      <c r="D784" t="s">
        <v>33</v>
      </c>
    </row>
    <row r="785" spans="1:4" x14ac:dyDescent="0.35">
      <c r="A785" t="s">
        <v>26</v>
      </c>
      <c r="B785" t="s">
        <v>10</v>
      </c>
      <c r="C785">
        <v>4</v>
      </c>
      <c r="D785" t="s">
        <v>33</v>
      </c>
    </row>
    <row r="786" spans="1:4" x14ac:dyDescent="0.35">
      <c r="A786" t="s">
        <v>26</v>
      </c>
      <c r="B786" t="s">
        <v>9</v>
      </c>
      <c r="C786">
        <v>5</v>
      </c>
      <c r="D786">
        <v>1.5</v>
      </c>
    </row>
    <row r="787" spans="1:4" x14ac:dyDescent="0.35">
      <c r="A787" t="s">
        <v>26</v>
      </c>
      <c r="B787" t="s">
        <v>31</v>
      </c>
      <c r="C787">
        <v>5</v>
      </c>
      <c r="D787">
        <v>28</v>
      </c>
    </row>
    <row r="788" spans="1:4" x14ac:dyDescent="0.35">
      <c r="A788" t="s">
        <v>26</v>
      </c>
      <c r="B788" t="s">
        <v>32</v>
      </c>
      <c r="C788">
        <v>5</v>
      </c>
      <c r="D788">
        <v>0</v>
      </c>
    </row>
    <row r="789" spans="1:4" x14ac:dyDescent="0.35">
      <c r="A789" t="s">
        <v>26</v>
      </c>
      <c r="B789" t="s">
        <v>10</v>
      </c>
      <c r="C789">
        <v>5</v>
      </c>
      <c r="D789">
        <v>13</v>
      </c>
    </row>
    <row r="790" spans="1:4" x14ac:dyDescent="0.35">
      <c r="A790" t="s">
        <v>26</v>
      </c>
      <c r="B790" t="s">
        <v>9</v>
      </c>
      <c r="C790">
        <v>6</v>
      </c>
      <c r="D790">
        <v>2</v>
      </c>
    </row>
    <row r="791" spans="1:4" x14ac:dyDescent="0.35">
      <c r="A791" t="s">
        <v>26</v>
      </c>
      <c r="B791" t="s">
        <v>31</v>
      </c>
      <c r="C791">
        <v>6</v>
      </c>
      <c r="D791">
        <v>15</v>
      </c>
    </row>
    <row r="792" spans="1:4" x14ac:dyDescent="0.35">
      <c r="A792" t="s">
        <v>26</v>
      </c>
      <c r="B792" t="s">
        <v>32</v>
      </c>
      <c r="C792">
        <v>6</v>
      </c>
      <c r="D792" t="s">
        <v>33</v>
      </c>
    </row>
    <row r="793" spans="1:4" x14ac:dyDescent="0.35">
      <c r="A793" t="s">
        <v>26</v>
      </c>
      <c r="B793" t="s">
        <v>10</v>
      </c>
      <c r="C793">
        <v>6</v>
      </c>
      <c r="D793" t="s">
        <v>33</v>
      </c>
    </row>
    <row r="794" spans="1:4" x14ac:dyDescent="0.35">
      <c r="A794" t="s">
        <v>26</v>
      </c>
      <c r="B794" t="s">
        <v>9</v>
      </c>
      <c r="C794">
        <v>7</v>
      </c>
      <c r="D794">
        <v>1.5</v>
      </c>
    </row>
    <row r="795" spans="1:4" x14ac:dyDescent="0.35">
      <c r="A795" t="s">
        <v>26</v>
      </c>
      <c r="B795" t="s">
        <v>31</v>
      </c>
      <c r="C795">
        <v>7</v>
      </c>
      <c r="D795">
        <v>21.5</v>
      </c>
    </row>
    <row r="796" spans="1:4" x14ac:dyDescent="0.35">
      <c r="A796" t="s">
        <v>26</v>
      </c>
      <c r="B796" t="s">
        <v>32</v>
      </c>
      <c r="C796">
        <v>7</v>
      </c>
      <c r="D796" t="s">
        <v>33</v>
      </c>
    </row>
    <row r="797" spans="1:4" x14ac:dyDescent="0.35">
      <c r="A797" t="s">
        <v>26</v>
      </c>
      <c r="B797" t="s">
        <v>10</v>
      </c>
      <c r="C797">
        <v>7</v>
      </c>
      <c r="D797" t="s">
        <v>33</v>
      </c>
    </row>
    <row r="798" spans="1:4" x14ac:dyDescent="0.35">
      <c r="A798" t="s">
        <v>26</v>
      </c>
      <c r="B798" t="s">
        <v>9</v>
      </c>
      <c r="C798">
        <v>8</v>
      </c>
      <c r="D798">
        <v>2</v>
      </c>
    </row>
    <row r="799" spans="1:4" x14ac:dyDescent="0.35">
      <c r="A799" t="s">
        <v>26</v>
      </c>
      <c r="B799" t="s">
        <v>31</v>
      </c>
      <c r="C799">
        <v>8</v>
      </c>
      <c r="D799">
        <v>27.5</v>
      </c>
    </row>
    <row r="800" spans="1:4" x14ac:dyDescent="0.35">
      <c r="A800" t="s">
        <v>26</v>
      </c>
      <c r="B800" t="s">
        <v>32</v>
      </c>
      <c r="C800">
        <v>8</v>
      </c>
      <c r="D800">
        <v>0</v>
      </c>
    </row>
    <row r="801" spans="1:4" x14ac:dyDescent="0.35">
      <c r="A801" t="s">
        <v>26</v>
      </c>
      <c r="B801" t="s">
        <v>10</v>
      </c>
      <c r="C801">
        <v>8</v>
      </c>
      <c r="D801">
        <v>1</v>
      </c>
    </row>
    <row r="802" spans="1:4" x14ac:dyDescent="0.35">
      <c r="A802" t="s">
        <v>26</v>
      </c>
      <c r="B802" t="s">
        <v>9</v>
      </c>
      <c r="C802">
        <v>9</v>
      </c>
      <c r="D802">
        <v>1.5</v>
      </c>
    </row>
    <row r="803" spans="1:4" x14ac:dyDescent="0.35">
      <c r="A803" t="s">
        <v>26</v>
      </c>
      <c r="B803" t="s">
        <v>31</v>
      </c>
      <c r="C803">
        <v>9</v>
      </c>
      <c r="D803">
        <v>13.5</v>
      </c>
    </row>
    <row r="804" spans="1:4" x14ac:dyDescent="0.35">
      <c r="A804" t="s">
        <v>26</v>
      </c>
      <c r="B804" t="s">
        <v>32</v>
      </c>
      <c r="C804">
        <v>9</v>
      </c>
      <c r="D804" t="s">
        <v>33</v>
      </c>
    </row>
    <row r="805" spans="1:4" x14ac:dyDescent="0.35">
      <c r="A805" t="s">
        <v>26</v>
      </c>
      <c r="B805" t="s">
        <v>10</v>
      </c>
      <c r="C805">
        <v>9</v>
      </c>
      <c r="D805" t="s">
        <v>33</v>
      </c>
    </row>
    <row r="806" spans="1:4" x14ac:dyDescent="0.35">
      <c r="A806" t="s">
        <v>26</v>
      </c>
      <c r="B806" t="s">
        <v>9</v>
      </c>
      <c r="C806">
        <v>10</v>
      </c>
      <c r="D806">
        <v>2.5</v>
      </c>
    </row>
    <row r="807" spans="1:4" x14ac:dyDescent="0.35">
      <c r="A807" t="s">
        <v>26</v>
      </c>
      <c r="B807" t="s">
        <v>31</v>
      </c>
      <c r="C807">
        <v>10</v>
      </c>
      <c r="D807">
        <v>23</v>
      </c>
    </row>
    <row r="808" spans="1:4" x14ac:dyDescent="0.35">
      <c r="A808" t="s">
        <v>26</v>
      </c>
      <c r="B808" t="s">
        <v>32</v>
      </c>
      <c r="C808">
        <v>10</v>
      </c>
      <c r="D808" t="s">
        <v>33</v>
      </c>
    </row>
    <row r="809" spans="1:4" x14ac:dyDescent="0.35">
      <c r="A809" t="s">
        <v>26</v>
      </c>
      <c r="B809" t="s">
        <v>10</v>
      </c>
      <c r="C809">
        <v>10</v>
      </c>
      <c r="D809" t="s">
        <v>33</v>
      </c>
    </row>
    <row r="810" spans="1:4" x14ac:dyDescent="0.35">
      <c r="A810" t="s">
        <v>26</v>
      </c>
      <c r="B810" t="s">
        <v>9</v>
      </c>
      <c r="C810">
        <v>11</v>
      </c>
      <c r="D810">
        <v>2</v>
      </c>
    </row>
    <row r="811" spans="1:4" x14ac:dyDescent="0.35">
      <c r="A811" t="s">
        <v>26</v>
      </c>
      <c r="B811" t="s">
        <v>31</v>
      </c>
      <c r="C811">
        <v>11</v>
      </c>
      <c r="D811">
        <v>11</v>
      </c>
    </row>
    <row r="812" spans="1:4" x14ac:dyDescent="0.35">
      <c r="A812" t="s">
        <v>26</v>
      </c>
      <c r="B812" t="s">
        <v>32</v>
      </c>
      <c r="C812">
        <v>11</v>
      </c>
      <c r="D812" t="s">
        <v>33</v>
      </c>
    </row>
    <row r="813" spans="1:4" x14ac:dyDescent="0.35">
      <c r="A813" t="s">
        <v>26</v>
      </c>
      <c r="B813" t="s">
        <v>10</v>
      </c>
      <c r="C813">
        <v>11</v>
      </c>
      <c r="D813" t="s">
        <v>33</v>
      </c>
    </row>
    <row r="814" spans="1:4" x14ac:dyDescent="0.35">
      <c r="A814" t="s">
        <v>26</v>
      </c>
      <c r="B814" t="s">
        <v>9</v>
      </c>
      <c r="C814">
        <v>12</v>
      </c>
      <c r="D814">
        <v>2.5</v>
      </c>
    </row>
    <row r="815" spans="1:4" x14ac:dyDescent="0.35">
      <c r="A815" t="s">
        <v>26</v>
      </c>
      <c r="B815" t="s">
        <v>31</v>
      </c>
      <c r="C815">
        <v>12</v>
      </c>
      <c r="D815">
        <v>10.5</v>
      </c>
    </row>
    <row r="816" spans="1:4" x14ac:dyDescent="0.35">
      <c r="A816" t="s">
        <v>26</v>
      </c>
      <c r="B816" t="s">
        <v>32</v>
      </c>
      <c r="C816">
        <v>12</v>
      </c>
      <c r="D816" t="s">
        <v>33</v>
      </c>
    </row>
    <row r="817" spans="1:4" x14ac:dyDescent="0.35">
      <c r="A817" t="s">
        <v>26</v>
      </c>
      <c r="B817" t="s">
        <v>10</v>
      </c>
      <c r="C817">
        <v>12</v>
      </c>
      <c r="D817" t="s">
        <v>33</v>
      </c>
    </row>
    <row r="818" spans="1:4" x14ac:dyDescent="0.35">
      <c r="A818" t="s">
        <v>27</v>
      </c>
      <c r="B818" t="s">
        <v>9</v>
      </c>
      <c r="C818">
        <v>1</v>
      </c>
      <c r="D818">
        <v>0</v>
      </c>
    </row>
    <row r="819" spans="1:4" x14ac:dyDescent="0.35">
      <c r="A819" t="s">
        <v>27</v>
      </c>
      <c r="B819" t="s">
        <v>31</v>
      </c>
      <c r="C819">
        <v>1</v>
      </c>
      <c r="D819">
        <f>14+25</f>
        <v>39</v>
      </c>
    </row>
    <row r="820" spans="1:4" x14ac:dyDescent="0.35">
      <c r="A820" t="s">
        <v>27</v>
      </c>
      <c r="B820" t="s">
        <v>32</v>
      </c>
      <c r="C820">
        <v>1</v>
      </c>
      <c r="D820">
        <v>0</v>
      </c>
    </row>
    <row r="821" spans="1:4" x14ac:dyDescent="0.35">
      <c r="A821" t="s">
        <v>27</v>
      </c>
      <c r="B821" t="s">
        <v>10</v>
      </c>
      <c r="C821">
        <v>1</v>
      </c>
      <c r="D821">
        <v>6.5</v>
      </c>
    </row>
    <row r="822" spans="1:4" x14ac:dyDescent="0.35">
      <c r="A822" t="s">
        <v>27</v>
      </c>
      <c r="B822" t="s">
        <v>9</v>
      </c>
      <c r="C822">
        <v>2</v>
      </c>
      <c r="D822">
        <v>0</v>
      </c>
    </row>
    <row r="823" spans="1:4" x14ac:dyDescent="0.35">
      <c r="A823" t="s">
        <v>27</v>
      </c>
      <c r="B823" t="s">
        <v>31</v>
      </c>
      <c r="C823">
        <v>2</v>
      </c>
      <c r="D823">
        <v>32</v>
      </c>
    </row>
    <row r="824" spans="1:4" x14ac:dyDescent="0.35">
      <c r="A824" t="s">
        <v>27</v>
      </c>
      <c r="B824" t="s">
        <v>32</v>
      </c>
      <c r="C824">
        <v>2</v>
      </c>
      <c r="D824">
        <v>0</v>
      </c>
    </row>
    <row r="825" spans="1:4" x14ac:dyDescent="0.35">
      <c r="A825" t="s">
        <v>27</v>
      </c>
      <c r="B825" t="s">
        <v>10</v>
      </c>
      <c r="C825">
        <v>2</v>
      </c>
      <c r="D825">
        <v>9</v>
      </c>
    </row>
    <row r="826" spans="1:4" x14ac:dyDescent="0.35">
      <c r="A826" t="s">
        <v>27</v>
      </c>
      <c r="B826" t="s">
        <v>9</v>
      </c>
      <c r="C826">
        <v>3</v>
      </c>
      <c r="D826">
        <v>0</v>
      </c>
    </row>
    <row r="827" spans="1:4" x14ac:dyDescent="0.35">
      <c r="A827" t="s">
        <v>27</v>
      </c>
      <c r="B827" t="s">
        <v>31</v>
      </c>
      <c r="C827">
        <v>3</v>
      </c>
      <c r="D827">
        <v>25.5</v>
      </c>
    </row>
    <row r="828" spans="1:4" x14ac:dyDescent="0.35">
      <c r="A828" t="s">
        <v>27</v>
      </c>
      <c r="B828" t="s">
        <v>32</v>
      </c>
      <c r="C828">
        <v>3</v>
      </c>
      <c r="D828" t="s">
        <v>33</v>
      </c>
    </row>
    <row r="829" spans="1:4" x14ac:dyDescent="0.35">
      <c r="A829" t="s">
        <v>27</v>
      </c>
      <c r="B829" t="s">
        <v>10</v>
      </c>
      <c r="C829">
        <v>3</v>
      </c>
      <c r="D829" t="s">
        <v>33</v>
      </c>
    </row>
    <row r="830" spans="1:4" x14ac:dyDescent="0.35">
      <c r="A830" t="s">
        <v>27</v>
      </c>
      <c r="B830" t="s">
        <v>9</v>
      </c>
      <c r="C830">
        <v>4</v>
      </c>
      <c r="D830">
        <v>0</v>
      </c>
    </row>
    <row r="831" spans="1:4" x14ac:dyDescent="0.35">
      <c r="A831" t="s">
        <v>27</v>
      </c>
      <c r="B831" t="s">
        <v>31</v>
      </c>
      <c r="C831">
        <v>4</v>
      </c>
      <c r="D831">
        <v>17</v>
      </c>
    </row>
    <row r="832" spans="1:4" x14ac:dyDescent="0.35">
      <c r="A832" t="s">
        <v>27</v>
      </c>
      <c r="B832" t="s">
        <v>32</v>
      </c>
      <c r="C832">
        <v>4</v>
      </c>
      <c r="D832" t="s">
        <v>33</v>
      </c>
    </row>
    <row r="833" spans="1:4" x14ac:dyDescent="0.35">
      <c r="A833" t="s">
        <v>27</v>
      </c>
      <c r="B833" t="s">
        <v>10</v>
      </c>
      <c r="C833">
        <v>4</v>
      </c>
      <c r="D833" t="s">
        <v>33</v>
      </c>
    </row>
    <row r="834" spans="1:4" x14ac:dyDescent="0.35">
      <c r="A834" t="s">
        <v>27</v>
      </c>
      <c r="B834" t="s">
        <v>9</v>
      </c>
      <c r="C834">
        <v>5</v>
      </c>
      <c r="D834">
        <v>0</v>
      </c>
    </row>
    <row r="835" spans="1:4" x14ac:dyDescent="0.35">
      <c r="A835" t="s">
        <v>27</v>
      </c>
      <c r="B835" t="s">
        <v>31</v>
      </c>
      <c r="C835">
        <v>5</v>
      </c>
      <c r="D835">
        <f>17+4+7</f>
        <v>28</v>
      </c>
    </row>
    <row r="836" spans="1:4" x14ac:dyDescent="0.35">
      <c r="A836" t="s">
        <v>27</v>
      </c>
      <c r="B836" t="s">
        <v>32</v>
      </c>
      <c r="C836">
        <v>5</v>
      </c>
      <c r="D836">
        <v>0</v>
      </c>
    </row>
    <row r="837" spans="1:4" x14ac:dyDescent="0.35">
      <c r="A837" t="s">
        <v>27</v>
      </c>
      <c r="B837" t="s">
        <v>10</v>
      </c>
      <c r="C837">
        <v>5</v>
      </c>
      <c r="D837">
        <v>7</v>
      </c>
    </row>
    <row r="838" spans="1:4" x14ac:dyDescent="0.35">
      <c r="A838" t="s">
        <v>27</v>
      </c>
      <c r="B838" t="s">
        <v>9</v>
      </c>
      <c r="C838">
        <v>6</v>
      </c>
      <c r="D838">
        <v>0</v>
      </c>
    </row>
    <row r="839" spans="1:4" x14ac:dyDescent="0.35">
      <c r="A839" t="s">
        <v>27</v>
      </c>
      <c r="B839" t="s">
        <v>31</v>
      </c>
      <c r="C839">
        <v>6</v>
      </c>
      <c r="D839">
        <f>11.5+4+6.5</f>
        <v>22</v>
      </c>
    </row>
    <row r="840" spans="1:4" x14ac:dyDescent="0.35">
      <c r="A840" t="s">
        <v>27</v>
      </c>
      <c r="B840" t="s">
        <v>32</v>
      </c>
      <c r="C840">
        <v>6</v>
      </c>
      <c r="D840">
        <v>0</v>
      </c>
    </row>
    <row r="841" spans="1:4" x14ac:dyDescent="0.35">
      <c r="A841" t="s">
        <v>27</v>
      </c>
      <c r="B841" t="s">
        <v>10</v>
      </c>
      <c r="C841">
        <v>6</v>
      </c>
      <c r="D841">
        <v>4</v>
      </c>
    </row>
    <row r="842" spans="1:4" x14ac:dyDescent="0.35">
      <c r="A842" t="s">
        <v>27</v>
      </c>
      <c r="B842" t="s">
        <v>9</v>
      </c>
      <c r="C842">
        <v>7</v>
      </c>
      <c r="D842">
        <v>0</v>
      </c>
    </row>
    <row r="843" spans="1:4" x14ac:dyDescent="0.35">
      <c r="A843" t="s">
        <v>27</v>
      </c>
      <c r="B843" t="s">
        <v>31</v>
      </c>
      <c r="C843">
        <v>7</v>
      </c>
      <c r="D843">
        <f>18.5+4+13.5</f>
        <v>36</v>
      </c>
    </row>
    <row r="844" spans="1:4" x14ac:dyDescent="0.35">
      <c r="A844" t="s">
        <v>27</v>
      </c>
      <c r="B844" t="s">
        <v>32</v>
      </c>
      <c r="C844">
        <v>7</v>
      </c>
      <c r="D844">
        <v>0</v>
      </c>
    </row>
    <row r="845" spans="1:4" x14ac:dyDescent="0.35">
      <c r="A845" t="s">
        <v>27</v>
      </c>
      <c r="B845" t="s">
        <v>10</v>
      </c>
      <c r="C845">
        <v>7</v>
      </c>
      <c r="D845">
        <v>10.5</v>
      </c>
    </row>
    <row r="846" spans="1:4" x14ac:dyDescent="0.35">
      <c r="A846" t="s">
        <v>27</v>
      </c>
      <c r="B846" t="s">
        <v>9</v>
      </c>
      <c r="C846">
        <v>8</v>
      </c>
      <c r="D846">
        <v>0</v>
      </c>
    </row>
    <row r="847" spans="1:4" x14ac:dyDescent="0.35">
      <c r="A847" t="s">
        <v>27</v>
      </c>
      <c r="B847" t="s">
        <v>31</v>
      </c>
      <c r="C847">
        <v>8</v>
      </c>
      <c r="D847">
        <f>18+4+12.5</f>
        <v>34.5</v>
      </c>
    </row>
    <row r="848" spans="1:4" x14ac:dyDescent="0.35">
      <c r="A848" t="s">
        <v>27</v>
      </c>
      <c r="B848" t="s">
        <v>32</v>
      </c>
      <c r="C848">
        <v>8</v>
      </c>
      <c r="D848">
        <v>0</v>
      </c>
    </row>
    <row r="849" spans="1:4" x14ac:dyDescent="0.35">
      <c r="A849" t="s">
        <v>27</v>
      </c>
      <c r="B849" t="s">
        <v>10</v>
      </c>
      <c r="C849">
        <v>8</v>
      </c>
      <c r="D849">
        <v>9</v>
      </c>
    </row>
    <row r="850" spans="1:4" x14ac:dyDescent="0.35">
      <c r="A850" t="s">
        <v>27</v>
      </c>
      <c r="B850" t="s">
        <v>9</v>
      </c>
      <c r="C850">
        <v>9</v>
      </c>
      <c r="D850">
        <v>0</v>
      </c>
    </row>
    <row r="851" spans="1:4" x14ac:dyDescent="0.35">
      <c r="A851" t="s">
        <v>27</v>
      </c>
      <c r="B851" t="s">
        <v>31</v>
      </c>
      <c r="C851">
        <v>9</v>
      </c>
      <c r="D851">
        <f>17+4+12.5</f>
        <v>33.5</v>
      </c>
    </row>
    <row r="852" spans="1:4" x14ac:dyDescent="0.35">
      <c r="A852" t="s">
        <v>27</v>
      </c>
      <c r="B852" t="s">
        <v>32</v>
      </c>
      <c r="C852">
        <v>9</v>
      </c>
      <c r="D852">
        <v>0</v>
      </c>
    </row>
    <row r="853" spans="1:4" x14ac:dyDescent="0.35">
      <c r="A853" t="s">
        <v>27</v>
      </c>
      <c r="B853" t="s">
        <v>10</v>
      </c>
      <c r="C853">
        <v>9</v>
      </c>
      <c r="D853">
        <v>14.5</v>
      </c>
    </row>
    <row r="854" spans="1:4" x14ac:dyDescent="0.35">
      <c r="A854" t="s">
        <v>27</v>
      </c>
      <c r="B854" t="s">
        <v>9</v>
      </c>
      <c r="C854">
        <v>10</v>
      </c>
      <c r="D854">
        <v>0</v>
      </c>
    </row>
    <row r="855" spans="1:4" x14ac:dyDescent="0.35">
      <c r="A855" t="s">
        <v>27</v>
      </c>
      <c r="B855" t="s">
        <v>31</v>
      </c>
      <c r="C855">
        <v>10</v>
      </c>
      <c r="D855">
        <v>22</v>
      </c>
    </row>
    <row r="856" spans="1:4" x14ac:dyDescent="0.35">
      <c r="A856" t="s">
        <v>27</v>
      </c>
      <c r="B856" t="s">
        <v>32</v>
      </c>
      <c r="C856">
        <v>10</v>
      </c>
      <c r="D856">
        <v>0</v>
      </c>
    </row>
    <row r="857" spans="1:4" x14ac:dyDescent="0.35">
      <c r="A857" t="s">
        <v>27</v>
      </c>
      <c r="B857" t="s">
        <v>10</v>
      </c>
      <c r="C857">
        <v>10</v>
      </c>
      <c r="D857">
        <v>18</v>
      </c>
    </row>
    <row r="858" spans="1:4" x14ac:dyDescent="0.35">
      <c r="A858" t="s">
        <v>27</v>
      </c>
      <c r="B858" t="s">
        <v>9</v>
      </c>
      <c r="C858">
        <v>11</v>
      </c>
      <c r="D858">
        <v>0</v>
      </c>
    </row>
    <row r="859" spans="1:4" x14ac:dyDescent="0.35">
      <c r="A859" t="s">
        <v>27</v>
      </c>
      <c r="B859" t="s">
        <v>31</v>
      </c>
      <c r="C859">
        <v>11</v>
      </c>
      <c r="D859">
        <v>30.5</v>
      </c>
    </row>
    <row r="860" spans="1:4" x14ac:dyDescent="0.35">
      <c r="A860" t="s">
        <v>27</v>
      </c>
      <c r="B860" t="s">
        <v>32</v>
      </c>
      <c r="C860">
        <v>11</v>
      </c>
      <c r="D860">
        <v>0</v>
      </c>
    </row>
    <row r="861" spans="1:4" x14ac:dyDescent="0.35">
      <c r="A861" t="s">
        <v>27</v>
      </c>
      <c r="B861" t="s">
        <v>10</v>
      </c>
      <c r="C861">
        <v>11</v>
      </c>
      <c r="D861">
        <v>16</v>
      </c>
    </row>
    <row r="862" spans="1:4" x14ac:dyDescent="0.35">
      <c r="A862" t="s">
        <v>27</v>
      </c>
      <c r="B862" t="s">
        <v>9</v>
      </c>
      <c r="C862">
        <v>12</v>
      </c>
      <c r="D862">
        <v>0</v>
      </c>
    </row>
    <row r="863" spans="1:4" x14ac:dyDescent="0.35">
      <c r="A863" t="s">
        <v>27</v>
      </c>
      <c r="B863" t="s">
        <v>31</v>
      </c>
      <c r="C863">
        <v>12</v>
      </c>
      <c r="D863">
        <v>28.5</v>
      </c>
    </row>
    <row r="864" spans="1:4" x14ac:dyDescent="0.35">
      <c r="A864" t="s">
        <v>27</v>
      </c>
      <c r="B864" t="s">
        <v>32</v>
      </c>
      <c r="C864">
        <v>12</v>
      </c>
      <c r="D864">
        <v>0</v>
      </c>
    </row>
    <row r="865" spans="1:4" x14ac:dyDescent="0.35">
      <c r="A865" t="s">
        <v>27</v>
      </c>
      <c r="B865" t="s">
        <v>10</v>
      </c>
      <c r="C865">
        <v>12</v>
      </c>
      <c r="D865">
        <v>15</v>
      </c>
    </row>
    <row r="866" spans="1:4" x14ac:dyDescent="0.35">
      <c r="A866" t="s">
        <v>28</v>
      </c>
      <c r="B866" t="s">
        <v>9</v>
      </c>
      <c r="C866">
        <v>1</v>
      </c>
      <c r="D866">
        <v>0.5</v>
      </c>
    </row>
    <row r="867" spans="1:4" x14ac:dyDescent="0.35">
      <c r="A867" t="s">
        <v>28</v>
      </c>
      <c r="B867" t="s">
        <v>31</v>
      </c>
      <c r="C867">
        <v>1</v>
      </c>
      <c r="D867">
        <v>12</v>
      </c>
    </row>
    <row r="868" spans="1:4" x14ac:dyDescent="0.35">
      <c r="A868" t="s">
        <v>28</v>
      </c>
      <c r="B868" t="s">
        <v>32</v>
      </c>
      <c r="C868">
        <v>1</v>
      </c>
      <c r="D868" t="s">
        <v>33</v>
      </c>
    </row>
    <row r="869" spans="1:4" x14ac:dyDescent="0.35">
      <c r="A869" t="s">
        <v>28</v>
      </c>
      <c r="B869" t="s">
        <v>10</v>
      </c>
      <c r="C869">
        <v>1</v>
      </c>
      <c r="D869" t="s">
        <v>33</v>
      </c>
    </row>
    <row r="870" spans="1:4" x14ac:dyDescent="0.35">
      <c r="A870" t="s">
        <v>28</v>
      </c>
      <c r="B870" t="s">
        <v>9</v>
      </c>
      <c r="C870">
        <v>2</v>
      </c>
      <c r="D870">
        <v>1.5</v>
      </c>
    </row>
    <row r="871" spans="1:4" x14ac:dyDescent="0.35">
      <c r="A871" t="s">
        <v>28</v>
      </c>
      <c r="B871" t="s">
        <v>31</v>
      </c>
      <c r="C871">
        <v>2</v>
      </c>
      <c r="D871">
        <v>13.5</v>
      </c>
    </row>
    <row r="872" spans="1:4" x14ac:dyDescent="0.35">
      <c r="A872" t="s">
        <v>28</v>
      </c>
      <c r="B872" t="s">
        <v>32</v>
      </c>
      <c r="C872">
        <v>2</v>
      </c>
      <c r="D872" t="s">
        <v>33</v>
      </c>
    </row>
    <row r="873" spans="1:4" x14ac:dyDescent="0.35">
      <c r="A873" t="s">
        <v>28</v>
      </c>
      <c r="B873" t="s">
        <v>10</v>
      </c>
      <c r="C873">
        <v>2</v>
      </c>
      <c r="D873" t="s">
        <v>33</v>
      </c>
    </row>
    <row r="874" spans="1:4" x14ac:dyDescent="0.35">
      <c r="A874" t="s">
        <v>28</v>
      </c>
      <c r="B874" t="s">
        <v>9</v>
      </c>
      <c r="C874">
        <v>3</v>
      </c>
      <c r="D874">
        <v>3</v>
      </c>
    </row>
    <row r="875" spans="1:4" x14ac:dyDescent="0.35">
      <c r="A875" t="s">
        <v>28</v>
      </c>
      <c r="B875" t="s">
        <v>31</v>
      </c>
      <c r="C875">
        <v>3</v>
      </c>
      <c r="D875">
        <v>9.5</v>
      </c>
    </row>
    <row r="876" spans="1:4" x14ac:dyDescent="0.35">
      <c r="A876" t="s">
        <v>28</v>
      </c>
      <c r="B876" t="s">
        <v>32</v>
      </c>
      <c r="C876">
        <v>3</v>
      </c>
      <c r="D876" t="s">
        <v>33</v>
      </c>
    </row>
    <row r="877" spans="1:4" x14ac:dyDescent="0.35">
      <c r="A877" t="s">
        <v>28</v>
      </c>
      <c r="B877" t="s">
        <v>10</v>
      </c>
      <c r="C877">
        <v>3</v>
      </c>
      <c r="D877" t="s">
        <v>33</v>
      </c>
    </row>
    <row r="878" spans="1:4" x14ac:dyDescent="0.35">
      <c r="A878" t="s">
        <v>28</v>
      </c>
      <c r="B878" t="s">
        <v>9</v>
      </c>
      <c r="C878">
        <v>4</v>
      </c>
      <c r="D878">
        <v>2</v>
      </c>
    </row>
    <row r="879" spans="1:4" x14ac:dyDescent="0.35">
      <c r="A879" t="s">
        <v>28</v>
      </c>
      <c r="B879" t="s">
        <v>31</v>
      </c>
      <c r="C879">
        <v>4</v>
      </c>
      <c r="D879">
        <v>12</v>
      </c>
    </row>
    <row r="880" spans="1:4" x14ac:dyDescent="0.35">
      <c r="A880" t="s">
        <v>28</v>
      </c>
      <c r="B880" t="s">
        <v>32</v>
      </c>
      <c r="C880">
        <v>4</v>
      </c>
      <c r="D880" t="s">
        <v>33</v>
      </c>
    </row>
    <row r="881" spans="1:4" x14ac:dyDescent="0.35">
      <c r="A881" t="s">
        <v>28</v>
      </c>
      <c r="B881" t="s">
        <v>10</v>
      </c>
      <c r="C881">
        <v>4</v>
      </c>
      <c r="D881" t="s">
        <v>33</v>
      </c>
    </row>
    <row r="882" spans="1:4" x14ac:dyDescent="0.35">
      <c r="A882" t="s">
        <v>28</v>
      </c>
      <c r="B882" t="s">
        <v>9</v>
      </c>
      <c r="C882">
        <v>5</v>
      </c>
      <c r="D882">
        <v>2.5</v>
      </c>
    </row>
    <row r="883" spans="1:4" x14ac:dyDescent="0.35">
      <c r="A883" t="s">
        <v>28</v>
      </c>
      <c r="B883" t="s">
        <v>31</v>
      </c>
      <c r="C883">
        <v>5</v>
      </c>
      <c r="D883">
        <v>11.5</v>
      </c>
    </row>
    <row r="884" spans="1:4" x14ac:dyDescent="0.35">
      <c r="A884" t="s">
        <v>28</v>
      </c>
      <c r="B884" t="s">
        <v>32</v>
      </c>
      <c r="C884">
        <v>5</v>
      </c>
      <c r="D884" t="s">
        <v>33</v>
      </c>
    </row>
    <row r="885" spans="1:4" x14ac:dyDescent="0.35">
      <c r="A885" t="s">
        <v>28</v>
      </c>
      <c r="B885" t="s">
        <v>10</v>
      </c>
      <c r="C885">
        <v>5</v>
      </c>
      <c r="D885" t="s">
        <v>33</v>
      </c>
    </row>
    <row r="886" spans="1:4" x14ac:dyDescent="0.35">
      <c r="A886" t="s">
        <v>28</v>
      </c>
      <c r="B886" t="s">
        <v>9</v>
      </c>
      <c r="C886">
        <v>6</v>
      </c>
      <c r="D886">
        <v>3</v>
      </c>
    </row>
    <row r="887" spans="1:4" x14ac:dyDescent="0.35">
      <c r="A887" t="s">
        <v>28</v>
      </c>
      <c r="B887" t="s">
        <v>31</v>
      </c>
      <c r="C887">
        <v>6</v>
      </c>
      <c r="D887">
        <v>11.5</v>
      </c>
    </row>
    <row r="888" spans="1:4" x14ac:dyDescent="0.35">
      <c r="A888" t="s">
        <v>28</v>
      </c>
      <c r="B888" t="s">
        <v>32</v>
      </c>
      <c r="C888">
        <v>6</v>
      </c>
      <c r="D888" t="s">
        <v>33</v>
      </c>
    </row>
    <row r="889" spans="1:4" x14ac:dyDescent="0.35">
      <c r="A889" t="s">
        <v>28</v>
      </c>
      <c r="B889" t="s">
        <v>10</v>
      </c>
      <c r="C889">
        <v>6</v>
      </c>
      <c r="D889" t="s">
        <v>33</v>
      </c>
    </row>
    <row r="890" spans="1:4" x14ac:dyDescent="0.35">
      <c r="A890" t="s">
        <v>28</v>
      </c>
      <c r="B890" t="s">
        <v>9</v>
      </c>
      <c r="C890">
        <v>7</v>
      </c>
      <c r="D890">
        <v>0.5</v>
      </c>
    </row>
    <row r="891" spans="1:4" x14ac:dyDescent="0.35">
      <c r="A891" t="s">
        <v>28</v>
      </c>
      <c r="B891" t="s">
        <v>31</v>
      </c>
      <c r="C891">
        <v>7</v>
      </c>
      <c r="D891">
        <v>7</v>
      </c>
    </row>
    <row r="892" spans="1:4" x14ac:dyDescent="0.35">
      <c r="A892" t="s">
        <v>28</v>
      </c>
      <c r="B892" t="s">
        <v>32</v>
      </c>
      <c r="C892">
        <v>7</v>
      </c>
      <c r="D892" t="s">
        <v>33</v>
      </c>
    </row>
    <row r="893" spans="1:4" x14ac:dyDescent="0.35">
      <c r="A893" t="s">
        <v>28</v>
      </c>
      <c r="B893" t="s">
        <v>10</v>
      </c>
      <c r="C893">
        <v>7</v>
      </c>
      <c r="D893" t="s">
        <v>33</v>
      </c>
    </row>
    <row r="894" spans="1:4" x14ac:dyDescent="0.35">
      <c r="A894" t="s">
        <v>28</v>
      </c>
      <c r="B894" t="s">
        <v>9</v>
      </c>
      <c r="C894">
        <v>8</v>
      </c>
      <c r="D894">
        <v>2</v>
      </c>
    </row>
    <row r="895" spans="1:4" x14ac:dyDescent="0.35">
      <c r="A895" t="s">
        <v>28</v>
      </c>
      <c r="B895" t="s">
        <v>31</v>
      </c>
      <c r="C895">
        <v>8</v>
      </c>
      <c r="D895">
        <v>12</v>
      </c>
    </row>
    <row r="896" spans="1:4" x14ac:dyDescent="0.35">
      <c r="A896" t="s">
        <v>28</v>
      </c>
      <c r="B896" t="s">
        <v>32</v>
      </c>
      <c r="C896">
        <v>8</v>
      </c>
      <c r="D896" t="s">
        <v>33</v>
      </c>
    </row>
    <row r="897" spans="1:4" x14ac:dyDescent="0.35">
      <c r="A897" t="s">
        <v>28</v>
      </c>
      <c r="B897" t="s">
        <v>10</v>
      </c>
      <c r="C897">
        <v>8</v>
      </c>
      <c r="D897" t="s">
        <v>33</v>
      </c>
    </row>
    <row r="898" spans="1:4" x14ac:dyDescent="0.35">
      <c r="A898" t="s">
        <v>28</v>
      </c>
      <c r="B898" t="s">
        <v>9</v>
      </c>
      <c r="C898">
        <v>9</v>
      </c>
      <c r="D898">
        <v>0.5</v>
      </c>
    </row>
    <row r="899" spans="1:4" x14ac:dyDescent="0.35">
      <c r="A899" t="s">
        <v>28</v>
      </c>
      <c r="B899" t="s">
        <v>31</v>
      </c>
      <c r="C899">
        <v>9</v>
      </c>
      <c r="D899">
        <v>18</v>
      </c>
    </row>
    <row r="900" spans="1:4" x14ac:dyDescent="0.35">
      <c r="A900" t="s">
        <v>28</v>
      </c>
      <c r="B900" t="s">
        <v>32</v>
      </c>
      <c r="C900">
        <v>9</v>
      </c>
      <c r="D900" t="s">
        <v>33</v>
      </c>
    </row>
    <row r="901" spans="1:4" x14ac:dyDescent="0.35">
      <c r="A901" t="s">
        <v>28</v>
      </c>
      <c r="B901" t="s">
        <v>10</v>
      </c>
      <c r="C901">
        <v>9</v>
      </c>
      <c r="D901" t="s">
        <v>33</v>
      </c>
    </row>
    <row r="902" spans="1:4" x14ac:dyDescent="0.35">
      <c r="A902" t="s">
        <v>28</v>
      </c>
      <c r="B902" t="s">
        <v>9</v>
      </c>
      <c r="C902">
        <v>10</v>
      </c>
      <c r="D902">
        <v>1.5</v>
      </c>
    </row>
    <row r="903" spans="1:4" x14ac:dyDescent="0.35">
      <c r="A903" t="s">
        <v>28</v>
      </c>
      <c r="B903" t="s">
        <v>31</v>
      </c>
      <c r="C903">
        <v>10</v>
      </c>
      <c r="D903">
        <v>10.5</v>
      </c>
    </row>
    <row r="904" spans="1:4" x14ac:dyDescent="0.35">
      <c r="A904" t="s">
        <v>28</v>
      </c>
      <c r="B904" t="s">
        <v>32</v>
      </c>
      <c r="C904">
        <v>10</v>
      </c>
      <c r="D904" t="s">
        <v>33</v>
      </c>
    </row>
    <row r="905" spans="1:4" x14ac:dyDescent="0.35">
      <c r="A905" t="s">
        <v>28</v>
      </c>
      <c r="B905" t="s">
        <v>10</v>
      </c>
      <c r="C905">
        <v>10</v>
      </c>
      <c r="D905" t="s">
        <v>33</v>
      </c>
    </row>
    <row r="906" spans="1:4" x14ac:dyDescent="0.35">
      <c r="A906" t="s">
        <v>28</v>
      </c>
      <c r="B906" t="s">
        <v>9</v>
      </c>
      <c r="C906">
        <v>11</v>
      </c>
      <c r="D906">
        <v>2</v>
      </c>
    </row>
    <row r="907" spans="1:4" x14ac:dyDescent="0.35">
      <c r="A907" t="s">
        <v>28</v>
      </c>
      <c r="B907" t="s">
        <v>31</v>
      </c>
      <c r="C907">
        <v>11</v>
      </c>
      <c r="D907">
        <v>10.5</v>
      </c>
    </row>
    <row r="908" spans="1:4" x14ac:dyDescent="0.35">
      <c r="A908" t="s">
        <v>28</v>
      </c>
      <c r="B908" t="s">
        <v>32</v>
      </c>
      <c r="C908">
        <v>11</v>
      </c>
      <c r="D908" t="s">
        <v>33</v>
      </c>
    </row>
    <row r="909" spans="1:4" x14ac:dyDescent="0.35">
      <c r="A909" t="s">
        <v>28</v>
      </c>
      <c r="B909" t="s">
        <v>10</v>
      </c>
      <c r="C909">
        <v>11</v>
      </c>
      <c r="D909" t="s">
        <v>33</v>
      </c>
    </row>
    <row r="910" spans="1:4" x14ac:dyDescent="0.35">
      <c r="A910" t="s">
        <v>28</v>
      </c>
      <c r="B910" t="s">
        <v>9</v>
      </c>
      <c r="C910">
        <v>12</v>
      </c>
      <c r="D910">
        <v>2</v>
      </c>
    </row>
    <row r="911" spans="1:4" x14ac:dyDescent="0.35">
      <c r="A911" t="s">
        <v>28</v>
      </c>
      <c r="B911" t="s">
        <v>31</v>
      </c>
      <c r="C911">
        <v>12</v>
      </c>
      <c r="D911">
        <v>12.5</v>
      </c>
    </row>
    <row r="912" spans="1:4" x14ac:dyDescent="0.35">
      <c r="A912" t="s">
        <v>28</v>
      </c>
      <c r="B912" t="s">
        <v>32</v>
      </c>
      <c r="C912">
        <v>12</v>
      </c>
      <c r="D912" t="s">
        <v>33</v>
      </c>
    </row>
    <row r="913" spans="1:4" x14ac:dyDescent="0.35">
      <c r="A913" t="s">
        <v>28</v>
      </c>
      <c r="B913" t="s">
        <v>10</v>
      </c>
      <c r="C913">
        <v>12</v>
      </c>
      <c r="D913" t="s">
        <v>33</v>
      </c>
    </row>
    <row r="914" spans="1:4" x14ac:dyDescent="0.35">
      <c r="A914" t="s">
        <v>29</v>
      </c>
      <c r="B914" t="s">
        <v>9</v>
      </c>
      <c r="C914">
        <v>1</v>
      </c>
      <c r="D914">
        <v>1</v>
      </c>
    </row>
    <row r="915" spans="1:4" x14ac:dyDescent="0.35">
      <c r="A915" t="s">
        <v>29</v>
      </c>
      <c r="B915" t="s">
        <v>31</v>
      </c>
      <c r="C915">
        <v>1</v>
      </c>
      <c r="D915">
        <v>17</v>
      </c>
    </row>
    <row r="916" spans="1:4" x14ac:dyDescent="0.35">
      <c r="A916" t="s">
        <v>29</v>
      </c>
      <c r="B916" t="s">
        <v>32</v>
      </c>
      <c r="C916">
        <v>1</v>
      </c>
      <c r="D916" t="s">
        <v>33</v>
      </c>
    </row>
    <row r="917" spans="1:4" x14ac:dyDescent="0.35">
      <c r="A917" t="s">
        <v>29</v>
      </c>
      <c r="B917" t="s">
        <v>10</v>
      </c>
      <c r="C917">
        <v>1</v>
      </c>
      <c r="D917" t="s">
        <v>33</v>
      </c>
    </row>
    <row r="918" spans="1:4" x14ac:dyDescent="0.35">
      <c r="A918" t="s">
        <v>29</v>
      </c>
      <c r="B918" t="s">
        <v>9</v>
      </c>
      <c r="C918">
        <v>2</v>
      </c>
      <c r="D918">
        <v>1.5</v>
      </c>
    </row>
    <row r="919" spans="1:4" x14ac:dyDescent="0.35">
      <c r="A919" t="s">
        <v>29</v>
      </c>
      <c r="B919" t="s">
        <v>31</v>
      </c>
      <c r="C919">
        <v>2</v>
      </c>
      <c r="D919">
        <v>8</v>
      </c>
    </row>
    <row r="920" spans="1:4" x14ac:dyDescent="0.35">
      <c r="A920" t="s">
        <v>29</v>
      </c>
      <c r="B920" t="s">
        <v>32</v>
      </c>
      <c r="C920">
        <v>2</v>
      </c>
      <c r="D920" t="s">
        <v>33</v>
      </c>
    </row>
    <row r="921" spans="1:4" x14ac:dyDescent="0.35">
      <c r="A921" t="s">
        <v>29</v>
      </c>
      <c r="B921" t="s">
        <v>10</v>
      </c>
      <c r="C921">
        <v>2</v>
      </c>
      <c r="D921" t="s">
        <v>33</v>
      </c>
    </row>
    <row r="922" spans="1:4" x14ac:dyDescent="0.35">
      <c r="A922" t="s">
        <v>29</v>
      </c>
      <c r="B922" t="s">
        <v>9</v>
      </c>
      <c r="C922">
        <v>3</v>
      </c>
      <c r="D922">
        <v>1</v>
      </c>
    </row>
    <row r="923" spans="1:4" x14ac:dyDescent="0.35">
      <c r="A923" t="s">
        <v>29</v>
      </c>
      <c r="B923" t="s">
        <v>31</v>
      </c>
      <c r="C923">
        <v>3</v>
      </c>
      <c r="D923">
        <v>18</v>
      </c>
    </row>
    <row r="924" spans="1:4" x14ac:dyDescent="0.35">
      <c r="A924" t="s">
        <v>29</v>
      </c>
      <c r="B924" t="s">
        <v>32</v>
      </c>
      <c r="C924">
        <v>3</v>
      </c>
      <c r="D924" t="s">
        <v>33</v>
      </c>
    </row>
    <row r="925" spans="1:4" x14ac:dyDescent="0.35">
      <c r="A925" t="s">
        <v>29</v>
      </c>
      <c r="B925" t="s">
        <v>10</v>
      </c>
      <c r="C925">
        <v>3</v>
      </c>
      <c r="D925" t="s">
        <v>33</v>
      </c>
    </row>
    <row r="926" spans="1:4" x14ac:dyDescent="0.35">
      <c r="A926" t="s">
        <v>29</v>
      </c>
      <c r="B926" t="s">
        <v>9</v>
      </c>
      <c r="C926">
        <v>4</v>
      </c>
      <c r="D926">
        <v>1.5</v>
      </c>
    </row>
    <row r="927" spans="1:4" x14ac:dyDescent="0.35">
      <c r="A927" t="s">
        <v>29</v>
      </c>
      <c r="B927" t="s">
        <v>31</v>
      </c>
      <c r="C927">
        <v>4</v>
      </c>
      <c r="D927">
        <v>18</v>
      </c>
    </row>
    <row r="928" spans="1:4" x14ac:dyDescent="0.35">
      <c r="A928" t="s">
        <v>29</v>
      </c>
      <c r="B928" t="s">
        <v>32</v>
      </c>
      <c r="C928">
        <v>4</v>
      </c>
      <c r="D928" t="s">
        <v>33</v>
      </c>
    </row>
    <row r="929" spans="1:4" x14ac:dyDescent="0.35">
      <c r="A929" t="s">
        <v>29</v>
      </c>
      <c r="B929" t="s">
        <v>10</v>
      </c>
      <c r="C929">
        <v>4</v>
      </c>
      <c r="D929" t="s">
        <v>33</v>
      </c>
    </row>
    <row r="930" spans="1:4" x14ac:dyDescent="0.35">
      <c r="A930" t="s">
        <v>29</v>
      </c>
      <c r="B930" t="s">
        <v>9</v>
      </c>
      <c r="C930">
        <v>5</v>
      </c>
      <c r="D930">
        <v>2</v>
      </c>
    </row>
    <row r="931" spans="1:4" x14ac:dyDescent="0.35">
      <c r="A931" t="s">
        <v>29</v>
      </c>
      <c r="B931" t="s">
        <v>31</v>
      </c>
      <c r="C931">
        <v>5</v>
      </c>
      <c r="D931">
        <v>17</v>
      </c>
    </row>
    <row r="932" spans="1:4" x14ac:dyDescent="0.35">
      <c r="A932" t="s">
        <v>29</v>
      </c>
      <c r="B932" t="s">
        <v>32</v>
      </c>
      <c r="C932">
        <v>5</v>
      </c>
      <c r="D932" t="s">
        <v>33</v>
      </c>
    </row>
    <row r="933" spans="1:4" x14ac:dyDescent="0.35">
      <c r="A933" t="s">
        <v>29</v>
      </c>
      <c r="B933" t="s">
        <v>10</v>
      </c>
      <c r="C933">
        <v>5</v>
      </c>
      <c r="D933" t="s">
        <v>33</v>
      </c>
    </row>
    <row r="934" spans="1:4" x14ac:dyDescent="0.35">
      <c r="A934" t="s">
        <v>29</v>
      </c>
      <c r="B934" t="s">
        <v>9</v>
      </c>
      <c r="C934">
        <v>6</v>
      </c>
      <c r="D934">
        <v>2</v>
      </c>
    </row>
    <row r="935" spans="1:4" x14ac:dyDescent="0.35">
      <c r="A935" t="s">
        <v>29</v>
      </c>
      <c r="B935" t="s">
        <v>31</v>
      </c>
      <c r="C935">
        <v>6</v>
      </c>
      <c r="D935">
        <v>3</v>
      </c>
    </row>
    <row r="936" spans="1:4" x14ac:dyDescent="0.35">
      <c r="A936" t="s">
        <v>29</v>
      </c>
      <c r="B936" t="s">
        <v>32</v>
      </c>
      <c r="C936">
        <v>6</v>
      </c>
      <c r="D936">
        <v>0</v>
      </c>
    </row>
    <row r="937" spans="1:4" x14ac:dyDescent="0.35">
      <c r="A937" t="s">
        <v>29</v>
      </c>
      <c r="B937" t="s">
        <v>10</v>
      </c>
      <c r="C937">
        <v>6</v>
      </c>
      <c r="D937">
        <v>8</v>
      </c>
    </row>
    <row r="938" spans="1:4" x14ac:dyDescent="0.35">
      <c r="A938" t="s">
        <v>29</v>
      </c>
      <c r="B938" t="s">
        <v>9</v>
      </c>
      <c r="C938">
        <v>7</v>
      </c>
      <c r="D938">
        <v>2</v>
      </c>
    </row>
    <row r="939" spans="1:4" x14ac:dyDescent="0.35">
      <c r="A939" t="s">
        <v>29</v>
      </c>
      <c r="B939" t="s">
        <v>31</v>
      </c>
      <c r="C939">
        <v>7</v>
      </c>
      <c r="D939">
        <v>12</v>
      </c>
    </row>
    <row r="940" spans="1:4" x14ac:dyDescent="0.35">
      <c r="A940" t="s">
        <v>29</v>
      </c>
      <c r="B940" t="s">
        <v>32</v>
      </c>
      <c r="C940">
        <v>7</v>
      </c>
      <c r="D940" t="s">
        <v>33</v>
      </c>
    </row>
    <row r="941" spans="1:4" x14ac:dyDescent="0.35">
      <c r="A941" t="s">
        <v>29</v>
      </c>
      <c r="B941" t="s">
        <v>10</v>
      </c>
      <c r="C941">
        <v>7</v>
      </c>
      <c r="D941" t="s">
        <v>33</v>
      </c>
    </row>
    <row r="942" spans="1:4" x14ac:dyDescent="0.35">
      <c r="A942" t="s">
        <v>29</v>
      </c>
      <c r="B942" t="s">
        <v>9</v>
      </c>
      <c r="C942">
        <v>8</v>
      </c>
      <c r="D942">
        <v>1</v>
      </c>
    </row>
    <row r="943" spans="1:4" x14ac:dyDescent="0.35">
      <c r="A943" t="s">
        <v>29</v>
      </c>
      <c r="B943" t="s">
        <v>31</v>
      </c>
      <c r="C943">
        <v>8</v>
      </c>
      <c r="D943">
        <v>12</v>
      </c>
    </row>
    <row r="944" spans="1:4" x14ac:dyDescent="0.35">
      <c r="A944" t="s">
        <v>29</v>
      </c>
      <c r="B944" t="s">
        <v>32</v>
      </c>
      <c r="C944">
        <v>8</v>
      </c>
      <c r="D944" t="s">
        <v>33</v>
      </c>
    </row>
    <row r="945" spans="1:4" x14ac:dyDescent="0.35">
      <c r="A945" t="s">
        <v>29</v>
      </c>
      <c r="B945" t="s">
        <v>10</v>
      </c>
      <c r="C945">
        <v>8</v>
      </c>
      <c r="D945" t="s">
        <v>33</v>
      </c>
    </row>
    <row r="946" spans="1:4" x14ac:dyDescent="0.35">
      <c r="A946" t="s">
        <v>29</v>
      </c>
      <c r="B946" t="s">
        <v>9</v>
      </c>
      <c r="C946">
        <v>9</v>
      </c>
      <c r="D946">
        <v>1</v>
      </c>
    </row>
    <row r="947" spans="1:4" x14ac:dyDescent="0.35">
      <c r="A947" t="s">
        <v>29</v>
      </c>
      <c r="B947" t="s">
        <v>31</v>
      </c>
      <c r="C947">
        <v>9</v>
      </c>
      <c r="D947">
        <v>8</v>
      </c>
    </row>
    <row r="948" spans="1:4" x14ac:dyDescent="0.35">
      <c r="A948" t="s">
        <v>29</v>
      </c>
      <c r="B948" t="s">
        <v>32</v>
      </c>
      <c r="C948">
        <v>9</v>
      </c>
      <c r="D948" t="s">
        <v>33</v>
      </c>
    </row>
    <row r="949" spans="1:4" x14ac:dyDescent="0.35">
      <c r="A949" t="s">
        <v>29</v>
      </c>
      <c r="B949" t="s">
        <v>10</v>
      </c>
      <c r="C949">
        <v>9</v>
      </c>
      <c r="D949" t="s">
        <v>33</v>
      </c>
    </row>
    <row r="950" spans="1:4" x14ac:dyDescent="0.35">
      <c r="A950" t="s">
        <v>29</v>
      </c>
      <c r="B950" t="s">
        <v>9</v>
      </c>
      <c r="C950">
        <v>10</v>
      </c>
      <c r="D950">
        <v>1.5</v>
      </c>
    </row>
    <row r="951" spans="1:4" x14ac:dyDescent="0.35">
      <c r="A951" t="s">
        <v>29</v>
      </c>
      <c r="B951" t="s">
        <v>31</v>
      </c>
      <c r="C951">
        <v>10</v>
      </c>
      <c r="D951">
        <v>12.25</v>
      </c>
    </row>
    <row r="952" spans="1:4" x14ac:dyDescent="0.35">
      <c r="A952" t="s">
        <v>29</v>
      </c>
      <c r="B952" t="s">
        <v>32</v>
      </c>
      <c r="C952">
        <v>10</v>
      </c>
      <c r="D952" t="s">
        <v>33</v>
      </c>
    </row>
    <row r="953" spans="1:4" x14ac:dyDescent="0.35">
      <c r="A953" t="s">
        <v>29</v>
      </c>
      <c r="B953" t="s">
        <v>10</v>
      </c>
      <c r="C953">
        <v>10</v>
      </c>
      <c r="D953" t="s">
        <v>33</v>
      </c>
    </row>
    <row r="954" spans="1:4" x14ac:dyDescent="0.35">
      <c r="A954" t="s">
        <v>29</v>
      </c>
      <c r="B954" t="s">
        <v>9</v>
      </c>
      <c r="C954">
        <v>11</v>
      </c>
      <c r="D954">
        <v>2.5</v>
      </c>
    </row>
    <row r="955" spans="1:4" x14ac:dyDescent="0.35">
      <c r="A955" t="s">
        <v>29</v>
      </c>
      <c r="B955" t="s">
        <v>31</v>
      </c>
      <c r="C955">
        <v>11</v>
      </c>
      <c r="D955">
        <v>10.5</v>
      </c>
    </row>
    <row r="956" spans="1:4" x14ac:dyDescent="0.35">
      <c r="A956" t="s">
        <v>29</v>
      </c>
      <c r="B956" t="s">
        <v>32</v>
      </c>
      <c r="C956">
        <v>11</v>
      </c>
      <c r="D956" t="s">
        <v>33</v>
      </c>
    </row>
    <row r="957" spans="1:4" x14ac:dyDescent="0.35">
      <c r="A957" t="s">
        <v>29</v>
      </c>
      <c r="B957" t="s">
        <v>10</v>
      </c>
      <c r="C957">
        <v>11</v>
      </c>
      <c r="D957" t="s">
        <v>33</v>
      </c>
    </row>
    <row r="958" spans="1:4" x14ac:dyDescent="0.35">
      <c r="A958" t="s">
        <v>29</v>
      </c>
      <c r="B958" t="s">
        <v>9</v>
      </c>
      <c r="C958">
        <v>12</v>
      </c>
      <c r="D958">
        <v>2.5</v>
      </c>
    </row>
    <row r="959" spans="1:4" x14ac:dyDescent="0.35">
      <c r="A959" t="s">
        <v>29</v>
      </c>
      <c r="B959" t="s">
        <v>31</v>
      </c>
      <c r="C959">
        <v>12</v>
      </c>
      <c r="D959">
        <v>18</v>
      </c>
    </row>
    <row r="960" spans="1:4" x14ac:dyDescent="0.35">
      <c r="A960" t="s">
        <v>29</v>
      </c>
      <c r="B960" t="s">
        <v>32</v>
      </c>
      <c r="C960">
        <v>12</v>
      </c>
      <c r="D960" t="s">
        <v>33</v>
      </c>
    </row>
    <row r="961" spans="1:4" x14ac:dyDescent="0.35">
      <c r="A961" t="s">
        <v>29</v>
      </c>
      <c r="B961" t="s">
        <v>10</v>
      </c>
      <c r="C961">
        <v>12</v>
      </c>
      <c r="D961" t="s">
        <v>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17447-C364-4B96-8463-57DC24AAB5D5}">
  <dimension ref="A1:T322"/>
  <sheetViews>
    <sheetView zoomScaleNormal="100" workbookViewId="0">
      <pane ySplit="1" topLeftCell="A2" activePane="bottomLeft" state="frozen"/>
      <selection pane="bottomLeft" activeCell="S2" sqref="S2"/>
    </sheetView>
  </sheetViews>
  <sheetFormatPr defaultRowHeight="14.5" x14ac:dyDescent="0.35"/>
  <cols>
    <col min="1" max="1" width="15.54296875" customWidth="1"/>
    <col min="2" max="2" width="7.453125" bestFit="1" customWidth="1"/>
    <col min="3" max="3" width="8.81640625" bestFit="1" customWidth="1"/>
    <col min="4" max="4" width="12.453125" bestFit="1" customWidth="1"/>
    <col min="7" max="7" width="25.6328125" bestFit="1" customWidth="1"/>
    <col min="8" max="8" width="22.08984375" bestFit="1" customWidth="1"/>
    <col min="9" max="9" width="23.36328125" bestFit="1" customWidth="1"/>
    <col min="10" max="10" width="19.7265625" bestFit="1" customWidth="1"/>
    <col min="11" max="11" width="21.81640625" bestFit="1" customWidth="1"/>
    <col min="12" max="12" width="17.6328125" bestFit="1" customWidth="1"/>
    <col min="13" max="13" width="5.08984375" bestFit="1" customWidth="1"/>
    <col min="14" max="14" width="8.90625" bestFit="1" customWidth="1"/>
    <col min="15" max="15" width="20.81640625" bestFit="1" customWidth="1"/>
    <col min="16" max="16" width="16.08984375" bestFit="1" customWidth="1"/>
    <col min="17" max="17" width="18.81640625" bestFit="1" customWidth="1"/>
    <col min="18" max="18" width="21.81640625" bestFit="1" customWidth="1"/>
    <col min="19" max="19" width="18.08984375" customWidth="1"/>
    <col min="20" max="20" width="14.453125" bestFit="1" customWidth="1"/>
  </cols>
  <sheetData>
    <row r="1" spans="1:20" ht="16.5" x14ac:dyDescent="0.35">
      <c r="A1" s="1" t="s">
        <v>1</v>
      </c>
      <c r="B1" s="1" t="s">
        <v>2</v>
      </c>
      <c r="C1" s="1" t="s">
        <v>3</v>
      </c>
      <c r="D1" s="1" t="s">
        <v>76</v>
      </c>
      <c r="E1" s="5" t="s">
        <v>8</v>
      </c>
      <c r="F1" s="5" t="s">
        <v>4</v>
      </c>
      <c r="G1" s="5" t="s">
        <v>77</v>
      </c>
      <c r="H1" s="5" t="s">
        <v>5</v>
      </c>
      <c r="I1" s="5" t="s">
        <v>78</v>
      </c>
      <c r="J1" s="5" t="s">
        <v>6</v>
      </c>
      <c r="K1" s="5" t="s">
        <v>79</v>
      </c>
      <c r="L1" s="5" t="s">
        <v>7</v>
      </c>
      <c r="M1" s="5" t="s">
        <v>81</v>
      </c>
      <c r="N1" s="5" t="s">
        <v>80</v>
      </c>
      <c r="O1" s="5" t="s">
        <v>82</v>
      </c>
      <c r="P1" s="5" t="s">
        <v>83</v>
      </c>
      <c r="Q1" s="5" t="s">
        <v>84</v>
      </c>
      <c r="R1" s="5" t="s">
        <v>85</v>
      </c>
      <c r="S1" s="5" t="s">
        <v>86</v>
      </c>
      <c r="T1" s="5"/>
    </row>
    <row r="2" spans="1:20" x14ac:dyDescent="0.35">
      <c r="A2" t="s">
        <v>0</v>
      </c>
      <c r="B2" t="s">
        <v>9</v>
      </c>
      <c r="C2">
        <v>1</v>
      </c>
      <c r="D2">
        <f>(2.5*4.9)+(11*25)</f>
        <v>287.25</v>
      </c>
      <c r="E2">
        <v>1.8</v>
      </c>
      <c r="F2" s="3">
        <v>4.8499999999999996</v>
      </c>
      <c r="G2" s="4">
        <v>230.54</v>
      </c>
      <c r="H2" s="4">
        <f>G2-E2</f>
        <v>228.73999999999998</v>
      </c>
      <c r="I2" s="4">
        <v>62.11</v>
      </c>
      <c r="J2" s="4">
        <f>I2-F2</f>
        <v>57.26</v>
      </c>
      <c r="K2" s="4">
        <v>12.284000000000001</v>
      </c>
      <c r="L2" s="4">
        <f>K2-F2</f>
        <v>7.4340000000000011</v>
      </c>
      <c r="M2" s="4">
        <f>(J2-L2)/J2</f>
        <v>0.8701711491442542</v>
      </c>
      <c r="N2" s="3">
        <v>5.32</v>
      </c>
      <c r="O2" s="4">
        <v>8.6</v>
      </c>
      <c r="P2" s="4">
        <f>O2-N2</f>
        <v>3.2799999999999994</v>
      </c>
      <c r="Q2">
        <f t="shared" ref="Q2:Q17" si="0">P2*(1/(J2/H2))</f>
        <v>13.102815228780996</v>
      </c>
      <c r="R2" s="4">
        <f t="shared" ref="R2:R17" si="1">(H2*(1-M2))-Q2</f>
        <v>16.594236115962296</v>
      </c>
      <c r="S2">
        <f t="shared" ref="S2:S17" si="2">R2/D2</f>
        <v>5.7769316330591111E-2</v>
      </c>
    </row>
    <row r="3" spans="1:20" x14ac:dyDescent="0.35">
      <c r="A3" t="s">
        <v>0</v>
      </c>
      <c r="B3" t="s">
        <v>9</v>
      </c>
      <c r="C3">
        <v>2</v>
      </c>
      <c r="D3">
        <f>7*25</f>
        <v>175</v>
      </c>
      <c r="E3">
        <v>1.8</v>
      </c>
      <c r="F3" s="3">
        <v>4.8499999999999996</v>
      </c>
      <c r="G3" s="4">
        <v>127.4</v>
      </c>
      <c r="H3" s="4">
        <f t="shared" ref="H3:H66" si="3">G3-E3</f>
        <v>125.60000000000001</v>
      </c>
      <c r="I3" s="4">
        <v>30.39</v>
      </c>
      <c r="J3" s="4">
        <f t="shared" ref="J3:J66" si="4">I3-F3</f>
        <v>25.54</v>
      </c>
      <c r="K3" s="4">
        <v>9.6120000000000001</v>
      </c>
      <c r="L3" s="4">
        <f t="shared" ref="L3:L66" si="5">K3-F3</f>
        <v>4.7620000000000005</v>
      </c>
      <c r="M3" s="4">
        <f t="shared" ref="M3:M66" si="6">(J3-L3)/J3</f>
        <v>0.81354737666405641</v>
      </c>
      <c r="N3" s="3">
        <v>5.32</v>
      </c>
      <c r="O3" s="4">
        <v>6.1349999999999998</v>
      </c>
      <c r="P3" s="4">
        <v>0.8149999999999995</v>
      </c>
      <c r="Q3">
        <f t="shared" si="0"/>
        <v>4.0079874706342977</v>
      </c>
      <c r="R3" s="4">
        <f t="shared" si="1"/>
        <v>19.410462020360217</v>
      </c>
      <c r="S3">
        <f t="shared" si="2"/>
        <v>0.11091692583062981</v>
      </c>
    </row>
    <row r="4" spans="1:20" x14ac:dyDescent="0.35">
      <c r="A4" t="s">
        <v>0</v>
      </c>
      <c r="B4" t="s">
        <v>9</v>
      </c>
      <c r="C4">
        <v>3</v>
      </c>
      <c r="D4">
        <f>10.5*25</f>
        <v>262.5</v>
      </c>
      <c r="E4">
        <v>1.8</v>
      </c>
      <c r="F4" s="3">
        <v>4.8499999999999996</v>
      </c>
      <c r="G4" s="4">
        <v>153.96</v>
      </c>
      <c r="H4" s="4">
        <f t="shared" si="3"/>
        <v>152.16</v>
      </c>
      <c r="I4" s="4">
        <v>46.158999999999999</v>
      </c>
      <c r="J4" s="4">
        <f t="shared" si="4"/>
        <v>41.308999999999997</v>
      </c>
      <c r="K4" s="4">
        <v>11.99</v>
      </c>
      <c r="L4" s="4">
        <f t="shared" si="5"/>
        <v>7.1400000000000006</v>
      </c>
      <c r="M4" s="4">
        <f t="shared" si="6"/>
        <v>0.82715630976300558</v>
      </c>
      <c r="N4" s="3">
        <v>5.32</v>
      </c>
      <c r="O4" s="4">
        <v>9.9860000000000007</v>
      </c>
      <c r="P4" s="4">
        <v>4.6660000000000004</v>
      </c>
      <c r="Q4">
        <f t="shared" si="0"/>
        <v>17.187018809460408</v>
      </c>
      <c r="R4" s="4">
        <f t="shared" si="1"/>
        <v>9.1128770970006627</v>
      </c>
      <c r="S4">
        <f t="shared" si="2"/>
        <v>3.4715722274288242E-2</v>
      </c>
    </row>
    <row r="5" spans="1:20" x14ac:dyDescent="0.35">
      <c r="A5" t="s">
        <v>0</v>
      </c>
      <c r="B5" t="s">
        <v>9</v>
      </c>
      <c r="C5">
        <v>4</v>
      </c>
      <c r="D5">
        <v>250</v>
      </c>
      <c r="E5">
        <v>1.8</v>
      </c>
      <c r="F5" s="3">
        <v>4.8499999999999996</v>
      </c>
      <c r="G5" s="4">
        <v>127.54</v>
      </c>
      <c r="H5" s="4">
        <f t="shared" si="3"/>
        <v>125.74000000000001</v>
      </c>
      <c r="I5" s="4">
        <v>34.49</v>
      </c>
      <c r="J5" s="4">
        <f t="shared" si="4"/>
        <v>29.64</v>
      </c>
      <c r="K5" s="4">
        <v>9.8879999999999999</v>
      </c>
      <c r="L5" s="4">
        <f t="shared" si="5"/>
        <v>5.0380000000000003</v>
      </c>
      <c r="M5" s="4">
        <f t="shared" si="6"/>
        <v>0.83002699055330631</v>
      </c>
      <c r="N5" s="3">
        <v>5.32</v>
      </c>
      <c r="O5" s="4">
        <v>8.1959999999999997</v>
      </c>
      <c r="P5" s="4">
        <v>2.8759999999999994</v>
      </c>
      <c r="Q5">
        <f t="shared" si="0"/>
        <v>12.200682860998649</v>
      </c>
      <c r="R5" s="4">
        <f t="shared" si="1"/>
        <v>9.1717233468286157</v>
      </c>
      <c r="S5">
        <f t="shared" si="2"/>
        <v>3.6686893387314463E-2</v>
      </c>
    </row>
    <row r="6" spans="1:20" x14ac:dyDescent="0.35">
      <c r="A6" t="s">
        <v>0</v>
      </c>
      <c r="B6" t="s">
        <v>31</v>
      </c>
      <c r="C6">
        <v>1</v>
      </c>
      <c r="D6">
        <f>(3.5*4.9)+(12.5^2)</f>
        <v>173.4</v>
      </c>
      <c r="E6">
        <v>1.8</v>
      </c>
      <c r="F6" s="3">
        <v>4.8499999999999996</v>
      </c>
      <c r="G6" s="4">
        <v>373.91999999999996</v>
      </c>
      <c r="H6" s="4">
        <f t="shared" si="3"/>
        <v>372.11999999999995</v>
      </c>
      <c r="I6" s="4">
        <v>94.22</v>
      </c>
      <c r="J6" s="4">
        <f t="shared" si="4"/>
        <v>89.37</v>
      </c>
      <c r="K6" s="4">
        <v>20.077999999999999</v>
      </c>
      <c r="L6" s="4">
        <f t="shared" si="5"/>
        <v>15.228</v>
      </c>
      <c r="M6" s="4">
        <f t="shared" si="6"/>
        <v>0.82960725075528707</v>
      </c>
      <c r="N6" s="3">
        <v>5.32</v>
      </c>
      <c r="O6" s="4">
        <v>15.102</v>
      </c>
      <c r="P6" s="4">
        <v>9.782</v>
      </c>
      <c r="Q6">
        <f t="shared" si="0"/>
        <v>40.730422289358842</v>
      </c>
      <c r="R6" s="4">
        <f t="shared" si="1"/>
        <v>22.676127559583726</v>
      </c>
      <c r="S6">
        <f t="shared" si="2"/>
        <v>0.13077351533785309</v>
      </c>
    </row>
    <row r="7" spans="1:20" x14ac:dyDescent="0.35">
      <c r="A7" t="s">
        <v>0</v>
      </c>
      <c r="B7" t="s">
        <v>31</v>
      </c>
      <c r="C7">
        <v>2</v>
      </c>
      <c r="D7">
        <f>24.5*25</f>
        <v>612.5</v>
      </c>
      <c r="E7">
        <v>1.8</v>
      </c>
      <c r="F7" s="3">
        <v>4.8499999999999996</v>
      </c>
      <c r="G7" s="4">
        <v>797.4</v>
      </c>
      <c r="H7" s="4">
        <f t="shared" si="3"/>
        <v>795.6</v>
      </c>
      <c r="I7" s="4">
        <v>198.47</v>
      </c>
      <c r="J7" s="4">
        <f t="shared" si="4"/>
        <v>193.62</v>
      </c>
      <c r="K7" s="4">
        <v>59.262999999999998</v>
      </c>
      <c r="L7" s="4">
        <f t="shared" si="5"/>
        <v>54.412999999999997</v>
      </c>
      <c r="M7" s="4">
        <f t="shared" si="6"/>
        <v>0.71897014771201317</v>
      </c>
      <c r="N7" s="3">
        <v>5.32</v>
      </c>
      <c r="O7" s="4">
        <v>35.741999999999997</v>
      </c>
      <c r="P7" s="4">
        <v>30.421999999999997</v>
      </c>
      <c r="Q7">
        <f t="shared" si="0"/>
        <v>125.00642082429501</v>
      </c>
      <c r="R7" s="4">
        <f t="shared" si="1"/>
        <v>98.580929656027322</v>
      </c>
      <c r="S7">
        <f t="shared" si="2"/>
        <v>0.16094845658126911</v>
      </c>
    </row>
    <row r="8" spans="1:20" x14ac:dyDescent="0.35">
      <c r="A8" t="s">
        <v>0</v>
      </c>
      <c r="B8" t="s">
        <v>31</v>
      </c>
      <c r="C8">
        <v>3</v>
      </c>
      <c r="D8">
        <f>25^2</f>
        <v>625</v>
      </c>
      <c r="E8">
        <v>1.8</v>
      </c>
      <c r="F8" s="3">
        <v>4.8499999999999996</v>
      </c>
      <c r="G8" s="4">
        <v>597.86999999999989</v>
      </c>
      <c r="H8" s="4">
        <f t="shared" si="3"/>
        <v>596.06999999999994</v>
      </c>
      <c r="I8" s="4">
        <v>126.25</v>
      </c>
      <c r="J8" s="4">
        <f t="shared" si="4"/>
        <v>121.4</v>
      </c>
      <c r="K8" s="4">
        <v>35.725000000000001</v>
      </c>
      <c r="L8" s="4">
        <f t="shared" si="5"/>
        <v>30.875</v>
      </c>
      <c r="M8" s="4">
        <f t="shared" si="6"/>
        <v>0.74567545304777594</v>
      </c>
      <c r="N8" s="3">
        <v>5.32</v>
      </c>
      <c r="O8" s="4">
        <v>26.51</v>
      </c>
      <c r="P8" s="4">
        <v>21.19</v>
      </c>
      <c r="Q8">
        <f t="shared" si="0"/>
        <v>104.04220181219108</v>
      </c>
      <c r="R8" s="4">
        <f t="shared" si="1"/>
        <v>47.553030889621112</v>
      </c>
      <c r="S8">
        <f t="shared" si="2"/>
        <v>7.6084849423393774E-2</v>
      </c>
    </row>
    <row r="9" spans="1:20" x14ac:dyDescent="0.35">
      <c r="A9" t="s">
        <v>0</v>
      </c>
      <c r="B9" t="s">
        <v>31</v>
      </c>
      <c r="C9">
        <v>4</v>
      </c>
      <c r="D9">
        <f>28.5*25</f>
        <v>712.5</v>
      </c>
      <c r="E9">
        <v>1.8</v>
      </c>
      <c r="F9" s="3">
        <v>4.8499999999999996</v>
      </c>
      <c r="G9" s="4">
        <v>430.03000000000003</v>
      </c>
      <c r="H9" s="4">
        <f t="shared" si="3"/>
        <v>428.23</v>
      </c>
      <c r="I9" s="4">
        <v>157.09</v>
      </c>
      <c r="J9" s="4">
        <f t="shared" si="4"/>
        <v>152.24</v>
      </c>
      <c r="K9" s="4">
        <v>28.236999999999998</v>
      </c>
      <c r="L9" s="4">
        <f t="shared" si="5"/>
        <v>23.387</v>
      </c>
      <c r="M9" s="4">
        <f t="shared" si="6"/>
        <v>0.84638071466106146</v>
      </c>
      <c r="N9" s="3">
        <v>5.32</v>
      </c>
      <c r="O9" s="4">
        <v>21.905999999999999</v>
      </c>
      <c r="P9" s="4">
        <v>16.585999999999999</v>
      </c>
      <c r="Q9">
        <f t="shared" si="0"/>
        <v>46.654117052023118</v>
      </c>
      <c r="R9" s="4">
        <f t="shared" si="1"/>
        <v>19.13026950867053</v>
      </c>
      <c r="S9">
        <f t="shared" si="2"/>
        <v>2.6849501064800742E-2</v>
      </c>
    </row>
    <row r="10" spans="1:20" x14ac:dyDescent="0.35">
      <c r="A10" t="s">
        <v>0</v>
      </c>
      <c r="B10" t="s">
        <v>32</v>
      </c>
      <c r="C10">
        <v>1</v>
      </c>
      <c r="D10">
        <f>(34.5*4.9)+(11*25)+(8*12.5)</f>
        <v>544.04999999999995</v>
      </c>
      <c r="E10">
        <v>1.8</v>
      </c>
      <c r="F10" s="3">
        <v>4.8499999999999996</v>
      </c>
      <c r="G10" s="4">
        <v>858.6099999999999</v>
      </c>
      <c r="H10" s="4">
        <f t="shared" si="3"/>
        <v>856.81</v>
      </c>
      <c r="I10" s="4">
        <v>200.83</v>
      </c>
      <c r="J10" s="4">
        <f t="shared" si="4"/>
        <v>195.98000000000002</v>
      </c>
      <c r="K10" s="4">
        <v>110.69</v>
      </c>
      <c r="L10" s="4">
        <f t="shared" si="5"/>
        <v>105.84</v>
      </c>
      <c r="M10" s="4">
        <f t="shared" si="6"/>
        <v>0.4599448923359527</v>
      </c>
      <c r="N10" s="3">
        <v>5.32</v>
      </c>
      <c r="O10" s="4">
        <v>18.946000000000002</v>
      </c>
      <c r="P10" s="4">
        <v>13.626000000000001</v>
      </c>
      <c r="Q10">
        <f t="shared" si="0"/>
        <v>59.571859679559132</v>
      </c>
      <c r="R10" s="4">
        <f t="shared" si="1"/>
        <v>403.15275711807323</v>
      </c>
      <c r="S10">
        <f t="shared" si="2"/>
        <v>0.7410215184598351</v>
      </c>
    </row>
    <row r="11" spans="1:20" x14ac:dyDescent="0.35">
      <c r="A11" t="s">
        <v>0</v>
      </c>
      <c r="B11" t="s">
        <v>32</v>
      </c>
      <c r="C11">
        <v>2</v>
      </c>
      <c r="D11">
        <f>(10.5*25)+(7.5*12.5)+(44*4.9)</f>
        <v>571.85</v>
      </c>
      <c r="E11">
        <v>1.8</v>
      </c>
      <c r="F11" s="3">
        <v>4.8499999999999996</v>
      </c>
      <c r="G11" s="4">
        <v>460.39</v>
      </c>
      <c r="H11" s="4">
        <f t="shared" si="3"/>
        <v>458.59</v>
      </c>
      <c r="I11" s="4">
        <v>126.63</v>
      </c>
      <c r="J11" s="4">
        <f t="shared" si="4"/>
        <v>121.78</v>
      </c>
      <c r="K11" s="4">
        <v>72.53</v>
      </c>
      <c r="L11" s="4">
        <f t="shared" si="5"/>
        <v>67.680000000000007</v>
      </c>
      <c r="M11" s="4">
        <f t="shared" si="6"/>
        <v>0.44424371818032515</v>
      </c>
      <c r="N11" s="3">
        <v>5.32</v>
      </c>
      <c r="O11" s="4">
        <v>18.404</v>
      </c>
      <c r="P11" s="4">
        <v>13.084</v>
      </c>
      <c r="Q11">
        <f t="shared" si="0"/>
        <v>49.270746920676622</v>
      </c>
      <c r="R11" s="4">
        <f t="shared" si="1"/>
        <v>205.59352635900805</v>
      </c>
      <c r="S11">
        <f t="shared" si="2"/>
        <v>0.35952352253039793</v>
      </c>
    </row>
    <row r="12" spans="1:20" x14ac:dyDescent="0.35">
      <c r="A12" t="s">
        <v>0</v>
      </c>
      <c r="B12" t="s">
        <v>32</v>
      </c>
      <c r="C12">
        <v>3</v>
      </c>
      <c r="D12">
        <f>(24.5*25)+(7.5^2)+(18.5)</f>
        <v>687.25</v>
      </c>
      <c r="E12">
        <v>1.8</v>
      </c>
      <c r="F12" s="3">
        <v>4.8499999999999996</v>
      </c>
      <c r="G12" s="4">
        <v>1114.2089999999998</v>
      </c>
      <c r="H12" s="4">
        <f t="shared" si="3"/>
        <v>1112.4089999999999</v>
      </c>
      <c r="I12" s="4">
        <v>296.94</v>
      </c>
      <c r="J12" s="4">
        <f t="shared" si="4"/>
        <v>292.08999999999997</v>
      </c>
      <c r="K12" s="4">
        <v>173.41</v>
      </c>
      <c r="L12" s="4">
        <f t="shared" si="5"/>
        <v>168.56</v>
      </c>
      <c r="M12" s="4">
        <f t="shared" si="6"/>
        <v>0.42291759389229339</v>
      </c>
      <c r="N12" s="3">
        <v>5.32</v>
      </c>
      <c r="O12" s="4">
        <v>16.420999999999999</v>
      </c>
      <c r="P12" s="4">
        <v>11.100999999999999</v>
      </c>
      <c r="Q12">
        <f t="shared" si="0"/>
        <v>42.277559344722512</v>
      </c>
      <c r="R12" s="4">
        <f t="shared" si="1"/>
        <v>599.6741029511453</v>
      </c>
      <c r="S12">
        <f t="shared" si="2"/>
        <v>0.87257053903404191</v>
      </c>
    </row>
    <row r="13" spans="1:20" x14ac:dyDescent="0.35">
      <c r="A13" t="s">
        <v>0</v>
      </c>
      <c r="B13" t="s">
        <v>32</v>
      </c>
      <c r="C13">
        <v>4</v>
      </c>
      <c r="D13">
        <f>(12*25)+(8*12.5)+(27.5*4.9)</f>
        <v>534.75</v>
      </c>
      <c r="E13">
        <v>1.8</v>
      </c>
      <c r="F13" s="3">
        <v>4.8499999999999996</v>
      </c>
      <c r="G13" s="4">
        <v>764.82999999999993</v>
      </c>
      <c r="H13" s="4">
        <f t="shared" si="3"/>
        <v>763.03</v>
      </c>
      <c r="I13" s="4">
        <v>180.38</v>
      </c>
      <c r="J13" s="4">
        <f t="shared" si="4"/>
        <v>175.53</v>
      </c>
      <c r="K13" s="4">
        <v>99.26</v>
      </c>
      <c r="L13" s="4">
        <f t="shared" si="5"/>
        <v>94.410000000000011</v>
      </c>
      <c r="M13" s="4">
        <f t="shared" si="6"/>
        <v>0.46214322338061864</v>
      </c>
      <c r="N13" s="3">
        <v>5.32</v>
      </c>
      <c r="O13" s="4">
        <v>18.030999999999999</v>
      </c>
      <c r="P13" s="4">
        <v>12.710999999999999</v>
      </c>
      <c r="Q13">
        <f t="shared" si="0"/>
        <v>55.254795932319254</v>
      </c>
      <c r="R13" s="4">
        <f t="shared" si="1"/>
        <v>355.1460603315673</v>
      </c>
      <c r="S13">
        <f t="shared" si="2"/>
        <v>0.66413475517824649</v>
      </c>
    </row>
    <row r="14" spans="1:20" x14ac:dyDescent="0.35">
      <c r="A14" t="s">
        <v>0</v>
      </c>
      <c r="B14" t="s">
        <v>10</v>
      </c>
      <c r="C14">
        <v>1</v>
      </c>
      <c r="D14">
        <f>22*4.9</f>
        <v>107.80000000000001</v>
      </c>
      <c r="E14">
        <v>1.8</v>
      </c>
      <c r="F14" s="3">
        <v>4.8499999999999996</v>
      </c>
      <c r="G14" s="4">
        <v>143.16</v>
      </c>
      <c r="H14" s="4">
        <f t="shared" si="3"/>
        <v>141.35999999999999</v>
      </c>
      <c r="I14" s="4">
        <v>37.162999999999997</v>
      </c>
      <c r="J14" s="4">
        <f t="shared" si="4"/>
        <v>32.312999999999995</v>
      </c>
      <c r="K14" s="4">
        <v>32.72</v>
      </c>
      <c r="L14" s="4">
        <f t="shared" si="5"/>
        <v>27.869999999999997</v>
      </c>
      <c r="M14" s="4">
        <f t="shared" si="6"/>
        <v>0.1374988394763717</v>
      </c>
      <c r="N14" s="3">
        <v>5.32</v>
      </c>
      <c r="O14" s="4">
        <v>14.898999999999999</v>
      </c>
      <c r="P14" s="4">
        <v>9.5789999999999988</v>
      </c>
      <c r="Q14">
        <f t="shared" si="0"/>
        <v>41.905345836041214</v>
      </c>
      <c r="R14" s="4">
        <f t="shared" si="1"/>
        <v>80.01781821557887</v>
      </c>
      <c r="S14">
        <f t="shared" si="2"/>
        <v>0.74228031739869071</v>
      </c>
    </row>
    <row r="15" spans="1:20" x14ac:dyDescent="0.35">
      <c r="A15" t="s">
        <v>0</v>
      </c>
      <c r="B15" t="s">
        <v>10</v>
      </c>
      <c r="C15">
        <v>2</v>
      </c>
      <c r="D15">
        <f>17*4.9</f>
        <v>83.300000000000011</v>
      </c>
      <c r="E15">
        <v>1.8</v>
      </c>
      <c r="F15" s="3">
        <v>4.8499999999999996</v>
      </c>
      <c r="G15" s="4">
        <v>123.48</v>
      </c>
      <c r="H15" s="4">
        <f t="shared" si="3"/>
        <v>121.68</v>
      </c>
      <c r="I15" s="4">
        <v>26.457999999999998</v>
      </c>
      <c r="J15" s="4">
        <f t="shared" si="4"/>
        <v>21.607999999999997</v>
      </c>
      <c r="K15" s="4">
        <v>22.614999999999998</v>
      </c>
      <c r="L15" s="4">
        <f t="shared" si="5"/>
        <v>17.765000000000001</v>
      </c>
      <c r="M15" s="4">
        <f t="shared" si="6"/>
        <v>0.17785079600148079</v>
      </c>
      <c r="N15" s="3">
        <v>5.32</v>
      </c>
      <c r="O15" s="4">
        <v>12.692</v>
      </c>
      <c r="P15" s="4">
        <v>7.3719999999999999</v>
      </c>
      <c r="Q15">
        <f t="shared" si="0"/>
        <v>41.513557941503159</v>
      </c>
      <c r="R15" s="4">
        <f t="shared" si="1"/>
        <v>58.525557201036669</v>
      </c>
      <c r="S15">
        <f t="shared" si="2"/>
        <v>0.70258772150104032</v>
      </c>
    </row>
    <row r="16" spans="1:20" x14ac:dyDescent="0.35">
      <c r="A16" t="s">
        <v>0</v>
      </c>
      <c r="B16" t="s">
        <v>10</v>
      </c>
      <c r="C16">
        <v>3</v>
      </c>
      <c r="D16">
        <f>(27.5*4.9)+(5*12.5)</f>
        <v>197.25</v>
      </c>
      <c r="E16">
        <v>1.8</v>
      </c>
      <c r="F16" s="3">
        <v>4.8499999999999996</v>
      </c>
      <c r="G16" s="4">
        <v>305.39999999999998</v>
      </c>
      <c r="H16" s="4">
        <f t="shared" si="3"/>
        <v>303.59999999999997</v>
      </c>
      <c r="I16" s="4">
        <v>71.55</v>
      </c>
      <c r="J16" s="4">
        <f t="shared" si="4"/>
        <v>66.7</v>
      </c>
      <c r="K16" s="4">
        <v>56.658999999999999</v>
      </c>
      <c r="L16" s="4">
        <f t="shared" si="5"/>
        <v>51.808999999999997</v>
      </c>
      <c r="M16" s="4">
        <f t="shared" si="6"/>
        <v>0.22325337331334341</v>
      </c>
      <c r="N16" s="3">
        <v>5.32</v>
      </c>
      <c r="O16" s="4">
        <v>16.574000000000002</v>
      </c>
      <c r="P16" s="4">
        <v>11.254000000000001</v>
      </c>
      <c r="Q16">
        <f t="shared" si="0"/>
        <v>51.22510344827586</v>
      </c>
      <c r="R16" s="4">
        <f t="shared" si="1"/>
        <v>184.59517241379305</v>
      </c>
      <c r="S16">
        <f t="shared" si="2"/>
        <v>0.93584371312442616</v>
      </c>
    </row>
    <row r="17" spans="1:19" x14ac:dyDescent="0.35">
      <c r="A17" t="s">
        <v>0</v>
      </c>
      <c r="B17" t="s">
        <v>10</v>
      </c>
      <c r="C17">
        <v>4</v>
      </c>
      <c r="D17">
        <f>49</f>
        <v>49</v>
      </c>
      <c r="E17">
        <v>1.8</v>
      </c>
      <c r="F17" s="3">
        <v>4.8499999999999996</v>
      </c>
      <c r="G17" s="4">
        <v>57.174999999999997</v>
      </c>
      <c r="H17" s="4">
        <f t="shared" si="3"/>
        <v>55.375</v>
      </c>
      <c r="I17" s="4">
        <v>14.565</v>
      </c>
      <c r="J17" s="4">
        <f t="shared" si="4"/>
        <v>9.7149999999999999</v>
      </c>
      <c r="K17" s="4">
        <v>13.276999999999999</v>
      </c>
      <c r="L17" s="4">
        <f t="shared" si="5"/>
        <v>8.4269999999999996</v>
      </c>
      <c r="M17" s="4">
        <f t="shared" si="6"/>
        <v>0.13257848687596502</v>
      </c>
      <c r="N17" s="3">
        <v>5.32</v>
      </c>
      <c r="O17" s="4">
        <v>6.2839999999999998</v>
      </c>
      <c r="P17" s="4">
        <f>O17-N17</f>
        <v>0.96399999999999952</v>
      </c>
      <c r="Q17">
        <f t="shared" si="0"/>
        <v>5.4947503860010274</v>
      </c>
      <c r="R17" s="4">
        <f t="shared" si="1"/>
        <v>42.538715903242412</v>
      </c>
      <c r="S17">
        <f t="shared" si="2"/>
        <v>0.86813705924984519</v>
      </c>
    </row>
    <row r="18" spans="1:19" x14ac:dyDescent="0.35">
      <c r="A18" t="s">
        <v>11</v>
      </c>
      <c r="B18" t="s">
        <v>9</v>
      </c>
      <c r="C18">
        <v>1</v>
      </c>
      <c r="D18">
        <f>15.5*25</f>
        <v>387.5</v>
      </c>
      <c r="E18">
        <v>1.8</v>
      </c>
      <c r="F18" s="3">
        <v>4.8499999999999996</v>
      </c>
      <c r="G18" s="6">
        <v>55.18</v>
      </c>
      <c r="H18" s="4">
        <f t="shared" si="3"/>
        <v>53.38</v>
      </c>
      <c r="I18" s="6">
        <v>12.74</v>
      </c>
      <c r="J18" s="4">
        <f t="shared" si="4"/>
        <v>7.8900000000000006</v>
      </c>
      <c r="K18" s="6">
        <v>7.81</v>
      </c>
      <c r="L18" s="4">
        <f t="shared" si="5"/>
        <v>2.96</v>
      </c>
      <c r="M18" s="4">
        <f t="shared" si="6"/>
        <v>0.6248415716096325</v>
      </c>
      <c r="N18" s="3">
        <v>5.32</v>
      </c>
      <c r="O18" s="6">
        <v>7.06</v>
      </c>
      <c r="P18" s="4">
        <f>O18-N18</f>
        <v>1.7399999999999993</v>
      </c>
      <c r="Q18">
        <f t="shared" ref="Q18:Q77" si="7">P18*(1/(J18/H18))</f>
        <v>11.772015209125472</v>
      </c>
      <c r="R18" s="4">
        <f t="shared" ref="R18:R81" si="8">(H18*(1-M18))-Q18</f>
        <v>8.2539416983523477</v>
      </c>
      <c r="S18">
        <f t="shared" ref="S18:S81" si="9">R18/D18</f>
        <v>2.1300494705425412E-2</v>
      </c>
    </row>
    <row r="19" spans="1:19" x14ac:dyDescent="0.35">
      <c r="A19" t="s">
        <v>11</v>
      </c>
      <c r="B19" t="s">
        <v>9</v>
      </c>
      <c r="C19">
        <v>2</v>
      </c>
      <c r="D19">
        <f>16*25</f>
        <v>400</v>
      </c>
      <c r="E19">
        <v>1.8</v>
      </c>
      <c r="F19" s="3">
        <v>4.8499999999999996</v>
      </c>
      <c r="G19" s="6">
        <v>40.03</v>
      </c>
      <c r="H19" s="4">
        <f t="shared" si="3"/>
        <v>38.230000000000004</v>
      </c>
      <c r="I19" s="6">
        <v>11.32</v>
      </c>
      <c r="J19" s="4">
        <f t="shared" si="4"/>
        <v>6.4700000000000006</v>
      </c>
      <c r="K19" s="6">
        <v>7.69</v>
      </c>
      <c r="L19" s="4">
        <f t="shared" si="5"/>
        <v>2.8400000000000007</v>
      </c>
      <c r="M19" s="4">
        <f t="shared" si="6"/>
        <v>0.56105100463678514</v>
      </c>
      <c r="N19" s="3">
        <v>5.32</v>
      </c>
      <c r="O19" s="6">
        <v>6.44</v>
      </c>
      <c r="P19" s="4">
        <f t="shared" ref="P19:P82" si="10">O19-N19</f>
        <v>1.1200000000000001</v>
      </c>
      <c r="Q19">
        <f t="shared" si="7"/>
        <v>6.6178670788253484</v>
      </c>
      <c r="R19" s="4">
        <f t="shared" si="8"/>
        <v>10.163153013910357</v>
      </c>
      <c r="S19">
        <f t="shared" si="9"/>
        <v>2.5407882534775893E-2</v>
      </c>
    </row>
    <row r="20" spans="1:19" x14ac:dyDescent="0.35">
      <c r="A20" t="s">
        <v>11</v>
      </c>
      <c r="B20" t="s">
        <v>9</v>
      </c>
      <c r="C20">
        <v>3</v>
      </c>
      <c r="D20">
        <v>250</v>
      </c>
      <c r="E20">
        <v>1.8</v>
      </c>
      <c r="F20" s="3">
        <v>4.8499999999999996</v>
      </c>
      <c r="G20" s="6">
        <v>113.91</v>
      </c>
      <c r="H20" s="4">
        <f t="shared" si="3"/>
        <v>112.11</v>
      </c>
      <c r="I20" s="6">
        <v>38.090000000000003</v>
      </c>
      <c r="J20" s="4">
        <f t="shared" si="4"/>
        <v>33.24</v>
      </c>
      <c r="K20" s="6">
        <v>12.56</v>
      </c>
      <c r="L20" s="4">
        <f t="shared" si="5"/>
        <v>7.7100000000000009</v>
      </c>
      <c r="M20" s="4">
        <f t="shared" si="6"/>
        <v>0.76805054151624552</v>
      </c>
      <c r="N20" s="3">
        <v>5.32</v>
      </c>
      <c r="O20" s="6">
        <v>10.220000000000001</v>
      </c>
      <c r="P20" s="4">
        <f t="shared" si="10"/>
        <v>4.9000000000000004</v>
      </c>
      <c r="Q20">
        <f t="shared" si="7"/>
        <v>16.526444043321298</v>
      </c>
      <c r="R20" s="4">
        <f t="shared" si="8"/>
        <v>9.4774097472924161</v>
      </c>
      <c r="S20">
        <f t="shared" si="9"/>
        <v>3.7909638989169665E-2</v>
      </c>
    </row>
    <row r="21" spans="1:19" x14ac:dyDescent="0.35">
      <c r="A21" t="s">
        <v>11</v>
      </c>
      <c r="B21" t="s">
        <v>9</v>
      </c>
      <c r="C21">
        <v>4</v>
      </c>
      <c r="D21">
        <f>16*25</f>
        <v>400</v>
      </c>
      <c r="E21">
        <v>1.8</v>
      </c>
      <c r="F21" s="3">
        <v>4.8499999999999996</v>
      </c>
      <c r="G21" s="6">
        <v>21.27</v>
      </c>
      <c r="H21" s="4">
        <f t="shared" si="3"/>
        <v>19.47</v>
      </c>
      <c r="I21" s="6" t="s">
        <v>88</v>
      </c>
      <c r="J21" s="4" t="s">
        <v>88</v>
      </c>
      <c r="K21" s="6" t="s">
        <v>88</v>
      </c>
      <c r="L21" s="4" t="s">
        <v>88</v>
      </c>
      <c r="M21" s="4">
        <v>0</v>
      </c>
      <c r="N21" s="3">
        <v>5.32</v>
      </c>
      <c r="O21" s="6">
        <v>19.05</v>
      </c>
      <c r="P21" s="4">
        <f t="shared" si="10"/>
        <v>13.73</v>
      </c>
      <c r="Q21" s="4">
        <f>P21</f>
        <v>13.73</v>
      </c>
      <c r="R21" s="4">
        <f t="shared" si="8"/>
        <v>5.7399999999999984</v>
      </c>
      <c r="S21">
        <f t="shared" si="9"/>
        <v>1.4349999999999996E-2</v>
      </c>
    </row>
    <row r="22" spans="1:19" x14ac:dyDescent="0.35">
      <c r="A22" t="s">
        <v>11</v>
      </c>
      <c r="B22" t="s">
        <v>31</v>
      </c>
      <c r="C22">
        <v>1</v>
      </c>
      <c r="D22">
        <f>14.5*25</f>
        <v>362.5</v>
      </c>
      <c r="E22">
        <v>1.8</v>
      </c>
      <c r="F22" s="3">
        <v>4.8499999999999996</v>
      </c>
      <c r="G22" s="6">
        <v>483.77</v>
      </c>
      <c r="H22" s="4">
        <f t="shared" si="3"/>
        <v>481.96999999999997</v>
      </c>
      <c r="I22" s="6">
        <v>112.76</v>
      </c>
      <c r="J22" s="4">
        <f t="shared" si="4"/>
        <v>107.91000000000001</v>
      </c>
      <c r="K22" s="6">
        <v>32.520000000000003</v>
      </c>
      <c r="L22" s="4">
        <f t="shared" si="5"/>
        <v>27.67</v>
      </c>
      <c r="M22" s="4">
        <f t="shared" si="6"/>
        <v>0.74358261514224822</v>
      </c>
      <c r="N22" s="3">
        <v>5.32</v>
      </c>
      <c r="O22" s="6">
        <v>22.82</v>
      </c>
      <c r="P22" s="4">
        <f t="shared" si="10"/>
        <v>17.5</v>
      </c>
      <c r="Q22">
        <f t="shared" si="7"/>
        <v>78.162125845612081</v>
      </c>
      <c r="R22" s="4">
        <f t="shared" si="8"/>
        <v>45.423361134278537</v>
      </c>
      <c r="S22">
        <f t="shared" si="9"/>
        <v>0.12530582381869942</v>
      </c>
    </row>
    <row r="23" spans="1:19" x14ac:dyDescent="0.35">
      <c r="A23" t="s">
        <v>11</v>
      </c>
      <c r="B23" t="s">
        <v>31</v>
      </c>
      <c r="C23">
        <v>2</v>
      </c>
      <c r="D23">
        <f>(16.5+6)*25</f>
        <v>562.5</v>
      </c>
      <c r="E23">
        <v>1.8</v>
      </c>
      <c r="F23" s="3">
        <v>4.8499999999999996</v>
      </c>
      <c r="G23" s="6">
        <v>480.7</v>
      </c>
      <c r="H23" s="4">
        <f t="shared" si="3"/>
        <v>478.9</v>
      </c>
      <c r="I23" s="6">
        <v>100.11</v>
      </c>
      <c r="J23" s="4">
        <f t="shared" si="4"/>
        <v>95.26</v>
      </c>
      <c r="K23" s="6">
        <v>30.16</v>
      </c>
      <c r="L23" s="4">
        <f t="shared" si="5"/>
        <v>25.310000000000002</v>
      </c>
      <c r="M23" s="4">
        <f t="shared" si="6"/>
        <v>0.73430610959479314</v>
      </c>
      <c r="N23" s="3">
        <v>5.32</v>
      </c>
      <c r="O23" s="6">
        <v>19.920000000000002</v>
      </c>
      <c r="P23" s="4">
        <f t="shared" si="10"/>
        <v>14.600000000000001</v>
      </c>
      <c r="Q23">
        <f t="shared" si="7"/>
        <v>73.398488347680029</v>
      </c>
      <c r="R23" s="4">
        <f t="shared" si="8"/>
        <v>53.842315767373535</v>
      </c>
      <c r="S23">
        <f t="shared" si="9"/>
        <v>9.5719672475330725E-2</v>
      </c>
    </row>
    <row r="24" spans="1:19" x14ac:dyDescent="0.35">
      <c r="A24" t="s">
        <v>11</v>
      </c>
      <c r="B24" t="s">
        <v>31</v>
      </c>
      <c r="C24">
        <v>3</v>
      </c>
      <c r="D24">
        <f>(9+6.5+8.5)*25</f>
        <v>600</v>
      </c>
      <c r="E24">
        <v>1.8</v>
      </c>
      <c r="F24" s="3">
        <v>4.8499999999999996</v>
      </c>
      <c r="G24" s="6">
        <v>407.79</v>
      </c>
      <c r="H24" s="4">
        <f t="shared" si="3"/>
        <v>405.99</v>
      </c>
      <c r="I24" s="6">
        <v>98.01</v>
      </c>
      <c r="J24" s="4">
        <f t="shared" si="4"/>
        <v>93.160000000000011</v>
      </c>
      <c r="K24" s="6">
        <v>28.09</v>
      </c>
      <c r="L24" s="4">
        <f t="shared" si="5"/>
        <v>23.240000000000002</v>
      </c>
      <c r="M24" s="4">
        <f t="shared" si="6"/>
        <v>0.75053671103477893</v>
      </c>
      <c r="N24" s="3">
        <v>5.32</v>
      </c>
      <c r="O24" s="6">
        <v>16.79</v>
      </c>
      <c r="P24" s="4">
        <f t="shared" si="10"/>
        <v>11.469999999999999</v>
      </c>
      <c r="Q24">
        <f t="shared" si="7"/>
        <v>49.986102404465427</v>
      </c>
      <c r="R24" s="4">
        <f t="shared" si="8"/>
        <v>51.293498282524681</v>
      </c>
      <c r="S24">
        <f t="shared" si="9"/>
        <v>8.5489163804207804E-2</v>
      </c>
    </row>
    <row r="25" spans="1:19" x14ac:dyDescent="0.35">
      <c r="A25" t="s">
        <v>11</v>
      </c>
      <c r="B25" t="s">
        <v>31</v>
      </c>
      <c r="C25">
        <v>4</v>
      </c>
      <c r="D25">
        <f>((26.5+8)*25)</f>
        <v>862.5</v>
      </c>
      <c r="E25">
        <v>1.8</v>
      </c>
      <c r="F25" s="3">
        <v>4.8499999999999996</v>
      </c>
      <c r="G25" s="6">
        <v>171.37</v>
      </c>
      <c r="H25" s="4">
        <f t="shared" si="3"/>
        <v>169.57</v>
      </c>
      <c r="I25" s="6">
        <v>48.59</v>
      </c>
      <c r="J25" s="4">
        <f t="shared" si="4"/>
        <v>43.74</v>
      </c>
      <c r="K25" s="6">
        <v>24.4</v>
      </c>
      <c r="L25" s="4">
        <f t="shared" si="5"/>
        <v>19.549999999999997</v>
      </c>
      <c r="M25" s="4">
        <f t="shared" si="6"/>
        <v>0.55304069501600372</v>
      </c>
      <c r="N25" s="3">
        <v>5.32</v>
      </c>
      <c r="O25" s="6">
        <v>18.34</v>
      </c>
      <c r="P25" s="4">
        <f t="shared" si="10"/>
        <v>13.02</v>
      </c>
      <c r="Q25">
        <f t="shared" si="7"/>
        <v>50.475569272976671</v>
      </c>
      <c r="R25" s="4">
        <f t="shared" si="8"/>
        <v>25.315320073159569</v>
      </c>
      <c r="S25">
        <f t="shared" si="9"/>
        <v>2.9351095736996603E-2</v>
      </c>
    </row>
    <row r="26" spans="1:19" x14ac:dyDescent="0.35">
      <c r="A26" t="s">
        <v>11</v>
      </c>
      <c r="B26" t="s">
        <v>32</v>
      </c>
      <c r="C26">
        <v>1</v>
      </c>
      <c r="D26">
        <f>(25*5)+(12.5*4)+(5*4.9)</f>
        <v>199.5</v>
      </c>
      <c r="E26">
        <v>1.8</v>
      </c>
      <c r="F26" s="3">
        <v>4.8499999999999996</v>
      </c>
      <c r="G26" s="6">
        <v>830.47</v>
      </c>
      <c r="H26" s="4">
        <f t="shared" si="3"/>
        <v>828.67000000000007</v>
      </c>
      <c r="I26" s="6">
        <v>200.37</v>
      </c>
      <c r="J26" s="4">
        <f t="shared" si="4"/>
        <v>195.52</v>
      </c>
      <c r="K26" s="6">
        <v>91.32</v>
      </c>
      <c r="L26" s="4">
        <f t="shared" si="5"/>
        <v>86.47</v>
      </c>
      <c r="M26" s="4">
        <f t="shared" si="6"/>
        <v>0.55774345335515552</v>
      </c>
      <c r="N26" s="3">
        <v>5.32</v>
      </c>
      <c r="O26" s="6">
        <v>41.81</v>
      </c>
      <c r="P26" s="4">
        <f t="shared" si="10"/>
        <v>36.49</v>
      </c>
      <c r="Q26">
        <f t="shared" si="7"/>
        <v>154.65511610065465</v>
      </c>
      <c r="R26" s="4">
        <f t="shared" si="8"/>
        <v>211.82961640752865</v>
      </c>
      <c r="S26">
        <f t="shared" si="9"/>
        <v>1.0618025885089155</v>
      </c>
    </row>
    <row r="27" spans="1:19" x14ac:dyDescent="0.35">
      <c r="A27" t="s">
        <v>11</v>
      </c>
      <c r="B27" t="s">
        <v>32</v>
      </c>
      <c r="C27">
        <v>2</v>
      </c>
      <c r="D27">
        <f>(29*25)+(11*4.9)</f>
        <v>778.9</v>
      </c>
      <c r="E27">
        <v>1.8</v>
      </c>
      <c r="F27" s="3">
        <v>4.8499999999999996</v>
      </c>
      <c r="G27" s="6">
        <v>786.4</v>
      </c>
      <c r="H27" s="4">
        <f t="shared" si="3"/>
        <v>784.6</v>
      </c>
      <c r="I27" s="6">
        <v>184.04</v>
      </c>
      <c r="J27" s="4">
        <f t="shared" si="4"/>
        <v>179.19</v>
      </c>
      <c r="K27" s="6">
        <v>93.48</v>
      </c>
      <c r="L27" s="4">
        <f t="shared" si="5"/>
        <v>88.63000000000001</v>
      </c>
      <c r="M27" s="4">
        <f t="shared" si="6"/>
        <v>0.50538534516435063</v>
      </c>
      <c r="N27" s="3">
        <v>5.32</v>
      </c>
      <c r="O27" s="6">
        <v>37.909999999999997</v>
      </c>
      <c r="P27" s="4">
        <f t="shared" si="10"/>
        <v>32.589999999999996</v>
      </c>
      <c r="Q27">
        <f t="shared" si="7"/>
        <v>142.69833138009932</v>
      </c>
      <c r="R27" s="4">
        <f t="shared" si="8"/>
        <v>245.3763268039512</v>
      </c>
      <c r="S27">
        <f t="shared" si="9"/>
        <v>0.31502930646289795</v>
      </c>
    </row>
    <row r="28" spans="1:19" x14ac:dyDescent="0.35">
      <c r="A28" t="s">
        <v>11</v>
      </c>
      <c r="B28" t="s">
        <v>32</v>
      </c>
      <c r="C28">
        <v>3</v>
      </c>
      <c r="D28">
        <f>((10.5+12+13.5)*25)+(8*12.5)+(15*9)</f>
        <v>1135</v>
      </c>
      <c r="E28">
        <v>1.8</v>
      </c>
      <c r="F28" s="3">
        <v>4.8499999999999996</v>
      </c>
      <c r="G28" s="6">
        <v>92.09</v>
      </c>
      <c r="H28" s="4">
        <f t="shared" si="3"/>
        <v>90.29</v>
      </c>
      <c r="I28" s="6" t="s">
        <v>88</v>
      </c>
      <c r="J28" s="4" t="s">
        <v>88</v>
      </c>
      <c r="K28" s="6" t="s">
        <v>88</v>
      </c>
      <c r="L28" s="4" t="s">
        <v>88</v>
      </c>
      <c r="M28" s="4">
        <v>0</v>
      </c>
      <c r="N28" s="3">
        <v>5.32</v>
      </c>
      <c r="O28" s="6">
        <v>14.02</v>
      </c>
      <c r="P28" s="4">
        <f t="shared" si="10"/>
        <v>8.6999999999999993</v>
      </c>
      <c r="Q28" s="4">
        <f>P28</f>
        <v>8.6999999999999993</v>
      </c>
      <c r="R28" s="4">
        <f t="shared" si="8"/>
        <v>81.59</v>
      </c>
      <c r="S28">
        <f t="shared" si="9"/>
        <v>7.1885462555066088E-2</v>
      </c>
    </row>
    <row r="29" spans="1:19" x14ac:dyDescent="0.35">
      <c r="A29" t="s">
        <v>11</v>
      </c>
      <c r="B29" t="s">
        <v>32</v>
      </c>
      <c r="C29">
        <v>4</v>
      </c>
      <c r="D29">
        <f>(24.5*25)+(7.5*4.9)</f>
        <v>649.25</v>
      </c>
      <c r="E29">
        <v>1.8</v>
      </c>
      <c r="F29" s="3">
        <v>4.8499999999999996</v>
      </c>
      <c r="G29" s="6">
        <v>282.13</v>
      </c>
      <c r="H29" s="4">
        <f t="shared" si="3"/>
        <v>280.33</v>
      </c>
      <c r="I29" s="6">
        <v>98.37</v>
      </c>
      <c r="J29" s="4">
        <f t="shared" si="4"/>
        <v>93.52000000000001</v>
      </c>
      <c r="K29" s="6">
        <v>50.16</v>
      </c>
      <c r="L29" s="4">
        <f t="shared" si="5"/>
        <v>45.309999999999995</v>
      </c>
      <c r="M29" s="4">
        <f t="shared" si="6"/>
        <v>0.51550470487596245</v>
      </c>
      <c r="N29" s="3">
        <v>5.32</v>
      </c>
      <c r="O29" s="6">
        <v>25.86</v>
      </c>
      <c r="P29" s="4">
        <f t="shared" si="10"/>
        <v>20.54</v>
      </c>
      <c r="Q29">
        <f t="shared" si="7"/>
        <v>61.569484602224108</v>
      </c>
      <c r="R29" s="4">
        <f t="shared" si="8"/>
        <v>74.249081479897328</v>
      </c>
      <c r="S29">
        <f t="shared" si="9"/>
        <v>0.11436131148232165</v>
      </c>
    </row>
    <row r="30" spans="1:19" x14ac:dyDescent="0.35">
      <c r="A30" t="s">
        <v>11</v>
      </c>
      <c r="B30" t="s">
        <v>10</v>
      </c>
      <c r="C30">
        <v>1</v>
      </c>
      <c r="D30">
        <f>17*4.9</f>
        <v>83.300000000000011</v>
      </c>
      <c r="E30">
        <v>1.8</v>
      </c>
      <c r="F30" s="3">
        <v>4.8499999999999996</v>
      </c>
      <c r="G30" s="6">
        <v>79.510000000000005</v>
      </c>
      <c r="H30" s="4">
        <f t="shared" si="3"/>
        <v>77.710000000000008</v>
      </c>
      <c r="I30" s="6" t="s">
        <v>88</v>
      </c>
      <c r="J30" s="4" t="s">
        <v>88</v>
      </c>
      <c r="K30" s="6" t="s">
        <v>88</v>
      </c>
      <c r="L30" s="4" t="s">
        <v>88</v>
      </c>
      <c r="M30" s="4">
        <v>0</v>
      </c>
      <c r="N30" s="3">
        <v>5.32</v>
      </c>
      <c r="O30" s="6">
        <v>9.0399999999999991</v>
      </c>
      <c r="P30" s="4">
        <f t="shared" si="10"/>
        <v>3.7199999999999989</v>
      </c>
      <c r="Q30" s="4">
        <f>P30</f>
        <v>3.7199999999999989</v>
      </c>
      <c r="R30" s="4">
        <f t="shared" si="8"/>
        <v>73.990000000000009</v>
      </c>
      <c r="S30">
        <f t="shared" si="9"/>
        <v>0.88823529411764701</v>
      </c>
    </row>
    <row r="31" spans="1:19" x14ac:dyDescent="0.35">
      <c r="A31" t="s">
        <v>11</v>
      </c>
      <c r="B31" t="s">
        <v>10</v>
      </c>
      <c r="C31">
        <v>2</v>
      </c>
      <c r="D31">
        <f>((13+19+12)*4.9)+(4*12.5)</f>
        <v>265.60000000000002</v>
      </c>
      <c r="E31">
        <v>1.8</v>
      </c>
      <c r="F31" s="3">
        <v>4.8499999999999996</v>
      </c>
      <c r="G31" s="6">
        <v>116.97</v>
      </c>
      <c r="H31" s="4">
        <f t="shared" si="3"/>
        <v>115.17</v>
      </c>
      <c r="I31" s="6" t="s">
        <v>88</v>
      </c>
      <c r="J31" s="4" t="s">
        <v>88</v>
      </c>
      <c r="K31" s="6" t="s">
        <v>88</v>
      </c>
      <c r="L31" s="4" t="s">
        <v>88</v>
      </c>
      <c r="M31" s="4">
        <v>0</v>
      </c>
      <c r="N31" s="3">
        <v>5.32</v>
      </c>
      <c r="O31" s="6">
        <v>10.5</v>
      </c>
      <c r="P31" s="4">
        <f t="shared" si="10"/>
        <v>5.18</v>
      </c>
      <c r="Q31" s="4">
        <f t="shared" ref="Q31:Q34" si="11">P31</f>
        <v>5.18</v>
      </c>
      <c r="R31" s="4">
        <f t="shared" si="8"/>
        <v>109.99000000000001</v>
      </c>
      <c r="S31">
        <f t="shared" si="9"/>
        <v>0.41411897590361446</v>
      </c>
    </row>
    <row r="32" spans="1:19" x14ac:dyDescent="0.35">
      <c r="A32" t="s">
        <v>11</v>
      </c>
      <c r="B32" t="s">
        <v>10</v>
      </c>
      <c r="C32">
        <v>3</v>
      </c>
      <c r="D32">
        <f>(16+23+21.5)*4.9</f>
        <v>296.45000000000005</v>
      </c>
      <c r="E32">
        <v>1.8</v>
      </c>
      <c r="F32" s="3">
        <v>4.8499999999999996</v>
      </c>
      <c r="G32" s="6">
        <v>153.28</v>
      </c>
      <c r="H32" s="4">
        <f t="shared" si="3"/>
        <v>151.47999999999999</v>
      </c>
      <c r="I32" s="6" t="s">
        <v>88</v>
      </c>
      <c r="J32" s="4" t="s">
        <v>88</v>
      </c>
      <c r="K32" s="6" t="s">
        <v>88</v>
      </c>
      <c r="L32" s="4" t="s">
        <v>88</v>
      </c>
      <c r="M32" s="4">
        <v>0</v>
      </c>
      <c r="N32" s="3">
        <v>5.32</v>
      </c>
      <c r="O32" s="6">
        <v>11.87</v>
      </c>
      <c r="P32" s="4">
        <f t="shared" si="10"/>
        <v>6.5499999999999989</v>
      </c>
      <c r="Q32" s="4">
        <f t="shared" si="11"/>
        <v>6.5499999999999989</v>
      </c>
      <c r="R32" s="4">
        <f t="shared" si="8"/>
        <v>144.92999999999998</v>
      </c>
      <c r="S32">
        <f t="shared" si="9"/>
        <v>0.48888514083319262</v>
      </c>
    </row>
    <row r="33" spans="1:19" x14ac:dyDescent="0.35">
      <c r="A33" t="s">
        <v>11</v>
      </c>
      <c r="B33" t="s">
        <v>10</v>
      </c>
      <c r="C33">
        <v>4</v>
      </c>
      <c r="D33">
        <f>48*4.9</f>
        <v>235.20000000000002</v>
      </c>
      <c r="E33">
        <v>1.8</v>
      </c>
      <c r="F33" s="3">
        <v>4.8499999999999996</v>
      </c>
      <c r="G33" s="6">
        <v>148.53</v>
      </c>
      <c r="H33" s="4">
        <f t="shared" si="3"/>
        <v>146.72999999999999</v>
      </c>
      <c r="I33" s="6" t="s">
        <v>88</v>
      </c>
      <c r="J33" s="4" t="s">
        <v>88</v>
      </c>
      <c r="K33" s="6" t="s">
        <v>88</v>
      </c>
      <c r="L33" s="4" t="s">
        <v>88</v>
      </c>
      <c r="M33" s="4">
        <v>0</v>
      </c>
      <c r="N33" s="3">
        <v>5.32</v>
      </c>
      <c r="O33" s="6">
        <v>10.31</v>
      </c>
      <c r="P33" s="4">
        <f t="shared" si="10"/>
        <v>4.99</v>
      </c>
      <c r="Q33" s="4">
        <f t="shared" si="11"/>
        <v>4.99</v>
      </c>
      <c r="R33" s="4">
        <f t="shared" si="8"/>
        <v>141.73999999999998</v>
      </c>
      <c r="S33">
        <f t="shared" si="9"/>
        <v>0.6026360544217686</v>
      </c>
    </row>
    <row r="34" spans="1:19" x14ac:dyDescent="0.35">
      <c r="A34" t="s">
        <v>12</v>
      </c>
      <c r="B34" t="s">
        <v>9</v>
      </c>
      <c r="C34">
        <v>1</v>
      </c>
      <c r="D34">
        <f>7*4.9</f>
        <v>34.300000000000004</v>
      </c>
      <c r="E34">
        <v>1.8</v>
      </c>
      <c r="F34" s="3">
        <v>4.8499999999999996</v>
      </c>
      <c r="G34" s="6">
        <v>13.71</v>
      </c>
      <c r="H34" s="4">
        <f t="shared" si="3"/>
        <v>11.91</v>
      </c>
      <c r="I34" s="6" t="s">
        <v>88</v>
      </c>
      <c r="J34" s="4" t="s">
        <v>88</v>
      </c>
      <c r="K34" s="6" t="s">
        <v>88</v>
      </c>
      <c r="L34" s="4" t="s">
        <v>88</v>
      </c>
      <c r="M34" s="4">
        <v>0</v>
      </c>
      <c r="N34" s="3">
        <v>5.32</v>
      </c>
      <c r="O34" s="6">
        <v>9.3699999999999992</v>
      </c>
      <c r="P34" s="4">
        <f t="shared" si="10"/>
        <v>4.0499999999999989</v>
      </c>
      <c r="Q34" s="4">
        <f t="shared" si="11"/>
        <v>4.0499999999999989</v>
      </c>
      <c r="R34" s="4">
        <f t="shared" si="8"/>
        <v>7.8600000000000012</v>
      </c>
      <c r="S34">
        <f t="shared" si="9"/>
        <v>0.22915451895043731</v>
      </c>
    </row>
    <row r="35" spans="1:19" x14ac:dyDescent="0.35">
      <c r="A35" t="s">
        <v>12</v>
      </c>
      <c r="B35" t="s">
        <v>9</v>
      </c>
      <c r="C35">
        <v>2</v>
      </c>
      <c r="D35">
        <f>50+(7.5*25)</f>
        <v>237.5</v>
      </c>
      <c r="E35">
        <v>1.8</v>
      </c>
      <c r="F35" s="3">
        <v>4.8499999999999996</v>
      </c>
      <c r="G35" s="6">
        <v>63.94</v>
      </c>
      <c r="H35" s="4">
        <f t="shared" si="3"/>
        <v>62.14</v>
      </c>
      <c r="I35" s="6">
        <v>22.413</v>
      </c>
      <c r="J35" s="4">
        <f t="shared" si="4"/>
        <v>17.563000000000002</v>
      </c>
      <c r="K35" s="6">
        <v>22.41</v>
      </c>
      <c r="L35" s="4">
        <f t="shared" si="5"/>
        <v>17.560000000000002</v>
      </c>
      <c r="M35" s="4">
        <f t="shared" si="6"/>
        <v>1.7081364231623944E-4</v>
      </c>
      <c r="N35" s="3">
        <v>5.32</v>
      </c>
      <c r="O35" s="6">
        <v>7.05</v>
      </c>
      <c r="P35" s="4">
        <f t="shared" si="10"/>
        <v>1.7299999999999995</v>
      </c>
      <c r="Q35">
        <f t="shared" si="7"/>
        <v>6.1209474463360456</v>
      </c>
      <c r="R35" s="4">
        <f t="shared" si="8"/>
        <v>56.008438193930424</v>
      </c>
      <c r="S35">
        <f t="shared" si="9"/>
        <v>0.2358250029218123</v>
      </c>
    </row>
    <row r="36" spans="1:19" x14ac:dyDescent="0.35">
      <c r="A36" t="s">
        <v>12</v>
      </c>
      <c r="B36" t="s">
        <v>9</v>
      </c>
      <c r="C36">
        <v>3</v>
      </c>
      <c r="D36">
        <f>(4.5+3+4.5)*4.9</f>
        <v>58.800000000000004</v>
      </c>
      <c r="E36">
        <v>1.8</v>
      </c>
      <c r="F36" s="3">
        <v>4.8499999999999996</v>
      </c>
      <c r="G36" s="6">
        <v>20.96</v>
      </c>
      <c r="H36" s="4">
        <f t="shared" si="3"/>
        <v>19.16</v>
      </c>
      <c r="I36" s="6" t="s">
        <v>88</v>
      </c>
      <c r="J36" s="4" t="s">
        <v>88</v>
      </c>
      <c r="K36" s="6" t="s">
        <v>88</v>
      </c>
      <c r="L36" s="4" t="s">
        <v>88</v>
      </c>
      <c r="M36" s="4">
        <v>0</v>
      </c>
      <c r="N36" s="3">
        <v>5.32</v>
      </c>
      <c r="O36" s="6">
        <v>13.74</v>
      </c>
      <c r="P36" s="4">
        <f t="shared" si="10"/>
        <v>8.42</v>
      </c>
      <c r="Q36" s="4">
        <f>P36</f>
        <v>8.42</v>
      </c>
      <c r="R36" s="4">
        <f t="shared" si="8"/>
        <v>10.74</v>
      </c>
      <c r="S36">
        <f t="shared" si="9"/>
        <v>0.18265306122448979</v>
      </c>
    </row>
    <row r="37" spans="1:19" x14ac:dyDescent="0.35">
      <c r="A37" t="s">
        <v>12</v>
      </c>
      <c r="B37" t="s">
        <v>9</v>
      </c>
      <c r="C37">
        <v>4</v>
      </c>
      <c r="D37">
        <f>5*4.9</f>
        <v>24.5</v>
      </c>
      <c r="E37">
        <v>1.8</v>
      </c>
      <c r="F37" s="3">
        <v>4.8499999999999996</v>
      </c>
      <c r="G37" s="6">
        <v>8.94</v>
      </c>
      <c r="H37" s="4">
        <f t="shared" si="3"/>
        <v>7.14</v>
      </c>
      <c r="I37" s="6" t="s">
        <v>88</v>
      </c>
      <c r="J37" s="4" t="s">
        <v>88</v>
      </c>
      <c r="K37" s="6" t="s">
        <v>88</v>
      </c>
      <c r="L37" s="4" t="s">
        <v>88</v>
      </c>
      <c r="M37" s="4">
        <v>0</v>
      </c>
      <c r="N37" s="3">
        <v>5.32</v>
      </c>
      <c r="O37" s="6">
        <v>7.38</v>
      </c>
      <c r="P37" s="4">
        <f t="shared" si="10"/>
        <v>2.0599999999999996</v>
      </c>
      <c r="Q37" s="4">
        <f>P37</f>
        <v>2.0599999999999996</v>
      </c>
      <c r="R37" s="4">
        <f t="shared" si="8"/>
        <v>5.08</v>
      </c>
      <c r="S37">
        <f t="shared" si="9"/>
        <v>0.20734693877551022</v>
      </c>
    </row>
    <row r="38" spans="1:19" x14ac:dyDescent="0.35">
      <c r="A38" t="s">
        <v>12</v>
      </c>
      <c r="B38" t="s">
        <v>31</v>
      </c>
      <c r="C38">
        <v>1</v>
      </c>
      <c r="D38">
        <f>18*4.9</f>
        <v>88.2</v>
      </c>
      <c r="E38">
        <v>1.8</v>
      </c>
      <c r="F38" s="3">
        <v>4.8499999999999996</v>
      </c>
      <c r="G38" s="6">
        <v>76.98</v>
      </c>
      <c r="H38" s="4">
        <f t="shared" si="3"/>
        <v>75.180000000000007</v>
      </c>
      <c r="I38" s="6">
        <v>21.978000000000002</v>
      </c>
      <c r="J38" s="4">
        <f t="shared" si="4"/>
        <v>17.128</v>
      </c>
      <c r="K38" s="6">
        <v>21.98</v>
      </c>
      <c r="L38" s="4">
        <f t="shared" si="5"/>
        <v>17.130000000000003</v>
      </c>
      <c r="M38" s="4">
        <f t="shared" si="6"/>
        <v>-1.1676786548356166E-4</v>
      </c>
      <c r="N38" s="3">
        <v>5.32</v>
      </c>
      <c r="O38" s="6">
        <v>7.05</v>
      </c>
      <c r="P38" s="4">
        <f t="shared" si="10"/>
        <v>1.7299999999999995</v>
      </c>
      <c r="Q38">
        <f t="shared" si="7"/>
        <v>7.5934960298925711</v>
      </c>
      <c r="R38" s="4">
        <f t="shared" si="8"/>
        <v>67.595282578234489</v>
      </c>
      <c r="S38">
        <f t="shared" si="9"/>
        <v>0.76638642378950661</v>
      </c>
    </row>
    <row r="39" spans="1:19" x14ac:dyDescent="0.35">
      <c r="A39" t="s">
        <v>12</v>
      </c>
      <c r="B39" t="s">
        <v>31</v>
      </c>
      <c r="C39">
        <v>2</v>
      </c>
      <c r="D39">
        <f>(7.25*25)+(8*4.9)</f>
        <v>220.45</v>
      </c>
      <c r="E39">
        <v>1.8</v>
      </c>
      <c r="F39" s="3">
        <v>4.8499999999999996</v>
      </c>
      <c r="G39" s="6">
        <v>267.89</v>
      </c>
      <c r="H39" s="4">
        <f t="shared" si="3"/>
        <v>266.08999999999997</v>
      </c>
      <c r="I39" s="6">
        <v>73.459999999999994</v>
      </c>
      <c r="J39" s="4">
        <f t="shared" si="4"/>
        <v>68.61</v>
      </c>
      <c r="K39" s="6">
        <v>73.459999999999994</v>
      </c>
      <c r="L39" s="4">
        <f t="shared" si="5"/>
        <v>68.61</v>
      </c>
      <c r="M39" s="4">
        <f t="shared" si="6"/>
        <v>0</v>
      </c>
      <c r="N39" s="3">
        <v>5.32</v>
      </c>
      <c r="O39" s="6">
        <v>12.87</v>
      </c>
      <c r="P39" s="4">
        <f t="shared" si="10"/>
        <v>7.5499999999999989</v>
      </c>
      <c r="Q39">
        <f t="shared" si="7"/>
        <v>29.281147063110328</v>
      </c>
      <c r="R39" s="4">
        <f t="shared" si="8"/>
        <v>236.80885293688965</v>
      </c>
      <c r="S39">
        <f t="shared" si="9"/>
        <v>1.0742066361392137</v>
      </c>
    </row>
    <row r="40" spans="1:19" x14ac:dyDescent="0.35">
      <c r="A40" t="s">
        <v>12</v>
      </c>
      <c r="B40" t="s">
        <v>31</v>
      </c>
      <c r="C40">
        <v>3</v>
      </c>
      <c r="D40">
        <f>18.5*4.9</f>
        <v>90.65</v>
      </c>
      <c r="E40">
        <v>1.8</v>
      </c>
      <c r="F40" s="3">
        <v>4.8499999999999996</v>
      </c>
      <c r="G40" s="6">
        <v>75.12</v>
      </c>
      <c r="H40" s="4">
        <f t="shared" si="3"/>
        <v>73.320000000000007</v>
      </c>
      <c r="I40" s="6">
        <v>19.738</v>
      </c>
      <c r="J40" s="4">
        <f t="shared" si="4"/>
        <v>14.888</v>
      </c>
      <c r="K40" s="6">
        <v>19.739999999999998</v>
      </c>
      <c r="L40" s="4">
        <f t="shared" si="5"/>
        <v>14.889999999999999</v>
      </c>
      <c r="M40" s="4">
        <f t="shared" si="6"/>
        <v>-1.3433637829116682E-4</v>
      </c>
      <c r="N40" s="3">
        <v>5.32</v>
      </c>
      <c r="O40" s="6">
        <v>7.1</v>
      </c>
      <c r="P40" s="4">
        <f t="shared" si="10"/>
        <v>1.7799999999999994</v>
      </c>
      <c r="Q40">
        <f t="shared" si="7"/>
        <v>8.7660934981192877</v>
      </c>
      <c r="R40" s="4">
        <f t="shared" si="8"/>
        <v>64.563756045137026</v>
      </c>
      <c r="S40">
        <f t="shared" si="9"/>
        <v>0.71223117534624403</v>
      </c>
    </row>
    <row r="41" spans="1:19" x14ac:dyDescent="0.35">
      <c r="A41" t="s">
        <v>12</v>
      </c>
      <c r="B41" t="s">
        <v>31</v>
      </c>
      <c r="C41">
        <v>4</v>
      </c>
      <c r="D41">
        <f>(4.5+3.5+4)*4.9</f>
        <v>58.800000000000004</v>
      </c>
      <c r="E41">
        <v>1.8</v>
      </c>
      <c r="F41" s="3">
        <v>4.8499999999999996</v>
      </c>
      <c r="G41" s="6">
        <v>46.7</v>
      </c>
      <c r="H41" s="4">
        <f t="shared" si="3"/>
        <v>44.900000000000006</v>
      </c>
      <c r="I41" s="6">
        <v>13.724</v>
      </c>
      <c r="J41" s="4">
        <f t="shared" si="4"/>
        <v>8.8740000000000006</v>
      </c>
      <c r="K41" s="6">
        <v>13.72</v>
      </c>
      <c r="L41" s="4">
        <f t="shared" si="5"/>
        <v>8.870000000000001</v>
      </c>
      <c r="M41" s="4">
        <f t="shared" si="6"/>
        <v>4.5075501464948833E-4</v>
      </c>
      <c r="N41" s="3">
        <v>5.32</v>
      </c>
      <c r="O41" s="6">
        <v>7.42</v>
      </c>
      <c r="P41" s="4">
        <f t="shared" si="10"/>
        <v>2.0999999999999996</v>
      </c>
      <c r="Q41">
        <f t="shared" si="7"/>
        <v>10.625422582826232</v>
      </c>
      <c r="R41" s="4">
        <f t="shared" si="8"/>
        <v>34.254338517016009</v>
      </c>
      <c r="S41">
        <f t="shared" si="9"/>
        <v>0.58255677750027224</v>
      </c>
    </row>
    <row r="42" spans="1:19" x14ac:dyDescent="0.35">
      <c r="A42" t="s">
        <v>12</v>
      </c>
      <c r="B42" t="s">
        <v>32</v>
      </c>
      <c r="C42">
        <v>1</v>
      </c>
      <c r="D42">
        <f>(20+11.5+14.5)*4.9</f>
        <v>225.4</v>
      </c>
      <c r="E42">
        <v>1.8</v>
      </c>
      <c r="F42" s="3">
        <v>4.8499999999999996</v>
      </c>
      <c r="G42" s="6">
        <v>240.21</v>
      </c>
      <c r="H42" s="4">
        <f t="shared" si="3"/>
        <v>238.41</v>
      </c>
      <c r="I42" s="6">
        <v>62.24</v>
      </c>
      <c r="J42" s="4">
        <f t="shared" si="4"/>
        <v>57.39</v>
      </c>
      <c r="K42" s="6">
        <v>62.24</v>
      </c>
      <c r="L42" s="4">
        <f t="shared" si="5"/>
        <v>57.39</v>
      </c>
      <c r="M42" s="4">
        <f t="shared" si="6"/>
        <v>0</v>
      </c>
      <c r="N42" s="3">
        <v>5.32</v>
      </c>
      <c r="O42" s="6">
        <v>9.3800000000000008</v>
      </c>
      <c r="P42" s="4">
        <f t="shared" si="10"/>
        <v>4.0600000000000005</v>
      </c>
      <c r="Q42">
        <f t="shared" si="7"/>
        <v>16.866084683742816</v>
      </c>
      <c r="R42" s="4">
        <f t="shared" si="8"/>
        <v>221.54391531625717</v>
      </c>
      <c r="S42">
        <f t="shared" si="9"/>
        <v>0.98289225961072391</v>
      </c>
    </row>
    <row r="43" spans="1:19" x14ac:dyDescent="0.35">
      <c r="A43" t="s">
        <v>12</v>
      </c>
      <c r="B43" t="s">
        <v>32</v>
      </c>
      <c r="C43">
        <v>2</v>
      </c>
      <c r="D43">
        <f>50+(4*12.5)+((9+12.5+13)*4.9)</f>
        <v>269.05</v>
      </c>
      <c r="E43">
        <v>1.8</v>
      </c>
      <c r="F43" s="3">
        <v>4.8499999999999996</v>
      </c>
      <c r="G43" s="6">
        <v>347.01</v>
      </c>
      <c r="H43" s="4">
        <f t="shared" si="3"/>
        <v>345.21</v>
      </c>
      <c r="I43" s="6">
        <v>90.37</v>
      </c>
      <c r="J43" s="4">
        <f t="shared" si="4"/>
        <v>85.52000000000001</v>
      </c>
      <c r="K43" s="6">
        <v>90.37</v>
      </c>
      <c r="L43" s="4">
        <f t="shared" si="5"/>
        <v>85.52000000000001</v>
      </c>
      <c r="M43" s="4">
        <f t="shared" si="6"/>
        <v>0</v>
      </c>
      <c r="N43" s="3">
        <v>5.32</v>
      </c>
      <c r="O43" s="6">
        <v>12.1</v>
      </c>
      <c r="P43" s="4">
        <f t="shared" si="10"/>
        <v>6.7799999999999994</v>
      </c>
      <c r="Q43">
        <f t="shared" si="7"/>
        <v>27.368145463049572</v>
      </c>
      <c r="R43" s="4">
        <f t="shared" si="8"/>
        <v>317.84185453695039</v>
      </c>
      <c r="S43">
        <f t="shared" si="9"/>
        <v>1.1813486509457365</v>
      </c>
    </row>
    <row r="44" spans="1:19" x14ac:dyDescent="0.35">
      <c r="A44" t="s">
        <v>12</v>
      </c>
      <c r="B44" t="s">
        <v>32</v>
      </c>
      <c r="C44">
        <v>3</v>
      </c>
      <c r="D44">
        <f>(12+27+12.5)*4.9</f>
        <v>252.35000000000002</v>
      </c>
      <c r="E44">
        <v>1.8</v>
      </c>
      <c r="F44" s="3">
        <v>4.8499999999999996</v>
      </c>
      <c r="G44" s="6">
        <v>277.07</v>
      </c>
      <c r="H44" s="4">
        <f t="shared" si="3"/>
        <v>275.27</v>
      </c>
      <c r="I44" s="6">
        <v>72.64</v>
      </c>
      <c r="J44" s="4">
        <f t="shared" si="4"/>
        <v>67.790000000000006</v>
      </c>
      <c r="K44" s="6">
        <v>72.64</v>
      </c>
      <c r="L44" s="4">
        <f t="shared" si="5"/>
        <v>67.790000000000006</v>
      </c>
      <c r="M44" s="4">
        <f t="shared" si="6"/>
        <v>0</v>
      </c>
      <c r="N44" s="3">
        <v>5.32</v>
      </c>
      <c r="O44" s="6">
        <v>12.03</v>
      </c>
      <c r="P44" s="4">
        <f t="shared" si="10"/>
        <v>6.7099999999999991</v>
      </c>
      <c r="Q44">
        <f t="shared" si="7"/>
        <v>27.246816639622356</v>
      </c>
      <c r="R44" s="4">
        <f t="shared" si="8"/>
        <v>248.02318336037763</v>
      </c>
      <c r="S44">
        <f t="shared" si="9"/>
        <v>0.98285390671835782</v>
      </c>
    </row>
    <row r="45" spans="1:19" x14ac:dyDescent="0.35">
      <c r="A45" t="s">
        <v>12</v>
      </c>
      <c r="B45" t="s">
        <v>32</v>
      </c>
      <c r="C45">
        <v>4</v>
      </c>
      <c r="D45">
        <f>(14+17+2.5)*4.9</f>
        <v>164.15</v>
      </c>
      <c r="E45">
        <v>1.8</v>
      </c>
      <c r="F45" s="3">
        <v>4.8499999999999996</v>
      </c>
      <c r="G45" s="6">
        <v>223.07</v>
      </c>
      <c r="H45" s="4">
        <f t="shared" si="3"/>
        <v>221.26999999999998</v>
      </c>
      <c r="I45" s="6">
        <v>57.429000000000002</v>
      </c>
      <c r="J45" s="4">
        <f t="shared" si="4"/>
        <v>52.579000000000001</v>
      </c>
      <c r="K45" s="6">
        <v>57.43</v>
      </c>
      <c r="L45" s="4">
        <f t="shared" si="5"/>
        <v>52.58</v>
      </c>
      <c r="M45" s="4">
        <f t="shared" si="6"/>
        <v>-1.9018999980936675E-5</v>
      </c>
      <c r="N45" s="3">
        <v>5.32</v>
      </c>
      <c r="O45" s="6">
        <v>10.26</v>
      </c>
      <c r="P45" s="4">
        <f t="shared" si="10"/>
        <v>4.9399999999999995</v>
      </c>
      <c r="Q45">
        <f t="shared" si="7"/>
        <v>20.789170581410826</v>
      </c>
      <c r="R45" s="4">
        <f t="shared" si="8"/>
        <v>200.48503775271493</v>
      </c>
      <c r="S45">
        <f t="shared" si="9"/>
        <v>1.2213526515547666</v>
      </c>
    </row>
    <row r="46" spans="1:19" x14ac:dyDescent="0.35">
      <c r="A46" t="s">
        <v>12</v>
      </c>
      <c r="B46" t="s">
        <v>10</v>
      </c>
      <c r="C46">
        <v>1</v>
      </c>
      <c r="D46">
        <f>6*4.9</f>
        <v>29.400000000000002</v>
      </c>
      <c r="E46">
        <v>1.8</v>
      </c>
      <c r="F46" s="3">
        <v>4.8499999999999996</v>
      </c>
      <c r="G46" s="6">
        <v>42.39</v>
      </c>
      <c r="H46" s="4">
        <f t="shared" si="3"/>
        <v>40.590000000000003</v>
      </c>
      <c r="I46" s="6" t="s">
        <v>88</v>
      </c>
      <c r="J46" s="4" t="s">
        <v>88</v>
      </c>
      <c r="K46" s="6" t="s">
        <v>88</v>
      </c>
      <c r="L46" s="4" t="s">
        <v>88</v>
      </c>
      <c r="M46" s="4">
        <v>0</v>
      </c>
      <c r="N46" s="3">
        <v>5.32</v>
      </c>
      <c r="O46" s="6">
        <v>10.57</v>
      </c>
      <c r="P46" s="4">
        <f t="shared" si="10"/>
        <v>5.25</v>
      </c>
      <c r="Q46" s="4">
        <f>P46</f>
        <v>5.25</v>
      </c>
      <c r="R46" s="4">
        <f t="shared" si="8"/>
        <v>35.340000000000003</v>
      </c>
      <c r="S46">
        <f t="shared" si="9"/>
        <v>1.2020408163265306</v>
      </c>
    </row>
    <row r="47" spans="1:19" x14ac:dyDescent="0.35">
      <c r="A47" t="s">
        <v>12</v>
      </c>
      <c r="B47" t="s">
        <v>10</v>
      </c>
      <c r="C47">
        <v>2</v>
      </c>
      <c r="D47">
        <f>5*4.9</f>
        <v>24.5</v>
      </c>
      <c r="E47">
        <v>1.8</v>
      </c>
      <c r="F47" s="3">
        <v>4.8499999999999996</v>
      </c>
      <c r="G47" s="6">
        <v>31.99</v>
      </c>
      <c r="H47" s="4">
        <f t="shared" si="3"/>
        <v>30.189999999999998</v>
      </c>
      <c r="I47" s="6" t="s">
        <v>88</v>
      </c>
      <c r="J47" s="4" t="s">
        <v>88</v>
      </c>
      <c r="K47" s="6" t="s">
        <v>88</v>
      </c>
      <c r="L47" s="4" t="s">
        <v>88</v>
      </c>
      <c r="M47" s="4">
        <v>0</v>
      </c>
      <c r="N47" s="3">
        <v>5.32</v>
      </c>
      <c r="O47" s="6">
        <v>8.33</v>
      </c>
      <c r="P47" s="4">
        <f t="shared" si="10"/>
        <v>3.01</v>
      </c>
      <c r="Q47" s="4">
        <f t="shared" ref="Q47:Q49" si="12">P47</f>
        <v>3.01</v>
      </c>
      <c r="R47" s="4">
        <f t="shared" si="8"/>
        <v>27.18</v>
      </c>
      <c r="S47">
        <f t="shared" si="9"/>
        <v>1.1093877551020408</v>
      </c>
    </row>
    <row r="48" spans="1:19" x14ac:dyDescent="0.35">
      <c r="A48" t="s">
        <v>12</v>
      </c>
      <c r="B48" t="s">
        <v>10</v>
      </c>
      <c r="C48">
        <v>3</v>
      </c>
      <c r="D48">
        <f>9*4.5</f>
        <v>40.5</v>
      </c>
      <c r="E48">
        <v>1.8</v>
      </c>
      <c r="F48" s="3">
        <v>4.8499999999999996</v>
      </c>
      <c r="G48" s="6">
        <v>63.61</v>
      </c>
      <c r="H48" s="4">
        <f t="shared" si="3"/>
        <v>61.81</v>
      </c>
      <c r="I48" s="6" t="s">
        <v>88</v>
      </c>
      <c r="J48" s="4" t="s">
        <v>88</v>
      </c>
      <c r="K48" s="6" t="s">
        <v>88</v>
      </c>
      <c r="L48" s="4" t="s">
        <v>88</v>
      </c>
      <c r="M48" s="4">
        <v>0</v>
      </c>
      <c r="N48" s="3">
        <v>5.32</v>
      </c>
      <c r="O48" s="6">
        <v>8.27</v>
      </c>
      <c r="P48" s="4">
        <f t="shared" si="10"/>
        <v>2.9499999999999993</v>
      </c>
      <c r="Q48" s="4">
        <f t="shared" si="12"/>
        <v>2.9499999999999993</v>
      </c>
      <c r="R48" s="4">
        <f t="shared" si="8"/>
        <v>58.86</v>
      </c>
      <c r="S48">
        <f t="shared" si="9"/>
        <v>1.4533333333333334</v>
      </c>
    </row>
    <row r="49" spans="1:19" x14ac:dyDescent="0.35">
      <c r="A49" t="s">
        <v>12</v>
      </c>
      <c r="B49" t="s">
        <v>10</v>
      </c>
      <c r="C49">
        <v>4</v>
      </c>
      <c r="D49">
        <f>12*4.9</f>
        <v>58.800000000000004</v>
      </c>
      <c r="E49">
        <v>1.8</v>
      </c>
      <c r="F49" s="3">
        <v>4.8499999999999996</v>
      </c>
      <c r="G49" s="6">
        <v>58.7</v>
      </c>
      <c r="H49" s="4">
        <f t="shared" si="3"/>
        <v>56.900000000000006</v>
      </c>
      <c r="I49" s="6" t="s">
        <v>88</v>
      </c>
      <c r="J49" s="4" t="s">
        <v>88</v>
      </c>
      <c r="K49" s="6" t="s">
        <v>88</v>
      </c>
      <c r="L49" s="4" t="s">
        <v>88</v>
      </c>
      <c r="M49" s="4">
        <v>0</v>
      </c>
      <c r="N49" s="3">
        <v>5.32</v>
      </c>
      <c r="O49" s="6">
        <v>9.83</v>
      </c>
      <c r="P49" s="4">
        <f t="shared" si="10"/>
        <v>4.51</v>
      </c>
      <c r="Q49" s="4">
        <f t="shared" si="12"/>
        <v>4.51</v>
      </c>
      <c r="R49" s="4">
        <f t="shared" si="8"/>
        <v>52.390000000000008</v>
      </c>
      <c r="S49">
        <f t="shared" si="9"/>
        <v>0.89098639455782325</v>
      </c>
    </row>
    <row r="50" spans="1:19" x14ac:dyDescent="0.35">
      <c r="A50" t="s">
        <v>13</v>
      </c>
      <c r="B50" t="s">
        <v>9</v>
      </c>
      <c r="C50">
        <v>1</v>
      </c>
      <c r="D50">
        <f>11*25</f>
        <v>275</v>
      </c>
      <c r="E50">
        <v>1.8</v>
      </c>
      <c r="F50" s="3">
        <v>4.8499999999999996</v>
      </c>
      <c r="G50" s="6">
        <v>243.27</v>
      </c>
      <c r="H50" s="4">
        <f t="shared" si="3"/>
        <v>241.47</v>
      </c>
      <c r="I50" s="6">
        <v>61.94</v>
      </c>
      <c r="J50" s="4">
        <f t="shared" si="4"/>
        <v>57.089999999999996</v>
      </c>
      <c r="K50" s="6">
        <v>13.46</v>
      </c>
      <c r="L50" s="4">
        <f t="shared" si="5"/>
        <v>8.6100000000000012</v>
      </c>
      <c r="M50" s="4">
        <f t="shared" si="6"/>
        <v>0.8491854965843405</v>
      </c>
      <c r="N50" s="3">
        <v>5.32</v>
      </c>
      <c r="O50" s="6">
        <v>9.5299999999999994</v>
      </c>
      <c r="P50" s="4">
        <f t="shared" si="10"/>
        <v>4.2099999999999991</v>
      </c>
      <c r="Q50">
        <f t="shared" si="7"/>
        <v>17.806773515501838</v>
      </c>
      <c r="R50" s="4">
        <f t="shared" si="8"/>
        <v>18.610404624277457</v>
      </c>
      <c r="S50">
        <f t="shared" si="9"/>
        <v>6.7674198633736207E-2</v>
      </c>
    </row>
    <row r="51" spans="1:19" x14ac:dyDescent="0.35">
      <c r="A51" t="s">
        <v>13</v>
      </c>
      <c r="B51" t="s">
        <v>9</v>
      </c>
      <c r="C51">
        <v>2</v>
      </c>
      <c r="D51">
        <f>(4.5+3.5+3)*25</f>
        <v>275</v>
      </c>
      <c r="E51">
        <v>1.8</v>
      </c>
      <c r="F51" s="3">
        <v>4.8499999999999996</v>
      </c>
      <c r="G51" s="6">
        <v>208.86</v>
      </c>
      <c r="H51" s="4">
        <f t="shared" si="3"/>
        <v>207.06</v>
      </c>
      <c r="I51" s="6">
        <v>56.92</v>
      </c>
      <c r="J51" s="4">
        <f t="shared" si="4"/>
        <v>52.07</v>
      </c>
      <c r="K51" s="6">
        <v>12.99</v>
      </c>
      <c r="L51" s="4">
        <f t="shared" si="5"/>
        <v>8.14</v>
      </c>
      <c r="M51" s="4">
        <f t="shared" si="6"/>
        <v>0.84367198002688693</v>
      </c>
      <c r="N51" s="3">
        <v>5.32</v>
      </c>
      <c r="O51" s="6">
        <v>10.56</v>
      </c>
      <c r="P51" s="4">
        <f t="shared" si="10"/>
        <v>5.24</v>
      </c>
      <c r="Q51">
        <f t="shared" si="7"/>
        <v>20.837226810063378</v>
      </c>
      <c r="R51" s="4">
        <f t="shared" si="8"/>
        <v>11.532053005569416</v>
      </c>
      <c r="S51">
        <f t="shared" si="9"/>
        <v>4.1934738202070602E-2</v>
      </c>
    </row>
    <row r="52" spans="1:19" x14ac:dyDescent="0.35">
      <c r="A52" t="s">
        <v>13</v>
      </c>
      <c r="B52" t="s">
        <v>9</v>
      </c>
      <c r="C52">
        <v>3</v>
      </c>
      <c r="D52">
        <f>(7+6.5+6)*25</f>
        <v>487.5</v>
      </c>
      <c r="E52">
        <v>1.8</v>
      </c>
      <c r="F52" s="3">
        <v>4.8499999999999996</v>
      </c>
      <c r="G52" s="6">
        <v>273.83999999999997</v>
      </c>
      <c r="H52" s="4">
        <f t="shared" si="3"/>
        <v>272.03999999999996</v>
      </c>
      <c r="I52" s="6">
        <v>71.88</v>
      </c>
      <c r="J52" s="4">
        <f t="shared" si="4"/>
        <v>67.03</v>
      </c>
      <c r="K52" s="6">
        <v>13.46</v>
      </c>
      <c r="L52" s="4">
        <f t="shared" si="5"/>
        <v>8.6100000000000012</v>
      </c>
      <c r="M52" s="4">
        <f t="shared" si="6"/>
        <v>0.87155005221542592</v>
      </c>
      <c r="N52" s="3">
        <v>5.32</v>
      </c>
      <c r="O52" s="6">
        <v>13.01</v>
      </c>
      <c r="P52" s="4">
        <f t="shared" si="10"/>
        <v>7.6899999999999995</v>
      </c>
      <c r="Q52">
        <f t="shared" si="7"/>
        <v>31.209721020438604</v>
      </c>
      <c r="R52" s="4">
        <f t="shared" si="8"/>
        <v>3.7338027748769242</v>
      </c>
      <c r="S52">
        <f t="shared" si="9"/>
        <v>7.659082615132152E-3</v>
      </c>
    </row>
    <row r="53" spans="1:19" x14ac:dyDescent="0.35">
      <c r="A53" t="s">
        <v>13</v>
      </c>
      <c r="B53" t="s">
        <v>9</v>
      </c>
      <c r="C53">
        <v>4</v>
      </c>
      <c r="D53" t="s">
        <v>87</v>
      </c>
      <c r="E53">
        <v>1.8</v>
      </c>
      <c r="F53" s="3">
        <v>4.8499999999999996</v>
      </c>
      <c r="G53" s="6">
        <v>309.2</v>
      </c>
      <c r="H53" s="4">
        <f t="shared" si="3"/>
        <v>307.39999999999998</v>
      </c>
      <c r="I53" s="6">
        <v>87.96</v>
      </c>
      <c r="J53" s="4">
        <f t="shared" si="4"/>
        <v>83.11</v>
      </c>
      <c r="K53" s="6">
        <v>15.58</v>
      </c>
      <c r="L53" s="4">
        <f t="shared" si="5"/>
        <v>10.73</v>
      </c>
      <c r="M53" s="4">
        <f t="shared" si="6"/>
        <v>0.87089399590903616</v>
      </c>
      <c r="N53" s="3">
        <v>5.32</v>
      </c>
      <c r="O53" s="6">
        <v>12.86</v>
      </c>
      <c r="P53" s="4">
        <f t="shared" si="10"/>
        <v>7.5399999999999991</v>
      </c>
      <c r="Q53">
        <f t="shared" si="7"/>
        <v>27.888292624232939</v>
      </c>
      <c r="R53" s="4">
        <f t="shared" si="8"/>
        <v>11.798893033329342</v>
      </c>
      <c r="S53" t="s">
        <v>87</v>
      </c>
    </row>
    <row r="54" spans="1:19" x14ac:dyDescent="0.35">
      <c r="A54" t="s">
        <v>13</v>
      </c>
      <c r="B54" t="s">
        <v>31</v>
      </c>
      <c r="C54">
        <v>1</v>
      </c>
      <c r="D54">
        <f>(24*25)+(4*12.5)+((18+9.5)*4.9)</f>
        <v>784.75</v>
      </c>
      <c r="E54">
        <v>1.8</v>
      </c>
      <c r="F54" s="3">
        <v>4.8499999999999996</v>
      </c>
      <c r="G54" s="6">
        <v>846.66</v>
      </c>
      <c r="H54" s="4">
        <f t="shared" si="3"/>
        <v>844.86</v>
      </c>
      <c r="I54" s="6">
        <v>176.57</v>
      </c>
      <c r="J54" s="4">
        <f t="shared" si="4"/>
        <v>171.72</v>
      </c>
      <c r="K54" s="6">
        <v>46.42</v>
      </c>
      <c r="L54" s="4">
        <f t="shared" si="5"/>
        <v>41.57</v>
      </c>
      <c r="M54" s="4">
        <f t="shared" si="6"/>
        <v>0.75791986955508972</v>
      </c>
      <c r="N54" s="3">
        <v>5.32</v>
      </c>
      <c r="O54" s="6">
        <v>28.24</v>
      </c>
      <c r="P54" s="4">
        <f t="shared" si="10"/>
        <v>22.919999999999998</v>
      </c>
      <c r="Q54">
        <f t="shared" si="7"/>
        <v>112.76607966457021</v>
      </c>
      <c r="R54" s="4">
        <f t="shared" si="8"/>
        <v>91.757739343116697</v>
      </c>
      <c r="S54">
        <f t="shared" si="9"/>
        <v>0.11692607753184669</v>
      </c>
    </row>
    <row r="55" spans="1:19" x14ac:dyDescent="0.35">
      <c r="A55" t="s">
        <v>13</v>
      </c>
      <c r="B55" t="s">
        <v>31</v>
      </c>
      <c r="C55">
        <v>2</v>
      </c>
      <c r="D55">
        <f>((6.5+10+11)*25)+(8*12.5)+(6.5*4.9)</f>
        <v>819.35</v>
      </c>
      <c r="E55">
        <v>1.8</v>
      </c>
      <c r="F55" s="3">
        <v>4.8499999999999996</v>
      </c>
      <c r="G55" s="6">
        <v>714.23</v>
      </c>
      <c r="H55" s="4">
        <f t="shared" si="3"/>
        <v>712.43000000000006</v>
      </c>
      <c r="I55" s="6">
        <v>140.33000000000001</v>
      </c>
      <c r="J55" s="4">
        <f t="shared" si="4"/>
        <v>135.48000000000002</v>
      </c>
      <c r="K55" s="6">
        <v>46.29</v>
      </c>
      <c r="L55" s="4">
        <f t="shared" si="5"/>
        <v>41.44</v>
      </c>
      <c r="M55" s="4">
        <f t="shared" si="6"/>
        <v>0.69412459403602011</v>
      </c>
      <c r="N55" s="3">
        <v>5.32</v>
      </c>
      <c r="O55" s="6">
        <v>25.21</v>
      </c>
      <c r="P55" s="4">
        <f t="shared" si="10"/>
        <v>19.89</v>
      </c>
      <c r="Q55">
        <f t="shared" si="7"/>
        <v>104.59280115146146</v>
      </c>
      <c r="R55" s="4">
        <f t="shared" si="8"/>
        <v>113.32201431945674</v>
      </c>
      <c r="S55">
        <f t="shared" si="9"/>
        <v>0.13830721220413345</v>
      </c>
    </row>
    <row r="56" spans="1:19" x14ac:dyDescent="0.35">
      <c r="A56" t="s">
        <v>13</v>
      </c>
      <c r="B56" t="s">
        <v>31</v>
      </c>
      <c r="C56">
        <v>3</v>
      </c>
      <c r="D56">
        <f>((10.5+5.5+11.5)*25)+(3*12.5)+(3.5*4.9)</f>
        <v>742.15</v>
      </c>
      <c r="E56">
        <v>1.8</v>
      </c>
      <c r="F56" s="3">
        <v>4.8499999999999996</v>
      </c>
      <c r="G56" s="6">
        <v>677.42</v>
      </c>
      <c r="H56" s="4">
        <f t="shared" si="3"/>
        <v>675.62</v>
      </c>
      <c r="I56" s="6">
        <v>154.54</v>
      </c>
      <c r="J56" s="4">
        <f t="shared" si="4"/>
        <v>149.69</v>
      </c>
      <c r="K56" s="6">
        <v>34.33</v>
      </c>
      <c r="L56" s="4">
        <f t="shared" si="5"/>
        <v>29.479999999999997</v>
      </c>
      <c r="M56" s="4">
        <f t="shared" si="6"/>
        <v>0.80305965662368906</v>
      </c>
      <c r="N56" s="3">
        <v>5.32</v>
      </c>
      <c r="O56" s="6">
        <v>21.5</v>
      </c>
      <c r="P56" s="4">
        <f t="shared" si="10"/>
        <v>16.18</v>
      </c>
      <c r="Q56">
        <f t="shared" si="7"/>
        <v>73.027801456343113</v>
      </c>
      <c r="R56" s="4">
        <f t="shared" si="8"/>
        <v>60.029033335560101</v>
      </c>
      <c r="S56">
        <f t="shared" si="9"/>
        <v>8.0885310699400526E-2</v>
      </c>
    </row>
    <row r="57" spans="1:19" x14ac:dyDescent="0.35">
      <c r="A57" t="s">
        <v>13</v>
      </c>
      <c r="B57" t="s">
        <v>31</v>
      </c>
      <c r="C57">
        <v>4</v>
      </c>
      <c r="D57" t="s">
        <v>87</v>
      </c>
      <c r="E57">
        <v>1.8</v>
      </c>
      <c r="F57" s="3">
        <v>4.8499999999999996</v>
      </c>
      <c r="G57" s="6">
        <v>607.02</v>
      </c>
      <c r="H57" s="4">
        <f t="shared" si="3"/>
        <v>605.22</v>
      </c>
      <c r="I57" s="6">
        <v>148.25</v>
      </c>
      <c r="J57" s="4">
        <f t="shared" si="4"/>
        <v>143.4</v>
      </c>
      <c r="K57" s="6">
        <v>29.87</v>
      </c>
      <c r="L57" s="4">
        <f t="shared" si="5"/>
        <v>25.020000000000003</v>
      </c>
      <c r="M57" s="4">
        <f t="shared" si="6"/>
        <v>0.82552301255230121</v>
      </c>
      <c r="N57" s="3">
        <v>5.32</v>
      </c>
      <c r="O57" s="6">
        <v>23.9</v>
      </c>
      <c r="P57" s="4">
        <f t="shared" si="10"/>
        <v>18.579999999999998</v>
      </c>
      <c r="Q57">
        <f t="shared" si="7"/>
        <v>78.416928870292892</v>
      </c>
      <c r="R57" s="4">
        <f t="shared" si="8"/>
        <v>27.180033472803373</v>
      </c>
      <c r="S57" t="s">
        <v>87</v>
      </c>
    </row>
    <row r="58" spans="1:19" x14ac:dyDescent="0.35">
      <c r="A58" t="s">
        <v>13</v>
      </c>
      <c r="B58" t="s">
        <v>32</v>
      </c>
      <c r="C58">
        <v>1</v>
      </c>
      <c r="D58">
        <f>100+((16+4.5+2)*4.9)</f>
        <v>210.25</v>
      </c>
      <c r="E58">
        <v>1.8</v>
      </c>
      <c r="F58" s="3">
        <v>4.8499999999999996</v>
      </c>
      <c r="G58" s="6">
        <v>206.85</v>
      </c>
      <c r="H58" s="4">
        <f t="shared" si="3"/>
        <v>205.04999999999998</v>
      </c>
      <c r="I58" s="6">
        <v>60.36</v>
      </c>
      <c r="J58" s="4">
        <f t="shared" si="4"/>
        <v>55.51</v>
      </c>
      <c r="K58" s="6">
        <v>28.87</v>
      </c>
      <c r="L58" s="4">
        <f t="shared" si="5"/>
        <v>24.020000000000003</v>
      </c>
      <c r="M58" s="4">
        <f t="shared" si="6"/>
        <v>0.56728517384255084</v>
      </c>
      <c r="N58" s="3">
        <v>5.32</v>
      </c>
      <c r="O58" s="6">
        <v>15.77</v>
      </c>
      <c r="P58" s="4">
        <f t="shared" si="10"/>
        <v>10.45</v>
      </c>
      <c r="Q58">
        <f t="shared" si="7"/>
        <v>38.601558277787781</v>
      </c>
      <c r="R58" s="4">
        <f t="shared" si="8"/>
        <v>50.126616825797164</v>
      </c>
      <c r="S58">
        <f t="shared" si="9"/>
        <v>0.23841434875527784</v>
      </c>
    </row>
    <row r="59" spans="1:19" x14ac:dyDescent="0.35">
      <c r="A59" t="s">
        <v>13</v>
      </c>
      <c r="B59" t="s">
        <v>32</v>
      </c>
      <c r="C59">
        <v>2</v>
      </c>
      <c r="D59">
        <f>(5.5*25)+((13.5+6+5)*4.9)</f>
        <v>257.55</v>
      </c>
      <c r="E59">
        <v>1.8</v>
      </c>
      <c r="F59" s="3">
        <v>4.8499999999999996</v>
      </c>
      <c r="G59" s="6">
        <v>439.38</v>
      </c>
      <c r="H59" s="4">
        <f t="shared" si="3"/>
        <v>437.58</v>
      </c>
      <c r="I59" s="6">
        <v>108.31</v>
      </c>
      <c r="J59" s="4">
        <f t="shared" si="4"/>
        <v>103.46000000000001</v>
      </c>
      <c r="K59" s="6">
        <v>19.440000000000001</v>
      </c>
      <c r="L59" s="4">
        <f t="shared" si="5"/>
        <v>14.590000000000002</v>
      </c>
      <c r="M59" s="4">
        <f t="shared" si="6"/>
        <v>0.85897931567755648</v>
      </c>
      <c r="N59" s="3">
        <v>5.32</v>
      </c>
      <c r="O59" s="6">
        <v>14.15</v>
      </c>
      <c r="P59" s="4">
        <f t="shared" si="10"/>
        <v>8.83</v>
      </c>
      <c r="Q59">
        <f t="shared" si="7"/>
        <v>37.346137637734387</v>
      </c>
      <c r="R59" s="4">
        <f t="shared" si="8"/>
        <v>24.361693408080448</v>
      </c>
      <c r="S59">
        <f t="shared" si="9"/>
        <v>9.4590151070007567E-2</v>
      </c>
    </row>
    <row r="60" spans="1:19" x14ac:dyDescent="0.35">
      <c r="A60" t="s">
        <v>13</v>
      </c>
      <c r="B60" t="s">
        <v>32</v>
      </c>
      <c r="C60">
        <v>3</v>
      </c>
      <c r="D60">
        <f>(5*25)+(16.5*4.9)</f>
        <v>205.85000000000002</v>
      </c>
      <c r="E60">
        <v>1.8</v>
      </c>
      <c r="F60" s="3">
        <v>4.8499999999999996</v>
      </c>
      <c r="G60" s="6">
        <v>228.38</v>
      </c>
      <c r="H60" s="4">
        <f t="shared" si="3"/>
        <v>226.57999999999998</v>
      </c>
      <c r="I60" s="6">
        <v>52.460999999999999</v>
      </c>
      <c r="J60" s="4">
        <f t="shared" si="4"/>
        <v>47.610999999999997</v>
      </c>
      <c r="K60" s="6">
        <v>23.05</v>
      </c>
      <c r="L60" s="4">
        <f t="shared" si="5"/>
        <v>18.200000000000003</v>
      </c>
      <c r="M60" s="4">
        <f t="shared" si="6"/>
        <v>0.61773539728214055</v>
      </c>
      <c r="N60" s="3">
        <v>5.32</v>
      </c>
      <c r="O60" s="6">
        <v>13</v>
      </c>
      <c r="P60" s="4">
        <f t="shared" si="10"/>
        <v>7.68</v>
      </c>
      <c r="Q60">
        <f t="shared" si="7"/>
        <v>36.548999180861564</v>
      </c>
      <c r="R60" s="4">
        <f t="shared" si="8"/>
        <v>50.06451450295102</v>
      </c>
      <c r="S60">
        <f t="shared" si="9"/>
        <v>0.24320871752708775</v>
      </c>
    </row>
    <row r="61" spans="1:19" x14ac:dyDescent="0.35">
      <c r="A61" t="s">
        <v>13</v>
      </c>
      <c r="B61" t="s">
        <v>32</v>
      </c>
      <c r="C61">
        <v>4</v>
      </c>
      <c r="D61" t="s">
        <v>87</v>
      </c>
      <c r="E61">
        <v>1.8</v>
      </c>
      <c r="F61" s="3">
        <v>4.8499999999999996</v>
      </c>
      <c r="G61" s="6">
        <v>652.76</v>
      </c>
      <c r="H61" s="4">
        <f t="shared" si="3"/>
        <v>650.96</v>
      </c>
      <c r="I61" s="6">
        <v>159.01</v>
      </c>
      <c r="J61" s="4">
        <f t="shared" si="4"/>
        <v>154.16</v>
      </c>
      <c r="K61" s="6">
        <v>55.11</v>
      </c>
      <c r="L61" s="4">
        <f t="shared" si="5"/>
        <v>50.26</v>
      </c>
      <c r="M61" s="4">
        <f t="shared" si="6"/>
        <v>0.67397509081473794</v>
      </c>
      <c r="N61" s="3">
        <v>5.32</v>
      </c>
      <c r="O61" s="6">
        <v>28.66</v>
      </c>
      <c r="P61" s="4">
        <f t="shared" si="10"/>
        <v>23.34</v>
      </c>
      <c r="Q61">
        <f t="shared" si="7"/>
        <v>98.556087182148431</v>
      </c>
      <c r="R61" s="4">
        <f t="shared" si="8"/>
        <v>113.67308770108976</v>
      </c>
      <c r="S61" t="s">
        <v>87</v>
      </c>
    </row>
    <row r="62" spans="1:19" x14ac:dyDescent="0.35">
      <c r="A62" t="s">
        <v>13</v>
      </c>
      <c r="B62" t="s">
        <v>10</v>
      </c>
      <c r="C62">
        <v>1</v>
      </c>
      <c r="D62">
        <f>(6.5+2.5)*4.9</f>
        <v>44.1</v>
      </c>
      <c r="E62">
        <v>1.8</v>
      </c>
      <c r="F62" s="3">
        <v>4.8499999999999996</v>
      </c>
      <c r="G62" s="6">
        <v>39.200000000000003</v>
      </c>
      <c r="H62" s="4">
        <f t="shared" si="3"/>
        <v>37.400000000000006</v>
      </c>
      <c r="I62" s="6" t="s">
        <v>88</v>
      </c>
      <c r="J62" s="4" t="s">
        <v>88</v>
      </c>
      <c r="K62" s="6" t="s">
        <v>88</v>
      </c>
      <c r="L62" s="4" t="s">
        <v>88</v>
      </c>
      <c r="M62" s="4">
        <v>0</v>
      </c>
      <c r="N62" s="3">
        <v>5.32</v>
      </c>
      <c r="O62" s="6">
        <v>9.39</v>
      </c>
      <c r="P62" s="4">
        <f t="shared" si="10"/>
        <v>4.07</v>
      </c>
      <c r="Q62" s="4">
        <f>P62</f>
        <v>4.07</v>
      </c>
      <c r="R62" s="4">
        <f t="shared" si="8"/>
        <v>33.330000000000005</v>
      </c>
      <c r="S62">
        <f t="shared" si="9"/>
        <v>0.75578231292517017</v>
      </c>
    </row>
    <row r="63" spans="1:19" x14ac:dyDescent="0.35">
      <c r="A63" t="s">
        <v>13</v>
      </c>
      <c r="B63" t="s">
        <v>10</v>
      </c>
      <c r="C63">
        <v>2</v>
      </c>
      <c r="D63">
        <f>8.5*4.9</f>
        <v>41.650000000000006</v>
      </c>
      <c r="E63">
        <v>1.8</v>
      </c>
      <c r="F63" s="3">
        <v>4.8499999999999996</v>
      </c>
      <c r="G63" s="6">
        <v>167.04</v>
      </c>
      <c r="H63" s="4">
        <f t="shared" si="3"/>
        <v>165.23999999999998</v>
      </c>
      <c r="I63" s="6" t="s">
        <v>88</v>
      </c>
      <c r="J63" s="4" t="s">
        <v>88</v>
      </c>
      <c r="K63" s="6" t="s">
        <v>88</v>
      </c>
      <c r="L63" s="4" t="s">
        <v>88</v>
      </c>
      <c r="M63" s="4">
        <v>0</v>
      </c>
      <c r="N63" s="3">
        <v>5.32</v>
      </c>
      <c r="O63" s="6">
        <v>23.72</v>
      </c>
      <c r="P63" s="4">
        <f t="shared" si="10"/>
        <v>18.399999999999999</v>
      </c>
      <c r="Q63" s="4">
        <f>P63</f>
        <v>18.399999999999999</v>
      </c>
      <c r="R63" s="4">
        <f t="shared" si="8"/>
        <v>146.83999999999997</v>
      </c>
      <c r="S63">
        <f t="shared" si="9"/>
        <v>3.5255702280912353</v>
      </c>
    </row>
    <row r="64" spans="1:19" x14ac:dyDescent="0.35">
      <c r="A64" t="s">
        <v>13</v>
      </c>
      <c r="B64" t="s">
        <v>10</v>
      </c>
      <c r="C64">
        <v>3</v>
      </c>
      <c r="D64">
        <f>(21+11.5)*4.9</f>
        <v>159.25</v>
      </c>
      <c r="E64">
        <v>1.8</v>
      </c>
      <c r="F64" s="3">
        <v>4.8499999999999996</v>
      </c>
      <c r="G64" s="6">
        <v>126.48</v>
      </c>
      <c r="H64" s="4">
        <f t="shared" si="3"/>
        <v>124.68</v>
      </c>
      <c r="I64" s="6">
        <v>33.267000000000003</v>
      </c>
      <c r="J64" s="4">
        <f t="shared" si="4"/>
        <v>28.417000000000002</v>
      </c>
      <c r="K64" s="6">
        <v>19.54</v>
      </c>
      <c r="L64" s="4">
        <f t="shared" si="5"/>
        <v>14.69</v>
      </c>
      <c r="M64" s="4">
        <f t="shared" si="6"/>
        <v>0.48305591723264246</v>
      </c>
      <c r="N64" s="3">
        <v>5.32</v>
      </c>
      <c r="O64" s="6">
        <v>8.7799999999999994</v>
      </c>
      <c r="P64" s="4">
        <f t="shared" si="10"/>
        <v>3.4599999999999991</v>
      </c>
      <c r="Q64">
        <f t="shared" si="7"/>
        <v>15.180800225217295</v>
      </c>
      <c r="R64" s="4">
        <f t="shared" si="8"/>
        <v>49.271788014216838</v>
      </c>
      <c r="S64">
        <f t="shared" si="9"/>
        <v>0.30939898282082789</v>
      </c>
    </row>
    <row r="65" spans="1:19" x14ac:dyDescent="0.35">
      <c r="A65" t="s">
        <v>13</v>
      </c>
      <c r="B65" t="s">
        <v>10</v>
      </c>
      <c r="C65">
        <v>4</v>
      </c>
      <c r="D65" t="s">
        <v>87</v>
      </c>
      <c r="E65">
        <v>1.8</v>
      </c>
      <c r="F65" s="3">
        <v>4.8499999999999996</v>
      </c>
      <c r="G65" s="6">
        <v>32.590000000000003</v>
      </c>
      <c r="H65" s="4">
        <f t="shared" si="3"/>
        <v>30.790000000000003</v>
      </c>
      <c r="I65" s="6" t="s">
        <v>88</v>
      </c>
      <c r="J65" s="4" t="s">
        <v>88</v>
      </c>
      <c r="K65" s="6" t="s">
        <v>88</v>
      </c>
      <c r="L65" s="4" t="s">
        <v>88</v>
      </c>
      <c r="M65" s="4">
        <v>0</v>
      </c>
      <c r="N65" s="3">
        <v>5.32</v>
      </c>
      <c r="O65" s="6">
        <v>7.37</v>
      </c>
      <c r="P65" s="4">
        <f t="shared" si="10"/>
        <v>2.0499999999999998</v>
      </c>
      <c r="Q65" s="4">
        <f>P65</f>
        <v>2.0499999999999998</v>
      </c>
      <c r="R65" s="4">
        <f t="shared" si="8"/>
        <v>28.740000000000002</v>
      </c>
      <c r="S65" t="s">
        <v>87</v>
      </c>
    </row>
    <row r="66" spans="1:19" x14ac:dyDescent="0.35">
      <c r="A66" t="s">
        <v>14</v>
      </c>
      <c r="B66" t="s">
        <v>9</v>
      </c>
      <c r="C66">
        <v>1</v>
      </c>
      <c r="D66">
        <f>7.5*25</f>
        <v>187.5</v>
      </c>
      <c r="E66">
        <v>1.8</v>
      </c>
      <c r="F66" s="3">
        <v>4.8499999999999996</v>
      </c>
      <c r="G66" s="6">
        <v>139.33000000000001</v>
      </c>
      <c r="H66" s="4">
        <f t="shared" si="3"/>
        <v>137.53</v>
      </c>
      <c r="I66" s="6">
        <v>39.57</v>
      </c>
      <c r="J66" s="4">
        <f t="shared" si="4"/>
        <v>34.72</v>
      </c>
      <c r="K66" s="6">
        <v>11.97</v>
      </c>
      <c r="L66" s="4">
        <f t="shared" si="5"/>
        <v>7.120000000000001</v>
      </c>
      <c r="M66" s="4">
        <f t="shared" si="6"/>
        <v>0.79493087557603681</v>
      </c>
      <c r="N66" s="3">
        <v>5.32</v>
      </c>
      <c r="O66" s="6">
        <v>10.35</v>
      </c>
      <c r="P66" s="4">
        <f t="shared" si="10"/>
        <v>5.0299999999999994</v>
      </c>
      <c r="Q66">
        <f t="shared" si="7"/>
        <v>19.924421082949308</v>
      </c>
      <c r="R66" s="4">
        <f t="shared" si="8"/>
        <v>8.2787355990783489</v>
      </c>
      <c r="S66">
        <f t="shared" si="9"/>
        <v>4.415325652841786E-2</v>
      </c>
    </row>
    <row r="67" spans="1:19" x14ac:dyDescent="0.35">
      <c r="A67" t="s">
        <v>14</v>
      </c>
      <c r="B67" t="s">
        <v>9</v>
      </c>
      <c r="C67">
        <v>2</v>
      </c>
      <c r="D67">
        <f>8*25</f>
        <v>200</v>
      </c>
      <c r="E67">
        <v>1.8</v>
      </c>
      <c r="F67" s="3">
        <v>4.8499999999999996</v>
      </c>
      <c r="G67" s="6">
        <v>103.51</v>
      </c>
      <c r="H67" s="4">
        <f t="shared" ref="H67:H97" si="13">G67-E67</f>
        <v>101.71000000000001</v>
      </c>
      <c r="I67" s="6">
        <v>30.039000000000001</v>
      </c>
      <c r="J67" s="4">
        <f t="shared" ref="J67:J93" si="14">I67-F67</f>
        <v>25.189</v>
      </c>
      <c r="K67" s="6">
        <v>8.02</v>
      </c>
      <c r="L67" s="4">
        <f t="shared" ref="L67:L130" si="15">K67-F67</f>
        <v>3.17</v>
      </c>
      <c r="M67" s="4">
        <f t="shared" ref="M67:M130" si="16">(J67-L67)/J67</f>
        <v>0.87415141530032947</v>
      </c>
      <c r="N67" s="3">
        <v>5.32</v>
      </c>
      <c r="O67" s="6">
        <v>7.26</v>
      </c>
      <c r="P67" s="4">
        <f t="shared" si="10"/>
        <v>1.9399999999999995</v>
      </c>
      <c r="Q67">
        <f t="shared" si="7"/>
        <v>7.8334749295327315</v>
      </c>
      <c r="R67" s="4">
        <f t="shared" si="8"/>
        <v>4.9665846202707593</v>
      </c>
      <c r="S67">
        <f t="shared" si="9"/>
        <v>2.4832923101353797E-2</v>
      </c>
    </row>
    <row r="68" spans="1:19" x14ac:dyDescent="0.35">
      <c r="A68" t="s">
        <v>14</v>
      </c>
      <c r="B68" t="s">
        <v>9</v>
      </c>
      <c r="C68">
        <v>3</v>
      </c>
      <c r="D68">
        <f>12.5*25</f>
        <v>312.5</v>
      </c>
      <c r="E68">
        <v>1.8</v>
      </c>
      <c r="F68" s="3">
        <v>4.8499999999999996</v>
      </c>
      <c r="G68" s="6">
        <v>221.62</v>
      </c>
      <c r="H68" s="4">
        <f t="shared" si="13"/>
        <v>219.82</v>
      </c>
      <c r="I68" s="6">
        <v>52.055</v>
      </c>
      <c r="J68" s="4">
        <f t="shared" si="14"/>
        <v>47.204999999999998</v>
      </c>
      <c r="K68" s="6">
        <v>13.08</v>
      </c>
      <c r="L68" s="4">
        <f t="shared" si="15"/>
        <v>8.23</v>
      </c>
      <c r="M68" s="4">
        <f t="shared" si="16"/>
        <v>0.82565406206969594</v>
      </c>
      <c r="N68" s="3">
        <v>5.32</v>
      </c>
      <c r="O68" s="6">
        <v>9.39</v>
      </c>
      <c r="P68" s="4">
        <f t="shared" si="10"/>
        <v>4.07</v>
      </c>
      <c r="Q68">
        <f t="shared" si="7"/>
        <v>18.95281008367758</v>
      </c>
      <c r="R68" s="4">
        <f t="shared" si="8"/>
        <v>19.371913992161861</v>
      </c>
      <c r="S68">
        <f t="shared" si="9"/>
        <v>6.1990124774917957E-2</v>
      </c>
    </row>
    <row r="69" spans="1:19" x14ac:dyDescent="0.35">
      <c r="A69" t="s">
        <v>14</v>
      </c>
      <c r="B69" t="s">
        <v>9</v>
      </c>
      <c r="C69">
        <v>4</v>
      </c>
      <c r="D69">
        <f>9.5*25</f>
        <v>237.5</v>
      </c>
      <c r="E69">
        <v>1.8</v>
      </c>
      <c r="F69" s="3">
        <v>4.8499999999999996</v>
      </c>
      <c r="G69" s="6">
        <v>189.21</v>
      </c>
      <c r="H69" s="4">
        <f t="shared" si="13"/>
        <v>187.41</v>
      </c>
      <c r="I69" s="6">
        <v>47.087000000000003</v>
      </c>
      <c r="J69" s="4">
        <f t="shared" si="14"/>
        <v>42.237000000000002</v>
      </c>
      <c r="K69" s="6">
        <v>12.5</v>
      </c>
      <c r="L69" s="4">
        <f t="shared" si="15"/>
        <v>7.65</v>
      </c>
      <c r="M69" s="4">
        <f t="shared" si="16"/>
        <v>0.81887918176006824</v>
      </c>
      <c r="N69" s="3">
        <v>5.32</v>
      </c>
      <c r="O69" s="6">
        <v>8.9600000000000009</v>
      </c>
      <c r="P69" s="4">
        <f t="shared" si="10"/>
        <v>3.6400000000000006</v>
      </c>
      <c r="Q69">
        <f t="shared" si="7"/>
        <v>16.151061865189288</v>
      </c>
      <c r="R69" s="4">
        <f t="shared" si="8"/>
        <v>17.792790681156323</v>
      </c>
      <c r="S69">
        <f t="shared" si="9"/>
        <v>7.491701339434241E-2</v>
      </c>
    </row>
    <row r="70" spans="1:19" x14ac:dyDescent="0.35">
      <c r="A70" t="s">
        <v>14</v>
      </c>
      <c r="B70" t="s">
        <v>31</v>
      </c>
      <c r="C70">
        <v>1</v>
      </c>
      <c r="D70">
        <f>24.5*25</f>
        <v>612.5</v>
      </c>
      <c r="E70">
        <v>1.8</v>
      </c>
      <c r="F70" s="3">
        <v>4.8499999999999996</v>
      </c>
      <c r="G70" s="6">
        <v>493.72</v>
      </c>
      <c r="H70" s="4">
        <f t="shared" si="13"/>
        <v>491.92</v>
      </c>
      <c r="I70" s="6">
        <v>121.66</v>
      </c>
      <c r="J70" s="4">
        <f t="shared" si="14"/>
        <v>116.81</v>
      </c>
      <c r="K70" s="6">
        <v>23.11</v>
      </c>
      <c r="L70" s="4">
        <f t="shared" si="15"/>
        <v>18.259999999999998</v>
      </c>
      <c r="M70" s="4">
        <f t="shared" si="16"/>
        <v>0.84367776731444233</v>
      </c>
      <c r="N70" s="3">
        <v>5.32</v>
      </c>
      <c r="O70" s="6">
        <v>17.93</v>
      </c>
      <c r="P70" s="4">
        <f t="shared" si="10"/>
        <v>12.61</v>
      </c>
      <c r="Q70">
        <f t="shared" si="7"/>
        <v>53.104282167622635</v>
      </c>
      <c r="R70" s="4">
        <f t="shared" si="8"/>
        <v>23.793750535056894</v>
      </c>
      <c r="S70">
        <f t="shared" si="9"/>
        <v>3.884693964907248E-2</v>
      </c>
    </row>
    <row r="71" spans="1:19" x14ac:dyDescent="0.35">
      <c r="A71" t="s">
        <v>14</v>
      </c>
      <c r="B71" t="s">
        <v>31</v>
      </c>
      <c r="C71">
        <v>2</v>
      </c>
      <c r="D71">
        <f>(21*25)+(4*12.5)+4.9</f>
        <v>579.9</v>
      </c>
      <c r="E71">
        <v>1.8</v>
      </c>
      <c r="F71" s="3">
        <v>4.8499999999999996</v>
      </c>
      <c r="G71" s="6">
        <v>546.41999999999996</v>
      </c>
      <c r="H71" s="4">
        <f t="shared" si="13"/>
        <v>544.62</v>
      </c>
      <c r="I71" s="6">
        <v>126.23</v>
      </c>
      <c r="J71" s="4">
        <f t="shared" si="14"/>
        <v>121.38000000000001</v>
      </c>
      <c r="K71" s="6">
        <v>33.31</v>
      </c>
      <c r="L71" s="4">
        <f t="shared" si="15"/>
        <v>28.46</v>
      </c>
      <c r="M71" s="4">
        <f t="shared" si="16"/>
        <v>0.7655297413082881</v>
      </c>
      <c r="N71" s="3">
        <v>5.32</v>
      </c>
      <c r="O71" s="6">
        <v>20.2</v>
      </c>
      <c r="P71" s="4">
        <f t="shared" si="10"/>
        <v>14.879999999999999</v>
      </c>
      <c r="Q71">
        <f t="shared" si="7"/>
        <v>66.765081562036571</v>
      </c>
      <c r="R71" s="4">
        <f t="shared" si="8"/>
        <v>60.932110726643558</v>
      </c>
      <c r="S71">
        <f t="shared" si="9"/>
        <v>0.10507347943894389</v>
      </c>
    </row>
    <row r="72" spans="1:19" x14ac:dyDescent="0.35">
      <c r="A72" t="s">
        <v>14</v>
      </c>
      <c r="B72" t="s">
        <v>31</v>
      </c>
      <c r="C72">
        <v>3</v>
      </c>
      <c r="D72">
        <f>((5.5+6+7.5)*25)+(2.5*4.9)</f>
        <v>487.25</v>
      </c>
      <c r="E72">
        <v>1.8</v>
      </c>
      <c r="F72" s="3">
        <v>4.8499999999999996</v>
      </c>
      <c r="G72" s="6">
        <v>509.28</v>
      </c>
      <c r="H72" s="4">
        <f t="shared" si="13"/>
        <v>507.47999999999996</v>
      </c>
      <c r="I72" s="6">
        <v>119.31</v>
      </c>
      <c r="J72" s="4">
        <f t="shared" si="14"/>
        <v>114.46000000000001</v>
      </c>
      <c r="K72" s="6">
        <v>30.21</v>
      </c>
      <c r="L72" s="4">
        <f t="shared" si="15"/>
        <v>25.36</v>
      </c>
      <c r="M72" s="4">
        <f t="shared" si="16"/>
        <v>0.77843788222959986</v>
      </c>
      <c r="N72" s="3">
        <v>5.32</v>
      </c>
      <c r="O72" s="6">
        <v>23.1</v>
      </c>
      <c r="P72" s="4">
        <f t="shared" si="10"/>
        <v>17.78</v>
      </c>
      <c r="Q72">
        <f t="shared" si="7"/>
        <v>78.830983749781581</v>
      </c>
      <c r="R72" s="4">
        <f t="shared" si="8"/>
        <v>33.60735977634107</v>
      </c>
      <c r="S72">
        <f t="shared" si="9"/>
        <v>6.8973544948878543E-2</v>
      </c>
    </row>
    <row r="73" spans="1:19" x14ac:dyDescent="0.35">
      <c r="A73" t="s">
        <v>14</v>
      </c>
      <c r="B73" t="s">
        <v>31</v>
      </c>
      <c r="C73">
        <v>4</v>
      </c>
      <c r="D73">
        <f>(9.5*25)+(5.5*12.5)+(3*4.9)</f>
        <v>320.95</v>
      </c>
      <c r="E73">
        <v>1.8</v>
      </c>
      <c r="F73" s="3">
        <v>4.8499999999999996</v>
      </c>
      <c r="G73" s="6">
        <v>466.88</v>
      </c>
      <c r="H73" s="4">
        <f t="shared" si="13"/>
        <v>465.08</v>
      </c>
      <c r="I73" s="6">
        <v>93.53</v>
      </c>
      <c r="J73" s="4">
        <f t="shared" si="14"/>
        <v>88.68</v>
      </c>
      <c r="K73" s="6">
        <v>29.26</v>
      </c>
      <c r="L73" s="4">
        <f t="shared" si="15"/>
        <v>24.410000000000004</v>
      </c>
      <c r="M73" s="4">
        <f t="shared" si="16"/>
        <v>0.72474064050518727</v>
      </c>
      <c r="N73" s="3">
        <v>5.32</v>
      </c>
      <c r="O73" s="6">
        <v>14</v>
      </c>
      <c r="P73" s="4">
        <f t="shared" si="10"/>
        <v>8.68</v>
      </c>
      <c r="Q73">
        <f t="shared" si="7"/>
        <v>45.522038791159218</v>
      </c>
      <c r="R73" s="4">
        <f t="shared" si="8"/>
        <v>82.495584122688285</v>
      </c>
      <c r="S73">
        <f t="shared" si="9"/>
        <v>0.257035625869102</v>
      </c>
    </row>
    <row r="74" spans="1:19" x14ac:dyDescent="0.35">
      <c r="A74" t="s">
        <v>14</v>
      </c>
      <c r="B74" t="s">
        <v>32</v>
      </c>
      <c r="C74">
        <v>1</v>
      </c>
      <c r="D74">
        <f>(13.5*25)+(8.5*12.5)+(40*4.9)</f>
        <v>639.75</v>
      </c>
      <c r="E74">
        <v>1.8</v>
      </c>
      <c r="F74" s="3">
        <v>4.8499999999999996</v>
      </c>
      <c r="G74" s="6">
        <v>527.88</v>
      </c>
      <c r="H74" s="4">
        <f t="shared" si="13"/>
        <v>526.08000000000004</v>
      </c>
      <c r="I74" s="6">
        <v>108.11</v>
      </c>
      <c r="J74" s="4">
        <f t="shared" si="14"/>
        <v>103.26</v>
      </c>
      <c r="K74" s="6">
        <v>54.07</v>
      </c>
      <c r="L74" s="4">
        <f t="shared" si="15"/>
        <v>49.22</v>
      </c>
      <c r="M74" s="4">
        <f t="shared" si="16"/>
        <v>0.52333914390858027</v>
      </c>
      <c r="N74" s="3">
        <v>5.32</v>
      </c>
      <c r="O74" s="6">
        <v>14.27</v>
      </c>
      <c r="P74" s="4">
        <f t="shared" si="10"/>
        <v>8.9499999999999993</v>
      </c>
      <c r="Q74">
        <f t="shared" si="7"/>
        <v>45.597675769901215</v>
      </c>
      <c r="R74" s="4">
        <f t="shared" si="8"/>
        <v>205.16406740267291</v>
      </c>
      <c r="S74">
        <f t="shared" si="9"/>
        <v>0.32069412645982481</v>
      </c>
    </row>
    <row r="75" spans="1:19" x14ac:dyDescent="0.35">
      <c r="A75" t="s">
        <v>14</v>
      </c>
      <c r="B75" t="s">
        <v>32</v>
      </c>
      <c r="C75">
        <v>2</v>
      </c>
      <c r="D75">
        <f>(4*25)+(4*12.5)+(24.5*4.9)</f>
        <v>270.05</v>
      </c>
      <c r="E75">
        <v>1.8</v>
      </c>
      <c r="F75" s="3">
        <v>4.8499999999999996</v>
      </c>
      <c r="G75" s="6">
        <v>350.55</v>
      </c>
      <c r="H75" s="4">
        <f t="shared" si="13"/>
        <v>348.75</v>
      </c>
      <c r="I75" s="6">
        <v>81.48</v>
      </c>
      <c r="J75" s="4">
        <f t="shared" si="14"/>
        <v>76.63000000000001</v>
      </c>
      <c r="K75" s="6">
        <v>52.52</v>
      </c>
      <c r="L75" s="4">
        <f t="shared" si="15"/>
        <v>47.67</v>
      </c>
      <c r="M75" s="4">
        <f t="shared" si="16"/>
        <v>0.37791987472269351</v>
      </c>
      <c r="N75" s="3">
        <v>5.32</v>
      </c>
      <c r="O75" s="6">
        <v>5.8</v>
      </c>
      <c r="P75" s="4">
        <f t="shared" si="10"/>
        <v>0.47999999999999954</v>
      </c>
      <c r="Q75">
        <f t="shared" si="7"/>
        <v>2.1845230327547931</v>
      </c>
      <c r="R75" s="4">
        <f t="shared" si="8"/>
        <v>214.76592065770586</v>
      </c>
      <c r="S75">
        <f t="shared" si="9"/>
        <v>0.79528206131348211</v>
      </c>
    </row>
    <row r="76" spans="1:19" x14ac:dyDescent="0.35">
      <c r="A76" t="s">
        <v>14</v>
      </c>
      <c r="B76" t="s">
        <v>32</v>
      </c>
      <c r="C76">
        <v>3</v>
      </c>
      <c r="D76">
        <f>(59*4.9)</f>
        <v>289.10000000000002</v>
      </c>
      <c r="E76">
        <v>1.8</v>
      </c>
      <c r="F76" s="3">
        <v>4.8499999999999996</v>
      </c>
      <c r="G76" s="6">
        <v>276.5</v>
      </c>
      <c r="H76" s="4">
        <f t="shared" si="13"/>
        <v>274.7</v>
      </c>
      <c r="I76" s="6">
        <v>94.91</v>
      </c>
      <c r="J76" s="4">
        <f t="shared" si="14"/>
        <v>90.06</v>
      </c>
      <c r="K76" s="6">
        <v>45.7</v>
      </c>
      <c r="L76" s="4">
        <f t="shared" si="15"/>
        <v>40.85</v>
      </c>
      <c r="M76" s="4">
        <f t="shared" si="16"/>
        <v>0.54641350210970463</v>
      </c>
      <c r="N76" s="3">
        <v>5.32</v>
      </c>
      <c r="O76" s="6">
        <v>7.56</v>
      </c>
      <c r="P76" s="4">
        <f t="shared" si="10"/>
        <v>2.2399999999999993</v>
      </c>
      <c r="Q76">
        <f t="shared" si="7"/>
        <v>6.8324228292249591</v>
      </c>
      <c r="R76" s="4">
        <f t="shared" si="8"/>
        <v>117.76778814123918</v>
      </c>
      <c r="S76">
        <f t="shared" si="9"/>
        <v>0.40736004199667647</v>
      </c>
    </row>
    <row r="77" spans="1:19" x14ac:dyDescent="0.35">
      <c r="A77" t="s">
        <v>14</v>
      </c>
      <c r="B77" t="s">
        <v>32</v>
      </c>
      <c r="C77">
        <v>4</v>
      </c>
      <c r="D77">
        <f>((12.5+19+22)*4.9)</f>
        <v>262.15000000000003</v>
      </c>
      <c r="E77">
        <v>1.8</v>
      </c>
      <c r="F77" s="3">
        <v>4.8499999999999996</v>
      </c>
      <c r="G77" s="6">
        <v>219.88</v>
      </c>
      <c r="H77" s="4">
        <f t="shared" si="13"/>
        <v>218.07999999999998</v>
      </c>
      <c r="I77" s="6">
        <v>59.192999999999998</v>
      </c>
      <c r="J77" s="4">
        <f t="shared" si="14"/>
        <v>54.342999999999996</v>
      </c>
      <c r="K77" s="6">
        <v>70.650000000000006</v>
      </c>
      <c r="L77" s="4">
        <f t="shared" si="15"/>
        <v>65.800000000000011</v>
      </c>
      <c r="M77" s="4">
        <f t="shared" si="16"/>
        <v>-0.21082752148390807</v>
      </c>
      <c r="N77" s="3">
        <v>5.32</v>
      </c>
      <c r="O77" s="6">
        <v>13.83</v>
      </c>
      <c r="P77" s="4">
        <f t="shared" si="10"/>
        <v>8.51</v>
      </c>
      <c r="Q77">
        <f t="shared" si="7"/>
        <v>34.150871317372982</v>
      </c>
      <c r="R77" s="4">
        <f t="shared" si="8"/>
        <v>229.90639456783768</v>
      </c>
      <c r="S77">
        <f t="shared" si="9"/>
        <v>0.87700322169688216</v>
      </c>
    </row>
    <row r="78" spans="1:19" x14ac:dyDescent="0.35">
      <c r="A78" t="s">
        <v>14</v>
      </c>
      <c r="B78" t="s">
        <v>10</v>
      </c>
      <c r="C78">
        <v>1</v>
      </c>
      <c r="D78">
        <f>(12.5+11+6.5)*4.9</f>
        <v>147</v>
      </c>
      <c r="E78">
        <v>1.8</v>
      </c>
      <c r="F78" s="3">
        <v>4.8499999999999996</v>
      </c>
      <c r="G78" s="6">
        <v>118.23</v>
      </c>
      <c r="H78" s="4">
        <f t="shared" si="13"/>
        <v>116.43</v>
      </c>
      <c r="I78" s="6" t="s">
        <v>88</v>
      </c>
      <c r="J78" s="4" t="s">
        <v>88</v>
      </c>
      <c r="K78" s="6" t="s">
        <v>88</v>
      </c>
      <c r="L78" s="4" t="s">
        <v>88</v>
      </c>
      <c r="M78" s="4">
        <v>0</v>
      </c>
      <c r="N78" s="3">
        <v>5.32</v>
      </c>
      <c r="O78" s="6">
        <v>9.44</v>
      </c>
      <c r="P78" s="4">
        <f t="shared" si="10"/>
        <v>4.1199999999999992</v>
      </c>
      <c r="Q78" s="4">
        <f>P78</f>
        <v>4.1199999999999992</v>
      </c>
      <c r="R78" s="4">
        <f t="shared" si="8"/>
        <v>112.31</v>
      </c>
      <c r="S78">
        <f t="shared" si="9"/>
        <v>0.76401360544217689</v>
      </c>
    </row>
    <row r="79" spans="1:19" x14ac:dyDescent="0.35">
      <c r="A79" t="s">
        <v>14</v>
      </c>
      <c r="B79" t="s">
        <v>10</v>
      </c>
      <c r="C79">
        <v>2</v>
      </c>
      <c r="D79">
        <f>8.5*4.9</f>
        <v>41.650000000000006</v>
      </c>
      <c r="E79">
        <v>1.8</v>
      </c>
      <c r="F79" s="3">
        <v>4.8499999999999996</v>
      </c>
      <c r="G79" s="6">
        <v>65.23</v>
      </c>
      <c r="H79" s="4">
        <f t="shared" si="13"/>
        <v>63.430000000000007</v>
      </c>
      <c r="I79" s="6" t="s">
        <v>88</v>
      </c>
      <c r="J79" s="4" t="s">
        <v>88</v>
      </c>
      <c r="K79" s="6" t="s">
        <v>88</v>
      </c>
      <c r="L79" s="4" t="s">
        <v>88</v>
      </c>
      <c r="M79" s="4">
        <v>0</v>
      </c>
      <c r="N79" s="3">
        <v>5.32</v>
      </c>
      <c r="O79" s="6">
        <v>8.91</v>
      </c>
      <c r="P79" s="4">
        <f t="shared" si="10"/>
        <v>3.59</v>
      </c>
      <c r="Q79" s="4">
        <f t="shared" ref="Q79:Q81" si="17">P79</f>
        <v>3.59</v>
      </c>
      <c r="R79" s="4">
        <f t="shared" si="8"/>
        <v>59.84</v>
      </c>
      <c r="S79">
        <f t="shared" si="9"/>
        <v>1.4367346938775509</v>
      </c>
    </row>
    <row r="80" spans="1:19" x14ac:dyDescent="0.35">
      <c r="A80" t="s">
        <v>14</v>
      </c>
      <c r="B80" t="s">
        <v>10</v>
      </c>
      <c r="C80">
        <v>3</v>
      </c>
      <c r="D80">
        <f>11*4.9</f>
        <v>53.900000000000006</v>
      </c>
      <c r="E80">
        <v>1.8</v>
      </c>
      <c r="F80" s="3">
        <v>4.8499999999999996</v>
      </c>
      <c r="G80" s="6">
        <v>46.09</v>
      </c>
      <c r="H80" s="4">
        <f t="shared" si="13"/>
        <v>44.290000000000006</v>
      </c>
      <c r="I80" s="6" t="s">
        <v>88</v>
      </c>
      <c r="J80" s="4" t="s">
        <v>88</v>
      </c>
      <c r="K80" s="6" t="s">
        <v>88</v>
      </c>
      <c r="L80" s="4" t="s">
        <v>88</v>
      </c>
      <c r="M80" s="4">
        <v>0</v>
      </c>
      <c r="N80" s="3">
        <v>5.32</v>
      </c>
      <c r="O80" s="6">
        <v>7.37</v>
      </c>
      <c r="P80" s="4">
        <f t="shared" si="10"/>
        <v>2.0499999999999998</v>
      </c>
      <c r="Q80" s="4">
        <f t="shared" si="17"/>
        <v>2.0499999999999998</v>
      </c>
      <c r="R80" s="4">
        <f t="shared" si="8"/>
        <v>42.240000000000009</v>
      </c>
      <c r="S80">
        <f t="shared" si="9"/>
        <v>0.78367346938775517</v>
      </c>
    </row>
    <row r="81" spans="1:19" x14ac:dyDescent="0.35">
      <c r="A81" t="s">
        <v>14</v>
      </c>
      <c r="B81" t="s">
        <v>10</v>
      </c>
      <c r="C81">
        <v>4</v>
      </c>
      <c r="D81">
        <f>14*4.9</f>
        <v>68.600000000000009</v>
      </c>
      <c r="E81">
        <v>1.8</v>
      </c>
      <c r="F81" s="3">
        <v>4.8499999999999996</v>
      </c>
      <c r="G81" s="6">
        <v>71.97</v>
      </c>
      <c r="H81" s="4">
        <f t="shared" si="13"/>
        <v>70.17</v>
      </c>
      <c r="I81" s="6" t="s">
        <v>88</v>
      </c>
      <c r="J81" s="4" t="s">
        <v>88</v>
      </c>
      <c r="K81" s="6" t="s">
        <v>88</v>
      </c>
      <c r="L81" s="4" t="s">
        <v>88</v>
      </c>
      <c r="M81" s="4">
        <v>0</v>
      </c>
      <c r="N81" s="3">
        <v>5.32</v>
      </c>
      <c r="O81" s="6">
        <v>7.48</v>
      </c>
      <c r="P81" s="4">
        <f t="shared" si="10"/>
        <v>2.16</v>
      </c>
      <c r="Q81" s="4">
        <f t="shared" si="17"/>
        <v>2.16</v>
      </c>
      <c r="R81" s="4">
        <f t="shared" si="8"/>
        <v>68.010000000000005</v>
      </c>
      <c r="S81">
        <f t="shared" si="9"/>
        <v>0.99139941690962097</v>
      </c>
    </row>
    <row r="82" spans="1:19" x14ac:dyDescent="0.35">
      <c r="A82" t="s">
        <v>15</v>
      </c>
      <c r="B82" t="s">
        <v>9</v>
      </c>
      <c r="C82">
        <v>1</v>
      </c>
      <c r="D82">
        <f>9.5*25</f>
        <v>237.5</v>
      </c>
      <c r="E82">
        <v>1.8</v>
      </c>
      <c r="F82" s="3">
        <v>4.8499999999999996</v>
      </c>
      <c r="G82" s="6">
        <v>82.6</v>
      </c>
      <c r="H82" s="4">
        <f t="shared" si="13"/>
        <v>80.8</v>
      </c>
      <c r="I82" s="6">
        <v>23.524000000000001</v>
      </c>
      <c r="J82" s="4">
        <f t="shared" si="14"/>
        <v>18.673999999999999</v>
      </c>
      <c r="K82" s="6">
        <v>10.73</v>
      </c>
      <c r="L82" s="4">
        <f t="shared" si="15"/>
        <v>5.8800000000000008</v>
      </c>
      <c r="M82" s="4">
        <f t="shared" si="16"/>
        <v>0.68512370140302015</v>
      </c>
      <c r="N82" s="3">
        <v>5.32</v>
      </c>
      <c r="O82" s="6">
        <v>7.5</v>
      </c>
      <c r="P82" s="4">
        <f t="shared" si="10"/>
        <v>2.1799999999999997</v>
      </c>
      <c r="Q82">
        <f t="shared" ref="Q82:Q145" si="18">P82*(1/(J82/H82))</f>
        <v>9.4325800578344197</v>
      </c>
      <c r="R82" s="4">
        <f t="shared" ref="R82:R145" si="19">(H82*(1-M82))-Q82</f>
        <v>16.009424868801553</v>
      </c>
      <c r="S82">
        <f t="shared" ref="S82:S145" si="20">R82/D82</f>
        <v>6.7408104710743377E-2</v>
      </c>
    </row>
    <row r="83" spans="1:19" x14ac:dyDescent="0.35">
      <c r="A83" t="s">
        <v>15</v>
      </c>
      <c r="B83" t="s">
        <v>9</v>
      </c>
      <c r="C83">
        <v>2</v>
      </c>
      <c r="D83">
        <f>6*25</f>
        <v>150</v>
      </c>
      <c r="E83">
        <v>1.8</v>
      </c>
      <c r="F83" s="3">
        <v>4.8499999999999996</v>
      </c>
      <c r="G83" s="6">
        <v>87.19</v>
      </c>
      <c r="H83" s="4">
        <f t="shared" si="13"/>
        <v>85.39</v>
      </c>
      <c r="I83" s="6">
        <v>21.962</v>
      </c>
      <c r="J83" s="4">
        <f t="shared" si="14"/>
        <v>17.112000000000002</v>
      </c>
      <c r="K83" s="6">
        <v>9.98</v>
      </c>
      <c r="L83" s="4">
        <f t="shared" si="15"/>
        <v>5.1300000000000008</v>
      </c>
      <c r="M83" s="4">
        <f t="shared" si="16"/>
        <v>0.70021037868162694</v>
      </c>
      <c r="N83" s="3">
        <v>5.32</v>
      </c>
      <c r="O83" s="6">
        <v>7.85</v>
      </c>
      <c r="P83" s="4">
        <f t="shared" ref="P83:P146" si="21">O83-N83</f>
        <v>2.5299999999999994</v>
      </c>
      <c r="Q83">
        <f t="shared" si="18"/>
        <v>12.624865591397844</v>
      </c>
      <c r="R83" s="4">
        <f t="shared" si="19"/>
        <v>12.974170172978033</v>
      </c>
      <c r="S83">
        <f t="shared" si="20"/>
        <v>8.6494467819853552E-2</v>
      </c>
    </row>
    <row r="84" spans="1:19" x14ac:dyDescent="0.35">
      <c r="A84" t="s">
        <v>15</v>
      </c>
      <c r="B84" t="s">
        <v>9</v>
      </c>
      <c r="C84">
        <v>3</v>
      </c>
      <c r="D84">
        <f>12.5*25</f>
        <v>312.5</v>
      </c>
      <c r="E84">
        <v>1.8</v>
      </c>
      <c r="F84" s="3">
        <v>4.8499999999999996</v>
      </c>
      <c r="G84" s="6">
        <v>41.95</v>
      </c>
      <c r="H84" s="4">
        <f t="shared" si="13"/>
        <v>40.150000000000006</v>
      </c>
      <c r="I84" s="6">
        <v>12.026999999999999</v>
      </c>
      <c r="J84" s="4">
        <f t="shared" si="14"/>
        <v>7.1769999999999996</v>
      </c>
      <c r="K84" s="6">
        <v>7.32</v>
      </c>
      <c r="L84" s="4">
        <f t="shared" si="15"/>
        <v>2.4700000000000006</v>
      </c>
      <c r="M84" s="4">
        <f t="shared" si="16"/>
        <v>0.65584506061028269</v>
      </c>
      <c r="N84" s="3">
        <v>5.32</v>
      </c>
      <c r="O84" s="6">
        <v>6.87</v>
      </c>
      <c r="P84" s="4">
        <f t="shared" si="21"/>
        <v>1.5499999999999998</v>
      </c>
      <c r="Q84">
        <f t="shared" si="18"/>
        <v>8.671102131809949</v>
      </c>
      <c r="R84" s="4">
        <f t="shared" si="19"/>
        <v>5.1467186846872028</v>
      </c>
      <c r="S84">
        <f t="shared" si="20"/>
        <v>1.646949979099905E-2</v>
      </c>
    </row>
    <row r="85" spans="1:19" x14ac:dyDescent="0.35">
      <c r="A85" t="s">
        <v>15</v>
      </c>
      <c r="B85" t="s">
        <v>9</v>
      </c>
      <c r="C85">
        <v>4</v>
      </c>
      <c r="D85">
        <f>7*25</f>
        <v>175</v>
      </c>
      <c r="E85">
        <v>1.8</v>
      </c>
      <c r="F85" s="3">
        <v>4.8499999999999996</v>
      </c>
      <c r="G85" s="6">
        <v>42.76</v>
      </c>
      <c r="H85" s="4">
        <f t="shared" si="13"/>
        <v>40.96</v>
      </c>
      <c r="I85" s="6">
        <v>11.797000000000001</v>
      </c>
      <c r="J85" s="4">
        <f t="shared" si="14"/>
        <v>6.947000000000001</v>
      </c>
      <c r="K85" s="6">
        <v>8.27</v>
      </c>
      <c r="L85" s="4">
        <f t="shared" si="15"/>
        <v>3.42</v>
      </c>
      <c r="M85" s="4">
        <f t="shared" si="16"/>
        <v>0.50770116597092274</v>
      </c>
      <c r="N85" s="3">
        <v>5.32</v>
      </c>
      <c r="O85" s="6">
        <v>6.89</v>
      </c>
      <c r="P85" s="4">
        <f t="shared" si="21"/>
        <v>1.5699999999999994</v>
      </c>
      <c r="Q85">
        <f t="shared" si="18"/>
        <v>9.2568302864545799</v>
      </c>
      <c r="R85" s="4">
        <f t="shared" si="19"/>
        <v>10.907729955376425</v>
      </c>
      <c r="S85">
        <f t="shared" si="20"/>
        <v>6.2329885459293854E-2</v>
      </c>
    </row>
    <row r="86" spans="1:19" x14ac:dyDescent="0.35">
      <c r="A86" t="s">
        <v>15</v>
      </c>
      <c r="B86" t="s">
        <v>31</v>
      </c>
      <c r="C86">
        <v>1</v>
      </c>
      <c r="D86">
        <f>(17.5*25)+(2*12.5)</f>
        <v>462.5</v>
      </c>
      <c r="E86">
        <v>1.8</v>
      </c>
      <c r="F86" s="3">
        <v>4.8499999999999996</v>
      </c>
      <c r="G86" s="6">
        <v>453.87</v>
      </c>
      <c r="H86" s="4">
        <f t="shared" si="13"/>
        <v>452.07</v>
      </c>
      <c r="I86" s="6">
        <v>113.18</v>
      </c>
      <c r="J86" s="4">
        <f t="shared" si="14"/>
        <v>108.33000000000001</v>
      </c>
      <c r="K86" s="6">
        <v>29.98</v>
      </c>
      <c r="L86" s="4">
        <f t="shared" si="15"/>
        <v>25.130000000000003</v>
      </c>
      <c r="M86" s="4">
        <f t="shared" si="16"/>
        <v>0.76802363149635378</v>
      </c>
      <c r="N86" s="3">
        <v>5.32</v>
      </c>
      <c r="O86" s="6">
        <v>10.4</v>
      </c>
      <c r="P86" s="4">
        <f t="shared" si="21"/>
        <v>5.08</v>
      </c>
      <c r="Q86">
        <f t="shared" si="18"/>
        <v>21.199257823317637</v>
      </c>
      <c r="R86" s="4">
        <f t="shared" si="19"/>
        <v>83.670299086125709</v>
      </c>
      <c r="S86">
        <f t="shared" si="20"/>
        <v>0.18090875478081234</v>
      </c>
    </row>
    <row r="87" spans="1:19" x14ac:dyDescent="0.35">
      <c r="A87" t="s">
        <v>15</v>
      </c>
      <c r="B87" t="s">
        <v>31</v>
      </c>
      <c r="C87">
        <v>2</v>
      </c>
      <c r="D87">
        <f>((10.5+5.5+8.5)*25)+(5*12.5)+(4.5*4.9)</f>
        <v>697.05</v>
      </c>
      <c r="E87">
        <v>1.8</v>
      </c>
      <c r="F87" s="3">
        <v>4.8499999999999996</v>
      </c>
      <c r="G87" s="6">
        <v>714.98</v>
      </c>
      <c r="H87" s="4">
        <f t="shared" si="13"/>
        <v>713.18000000000006</v>
      </c>
      <c r="I87" s="6">
        <v>170.54</v>
      </c>
      <c r="J87" s="4">
        <f t="shared" si="14"/>
        <v>165.69</v>
      </c>
      <c r="K87" s="6">
        <v>52.38</v>
      </c>
      <c r="L87" s="4">
        <f t="shared" si="15"/>
        <v>47.53</v>
      </c>
      <c r="M87" s="4">
        <f t="shared" si="16"/>
        <v>0.71313899450781582</v>
      </c>
      <c r="N87" s="3">
        <v>5.32</v>
      </c>
      <c r="O87" s="6">
        <v>23.08</v>
      </c>
      <c r="P87" s="4">
        <f t="shared" si="21"/>
        <v>17.759999999999998</v>
      </c>
      <c r="Q87">
        <f t="shared" si="18"/>
        <v>76.444425131269242</v>
      </c>
      <c r="R87" s="4">
        <f t="shared" si="19"/>
        <v>128.13910676564669</v>
      </c>
      <c r="S87">
        <f t="shared" si="20"/>
        <v>0.18383058140111427</v>
      </c>
    </row>
    <row r="88" spans="1:19" x14ac:dyDescent="0.35">
      <c r="A88" t="s">
        <v>15</v>
      </c>
      <c r="B88" t="s">
        <v>31</v>
      </c>
      <c r="C88">
        <v>3</v>
      </c>
      <c r="D88">
        <f>(5.5+6+8)*25</f>
        <v>487.5</v>
      </c>
      <c r="E88">
        <v>1.8</v>
      </c>
      <c r="F88" s="3">
        <v>4.8499999999999996</v>
      </c>
      <c r="G88" s="6">
        <v>412.71</v>
      </c>
      <c r="H88" s="4">
        <f t="shared" si="13"/>
        <v>410.90999999999997</v>
      </c>
      <c r="I88" s="6">
        <v>92.16</v>
      </c>
      <c r="J88" s="4">
        <f t="shared" si="14"/>
        <v>87.31</v>
      </c>
      <c r="K88" s="6">
        <v>27.83</v>
      </c>
      <c r="L88" s="4">
        <f t="shared" si="15"/>
        <v>22.979999999999997</v>
      </c>
      <c r="M88" s="4">
        <f t="shared" si="16"/>
        <v>0.73679990837246601</v>
      </c>
      <c r="N88" s="3">
        <v>5.32</v>
      </c>
      <c r="O88" s="6">
        <v>13.29</v>
      </c>
      <c r="P88" s="4">
        <f t="shared" si="21"/>
        <v>7.9699999999999989</v>
      </c>
      <c r="Q88">
        <f t="shared" si="18"/>
        <v>37.509480013744124</v>
      </c>
      <c r="R88" s="4">
        <f t="shared" si="19"/>
        <v>70.642069636925868</v>
      </c>
      <c r="S88">
        <f t="shared" si="20"/>
        <v>0.14490680951164281</v>
      </c>
    </row>
    <row r="89" spans="1:19" x14ac:dyDescent="0.35">
      <c r="A89" t="s">
        <v>15</v>
      </c>
      <c r="B89" t="s">
        <v>31</v>
      </c>
      <c r="C89">
        <v>4</v>
      </c>
      <c r="D89">
        <f>((8+9.5+4.5)*25)+(4.5*12.5)</f>
        <v>606.25</v>
      </c>
      <c r="E89">
        <v>1.8</v>
      </c>
      <c r="F89" s="3">
        <v>4.8499999999999996</v>
      </c>
      <c r="G89" s="6">
        <v>536.47</v>
      </c>
      <c r="H89" s="4">
        <f t="shared" si="13"/>
        <v>534.67000000000007</v>
      </c>
      <c r="I89" s="6">
        <v>124.41</v>
      </c>
      <c r="J89" s="4">
        <f t="shared" si="14"/>
        <v>119.56</v>
      </c>
      <c r="K89" s="6">
        <v>35.85</v>
      </c>
      <c r="L89" s="4">
        <f t="shared" si="15"/>
        <v>31</v>
      </c>
      <c r="M89" s="4">
        <f t="shared" si="16"/>
        <v>0.74071595851455341</v>
      </c>
      <c r="N89" s="3">
        <v>5.32</v>
      </c>
      <c r="O89" s="6">
        <v>19.09</v>
      </c>
      <c r="P89" s="4">
        <f t="shared" si="21"/>
        <v>13.77</v>
      </c>
      <c r="Q89">
        <f t="shared" si="18"/>
        <v>61.579172800267649</v>
      </c>
      <c r="R89" s="4">
        <f t="shared" si="19"/>
        <v>77.052225660756079</v>
      </c>
      <c r="S89">
        <f t="shared" si="20"/>
        <v>0.12709645469815437</v>
      </c>
    </row>
    <row r="90" spans="1:19" x14ac:dyDescent="0.35">
      <c r="A90" t="s">
        <v>15</v>
      </c>
      <c r="B90" t="s">
        <v>32</v>
      </c>
      <c r="C90">
        <v>1</v>
      </c>
      <c r="D90">
        <f>(7*25)+(8*12.5)+(21*4.9)</f>
        <v>377.9</v>
      </c>
      <c r="E90">
        <v>1.8</v>
      </c>
      <c r="F90" s="3">
        <v>4.8499999999999996</v>
      </c>
      <c r="G90" s="6">
        <v>266.79000000000002</v>
      </c>
      <c r="H90" s="4">
        <f t="shared" si="13"/>
        <v>264.99</v>
      </c>
      <c r="I90" s="6">
        <v>150.61000000000001</v>
      </c>
      <c r="J90" s="4">
        <f t="shared" si="14"/>
        <v>145.76000000000002</v>
      </c>
      <c r="K90" s="6">
        <v>93.89</v>
      </c>
      <c r="L90" s="4">
        <f t="shared" si="15"/>
        <v>89.04</v>
      </c>
      <c r="M90" s="4">
        <f t="shared" si="16"/>
        <v>0.38913282107574099</v>
      </c>
      <c r="N90" s="3">
        <v>5.32</v>
      </c>
      <c r="O90" s="6">
        <v>23.93</v>
      </c>
      <c r="P90" s="4">
        <f t="shared" si="21"/>
        <v>18.61</v>
      </c>
      <c r="Q90">
        <f t="shared" si="18"/>
        <v>33.832765504939623</v>
      </c>
      <c r="R90" s="4">
        <f t="shared" si="19"/>
        <v>128.04092823819977</v>
      </c>
      <c r="S90">
        <f t="shared" si="20"/>
        <v>0.33882224990261917</v>
      </c>
    </row>
    <row r="91" spans="1:19" x14ac:dyDescent="0.35">
      <c r="A91" t="s">
        <v>15</v>
      </c>
      <c r="B91" t="s">
        <v>32</v>
      </c>
      <c r="C91">
        <v>2</v>
      </c>
      <c r="D91">
        <f>(2.5*25)+(4*25)+((5+10.5+5)*4.9)</f>
        <v>262.95</v>
      </c>
      <c r="E91">
        <v>1.8</v>
      </c>
      <c r="F91" s="3">
        <v>4.8499999999999996</v>
      </c>
      <c r="G91" s="6">
        <v>302.97000000000003</v>
      </c>
      <c r="H91" s="4">
        <f t="shared" si="13"/>
        <v>301.17</v>
      </c>
      <c r="I91" s="6">
        <v>78.33</v>
      </c>
      <c r="J91" s="4">
        <f t="shared" si="14"/>
        <v>73.48</v>
      </c>
      <c r="K91" s="6">
        <v>58.96</v>
      </c>
      <c r="L91" s="4">
        <f t="shared" si="15"/>
        <v>54.11</v>
      </c>
      <c r="M91" s="4">
        <f t="shared" si="16"/>
        <v>0.26360914534567231</v>
      </c>
      <c r="N91" s="3">
        <v>5.32</v>
      </c>
      <c r="O91" s="6">
        <v>16.5</v>
      </c>
      <c r="P91" s="4">
        <f t="shared" si="21"/>
        <v>11.18</v>
      </c>
      <c r="Q91">
        <f t="shared" si="18"/>
        <v>45.823089275993468</v>
      </c>
      <c r="R91" s="4">
        <f t="shared" si="19"/>
        <v>175.95574442025037</v>
      </c>
      <c r="S91">
        <f t="shared" si="20"/>
        <v>0.66916046556474762</v>
      </c>
    </row>
    <row r="92" spans="1:19" x14ac:dyDescent="0.35">
      <c r="A92" t="s">
        <v>15</v>
      </c>
      <c r="B92" t="s">
        <v>32</v>
      </c>
      <c r="C92">
        <v>3</v>
      </c>
      <c r="D92">
        <f>(11*25)+(12*12.5)+((10.5+11.5)*4.9)</f>
        <v>532.79999999999995</v>
      </c>
      <c r="E92">
        <v>1.8</v>
      </c>
      <c r="F92" s="3">
        <v>4.8499999999999996</v>
      </c>
      <c r="G92" s="6">
        <v>594.42999999999995</v>
      </c>
      <c r="H92" s="4">
        <f t="shared" si="13"/>
        <v>592.63</v>
      </c>
      <c r="I92" s="6">
        <v>130.85</v>
      </c>
      <c r="J92" s="4">
        <f t="shared" si="14"/>
        <v>126</v>
      </c>
      <c r="K92" s="6">
        <v>79.12</v>
      </c>
      <c r="L92" s="4">
        <f t="shared" si="15"/>
        <v>74.27000000000001</v>
      </c>
      <c r="M92" s="4">
        <f t="shared" si="16"/>
        <v>0.41055555555555545</v>
      </c>
      <c r="N92" s="3">
        <v>5.32</v>
      </c>
      <c r="O92" s="6">
        <v>30.2</v>
      </c>
      <c r="P92" s="4">
        <f t="shared" si="21"/>
        <v>24.88</v>
      </c>
      <c r="Q92">
        <f t="shared" si="18"/>
        <v>117.02090793650794</v>
      </c>
      <c r="R92" s="4">
        <f t="shared" si="19"/>
        <v>232.30155317460324</v>
      </c>
      <c r="S92">
        <f t="shared" si="20"/>
        <v>0.43600141361599709</v>
      </c>
    </row>
    <row r="93" spans="1:19" x14ac:dyDescent="0.35">
      <c r="A93" t="s">
        <v>15</v>
      </c>
      <c r="B93" t="s">
        <v>32</v>
      </c>
      <c r="C93">
        <v>4</v>
      </c>
      <c r="D93">
        <f>(4.5*25)+(4*12.5)+((4.5+13+3.5)*4.9)</f>
        <v>265.39999999999998</v>
      </c>
      <c r="E93">
        <v>1.8</v>
      </c>
      <c r="F93" s="3">
        <v>4.8499999999999996</v>
      </c>
      <c r="G93" s="6">
        <v>347.02</v>
      </c>
      <c r="H93" s="4">
        <f t="shared" si="13"/>
        <v>345.21999999999997</v>
      </c>
      <c r="I93" s="6">
        <v>82.95</v>
      </c>
      <c r="J93" s="4">
        <f t="shared" si="14"/>
        <v>78.100000000000009</v>
      </c>
      <c r="K93" s="6">
        <v>47.87</v>
      </c>
      <c r="L93" s="4">
        <f t="shared" si="15"/>
        <v>43.019999999999996</v>
      </c>
      <c r="M93" s="4">
        <f t="shared" si="16"/>
        <v>0.44916773367477603</v>
      </c>
      <c r="N93" s="3">
        <v>5.32</v>
      </c>
      <c r="O93" s="6">
        <v>11.21</v>
      </c>
      <c r="P93" s="4">
        <f t="shared" si="21"/>
        <v>5.8900000000000006</v>
      </c>
      <c r="Q93">
        <f t="shared" si="18"/>
        <v>26.035157490396927</v>
      </c>
      <c r="R93" s="4">
        <f t="shared" si="19"/>
        <v>164.12315749039686</v>
      </c>
      <c r="S93">
        <f t="shared" si="20"/>
        <v>0.61839923696457</v>
      </c>
    </row>
    <row r="94" spans="1:19" x14ac:dyDescent="0.35">
      <c r="A94" t="s">
        <v>15</v>
      </c>
      <c r="B94" t="s">
        <v>10</v>
      </c>
      <c r="C94">
        <v>1</v>
      </c>
      <c r="D94">
        <f>22*4.9</f>
        <v>107.80000000000001</v>
      </c>
      <c r="E94">
        <v>1.8</v>
      </c>
      <c r="F94" s="3">
        <v>4.8499999999999996</v>
      </c>
      <c r="G94" s="6">
        <v>117.69</v>
      </c>
      <c r="H94" s="4">
        <f t="shared" si="13"/>
        <v>115.89</v>
      </c>
      <c r="I94" s="6" t="s">
        <v>88</v>
      </c>
      <c r="J94" s="4" t="s">
        <v>88</v>
      </c>
      <c r="K94" s="6" t="s">
        <v>88</v>
      </c>
      <c r="L94" s="4" t="s">
        <v>88</v>
      </c>
      <c r="M94" s="4">
        <v>0</v>
      </c>
      <c r="N94" s="3">
        <v>5.32</v>
      </c>
      <c r="O94" s="6">
        <v>27.92</v>
      </c>
      <c r="P94" s="4">
        <f t="shared" si="21"/>
        <v>22.6</v>
      </c>
      <c r="Q94" s="4">
        <f>P94</f>
        <v>22.6</v>
      </c>
      <c r="R94" s="4">
        <f t="shared" si="19"/>
        <v>93.289999999999992</v>
      </c>
      <c r="S94">
        <f t="shared" si="20"/>
        <v>0.86539888682745814</v>
      </c>
    </row>
    <row r="95" spans="1:19" x14ac:dyDescent="0.35">
      <c r="A95" t="s">
        <v>15</v>
      </c>
      <c r="B95" t="s">
        <v>10</v>
      </c>
      <c r="C95">
        <v>2</v>
      </c>
      <c r="D95">
        <f>4.5*4.9</f>
        <v>22.05</v>
      </c>
      <c r="E95">
        <v>1.8</v>
      </c>
      <c r="F95" s="3">
        <v>4.8499999999999996</v>
      </c>
      <c r="G95" s="6">
        <v>27.21</v>
      </c>
      <c r="H95" s="4">
        <f t="shared" si="13"/>
        <v>25.41</v>
      </c>
      <c r="I95" s="6" t="s">
        <v>88</v>
      </c>
      <c r="J95" s="4" t="s">
        <v>88</v>
      </c>
      <c r="K95" s="6" t="s">
        <v>88</v>
      </c>
      <c r="L95" s="4" t="s">
        <v>88</v>
      </c>
      <c r="M95" s="4">
        <v>0</v>
      </c>
      <c r="N95" s="3">
        <v>5.32</v>
      </c>
      <c r="O95" s="6">
        <v>7.5</v>
      </c>
      <c r="P95" s="4">
        <f t="shared" si="21"/>
        <v>2.1799999999999997</v>
      </c>
      <c r="Q95" s="4">
        <f t="shared" ref="Q95:Q97" si="22">P95</f>
        <v>2.1799999999999997</v>
      </c>
      <c r="R95" s="4">
        <f t="shared" si="19"/>
        <v>23.23</v>
      </c>
      <c r="S95">
        <f t="shared" si="20"/>
        <v>1.0535147392290249</v>
      </c>
    </row>
    <row r="96" spans="1:19" x14ac:dyDescent="0.35">
      <c r="A96" t="s">
        <v>15</v>
      </c>
      <c r="B96" t="s">
        <v>10</v>
      </c>
      <c r="C96">
        <v>3</v>
      </c>
      <c r="D96">
        <f>(20.5+13.5+8)</f>
        <v>42</v>
      </c>
      <c r="E96">
        <v>1.8</v>
      </c>
      <c r="F96" s="3">
        <v>4.8499999999999996</v>
      </c>
      <c r="G96" s="6">
        <v>241.92</v>
      </c>
      <c r="H96" s="4">
        <f t="shared" si="13"/>
        <v>240.11999999999998</v>
      </c>
      <c r="I96" s="6" t="s">
        <v>88</v>
      </c>
      <c r="J96" s="4" t="s">
        <v>88</v>
      </c>
      <c r="K96" s="6" t="s">
        <v>88</v>
      </c>
      <c r="L96" s="4" t="s">
        <v>88</v>
      </c>
      <c r="M96" s="4">
        <v>0</v>
      </c>
      <c r="N96" s="3">
        <v>5.32</v>
      </c>
      <c r="O96" s="6">
        <v>48.48</v>
      </c>
      <c r="P96" s="4">
        <f t="shared" si="21"/>
        <v>43.16</v>
      </c>
      <c r="Q96" s="4">
        <f t="shared" si="22"/>
        <v>43.16</v>
      </c>
      <c r="R96" s="4">
        <f t="shared" si="19"/>
        <v>196.95999999999998</v>
      </c>
      <c r="S96">
        <f t="shared" si="20"/>
        <v>4.6895238095238092</v>
      </c>
    </row>
    <row r="97" spans="1:19" x14ac:dyDescent="0.35">
      <c r="A97" t="s">
        <v>15</v>
      </c>
      <c r="B97" t="s">
        <v>10</v>
      </c>
      <c r="C97">
        <v>4</v>
      </c>
      <c r="D97">
        <f>29.5*4.9</f>
        <v>144.55000000000001</v>
      </c>
      <c r="E97">
        <v>1.8</v>
      </c>
      <c r="F97" s="3">
        <v>4.8499999999999996</v>
      </c>
      <c r="G97" s="6">
        <v>143.43</v>
      </c>
      <c r="H97" s="4">
        <f t="shared" si="13"/>
        <v>141.63</v>
      </c>
      <c r="I97" s="6" t="s">
        <v>88</v>
      </c>
      <c r="J97" s="4" t="s">
        <v>88</v>
      </c>
      <c r="K97" s="6" t="s">
        <v>88</v>
      </c>
      <c r="L97" s="4" t="s">
        <v>88</v>
      </c>
      <c r="M97" s="4">
        <v>0</v>
      </c>
      <c r="N97" s="3">
        <v>5.32</v>
      </c>
      <c r="O97" s="6">
        <v>27.96</v>
      </c>
      <c r="P97" s="4">
        <f t="shared" si="21"/>
        <v>22.64</v>
      </c>
      <c r="Q97" s="4">
        <f t="shared" si="22"/>
        <v>22.64</v>
      </c>
      <c r="R97" s="4">
        <f t="shared" si="19"/>
        <v>118.99</v>
      </c>
      <c r="S97">
        <f t="shared" si="20"/>
        <v>0.82317537184365264</v>
      </c>
    </row>
    <row r="98" spans="1:19" x14ac:dyDescent="0.35">
      <c r="A98" t="s">
        <v>16</v>
      </c>
      <c r="B98" t="s">
        <v>9</v>
      </c>
      <c r="C98">
        <v>1</v>
      </c>
      <c r="D98">
        <f>11*25</f>
        <v>275</v>
      </c>
      <c r="E98">
        <v>1.8</v>
      </c>
      <c r="F98" s="3">
        <v>4.8499999999999996</v>
      </c>
      <c r="G98" s="4">
        <v>55.183999999999997</v>
      </c>
      <c r="H98" s="4">
        <f>G98-E98</f>
        <v>53.384</v>
      </c>
      <c r="I98" s="4">
        <v>12.738</v>
      </c>
      <c r="J98" s="4">
        <f>I98-F98</f>
        <v>7.8879999999999999</v>
      </c>
      <c r="K98" s="4">
        <v>7.8120000000000003</v>
      </c>
      <c r="L98" s="4">
        <f t="shared" si="15"/>
        <v>2.9620000000000006</v>
      </c>
      <c r="M98" s="4">
        <f t="shared" si="16"/>
        <v>0.62449290060851914</v>
      </c>
      <c r="N98" s="3">
        <v>5.32</v>
      </c>
      <c r="O98" s="4">
        <v>7.0579999999999998</v>
      </c>
      <c r="P98" s="4">
        <f t="shared" si="21"/>
        <v>1.7379999999999995</v>
      </c>
      <c r="Q98">
        <f t="shared" si="18"/>
        <v>11.76234685598377</v>
      </c>
      <c r="R98" s="4">
        <f t="shared" si="19"/>
        <v>8.2837241379310438</v>
      </c>
      <c r="S98">
        <f t="shared" si="20"/>
        <v>3.0122633228840158E-2</v>
      </c>
    </row>
    <row r="99" spans="1:19" x14ac:dyDescent="0.35">
      <c r="A99" t="s">
        <v>16</v>
      </c>
      <c r="B99" t="s">
        <v>9</v>
      </c>
      <c r="C99">
        <v>2</v>
      </c>
      <c r="D99">
        <f>11*25</f>
        <v>275</v>
      </c>
      <c r="E99">
        <v>1.8</v>
      </c>
      <c r="F99" s="3">
        <v>4.8499999999999996</v>
      </c>
      <c r="G99" s="4">
        <v>40.030999999999999</v>
      </c>
      <c r="H99" s="4">
        <f t="shared" ref="H99:H162" si="23">G99-E99</f>
        <v>38.231000000000002</v>
      </c>
      <c r="I99" s="4">
        <v>11.321</v>
      </c>
      <c r="J99" s="4">
        <f t="shared" ref="J99:J162" si="24">I99-F99</f>
        <v>6.4710000000000001</v>
      </c>
      <c r="K99" s="4">
        <v>7.69</v>
      </c>
      <c r="L99" s="4">
        <f t="shared" si="15"/>
        <v>2.8400000000000007</v>
      </c>
      <c r="M99" s="4">
        <f t="shared" si="16"/>
        <v>0.56111883789213401</v>
      </c>
      <c r="N99" s="3">
        <v>5.32</v>
      </c>
      <c r="O99" s="4">
        <v>6.44</v>
      </c>
      <c r="P99" s="4">
        <f t="shared" si="21"/>
        <v>1.1200000000000001</v>
      </c>
      <c r="Q99">
        <f t="shared" si="18"/>
        <v>6.617017462525113</v>
      </c>
      <c r="R99" s="4">
        <f t="shared" si="19"/>
        <v>10.161848246020714</v>
      </c>
      <c r="S99">
        <f t="shared" si="20"/>
        <v>3.695217544007532E-2</v>
      </c>
    </row>
    <row r="100" spans="1:19" x14ac:dyDescent="0.35">
      <c r="A100" t="s">
        <v>16</v>
      </c>
      <c r="B100" t="s">
        <v>9</v>
      </c>
      <c r="C100">
        <v>3</v>
      </c>
      <c r="D100">
        <f>(5.5*4.9)+(6.5*25)</f>
        <v>189.45</v>
      </c>
      <c r="E100">
        <v>1.8</v>
      </c>
      <c r="F100" s="3">
        <v>4.8499999999999996</v>
      </c>
      <c r="G100" s="4">
        <v>113.91</v>
      </c>
      <c r="H100" s="4">
        <f t="shared" si="23"/>
        <v>112.11</v>
      </c>
      <c r="I100" s="4">
        <v>38.093000000000004</v>
      </c>
      <c r="J100" s="4">
        <f t="shared" si="24"/>
        <v>33.243000000000002</v>
      </c>
      <c r="K100" s="4">
        <v>12.557</v>
      </c>
      <c r="L100" s="4">
        <f t="shared" si="15"/>
        <v>7.7070000000000007</v>
      </c>
      <c r="M100" s="4">
        <f t="shared" si="16"/>
        <v>0.76816171825647506</v>
      </c>
      <c r="N100" s="3">
        <v>5.32</v>
      </c>
      <c r="O100" s="4">
        <v>10.218999999999999</v>
      </c>
      <c r="P100" s="4">
        <f t="shared" si="21"/>
        <v>4.8989999999999991</v>
      </c>
      <c r="Q100">
        <f t="shared" si="18"/>
        <v>16.521580182294013</v>
      </c>
      <c r="R100" s="4">
        <f t="shared" si="19"/>
        <v>9.4698095839725696</v>
      </c>
      <c r="S100">
        <f t="shared" si="20"/>
        <v>4.9985798806928321E-2</v>
      </c>
    </row>
    <row r="101" spans="1:19" x14ac:dyDescent="0.35">
      <c r="A101" t="s">
        <v>16</v>
      </c>
      <c r="B101" t="s">
        <v>9</v>
      </c>
      <c r="C101">
        <v>4</v>
      </c>
      <c r="D101">
        <f>(2.5*25)+(5.5*4.9)</f>
        <v>89.45</v>
      </c>
      <c r="E101">
        <v>1.8</v>
      </c>
      <c r="F101" s="3">
        <v>4.8499999999999996</v>
      </c>
      <c r="G101" s="4">
        <v>21.265999999999998</v>
      </c>
      <c r="H101" s="4">
        <f t="shared" si="23"/>
        <v>19.465999999999998</v>
      </c>
      <c r="I101" s="4">
        <v>21.265999999999998</v>
      </c>
      <c r="J101" s="4">
        <f t="shared" si="24"/>
        <v>16.415999999999997</v>
      </c>
      <c r="K101" s="4">
        <v>21.265999999999998</v>
      </c>
      <c r="L101" s="4">
        <f t="shared" si="15"/>
        <v>16.415999999999997</v>
      </c>
      <c r="M101" s="4">
        <f t="shared" si="16"/>
        <v>0</v>
      </c>
      <c r="N101" s="3">
        <v>5.32</v>
      </c>
      <c r="O101" s="4">
        <v>19.053999999999998</v>
      </c>
      <c r="P101" s="4">
        <f t="shared" si="21"/>
        <v>13.733999999999998</v>
      </c>
      <c r="Q101">
        <f t="shared" si="18"/>
        <v>16.285699561403508</v>
      </c>
      <c r="R101" s="4">
        <f t="shared" si="19"/>
        <v>3.1803004385964897</v>
      </c>
      <c r="S101">
        <f t="shared" si="20"/>
        <v>3.555394565228049E-2</v>
      </c>
    </row>
    <row r="102" spans="1:19" x14ac:dyDescent="0.35">
      <c r="A102" t="s">
        <v>16</v>
      </c>
      <c r="B102" t="s">
        <v>31</v>
      </c>
      <c r="C102">
        <v>1</v>
      </c>
      <c r="D102">
        <f>(6+7.5+12.5)*25</f>
        <v>650</v>
      </c>
      <c r="E102">
        <v>1.8</v>
      </c>
      <c r="F102" s="3">
        <v>4.8499999999999996</v>
      </c>
      <c r="G102" s="4">
        <v>483.77</v>
      </c>
      <c r="H102" s="4">
        <f t="shared" si="23"/>
        <v>481.96999999999997</v>
      </c>
      <c r="I102" s="4">
        <v>112.76</v>
      </c>
      <c r="J102" s="4">
        <f t="shared" si="24"/>
        <v>107.91000000000001</v>
      </c>
      <c r="K102" s="4">
        <v>32.523000000000003</v>
      </c>
      <c r="L102" s="4">
        <f t="shared" si="15"/>
        <v>27.673000000000002</v>
      </c>
      <c r="M102" s="4">
        <f t="shared" si="16"/>
        <v>0.74355481419701608</v>
      </c>
      <c r="N102" s="3">
        <v>5.32</v>
      </c>
      <c r="O102" s="4">
        <v>22.824000000000002</v>
      </c>
      <c r="P102" s="4">
        <f t="shared" si="21"/>
        <v>17.504000000000001</v>
      </c>
      <c r="Q102">
        <f t="shared" si="18"/>
        <v>78.179991474376791</v>
      </c>
      <c r="R102" s="4">
        <f t="shared" si="19"/>
        <v>45.418894727087363</v>
      </c>
      <c r="S102">
        <f t="shared" si="20"/>
        <v>6.9875222657057479E-2</v>
      </c>
    </row>
    <row r="103" spans="1:19" x14ac:dyDescent="0.35">
      <c r="A103" t="s">
        <v>16</v>
      </c>
      <c r="B103" t="s">
        <v>31</v>
      </c>
      <c r="C103">
        <v>2</v>
      </c>
      <c r="D103">
        <f>19.5*25</f>
        <v>487.5</v>
      </c>
      <c r="E103">
        <v>1.8</v>
      </c>
      <c r="F103" s="3">
        <v>4.8499999999999996</v>
      </c>
      <c r="G103" s="4">
        <v>480.7</v>
      </c>
      <c r="H103" s="4">
        <f t="shared" si="23"/>
        <v>478.9</v>
      </c>
      <c r="I103" s="4">
        <v>100.11</v>
      </c>
      <c r="J103" s="4">
        <f t="shared" si="24"/>
        <v>95.26</v>
      </c>
      <c r="K103" s="4">
        <v>30.16</v>
      </c>
      <c r="L103" s="4">
        <f t="shared" si="15"/>
        <v>25.310000000000002</v>
      </c>
      <c r="M103" s="4">
        <f t="shared" si="16"/>
        <v>0.73430610959479314</v>
      </c>
      <c r="N103" s="3">
        <v>5.32</v>
      </c>
      <c r="O103" s="4">
        <v>19.920999999999999</v>
      </c>
      <c r="P103" s="4">
        <f t="shared" si="21"/>
        <v>14.600999999999999</v>
      </c>
      <c r="Q103">
        <f t="shared" si="18"/>
        <v>73.403515641402464</v>
      </c>
      <c r="R103" s="4">
        <f t="shared" si="19"/>
        <v>53.8372884736511</v>
      </c>
      <c r="S103">
        <f t="shared" si="20"/>
        <v>0.11043546353569457</v>
      </c>
    </row>
    <row r="104" spans="1:19" x14ac:dyDescent="0.35">
      <c r="A104" t="s">
        <v>16</v>
      </c>
      <c r="B104" t="s">
        <v>31</v>
      </c>
      <c r="C104">
        <v>3</v>
      </c>
      <c r="D104">
        <f>(5*4.9)+(15*25)</f>
        <v>399.5</v>
      </c>
      <c r="E104">
        <v>1.8</v>
      </c>
      <c r="F104" s="3">
        <v>4.8499999999999996</v>
      </c>
      <c r="G104" s="4">
        <v>407.78999999999996</v>
      </c>
      <c r="H104" s="4">
        <f t="shared" si="23"/>
        <v>405.98999999999995</v>
      </c>
      <c r="I104" s="4">
        <v>98.01</v>
      </c>
      <c r="J104" s="4">
        <f t="shared" si="24"/>
        <v>93.160000000000011</v>
      </c>
      <c r="K104" s="4">
        <v>28.085999999999999</v>
      </c>
      <c r="L104" s="4">
        <f t="shared" si="15"/>
        <v>23.235999999999997</v>
      </c>
      <c r="M104" s="4">
        <f t="shared" si="16"/>
        <v>0.75057964791756115</v>
      </c>
      <c r="N104" s="3">
        <v>5.32</v>
      </c>
      <c r="O104" s="4">
        <v>16.786000000000001</v>
      </c>
      <c r="P104" s="4">
        <f t="shared" si="21"/>
        <v>11.466000000000001</v>
      </c>
      <c r="Q104">
        <f t="shared" si="18"/>
        <v>49.968670459424644</v>
      </c>
      <c r="R104" s="4">
        <f t="shared" si="19"/>
        <v>51.293498282524695</v>
      </c>
      <c r="S104">
        <f t="shared" si="20"/>
        <v>0.12839423850444229</v>
      </c>
    </row>
    <row r="105" spans="1:19" x14ac:dyDescent="0.35">
      <c r="A105" t="s">
        <v>16</v>
      </c>
      <c r="B105" t="s">
        <v>31</v>
      </c>
      <c r="C105">
        <v>4</v>
      </c>
      <c r="D105">
        <f>(4*25)+(19.5*4.9)</f>
        <v>195.55</v>
      </c>
      <c r="E105">
        <v>1.8</v>
      </c>
      <c r="F105" s="3">
        <v>4.8499999999999996</v>
      </c>
      <c r="G105" s="4">
        <v>171.37</v>
      </c>
      <c r="H105" s="4">
        <f t="shared" si="23"/>
        <v>169.57</v>
      </c>
      <c r="I105" s="4">
        <v>48.588000000000001</v>
      </c>
      <c r="J105" s="4">
        <f t="shared" si="24"/>
        <v>43.738</v>
      </c>
      <c r="K105" s="4">
        <v>24.404</v>
      </c>
      <c r="L105" s="4">
        <f t="shared" si="15"/>
        <v>19.554000000000002</v>
      </c>
      <c r="M105" s="4">
        <f t="shared" si="16"/>
        <v>0.55292880332891303</v>
      </c>
      <c r="N105" s="3">
        <v>5.32</v>
      </c>
      <c r="O105" s="4">
        <v>18.338999999999999</v>
      </c>
      <c r="P105" s="4">
        <f t="shared" si="21"/>
        <v>13.018999999999998</v>
      </c>
      <c r="Q105">
        <f t="shared" si="18"/>
        <v>50.474000411541446</v>
      </c>
      <c r="R105" s="4">
        <f t="shared" si="19"/>
        <v>25.335862407974766</v>
      </c>
      <c r="S105">
        <f t="shared" si="20"/>
        <v>0.12956206805407702</v>
      </c>
    </row>
    <row r="106" spans="1:19" x14ac:dyDescent="0.35">
      <c r="A106" t="s">
        <v>16</v>
      </c>
      <c r="B106" t="s">
        <v>32</v>
      </c>
      <c r="C106">
        <v>1</v>
      </c>
      <c r="D106">
        <f>(16.5*25)+(12*12.5)+(33.5*4.9)</f>
        <v>726.65</v>
      </c>
      <c r="E106">
        <v>1.8</v>
      </c>
      <c r="F106" s="3">
        <v>4.8499999999999996</v>
      </c>
      <c r="G106" s="4">
        <v>830.47</v>
      </c>
      <c r="H106" s="4">
        <f t="shared" si="23"/>
        <v>828.67000000000007</v>
      </c>
      <c r="I106" s="4">
        <v>200.37</v>
      </c>
      <c r="J106" s="4">
        <f t="shared" si="24"/>
        <v>195.52</v>
      </c>
      <c r="K106" s="4">
        <v>91.32</v>
      </c>
      <c r="L106" s="4">
        <f t="shared" si="15"/>
        <v>86.47</v>
      </c>
      <c r="M106" s="4">
        <f t="shared" si="16"/>
        <v>0.55774345335515552</v>
      </c>
      <c r="N106" s="3">
        <v>5.32</v>
      </c>
      <c r="O106" s="4">
        <v>41.805999999999997</v>
      </c>
      <c r="P106" s="4">
        <f t="shared" si="21"/>
        <v>36.485999999999997</v>
      </c>
      <c r="Q106">
        <f t="shared" si="18"/>
        <v>154.63816295008181</v>
      </c>
      <c r="R106" s="4">
        <f t="shared" si="19"/>
        <v>211.84656955810149</v>
      </c>
      <c r="S106">
        <f t="shared" si="20"/>
        <v>0.29153866312268839</v>
      </c>
    </row>
    <row r="107" spans="1:19" x14ac:dyDescent="0.35">
      <c r="A107" t="s">
        <v>16</v>
      </c>
      <c r="B107" t="s">
        <v>32</v>
      </c>
      <c r="C107">
        <v>2</v>
      </c>
      <c r="D107">
        <f>(11*25)+(12*12.5)+(34.5*4.9)</f>
        <v>594.04999999999995</v>
      </c>
      <c r="E107">
        <v>1.8</v>
      </c>
      <c r="F107" s="3">
        <v>4.8499999999999996</v>
      </c>
      <c r="G107" s="4">
        <v>786.40000000000009</v>
      </c>
      <c r="H107" s="4">
        <f t="shared" si="23"/>
        <v>784.60000000000014</v>
      </c>
      <c r="I107" s="4">
        <v>184.04</v>
      </c>
      <c r="J107" s="4">
        <f t="shared" si="24"/>
        <v>179.19</v>
      </c>
      <c r="K107" s="4">
        <v>93.48</v>
      </c>
      <c r="L107" s="4">
        <f t="shared" si="15"/>
        <v>88.63000000000001</v>
      </c>
      <c r="M107" s="4">
        <f t="shared" si="16"/>
        <v>0.50538534516435063</v>
      </c>
      <c r="N107" s="3">
        <v>5.32</v>
      </c>
      <c r="O107" s="4">
        <v>37.906999999999996</v>
      </c>
      <c r="P107" s="4">
        <f t="shared" si="21"/>
        <v>32.586999999999996</v>
      </c>
      <c r="Q107">
        <f t="shared" si="18"/>
        <v>142.6851956024332</v>
      </c>
      <c r="R107" s="4">
        <f t="shared" si="19"/>
        <v>245.38946258161738</v>
      </c>
      <c r="S107">
        <f t="shared" si="20"/>
        <v>0.41307880242676104</v>
      </c>
    </row>
    <row r="108" spans="1:19" x14ac:dyDescent="0.35">
      <c r="A108" t="s">
        <v>16</v>
      </c>
      <c r="B108" t="s">
        <v>32</v>
      </c>
      <c r="C108">
        <v>3</v>
      </c>
      <c r="D108">
        <f>(21.5*4.9)</f>
        <v>105.35000000000001</v>
      </c>
      <c r="E108">
        <v>1.8</v>
      </c>
      <c r="F108" s="3">
        <v>4.8499999999999996</v>
      </c>
      <c r="G108" s="4">
        <v>92.09</v>
      </c>
      <c r="H108" s="4">
        <f t="shared" si="23"/>
        <v>90.29</v>
      </c>
      <c r="I108" s="4">
        <v>92.09</v>
      </c>
      <c r="J108" s="4">
        <f t="shared" si="24"/>
        <v>87.240000000000009</v>
      </c>
      <c r="K108" s="4">
        <v>92.09</v>
      </c>
      <c r="L108" s="4">
        <f t="shared" si="15"/>
        <v>87.240000000000009</v>
      </c>
      <c r="M108" s="4">
        <f t="shared" si="16"/>
        <v>0</v>
      </c>
      <c r="N108" s="3">
        <v>5.32</v>
      </c>
      <c r="O108" s="4">
        <v>14.02</v>
      </c>
      <c r="P108" s="4">
        <f t="shared" si="21"/>
        <v>8.6999999999999993</v>
      </c>
      <c r="Q108">
        <f t="shared" si="18"/>
        <v>9.0041609353507557</v>
      </c>
      <c r="R108" s="4">
        <f t="shared" si="19"/>
        <v>81.285839064649252</v>
      </c>
      <c r="S108">
        <f t="shared" si="20"/>
        <v>0.77157891850640004</v>
      </c>
    </row>
    <row r="109" spans="1:19" x14ac:dyDescent="0.35">
      <c r="A109" t="s">
        <v>16</v>
      </c>
      <c r="B109" t="s">
        <v>32</v>
      </c>
      <c r="C109">
        <v>4</v>
      </c>
      <c r="D109">
        <f>(3.5*25)+(4*12.5)+(27.5*4.9)</f>
        <v>272.25</v>
      </c>
      <c r="E109">
        <v>1.8</v>
      </c>
      <c r="F109" s="3">
        <v>4.8499999999999996</v>
      </c>
      <c r="G109" s="4">
        <v>282.13</v>
      </c>
      <c r="H109" s="4">
        <f t="shared" si="23"/>
        <v>280.33</v>
      </c>
      <c r="I109" s="4">
        <v>98.37</v>
      </c>
      <c r="J109" s="4">
        <f t="shared" si="24"/>
        <v>93.52000000000001</v>
      </c>
      <c r="K109" s="4">
        <v>50.161999999999999</v>
      </c>
      <c r="L109" s="4">
        <f t="shared" si="15"/>
        <v>45.311999999999998</v>
      </c>
      <c r="M109" s="4">
        <f t="shared" si="16"/>
        <v>0.51548331907613354</v>
      </c>
      <c r="N109" s="3">
        <v>5.32</v>
      </c>
      <c r="O109" s="4">
        <v>25.856000000000002</v>
      </c>
      <c r="P109" s="4">
        <f t="shared" si="21"/>
        <v>20.536000000000001</v>
      </c>
      <c r="Q109">
        <f t="shared" si="18"/>
        <v>61.557494439692036</v>
      </c>
      <c r="R109" s="4">
        <f t="shared" si="19"/>
        <v>74.267066723695436</v>
      </c>
      <c r="S109">
        <f t="shared" si="20"/>
        <v>0.27278996041761411</v>
      </c>
    </row>
    <row r="110" spans="1:19" x14ac:dyDescent="0.35">
      <c r="A110" t="s">
        <v>16</v>
      </c>
      <c r="B110" t="s">
        <v>10</v>
      </c>
      <c r="C110">
        <v>1</v>
      </c>
      <c r="D110">
        <f>17.5*4.9</f>
        <v>85.75</v>
      </c>
      <c r="E110">
        <v>1.8</v>
      </c>
      <c r="F110" s="3">
        <v>4.8499999999999996</v>
      </c>
      <c r="G110" s="4">
        <v>79.510000000000005</v>
      </c>
      <c r="H110" s="4">
        <f t="shared" si="23"/>
        <v>77.710000000000008</v>
      </c>
      <c r="I110" s="4">
        <v>79.510000000000005</v>
      </c>
      <c r="J110" s="4">
        <f t="shared" si="24"/>
        <v>74.660000000000011</v>
      </c>
      <c r="K110" s="4">
        <v>79.510000000000005</v>
      </c>
      <c r="L110" s="4">
        <f t="shared" si="15"/>
        <v>74.660000000000011</v>
      </c>
      <c r="M110" s="4">
        <f t="shared" si="16"/>
        <v>0</v>
      </c>
      <c r="N110" s="3">
        <v>5.32</v>
      </c>
      <c r="O110" s="4">
        <v>9.0419999999999998</v>
      </c>
      <c r="P110" s="4">
        <f t="shared" si="21"/>
        <v>3.7219999999999995</v>
      </c>
      <c r="Q110">
        <f t="shared" si="18"/>
        <v>3.8740506295204926</v>
      </c>
      <c r="R110" s="4">
        <f t="shared" si="19"/>
        <v>73.835949370479511</v>
      </c>
      <c r="S110">
        <f t="shared" si="20"/>
        <v>0.8610606340580701</v>
      </c>
    </row>
    <row r="111" spans="1:19" x14ac:dyDescent="0.35">
      <c r="A111" t="s">
        <v>16</v>
      </c>
      <c r="B111" t="s">
        <v>10</v>
      </c>
      <c r="C111">
        <v>2</v>
      </c>
      <c r="D111">
        <f>22*4.9</f>
        <v>107.80000000000001</v>
      </c>
      <c r="E111">
        <v>1.8</v>
      </c>
      <c r="F111" s="3">
        <v>4.8499999999999996</v>
      </c>
      <c r="G111" s="4">
        <v>116.97</v>
      </c>
      <c r="H111" s="4">
        <f t="shared" si="23"/>
        <v>115.17</v>
      </c>
      <c r="I111" s="4">
        <v>116.97</v>
      </c>
      <c r="J111" s="4">
        <f t="shared" si="24"/>
        <v>112.12</v>
      </c>
      <c r="K111" s="4">
        <v>116.97</v>
      </c>
      <c r="L111" s="4">
        <f t="shared" si="15"/>
        <v>112.12</v>
      </c>
      <c r="M111" s="4">
        <f t="shared" si="16"/>
        <v>0</v>
      </c>
      <c r="N111" s="3">
        <v>5.32</v>
      </c>
      <c r="O111" s="4">
        <v>10.504</v>
      </c>
      <c r="P111" s="4">
        <f t="shared" si="21"/>
        <v>5.1839999999999993</v>
      </c>
      <c r="Q111">
        <f t="shared" si="18"/>
        <v>5.3250203353549761</v>
      </c>
      <c r="R111" s="4">
        <f t="shared" si="19"/>
        <v>109.84497966464502</v>
      </c>
      <c r="S111">
        <f t="shared" si="20"/>
        <v>1.0189701267592302</v>
      </c>
    </row>
    <row r="112" spans="1:19" x14ac:dyDescent="0.35">
      <c r="A112" t="s">
        <v>16</v>
      </c>
      <c r="B112" t="s">
        <v>10</v>
      </c>
      <c r="C112">
        <v>3</v>
      </c>
      <c r="D112">
        <f>30*4.9</f>
        <v>147</v>
      </c>
      <c r="E112">
        <v>1.8</v>
      </c>
      <c r="F112" s="3">
        <v>4.8499999999999996</v>
      </c>
      <c r="G112" s="4">
        <v>153.28</v>
      </c>
      <c r="H112" s="4">
        <f t="shared" si="23"/>
        <v>151.47999999999999</v>
      </c>
      <c r="I112" s="4">
        <v>153.28</v>
      </c>
      <c r="J112" s="4">
        <f t="shared" si="24"/>
        <v>148.43</v>
      </c>
      <c r="K112" s="4">
        <v>153.28</v>
      </c>
      <c r="L112" s="4">
        <f t="shared" si="15"/>
        <v>148.43</v>
      </c>
      <c r="M112" s="4">
        <f t="shared" si="16"/>
        <v>0</v>
      </c>
      <c r="N112" s="3">
        <v>5.32</v>
      </c>
      <c r="O112" s="4">
        <v>11.872</v>
      </c>
      <c r="P112" s="4">
        <f t="shared" si="21"/>
        <v>6.5519999999999996</v>
      </c>
      <c r="Q112">
        <f t="shared" si="18"/>
        <v>6.6866331604123141</v>
      </c>
      <c r="R112" s="4">
        <f t="shared" si="19"/>
        <v>144.79336683958766</v>
      </c>
      <c r="S112">
        <f t="shared" si="20"/>
        <v>0.98498889006522217</v>
      </c>
    </row>
    <row r="113" spans="1:19" x14ac:dyDescent="0.35">
      <c r="A113" t="s">
        <v>16</v>
      </c>
      <c r="B113" t="s">
        <v>10</v>
      </c>
      <c r="C113">
        <v>4</v>
      </c>
      <c r="D113">
        <f>27.5*4.9</f>
        <v>134.75</v>
      </c>
      <c r="E113">
        <v>1.8</v>
      </c>
      <c r="F113" s="3">
        <v>4.8499999999999996</v>
      </c>
      <c r="G113" s="4">
        <v>148.53</v>
      </c>
      <c r="H113" s="4">
        <f t="shared" si="23"/>
        <v>146.72999999999999</v>
      </c>
      <c r="I113" s="4">
        <v>148.53</v>
      </c>
      <c r="J113" s="4">
        <f t="shared" si="24"/>
        <v>143.68</v>
      </c>
      <c r="K113" s="4">
        <v>148.53</v>
      </c>
      <c r="L113" s="4">
        <f t="shared" si="15"/>
        <v>143.68</v>
      </c>
      <c r="M113" s="4">
        <f t="shared" si="16"/>
        <v>0</v>
      </c>
      <c r="N113" s="3">
        <v>5.32</v>
      </c>
      <c r="O113" s="4">
        <v>10.311999999999999</v>
      </c>
      <c r="P113" s="4">
        <f t="shared" si="21"/>
        <v>4.9919999999999991</v>
      </c>
      <c r="Q113">
        <f t="shared" si="18"/>
        <v>5.0979688195991084</v>
      </c>
      <c r="R113" s="4">
        <f t="shared" si="19"/>
        <v>141.63203118040087</v>
      </c>
      <c r="S113">
        <f t="shared" si="20"/>
        <v>1.0510725876096541</v>
      </c>
    </row>
    <row r="114" spans="1:19" x14ac:dyDescent="0.35">
      <c r="A114" t="s">
        <v>17</v>
      </c>
      <c r="B114" t="s">
        <v>9</v>
      </c>
      <c r="C114">
        <v>1</v>
      </c>
      <c r="D114">
        <f>9.5*25</f>
        <v>237.5</v>
      </c>
      <c r="E114">
        <v>1.8</v>
      </c>
      <c r="F114" s="3">
        <v>4.8499999999999996</v>
      </c>
      <c r="G114" s="6">
        <v>155.36000000000001</v>
      </c>
      <c r="H114" s="4">
        <f t="shared" si="23"/>
        <v>153.56</v>
      </c>
      <c r="I114" s="6">
        <v>36.9</v>
      </c>
      <c r="J114" s="4">
        <f t="shared" si="24"/>
        <v>32.049999999999997</v>
      </c>
      <c r="K114" s="6">
        <v>14.2</v>
      </c>
      <c r="L114" s="4">
        <f t="shared" si="15"/>
        <v>9.35</v>
      </c>
      <c r="M114" s="4">
        <f t="shared" si="16"/>
        <v>0.70826833073322926</v>
      </c>
      <c r="N114" s="3">
        <v>5.32</v>
      </c>
      <c r="O114" s="6">
        <v>10.01</v>
      </c>
      <c r="P114" s="4">
        <f t="shared" si="21"/>
        <v>4.6899999999999995</v>
      </c>
      <c r="Q114">
        <f t="shared" si="18"/>
        <v>22.471026521060843</v>
      </c>
      <c r="R114" s="4">
        <f t="shared" si="19"/>
        <v>22.327288611544475</v>
      </c>
      <c r="S114">
        <f t="shared" si="20"/>
        <v>9.4009636259134624E-2</v>
      </c>
    </row>
    <row r="115" spans="1:19" x14ac:dyDescent="0.35">
      <c r="A115" t="s">
        <v>17</v>
      </c>
      <c r="B115" t="s">
        <v>9</v>
      </c>
      <c r="C115">
        <v>2</v>
      </c>
      <c r="D115">
        <f>11.5*25</f>
        <v>287.5</v>
      </c>
      <c r="E115">
        <v>1.8</v>
      </c>
      <c r="F115" s="3">
        <v>4.8499999999999996</v>
      </c>
      <c r="G115" s="6">
        <v>235.04</v>
      </c>
      <c r="H115" s="4">
        <f t="shared" si="23"/>
        <v>233.23999999999998</v>
      </c>
      <c r="I115" s="6">
        <v>58.02</v>
      </c>
      <c r="J115" s="4">
        <f t="shared" si="24"/>
        <v>53.17</v>
      </c>
      <c r="K115" s="6">
        <v>16</v>
      </c>
      <c r="L115" s="4">
        <f t="shared" si="15"/>
        <v>11.15</v>
      </c>
      <c r="M115" s="4">
        <f t="shared" si="16"/>
        <v>0.79029527929283439</v>
      </c>
      <c r="N115" s="3">
        <v>5.32</v>
      </c>
      <c r="O115" s="6">
        <v>10.58</v>
      </c>
      <c r="P115" s="4">
        <f t="shared" si="21"/>
        <v>5.26</v>
      </c>
      <c r="Q115">
        <f t="shared" si="18"/>
        <v>23.073958999435771</v>
      </c>
      <c r="R115" s="4">
        <f t="shared" si="19"/>
        <v>25.83757005830353</v>
      </c>
      <c r="S115">
        <f t="shared" si="20"/>
        <v>8.9869808898447062E-2</v>
      </c>
    </row>
    <row r="116" spans="1:19" x14ac:dyDescent="0.35">
      <c r="A116" t="s">
        <v>17</v>
      </c>
      <c r="B116" t="s">
        <v>9</v>
      </c>
      <c r="C116">
        <v>3</v>
      </c>
      <c r="D116">
        <f>10.5*25</f>
        <v>262.5</v>
      </c>
      <c r="E116">
        <v>1.8</v>
      </c>
      <c r="F116" s="3">
        <v>4.8499999999999996</v>
      </c>
      <c r="G116" s="6">
        <v>237.12</v>
      </c>
      <c r="H116" s="4">
        <f t="shared" si="23"/>
        <v>235.32</v>
      </c>
      <c r="I116" s="6">
        <v>68.290000000000006</v>
      </c>
      <c r="J116" s="4">
        <f t="shared" si="24"/>
        <v>63.440000000000005</v>
      </c>
      <c r="K116" s="6">
        <v>15.39</v>
      </c>
      <c r="L116" s="4">
        <f t="shared" si="15"/>
        <v>10.540000000000001</v>
      </c>
      <c r="M116" s="4">
        <f t="shared" si="16"/>
        <v>0.83385876418663307</v>
      </c>
      <c r="N116" s="3">
        <v>5.32</v>
      </c>
      <c r="O116" s="6">
        <v>11.97</v>
      </c>
      <c r="P116" s="4">
        <f t="shared" si="21"/>
        <v>6.65</v>
      </c>
      <c r="Q116">
        <f t="shared" si="18"/>
        <v>24.667055485498107</v>
      </c>
      <c r="R116" s="4">
        <f t="shared" si="19"/>
        <v>14.429300126103396</v>
      </c>
      <c r="S116">
        <f t="shared" si="20"/>
        <v>5.4968762385155794E-2</v>
      </c>
    </row>
    <row r="117" spans="1:19" x14ac:dyDescent="0.35">
      <c r="A117" t="s">
        <v>17</v>
      </c>
      <c r="B117" t="s">
        <v>9</v>
      </c>
      <c r="C117">
        <v>4</v>
      </c>
      <c r="D117">
        <f>12*25</f>
        <v>300</v>
      </c>
      <c r="E117">
        <v>1.8</v>
      </c>
      <c r="F117" s="3">
        <v>4.8499999999999996</v>
      </c>
      <c r="G117" s="6">
        <v>613.70000000000005</v>
      </c>
      <c r="H117" s="4">
        <f t="shared" si="23"/>
        <v>611.90000000000009</v>
      </c>
      <c r="I117" s="6">
        <v>123.3</v>
      </c>
      <c r="J117" s="4">
        <f t="shared" si="24"/>
        <v>118.45</v>
      </c>
      <c r="K117" s="6">
        <v>35.950000000000003</v>
      </c>
      <c r="L117" s="4">
        <f t="shared" si="15"/>
        <v>31.1</v>
      </c>
      <c r="M117" s="4">
        <f t="shared" si="16"/>
        <v>0.7374419586323343</v>
      </c>
      <c r="N117" s="3">
        <v>5.32</v>
      </c>
      <c r="O117" s="6">
        <v>16.59</v>
      </c>
      <c r="P117" s="4">
        <f t="shared" si="21"/>
        <v>11.27</v>
      </c>
      <c r="Q117">
        <f t="shared" si="18"/>
        <v>58.21961165048544</v>
      </c>
      <c r="R117" s="4">
        <f t="shared" si="19"/>
        <v>102.43965386238924</v>
      </c>
      <c r="S117">
        <f t="shared" si="20"/>
        <v>0.34146551287463078</v>
      </c>
    </row>
    <row r="118" spans="1:19" x14ac:dyDescent="0.35">
      <c r="A118" t="s">
        <v>17</v>
      </c>
      <c r="B118" t="s">
        <v>31</v>
      </c>
      <c r="C118">
        <v>1</v>
      </c>
      <c r="D118">
        <f>((5.5+6+7.5)*25)+(4*12.5)+((8.5+25)*4.9)</f>
        <v>689.15</v>
      </c>
      <c r="E118">
        <v>1.8</v>
      </c>
      <c r="F118" s="3">
        <v>4.8499999999999996</v>
      </c>
      <c r="G118" s="6">
        <v>323.56</v>
      </c>
      <c r="H118" s="4">
        <f t="shared" si="23"/>
        <v>321.76</v>
      </c>
      <c r="I118" s="6">
        <v>93.17</v>
      </c>
      <c r="J118" s="4">
        <f t="shared" si="24"/>
        <v>88.320000000000007</v>
      </c>
      <c r="K118" s="6">
        <v>28.09</v>
      </c>
      <c r="L118" s="4">
        <f t="shared" si="15"/>
        <v>23.240000000000002</v>
      </c>
      <c r="M118" s="4">
        <f t="shared" si="16"/>
        <v>0.73686594202898559</v>
      </c>
      <c r="N118" s="3">
        <v>5.32</v>
      </c>
      <c r="O118" s="6">
        <v>14.69</v>
      </c>
      <c r="P118" s="4">
        <f t="shared" si="21"/>
        <v>9.3699999999999992</v>
      </c>
      <c r="Q118">
        <f t="shared" si="18"/>
        <v>34.13599637681159</v>
      </c>
      <c r="R118" s="4">
        <f t="shared" si="19"/>
        <v>50.530018115941999</v>
      </c>
      <c r="S118">
        <f t="shared" si="20"/>
        <v>7.3322234805110645E-2</v>
      </c>
    </row>
    <row r="119" spans="1:19" x14ac:dyDescent="0.35">
      <c r="A119" t="s">
        <v>17</v>
      </c>
      <c r="B119" t="s">
        <v>31</v>
      </c>
      <c r="C119">
        <v>2</v>
      </c>
      <c r="D119">
        <f>((3.5+5+5.5)*25)+(6*4.9)</f>
        <v>379.4</v>
      </c>
      <c r="E119">
        <v>1.8</v>
      </c>
      <c r="F119" s="3">
        <v>4.8499999999999996</v>
      </c>
      <c r="G119" s="6">
        <v>469.25</v>
      </c>
      <c r="H119" s="4">
        <f t="shared" si="23"/>
        <v>467.45</v>
      </c>
      <c r="I119" s="6">
        <v>107.71</v>
      </c>
      <c r="J119" s="4">
        <f t="shared" si="24"/>
        <v>102.86</v>
      </c>
      <c r="K119" s="6">
        <v>28.28</v>
      </c>
      <c r="L119" s="4">
        <f t="shared" si="15"/>
        <v>23.43</v>
      </c>
      <c r="M119" s="4">
        <f t="shared" si="16"/>
        <v>0.77221466070386946</v>
      </c>
      <c r="N119" s="3">
        <v>5.32</v>
      </c>
      <c r="O119" s="6">
        <v>14.03</v>
      </c>
      <c r="P119" s="4">
        <f t="shared" si="21"/>
        <v>8.7099999999999991</v>
      </c>
      <c r="Q119">
        <f t="shared" si="18"/>
        <v>39.582826171495235</v>
      </c>
      <c r="R119" s="4">
        <f t="shared" si="19"/>
        <v>66.895430682480992</v>
      </c>
      <c r="S119">
        <f t="shared" si="20"/>
        <v>0.1763190054888798</v>
      </c>
    </row>
    <row r="120" spans="1:19" x14ac:dyDescent="0.35">
      <c r="A120" t="s">
        <v>17</v>
      </c>
      <c r="B120" t="s">
        <v>31</v>
      </c>
      <c r="C120">
        <v>3</v>
      </c>
      <c r="D120">
        <f>((7+6+6)*25)+(10.5*4.9)</f>
        <v>526.45000000000005</v>
      </c>
      <c r="E120">
        <v>1.8</v>
      </c>
      <c r="F120" s="3">
        <v>4.8499999999999996</v>
      </c>
      <c r="G120" s="6">
        <v>359.23</v>
      </c>
      <c r="H120" s="4">
        <f t="shared" si="23"/>
        <v>357.43</v>
      </c>
      <c r="I120" s="6">
        <v>76.02</v>
      </c>
      <c r="J120" s="4">
        <f t="shared" si="24"/>
        <v>71.17</v>
      </c>
      <c r="K120" s="6">
        <v>38.25</v>
      </c>
      <c r="L120" s="4">
        <f t="shared" si="15"/>
        <v>33.4</v>
      </c>
      <c r="M120" s="4">
        <f t="shared" si="16"/>
        <v>0.53070113811999442</v>
      </c>
      <c r="N120" s="3">
        <v>5.32</v>
      </c>
      <c r="O120" s="6">
        <v>17.739999999999998</v>
      </c>
      <c r="P120" s="4">
        <f t="shared" si="21"/>
        <v>12.419999999999998</v>
      </c>
      <c r="Q120">
        <f t="shared" si="18"/>
        <v>62.375728537305029</v>
      </c>
      <c r="R120" s="4">
        <f t="shared" si="19"/>
        <v>105.36576366446536</v>
      </c>
      <c r="S120">
        <f t="shared" si="20"/>
        <v>0.20014391426434677</v>
      </c>
    </row>
    <row r="121" spans="1:19" x14ac:dyDescent="0.35">
      <c r="A121" t="s">
        <v>17</v>
      </c>
      <c r="B121" t="s">
        <v>31</v>
      </c>
      <c r="C121">
        <v>4</v>
      </c>
      <c r="D121">
        <f>((9+5.5+6.5)*25)+(4*12.5)+(7*4.9)</f>
        <v>609.29999999999995</v>
      </c>
      <c r="E121">
        <v>1.8</v>
      </c>
      <c r="F121" s="3">
        <v>4.8499999999999996</v>
      </c>
      <c r="G121" s="6">
        <v>593.05999999999995</v>
      </c>
      <c r="H121" s="4">
        <f t="shared" si="23"/>
        <v>591.26</v>
      </c>
      <c r="I121" s="6">
        <v>96.33</v>
      </c>
      <c r="J121" s="4">
        <f t="shared" si="24"/>
        <v>91.48</v>
      </c>
      <c r="K121" s="6">
        <v>36.96</v>
      </c>
      <c r="L121" s="4">
        <f t="shared" si="15"/>
        <v>32.11</v>
      </c>
      <c r="M121" s="4">
        <f t="shared" si="16"/>
        <v>0.64899431569742028</v>
      </c>
      <c r="N121" s="3">
        <v>5.32</v>
      </c>
      <c r="O121" s="6">
        <v>23.35</v>
      </c>
      <c r="P121" s="4">
        <f t="shared" si="21"/>
        <v>18.03</v>
      </c>
      <c r="Q121">
        <f t="shared" si="18"/>
        <v>116.53277000437254</v>
      </c>
      <c r="R121" s="4">
        <f t="shared" si="19"/>
        <v>91.002850896370745</v>
      </c>
      <c r="S121">
        <f t="shared" si="20"/>
        <v>0.14935639405279952</v>
      </c>
    </row>
    <row r="122" spans="1:19" x14ac:dyDescent="0.35">
      <c r="A122" t="s">
        <v>17</v>
      </c>
      <c r="B122" t="s">
        <v>32</v>
      </c>
      <c r="C122">
        <v>1</v>
      </c>
      <c r="D122">
        <f>25+(31*4.9)</f>
        <v>176.9</v>
      </c>
      <c r="E122">
        <v>1.8</v>
      </c>
      <c r="F122" s="3">
        <v>4.8499999999999996</v>
      </c>
      <c r="G122" s="6">
        <v>277.56</v>
      </c>
      <c r="H122" s="4">
        <f t="shared" si="23"/>
        <v>275.76</v>
      </c>
      <c r="I122" s="6">
        <v>90.26</v>
      </c>
      <c r="J122" s="4">
        <f t="shared" si="24"/>
        <v>85.410000000000011</v>
      </c>
      <c r="K122" s="6">
        <v>62.53</v>
      </c>
      <c r="L122" s="4">
        <f t="shared" si="15"/>
        <v>57.68</v>
      </c>
      <c r="M122" s="4">
        <f t="shared" si="16"/>
        <v>0.32466924247746176</v>
      </c>
      <c r="N122" s="3">
        <v>5.32</v>
      </c>
      <c r="O122" s="6">
        <v>22.48</v>
      </c>
      <c r="P122" s="4">
        <f t="shared" si="21"/>
        <v>17.16</v>
      </c>
      <c r="Q122">
        <f t="shared" si="18"/>
        <v>55.403835616438343</v>
      </c>
      <c r="R122" s="4">
        <f t="shared" si="19"/>
        <v>130.82537407797679</v>
      </c>
      <c r="S122">
        <f t="shared" si="20"/>
        <v>0.73954422881841031</v>
      </c>
    </row>
    <row r="123" spans="1:19" x14ac:dyDescent="0.35">
      <c r="A123" t="s">
        <v>17</v>
      </c>
      <c r="B123" t="s">
        <v>32</v>
      </c>
      <c r="C123">
        <v>2</v>
      </c>
      <c r="D123">
        <f>(6.5*25)+(2*12.5)+((7.5+3.5+13)*4.9)</f>
        <v>305.10000000000002</v>
      </c>
      <c r="E123">
        <v>1.8</v>
      </c>
      <c r="F123" s="3">
        <v>4.8499999999999996</v>
      </c>
      <c r="G123" s="6">
        <v>305.97000000000003</v>
      </c>
      <c r="H123" s="4">
        <f t="shared" si="23"/>
        <v>304.17</v>
      </c>
      <c r="I123" s="6">
        <v>72.84</v>
      </c>
      <c r="J123" s="4">
        <f t="shared" si="24"/>
        <v>67.990000000000009</v>
      </c>
      <c r="K123" s="6">
        <v>45.01</v>
      </c>
      <c r="L123" s="4">
        <f t="shared" si="15"/>
        <v>40.159999999999997</v>
      </c>
      <c r="M123" s="4">
        <f t="shared" si="16"/>
        <v>0.40932490072069433</v>
      </c>
      <c r="N123" s="3">
        <v>5.32</v>
      </c>
      <c r="O123" s="6">
        <v>19.05</v>
      </c>
      <c r="P123" s="4">
        <f t="shared" si="21"/>
        <v>13.73</v>
      </c>
      <c r="Q123">
        <f t="shared" si="18"/>
        <v>61.424534490366227</v>
      </c>
      <c r="R123" s="4">
        <f t="shared" si="19"/>
        <v>118.24111045742021</v>
      </c>
      <c r="S123">
        <f t="shared" si="20"/>
        <v>0.38754870684175746</v>
      </c>
    </row>
    <row r="124" spans="1:19" x14ac:dyDescent="0.35">
      <c r="A124" t="s">
        <v>17</v>
      </c>
      <c r="B124" t="s">
        <v>32</v>
      </c>
      <c r="C124">
        <v>3</v>
      </c>
      <c r="D124">
        <f>(1.5*25)+(4*12.5)+((8+6+12)*4.9)</f>
        <v>214.9</v>
      </c>
      <c r="E124">
        <v>1.8</v>
      </c>
      <c r="F124" s="3">
        <v>4.8499999999999996</v>
      </c>
      <c r="G124" s="6">
        <v>171.88</v>
      </c>
      <c r="H124" s="4">
        <f t="shared" si="23"/>
        <v>170.07999999999998</v>
      </c>
      <c r="I124" s="6">
        <v>41.96</v>
      </c>
      <c r="J124" s="4">
        <f t="shared" si="24"/>
        <v>37.11</v>
      </c>
      <c r="K124" s="6">
        <v>29.31</v>
      </c>
      <c r="L124" s="4">
        <f t="shared" si="15"/>
        <v>24.46</v>
      </c>
      <c r="M124" s="4">
        <f t="shared" si="16"/>
        <v>0.34087846941525191</v>
      </c>
      <c r="N124" s="3">
        <v>5.32</v>
      </c>
      <c r="O124" s="6">
        <v>14.78</v>
      </c>
      <c r="P124" s="4">
        <f t="shared" si="21"/>
        <v>9.4599999999999991</v>
      </c>
      <c r="Q124">
        <f t="shared" si="18"/>
        <v>43.356421449743991</v>
      </c>
      <c r="R124" s="4">
        <f t="shared" si="19"/>
        <v>68.746968472109955</v>
      </c>
      <c r="S124">
        <f t="shared" si="20"/>
        <v>0.31990213342070711</v>
      </c>
    </row>
    <row r="125" spans="1:19" x14ac:dyDescent="0.35">
      <c r="A125" t="s">
        <v>17</v>
      </c>
      <c r="B125" t="s">
        <v>32</v>
      </c>
      <c r="C125">
        <v>4</v>
      </c>
      <c r="D125">
        <f>(4*12.5)+((10+3.5+12+6)*4.9)</f>
        <v>204.35000000000002</v>
      </c>
      <c r="E125">
        <v>1.8</v>
      </c>
      <c r="F125" s="3">
        <v>4.8499999999999996</v>
      </c>
      <c r="G125" s="6">
        <v>175.73</v>
      </c>
      <c r="H125" s="4">
        <f t="shared" si="23"/>
        <v>173.92999999999998</v>
      </c>
      <c r="I125" s="6">
        <v>46.76</v>
      </c>
      <c r="J125" s="4">
        <f t="shared" si="24"/>
        <v>41.91</v>
      </c>
      <c r="K125" s="6">
        <v>38.53</v>
      </c>
      <c r="L125" s="4">
        <f t="shared" si="15"/>
        <v>33.68</v>
      </c>
      <c r="M125" s="4">
        <f t="shared" si="16"/>
        <v>0.19637318062514908</v>
      </c>
      <c r="N125" s="3">
        <v>5.32</v>
      </c>
      <c r="O125" s="6">
        <v>18.55</v>
      </c>
      <c r="P125" s="4">
        <f t="shared" si="21"/>
        <v>13.23</v>
      </c>
      <c r="Q125">
        <f t="shared" si="18"/>
        <v>54.905604867573366</v>
      </c>
      <c r="R125" s="4">
        <f t="shared" si="19"/>
        <v>84.869207826294428</v>
      </c>
      <c r="S125">
        <f t="shared" si="20"/>
        <v>0.41531298177780485</v>
      </c>
    </row>
    <row r="126" spans="1:19" x14ac:dyDescent="0.35">
      <c r="A126" t="s">
        <v>17</v>
      </c>
      <c r="B126" t="s">
        <v>10</v>
      </c>
      <c r="C126">
        <v>1</v>
      </c>
      <c r="D126">
        <v>0</v>
      </c>
      <c r="E126">
        <v>1.8</v>
      </c>
      <c r="F126" s="3">
        <v>4.8499999999999996</v>
      </c>
      <c r="G126" s="6" t="s">
        <v>33</v>
      </c>
      <c r="H126" s="6" t="s">
        <v>33</v>
      </c>
      <c r="I126" s="6" t="s">
        <v>33</v>
      </c>
      <c r="J126" s="6" t="s">
        <v>33</v>
      </c>
      <c r="K126" s="6" t="s">
        <v>33</v>
      </c>
      <c r="L126" s="6" t="s">
        <v>33</v>
      </c>
      <c r="M126" s="6" t="s">
        <v>33</v>
      </c>
      <c r="N126" s="6" t="s">
        <v>33</v>
      </c>
      <c r="O126" s="6" t="s">
        <v>33</v>
      </c>
      <c r="P126" s="6" t="s">
        <v>33</v>
      </c>
      <c r="Q126" s="6" t="s">
        <v>33</v>
      </c>
      <c r="R126" s="6" t="s">
        <v>33</v>
      </c>
      <c r="S126" s="6" t="s">
        <v>33</v>
      </c>
    </row>
    <row r="127" spans="1:19" x14ac:dyDescent="0.35">
      <c r="A127" t="s">
        <v>17</v>
      </c>
      <c r="B127" t="s">
        <v>10</v>
      </c>
      <c r="C127">
        <v>2</v>
      </c>
      <c r="D127">
        <f>2*4.9</f>
        <v>9.8000000000000007</v>
      </c>
      <c r="E127">
        <v>1.8</v>
      </c>
      <c r="F127" s="3">
        <v>4.8499999999999996</v>
      </c>
      <c r="G127" s="6">
        <v>13.84</v>
      </c>
      <c r="H127" s="4">
        <f t="shared" si="23"/>
        <v>12.04</v>
      </c>
      <c r="I127" s="6" t="s">
        <v>88</v>
      </c>
      <c r="J127" s="4" t="s">
        <v>88</v>
      </c>
      <c r="K127" s="6" t="s">
        <v>88</v>
      </c>
      <c r="L127" s="4" t="s">
        <v>88</v>
      </c>
      <c r="M127" s="4">
        <v>0</v>
      </c>
      <c r="N127" s="3">
        <v>5.32</v>
      </c>
      <c r="O127" s="6">
        <v>6.14</v>
      </c>
      <c r="P127" s="4">
        <f t="shared" si="21"/>
        <v>0.8199999999999994</v>
      </c>
      <c r="Q127" s="4">
        <f>P127</f>
        <v>0.8199999999999994</v>
      </c>
      <c r="R127" s="4">
        <f t="shared" si="19"/>
        <v>11.219999999999999</v>
      </c>
      <c r="S127">
        <f t="shared" si="20"/>
        <v>1.1448979591836732</v>
      </c>
    </row>
    <row r="128" spans="1:19" x14ac:dyDescent="0.35">
      <c r="A128" t="s">
        <v>17</v>
      </c>
      <c r="B128" t="s">
        <v>10</v>
      </c>
      <c r="C128">
        <v>3</v>
      </c>
      <c r="D128">
        <f>2*25</f>
        <v>50</v>
      </c>
      <c r="E128">
        <v>1.8</v>
      </c>
      <c r="F128" s="3">
        <v>4.8499999999999996</v>
      </c>
      <c r="G128" s="6">
        <v>14.5</v>
      </c>
      <c r="H128" s="4">
        <f t="shared" si="23"/>
        <v>12.7</v>
      </c>
      <c r="I128" s="6" t="s">
        <v>88</v>
      </c>
      <c r="J128" s="4" t="s">
        <v>88</v>
      </c>
      <c r="K128" s="6" t="s">
        <v>88</v>
      </c>
      <c r="L128" s="4" t="s">
        <v>88</v>
      </c>
      <c r="M128" s="4">
        <v>0</v>
      </c>
      <c r="N128" s="3">
        <v>5.32</v>
      </c>
      <c r="O128" s="6">
        <v>6.76</v>
      </c>
      <c r="P128" s="4">
        <f t="shared" si="21"/>
        <v>1.4399999999999995</v>
      </c>
      <c r="Q128" s="4">
        <f t="shared" ref="Q128:Q129" si="25">P128</f>
        <v>1.4399999999999995</v>
      </c>
      <c r="R128" s="4">
        <f t="shared" si="19"/>
        <v>11.26</v>
      </c>
      <c r="S128">
        <f t="shared" si="20"/>
        <v>0.22519999999999998</v>
      </c>
    </row>
    <row r="129" spans="1:19" x14ac:dyDescent="0.35">
      <c r="A129" t="s">
        <v>17</v>
      </c>
      <c r="B129" t="s">
        <v>10</v>
      </c>
      <c r="C129">
        <v>4</v>
      </c>
      <c r="D129">
        <f>4.5*4.9</f>
        <v>22.05</v>
      </c>
      <c r="E129">
        <v>1.8</v>
      </c>
      <c r="F129" s="3">
        <v>4.8499999999999996</v>
      </c>
      <c r="G129" s="6">
        <v>21.8</v>
      </c>
      <c r="H129" s="4">
        <f t="shared" si="23"/>
        <v>20</v>
      </c>
      <c r="I129" s="6" t="s">
        <v>88</v>
      </c>
      <c r="J129" s="4" t="s">
        <v>88</v>
      </c>
      <c r="K129" s="6" t="s">
        <v>88</v>
      </c>
      <c r="L129" s="4" t="s">
        <v>88</v>
      </c>
      <c r="M129" s="4">
        <v>0</v>
      </c>
      <c r="N129" s="3">
        <v>5.32</v>
      </c>
      <c r="O129" s="6">
        <v>12.37</v>
      </c>
      <c r="P129" s="4">
        <f t="shared" si="21"/>
        <v>7.0499999999999989</v>
      </c>
      <c r="Q129" s="4">
        <f t="shared" si="25"/>
        <v>7.0499999999999989</v>
      </c>
      <c r="R129" s="4">
        <f t="shared" si="19"/>
        <v>12.950000000000001</v>
      </c>
      <c r="S129">
        <f t="shared" si="20"/>
        <v>0.58730158730158732</v>
      </c>
    </row>
    <row r="130" spans="1:19" x14ac:dyDescent="0.35">
      <c r="A130" t="s">
        <v>18</v>
      </c>
      <c r="B130" t="s">
        <v>9</v>
      </c>
      <c r="C130">
        <v>1</v>
      </c>
      <c r="D130">
        <f>(3.5+7+5)*25</f>
        <v>387.5</v>
      </c>
      <c r="E130">
        <v>1.8</v>
      </c>
      <c r="F130" s="3">
        <v>4.8499999999999996</v>
      </c>
      <c r="G130" s="6">
        <v>60.4</v>
      </c>
      <c r="H130" s="4">
        <f t="shared" si="23"/>
        <v>58.6</v>
      </c>
      <c r="I130" s="6">
        <v>22.146999999999998</v>
      </c>
      <c r="J130" s="4">
        <f t="shared" si="24"/>
        <v>17.296999999999997</v>
      </c>
      <c r="K130" s="6">
        <v>12.51</v>
      </c>
      <c r="L130" s="4">
        <f t="shared" si="15"/>
        <v>7.66</v>
      </c>
      <c r="M130" s="4">
        <f t="shared" si="16"/>
        <v>0.55714863849222396</v>
      </c>
      <c r="N130" s="3">
        <v>5.32</v>
      </c>
      <c r="O130" s="6">
        <v>8.94</v>
      </c>
      <c r="P130" s="4">
        <f t="shared" si="21"/>
        <v>3.6199999999999992</v>
      </c>
      <c r="Q130">
        <f t="shared" si="18"/>
        <v>12.264092039081921</v>
      </c>
      <c r="R130" s="4">
        <f t="shared" si="19"/>
        <v>13.686997745273755</v>
      </c>
      <c r="S130">
        <f t="shared" si="20"/>
        <v>3.5321284503932272E-2</v>
      </c>
    </row>
    <row r="131" spans="1:19" x14ac:dyDescent="0.35">
      <c r="A131" t="s">
        <v>18</v>
      </c>
      <c r="B131" t="s">
        <v>9</v>
      </c>
      <c r="C131">
        <v>2</v>
      </c>
      <c r="D131">
        <f>((4.5+9.5+7)*25)</f>
        <v>525</v>
      </c>
      <c r="E131">
        <v>1.8</v>
      </c>
      <c r="F131" s="3">
        <v>4.8499999999999996</v>
      </c>
      <c r="G131" s="6">
        <v>187.19</v>
      </c>
      <c r="H131" s="4">
        <f t="shared" si="23"/>
        <v>185.39</v>
      </c>
      <c r="I131" s="6">
        <v>46.018000000000001</v>
      </c>
      <c r="J131" s="4">
        <f t="shared" si="24"/>
        <v>41.167999999999999</v>
      </c>
      <c r="K131" s="6">
        <v>15.07</v>
      </c>
      <c r="L131" s="4">
        <f t="shared" ref="L131:L176" si="26">K131-F131</f>
        <v>10.220000000000001</v>
      </c>
      <c r="M131" s="4">
        <f t="shared" ref="M131:M194" si="27">(J131-L131)/J131</f>
        <v>0.75174893120870578</v>
      </c>
      <c r="N131" s="3">
        <v>5.32</v>
      </c>
      <c r="O131" s="6">
        <v>9.6300000000000008</v>
      </c>
      <c r="P131" s="4">
        <f t="shared" si="21"/>
        <v>4.3100000000000005</v>
      </c>
      <c r="Q131">
        <f t="shared" si="18"/>
        <v>19.409028857364945</v>
      </c>
      <c r="R131" s="4">
        <f t="shared" si="19"/>
        <v>26.614236785853087</v>
      </c>
      <c r="S131">
        <f t="shared" si="20"/>
        <v>5.0693784354005879E-2</v>
      </c>
    </row>
    <row r="132" spans="1:19" x14ac:dyDescent="0.35">
      <c r="A132" t="s">
        <v>18</v>
      </c>
      <c r="B132" t="s">
        <v>9</v>
      </c>
      <c r="C132">
        <v>3</v>
      </c>
      <c r="D132">
        <f>((4.5+2.5)*25)+(4*4.9)</f>
        <v>194.6</v>
      </c>
      <c r="E132">
        <v>1.8</v>
      </c>
      <c r="F132" s="3">
        <v>4.8499999999999996</v>
      </c>
      <c r="G132" s="6">
        <v>59.62</v>
      </c>
      <c r="H132" s="4">
        <f t="shared" si="23"/>
        <v>57.82</v>
      </c>
      <c r="I132" s="6">
        <v>23.376999999999999</v>
      </c>
      <c r="J132" s="4">
        <f t="shared" si="24"/>
        <v>18.527000000000001</v>
      </c>
      <c r="K132" s="6">
        <v>9.4600000000000009</v>
      </c>
      <c r="L132" s="4">
        <f t="shared" si="26"/>
        <v>4.6100000000000012</v>
      </c>
      <c r="M132" s="4">
        <f t="shared" si="27"/>
        <v>0.75117396232525502</v>
      </c>
      <c r="N132" s="3">
        <v>5.32</v>
      </c>
      <c r="O132" s="6">
        <v>7.64</v>
      </c>
      <c r="P132" s="4">
        <f t="shared" si="21"/>
        <v>2.3199999999999994</v>
      </c>
      <c r="Q132">
        <f t="shared" si="18"/>
        <v>7.2403735089329064</v>
      </c>
      <c r="R132" s="4">
        <f t="shared" si="19"/>
        <v>7.1467479894208488</v>
      </c>
      <c r="S132">
        <f t="shared" si="20"/>
        <v>3.6725323686643621E-2</v>
      </c>
    </row>
    <row r="133" spans="1:19" x14ac:dyDescent="0.35">
      <c r="A133" t="s">
        <v>18</v>
      </c>
      <c r="B133" t="s">
        <v>9</v>
      </c>
      <c r="C133">
        <v>4</v>
      </c>
      <c r="D133">
        <f>((6+5+4.5)*25)</f>
        <v>387.5</v>
      </c>
      <c r="E133">
        <v>1.8</v>
      </c>
      <c r="F133" s="3">
        <v>4.8499999999999996</v>
      </c>
      <c r="G133" s="6">
        <v>196.37</v>
      </c>
      <c r="H133" s="4">
        <f t="shared" si="23"/>
        <v>194.57</v>
      </c>
      <c r="I133" s="6">
        <v>45.215000000000003</v>
      </c>
      <c r="J133" s="4">
        <f t="shared" si="24"/>
        <v>40.365000000000002</v>
      </c>
      <c r="K133" s="6">
        <v>13.81</v>
      </c>
      <c r="L133" s="4">
        <f t="shared" si="26"/>
        <v>8.9600000000000009</v>
      </c>
      <c r="M133" s="4">
        <f t="shared" si="27"/>
        <v>0.77802551715595192</v>
      </c>
      <c r="N133" s="3">
        <v>5.32</v>
      </c>
      <c r="O133" s="6">
        <v>10.24</v>
      </c>
      <c r="P133" s="4">
        <f t="shared" si="21"/>
        <v>4.92</v>
      </c>
      <c r="Q133">
        <f t="shared" si="18"/>
        <v>23.715704199182458</v>
      </c>
      <c r="R133" s="4">
        <f t="shared" si="19"/>
        <v>19.473870927783974</v>
      </c>
      <c r="S133">
        <f t="shared" si="20"/>
        <v>5.0255150781377995E-2</v>
      </c>
    </row>
    <row r="134" spans="1:19" x14ac:dyDescent="0.35">
      <c r="A134" t="s">
        <v>18</v>
      </c>
      <c r="B134" t="s">
        <v>31</v>
      </c>
      <c r="C134">
        <v>1</v>
      </c>
      <c r="D134">
        <f>((5.5+8+8)*25)</f>
        <v>537.5</v>
      </c>
      <c r="E134">
        <v>1.8</v>
      </c>
      <c r="F134" s="3">
        <v>4.8499999999999996</v>
      </c>
      <c r="G134" s="6">
        <v>457.57</v>
      </c>
      <c r="H134" s="4">
        <f t="shared" si="23"/>
        <v>455.77</v>
      </c>
      <c r="I134" s="6">
        <v>99.31</v>
      </c>
      <c r="J134" s="4">
        <f t="shared" si="24"/>
        <v>94.460000000000008</v>
      </c>
      <c r="K134" s="6">
        <v>24.7</v>
      </c>
      <c r="L134" s="4">
        <f t="shared" si="26"/>
        <v>19.850000000000001</v>
      </c>
      <c r="M134" s="4">
        <f t="shared" si="27"/>
        <v>0.78985814101206864</v>
      </c>
      <c r="N134" s="3">
        <v>5.32</v>
      </c>
      <c r="O134" s="6">
        <v>18.3</v>
      </c>
      <c r="P134" s="4">
        <f t="shared" si="21"/>
        <v>12.98</v>
      </c>
      <c r="Q134">
        <f t="shared" si="18"/>
        <v>62.628568706330718</v>
      </c>
      <c r="R134" s="4">
        <f t="shared" si="19"/>
        <v>33.147786364598751</v>
      </c>
      <c r="S134">
        <f t="shared" si="20"/>
        <v>6.1670300213206977E-2</v>
      </c>
    </row>
    <row r="135" spans="1:19" x14ac:dyDescent="0.35">
      <c r="A135" t="s">
        <v>18</v>
      </c>
      <c r="B135" t="s">
        <v>31</v>
      </c>
      <c r="C135">
        <v>2</v>
      </c>
      <c r="D135">
        <f>(13.5*25)</f>
        <v>337.5</v>
      </c>
      <c r="E135">
        <v>1.8</v>
      </c>
      <c r="F135" s="3">
        <v>4.8499999999999996</v>
      </c>
      <c r="G135" s="6">
        <v>238.76</v>
      </c>
      <c r="H135" s="4">
        <f t="shared" si="23"/>
        <v>236.95999999999998</v>
      </c>
      <c r="I135" s="6">
        <v>54.198999999999998</v>
      </c>
      <c r="J135" s="4">
        <f t="shared" si="24"/>
        <v>49.348999999999997</v>
      </c>
      <c r="K135" s="6">
        <v>16.36</v>
      </c>
      <c r="L135" s="4">
        <f t="shared" si="26"/>
        <v>11.51</v>
      </c>
      <c r="M135" s="4">
        <f t="shared" si="27"/>
        <v>0.76676325761413611</v>
      </c>
      <c r="N135" s="3">
        <v>5.32</v>
      </c>
      <c r="O135" s="6">
        <v>11.69</v>
      </c>
      <c r="P135" s="4">
        <f t="shared" si="21"/>
        <v>6.3699999999999992</v>
      </c>
      <c r="Q135">
        <f t="shared" si="18"/>
        <v>30.586946037407035</v>
      </c>
      <c r="R135" s="4">
        <f t="shared" si="19"/>
        <v>24.68083243834727</v>
      </c>
      <c r="S135">
        <f t="shared" si="20"/>
        <v>7.3128392409917836E-2</v>
      </c>
    </row>
    <row r="136" spans="1:19" x14ac:dyDescent="0.35">
      <c r="A136" t="s">
        <v>18</v>
      </c>
      <c r="B136" t="s">
        <v>31</v>
      </c>
      <c r="C136">
        <v>3</v>
      </c>
      <c r="D136">
        <f>((7.5+11.5)*25)+(3.5*4.9)</f>
        <v>492.15</v>
      </c>
      <c r="E136">
        <v>1.8</v>
      </c>
      <c r="F136" s="3">
        <v>4.8499999999999996</v>
      </c>
      <c r="G136" s="6">
        <v>323.55</v>
      </c>
      <c r="H136" s="4">
        <f t="shared" si="23"/>
        <v>321.75</v>
      </c>
      <c r="I136" s="6">
        <v>69.61</v>
      </c>
      <c r="J136" s="4">
        <f t="shared" si="24"/>
        <v>64.760000000000005</v>
      </c>
      <c r="K136" s="6">
        <v>18.61</v>
      </c>
      <c r="L136" s="4">
        <f t="shared" si="26"/>
        <v>13.76</v>
      </c>
      <c r="M136" s="4">
        <f t="shared" si="27"/>
        <v>0.78752316244595433</v>
      </c>
      <c r="N136" s="3">
        <v>5.32</v>
      </c>
      <c r="O136" s="6">
        <v>13.52</v>
      </c>
      <c r="P136" s="4">
        <f t="shared" si="21"/>
        <v>8.1999999999999993</v>
      </c>
      <c r="Q136">
        <f t="shared" si="18"/>
        <v>40.740426189005547</v>
      </c>
      <c r="R136" s="4">
        <f t="shared" si="19"/>
        <v>27.623996294008649</v>
      </c>
      <c r="S136">
        <f t="shared" si="20"/>
        <v>5.6129221363423042E-2</v>
      </c>
    </row>
    <row r="137" spans="1:19" x14ac:dyDescent="0.35">
      <c r="A137" t="s">
        <v>18</v>
      </c>
      <c r="B137" t="s">
        <v>31</v>
      </c>
      <c r="C137">
        <v>4</v>
      </c>
      <c r="D137">
        <f>((4.5+7+5.5)*25)</f>
        <v>425</v>
      </c>
      <c r="E137">
        <v>1.8</v>
      </c>
      <c r="F137" s="3">
        <v>4.8499999999999996</v>
      </c>
      <c r="G137" s="6">
        <v>338.57</v>
      </c>
      <c r="H137" s="4">
        <f t="shared" si="23"/>
        <v>336.77</v>
      </c>
      <c r="I137" s="6">
        <v>66.58</v>
      </c>
      <c r="J137" s="4">
        <f t="shared" si="24"/>
        <v>61.73</v>
      </c>
      <c r="K137" s="6">
        <v>17.23</v>
      </c>
      <c r="L137" s="4">
        <f t="shared" si="26"/>
        <v>12.38</v>
      </c>
      <c r="M137" s="4">
        <f t="shared" si="27"/>
        <v>0.79944921432042759</v>
      </c>
      <c r="N137" s="3">
        <v>5.32</v>
      </c>
      <c r="O137" s="6">
        <v>11.12</v>
      </c>
      <c r="P137" s="4">
        <f t="shared" si="21"/>
        <v>5.7999999999999989</v>
      </c>
      <c r="Q137">
        <f t="shared" si="18"/>
        <v>31.642086505750843</v>
      </c>
      <c r="R137" s="4">
        <f t="shared" si="19"/>
        <v>35.897401587558761</v>
      </c>
      <c r="S137">
        <f t="shared" si="20"/>
        <v>8.4464474323667674E-2</v>
      </c>
    </row>
    <row r="138" spans="1:19" x14ac:dyDescent="0.35">
      <c r="A138" t="s">
        <v>18</v>
      </c>
      <c r="B138" t="s">
        <v>32</v>
      </c>
      <c r="C138">
        <v>1</v>
      </c>
      <c r="D138">
        <f>((3+5+5)*25)+(8*12.5)+((8.5+3.5)*4.9)</f>
        <v>483.8</v>
      </c>
      <c r="E138">
        <v>1.8</v>
      </c>
      <c r="F138" s="3">
        <v>4.8499999999999996</v>
      </c>
      <c r="G138" s="6">
        <v>445.17</v>
      </c>
      <c r="H138" s="4">
        <f t="shared" si="23"/>
        <v>443.37</v>
      </c>
      <c r="I138" s="6">
        <v>114.06</v>
      </c>
      <c r="J138" s="4">
        <f t="shared" si="24"/>
        <v>109.21000000000001</v>
      </c>
      <c r="K138" s="6">
        <v>53.73</v>
      </c>
      <c r="L138" s="4">
        <f t="shared" si="26"/>
        <v>48.879999999999995</v>
      </c>
      <c r="M138" s="4">
        <f t="shared" si="27"/>
        <v>0.55242193938284045</v>
      </c>
      <c r="N138" s="3">
        <v>5.32</v>
      </c>
      <c r="O138" s="6">
        <v>18.510000000000002</v>
      </c>
      <c r="P138" s="4">
        <f t="shared" si="21"/>
        <v>13.190000000000001</v>
      </c>
      <c r="Q138">
        <f t="shared" si="18"/>
        <v>53.548670451423867</v>
      </c>
      <c r="R138" s="4">
        <f t="shared" si="19"/>
        <v>144.89401428440615</v>
      </c>
      <c r="S138">
        <f t="shared" si="20"/>
        <v>0.29949155494916524</v>
      </c>
    </row>
    <row r="139" spans="1:19" x14ac:dyDescent="0.35">
      <c r="A139" t="s">
        <v>18</v>
      </c>
      <c r="B139" t="s">
        <v>32</v>
      </c>
      <c r="C139">
        <v>2</v>
      </c>
      <c r="D139">
        <f>(11.5*25)+(10*12.5)+(5.5*4.9)</f>
        <v>439.45</v>
      </c>
      <c r="E139">
        <v>1.8</v>
      </c>
      <c r="F139" s="3">
        <v>4.8499999999999996</v>
      </c>
      <c r="G139" s="6">
        <v>512.69000000000005</v>
      </c>
      <c r="H139" s="4">
        <f t="shared" si="23"/>
        <v>510.89000000000004</v>
      </c>
      <c r="I139" s="6">
        <v>143.22999999999999</v>
      </c>
      <c r="J139" s="4">
        <f t="shared" si="24"/>
        <v>138.38</v>
      </c>
      <c r="K139" s="6">
        <v>80.02</v>
      </c>
      <c r="L139" s="4">
        <f t="shared" si="26"/>
        <v>75.17</v>
      </c>
      <c r="M139" s="4">
        <f t="shared" si="27"/>
        <v>0.45678566266801557</v>
      </c>
      <c r="N139" s="3">
        <v>5.32</v>
      </c>
      <c r="O139" s="6">
        <v>14.89</v>
      </c>
      <c r="P139" s="4">
        <f t="shared" si="21"/>
        <v>9.57</v>
      </c>
      <c r="Q139">
        <f t="shared" si="18"/>
        <v>35.331820349761536</v>
      </c>
      <c r="R139" s="4">
        <f t="shared" si="19"/>
        <v>242.19095244977603</v>
      </c>
      <c r="S139">
        <f t="shared" si="20"/>
        <v>0.55112288644846064</v>
      </c>
    </row>
    <row r="140" spans="1:19" x14ac:dyDescent="0.35">
      <c r="A140" t="s">
        <v>18</v>
      </c>
      <c r="B140" t="s">
        <v>32</v>
      </c>
      <c r="C140">
        <v>3</v>
      </c>
      <c r="D140">
        <f>((3.5+3.5)*25)+(7*4.9)</f>
        <v>209.3</v>
      </c>
      <c r="E140">
        <v>1.8</v>
      </c>
      <c r="F140" s="3">
        <v>4.8499999999999996</v>
      </c>
      <c r="G140" s="6">
        <v>210.02</v>
      </c>
      <c r="H140" s="4">
        <f t="shared" si="23"/>
        <v>208.22</v>
      </c>
      <c r="I140" s="6">
        <v>60.63</v>
      </c>
      <c r="J140" s="4">
        <f t="shared" si="24"/>
        <v>55.78</v>
      </c>
      <c r="K140" s="6">
        <v>27.34</v>
      </c>
      <c r="L140" s="4">
        <f t="shared" si="26"/>
        <v>22.490000000000002</v>
      </c>
      <c r="M140" s="4">
        <f t="shared" si="27"/>
        <v>0.59680889207601284</v>
      </c>
      <c r="N140" s="3">
        <v>5.32</v>
      </c>
      <c r="O140" s="6">
        <v>16.86</v>
      </c>
      <c r="P140" s="4">
        <f t="shared" si="21"/>
        <v>11.54</v>
      </c>
      <c r="Q140">
        <f t="shared" si="18"/>
        <v>43.077425600573683</v>
      </c>
      <c r="R140" s="4">
        <f t="shared" si="19"/>
        <v>40.875026891358921</v>
      </c>
      <c r="S140">
        <f t="shared" si="20"/>
        <v>0.19529396508054905</v>
      </c>
    </row>
    <row r="141" spans="1:19" x14ac:dyDescent="0.35">
      <c r="A141" t="s">
        <v>18</v>
      </c>
      <c r="B141" t="s">
        <v>32</v>
      </c>
      <c r="C141">
        <v>4</v>
      </c>
      <c r="D141">
        <f>((3.5+3+5)*25)+(8*12.5)+((5.5+8)*4.9)</f>
        <v>453.65</v>
      </c>
      <c r="E141">
        <v>1.8</v>
      </c>
      <c r="F141" s="3">
        <v>4.8499999999999996</v>
      </c>
      <c r="G141" s="6">
        <v>480.53</v>
      </c>
      <c r="H141" s="4">
        <f t="shared" si="23"/>
        <v>478.72999999999996</v>
      </c>
      <c r="I141" s="6">
        <v>128.01</v>
      </c>
      <c r="J141" s="4">
        <f t="shared" si="24"/>
        <v>123.16</v>
      </c>
      <c r="K141" s="6">
        <v>55.01</v>
      </c>
      <c r="L141" s="4">
        <f t="shared" si="26"/>
        <v>50.16</v>
      </c>
      <c r="M141" s="4">
        <f t="shared" si="27"/>
        <v>0.59272491068528743</v>
      </c>
      <c r="N141" s="3">
        <v>5.32</v>
      </c>
      <c r="O141" s="6">
        <v>24.46</v>
      </c>
      <c r="P141" s="4">
        <f t="shared" si="21"/>
        <v>19.14</v>
      </c>
      <c r="Q141">
        <f t="shared" si="18"/>
        <v>74.398280285807076</v>
      </c>
      <c r="R141" s="4">
        <f t="shared" si="19"/>
        <v>120.57652322182527</v>
      </c>
      <c r="S141">
        <f t="shared" si="20"/>
        <v>0.26579196125168142</v>
      </c>
    </row>
    <row r="142" spans="1:19" x14ac:dyDescent="0.35">
      <c r="A142" t="s">
        <v>18</v>
      </c>
      <c r="B142" t="s">
        <v>10</v>
      </c>
      <c r="C142">
        <v>1</v>
      </c>
      <c r="D142">
        <f>((16.5+19+24)*4.9)+(4*12.5)</f>
        <v>341.55</v>
      </c>
      <c r="E142">
        <v>1.8</v>
      </c>
      <c r="F142" s="3">
        <v>4.8499999999999996</v>
      </c>
      <c r="G142" s="6">
        <v>414.08</v>
      </c>
      <c r="H142" s="4">
        <f t="shared" si="23"/>
        <v>412.28</v>
      </c>
      <c r="I142" s="6">
        <v>116.33</v>
      </c>
      <c r="J142" s="4">
        <f t="shared" si="24"/>
        <v>111.48</v>
      </c>
      <c r="K142" s="6">
        <v>97.02</v>
      </c>
      <c r="L142" s="4">
        <f t="shared" si="26"/>
        <v>92.17</v>
      </c>
      <c r="M142" s="4">
        <f t="shared" si="27"/>
        <v>0.17321492644420525</v>
      </c>
      <c r="N142" s="3">
        <v>5.32</v>
      </c>
      <c r="O142" s="6">
        <v>9.83</v>
      </c>
      <c r="P142" s="4">
        <f t="shared" si="21"/>
        <v>4.51</v>
      </c>
      <c r="Q142">
        <f t="shared" si="18"/>
        <v>16.679070685324721</v>
      </c>
      <c r="R142" s="4">
        <f t="shared" si="19"/>
        <v>324.18787944025831</v>
      </c>
      <c r="S142">
        <f t="shared" si="20"/>
        <v>0.94916667966698376</v>
      </c>
    </row>
    <row r="143" spans="1:19" x14ac:dyDescent="0.35">
      <c r="A143" t="s">
        <v>18</v>
      </c>
      <c r="B143" t="s">
        <v>10</v>
      </c>
      <c r="C143">
        <v>2</v>
      </c>
      <c r="D143">
        <f>((7+9.5+22+9.5)*4.9)+(2*12.5)</f>
        <v>260.20000000000005</v>
      </c>
      <c r="E143">
        <v>1.8</v>
      </c>
      <c r="F143" s="3">
        <v>4.8499999999999996</v>
      </c>
      <c r="G143" s="6">
        <v>261.52</v>
      </c>
      <c r="H143" s="4">
        <f t="shared" si="23"/>
        <v>259.71999999999997</v>
      </c>
      <c r="I143" s="6">
        <v>74.430000000000007</v>
      </c>
      <c r="J143" s="4">
        <f t="shared" si="24"/>
        <v>69.580000000000013</v>
      </c>
      <c r="K143" s="6">
        <v>64.97</v>
      </c>
      <c r="L143" s="4">
        <f t="shared" si="26"/>
        <v>60.12</v>
      </c>
      <c r="M143" s="4">
        <f t="shared" si="27"/>
        <v>0.13595860879563113</v>
      </c>
      <c r="N143" s="3">
        <v>5.32</v>
      </c>
      <c r="O143" s="6">
        <v>9.02</v>
      </c>
      <c r="P143" s="4">
        <f t="shared" si="21"/>
        <v>3.6999999999999993</v>
      </c>
      <c r="Q143">
        <f t="shared" si="18"/>
        <v>13.810922678930721</v>
      </c>
      <c r="R143" s="4">
        <f t="shared" si="19"/>
        <v>210.59790744466792</v>
      </c>
      <c r="S143">
        <f t="shared" si="20"/>
        <v>0.80936935989495729</v>
      </c>
    </row>
    <row r="144" spans="1:19" x14ac:dyDescent="0.35">
      <c r="A144" t="s">
        <v>18</v>
      </c>
      <c r="B144" t="s">
        <v>10</v>
      </c>
      <c r="C144">
        <v>3</v>
      </c>
      <c r="D144">
        <f>25+(4*12.5)+((26+24.5+5)*4.9)</f>
        <v>346.95000000000005</v>
      </c>
      <c r="E144">
        <v>1.8</v>
      </c>
      <c r="F144" s="3">
        <v>4.8499999999999996</v>
      </c>
      <c r="G144" s="6">
        <v>482.63</v>
      </c>
      <c r="H144" s="4">
        <f t="shared" si="23"/>
        <v>480.83</v>
      </c>
      <c r="I144" s="6">
        <v>115.69</v>
      </c>
      <c r="J144" s="4">
        <f t="shared" si="24"/>
        <v>110.84</v>
      </c>
      <c r="K144" s="6">
        <v>84.89</v>
      </c>
      <c r="L144" s="4">
        <f t="shared" si="26"/>
        <v>80.040000000000006</v>
      </c>
      <c r="M144" s="4">
        <f t="shared" si="27"/>
        <v>0.27787802237459397</v>
      </c>
      <c r="N144" s="3">
        <v>5.32</v>
      </c>
      <c r="O144" s="6">
        <v>13.62</v>
      </c>
      <c r="P144" s="4">
        <f t="shared" si="21"/>
        <v>8.2999999999999989</v>
      </c>
      <c r="Q144">
        <f t="shared" si="18"/>
        <v>36.005855286900029</v>
      </c>
      <c r="R144" s="4">
        <f t="shared" si="19"/>
        <v>311.21205521472388</v>
      </c>
      <c r="S144">
        <f t="shared" si="20"/>
        <v>0.89699396228483597</v>
      </c>
    </row>
    <row r="145" spans="1:19" x14ac:dyDescent="0.35">
      <c r="A145" t="s">
        <v>18</v>
      </c>
      <c r="B145" t="s">
        <v>10</v>
      </c>
      <c r="C145">
        <v>4</v>
      </c>
      <c r="D145">
        <f>((19.5+19.5+22)*4.9)+(2*25)</f>
        <v>348.90000000000003</v>
      </c>
      <c r="E145">
        <v>1.8</v>
      </c>
      <c r="F145" s="3">
        <v>4.8499999999999996</v>
      </c>
      <c r="G145" s="6">
        <v>379.83</v>
      </c>
      <c r="H145" s="4">
        <f t="shared" si="23"/>
        <v>378.03</v>
      </c>
      <c r="I145" s="6">
        <v>95.29</v>
      </c>
      <c r="J145" s="4">
        <f t="shared" si="24"/>
        <v>90.440000000000012</v>
      </c>
      <c r="K145" s="6">
        <v>76.989999999999995</v>
      </c>
      <c r="L145" s="4">
        <f t="shared" si="26"/>
        <v>72.14</v>
      </c>
      <c r="M145" s="4">
        <f t="shared" si="27"/>
        <v>0.20234409553295013</v>
      </c>
      <c r="N145" s="3">
        <v>5.32</v>
      </c>
      <c r="O145" s="6">
        <v>15.18</v>
      </c>
      <c r="P145" s="4">
        <f t="shared" si="21"/>
        <v>9.86</v>
      </c>
      <c r="Q145">
        <f t="shared" si="18"/>
        <v>41.213796992481193</v>
      </c>
      <c r="R145" s="4">
        <f t="shared" si="19"/>
        <v>260.32406457319763</v>
      </c>
      <c r="S145">
        <f t="shared" si="20"/>
        <v>0.74612801540039442</v>
      </c>
    </row>
    <row r="146" spans="1:19" x14ac:dyDescent="0.35">
      <c r="A146" t="s">
        <v>19</v>
      </c>
      <c r="B146" t="s">
        <v>9</v>
      </c>
      <c r="C146">
        <v>1</v>
      </c>
      <c r="D146">
        <f>((2+2+4)*25)</f>
        <v>200</v>
      </c>
      <c r="E146">
        <v>1.8</v>
      </c>
      <c r="F146" s="3">
        <v>4.8499999999999996</v>
      </c>
      <c r="G146" s="6">
        <v>30.03</v>
      </c>
      <c r="H146" s="4">
        <f t="shared" si="23"/>
        <v>28.23</v>
      </c>
      <c r="I146" s="6" t="s">
        <v>88</v>
      </c>
      <c r="J146" s="4" t="s">
        <v>88</v>
      </c>
      <c r="K146" s="6" t="s">
        <v>88</v>
      </c>
      <c r="L146" s="4" t="s">
        <v>88</v>
      </c>
      <c r="M146" s="4">
        <v>0</v>
      </c>
      <c r="N146" s="3">
        <v>5.32</v>
      </c>
      <c r="O146" s="6">
        <v>19.95</v>
      </c>
      <c r="P146" s="4">
        <f t="shared" si="21"/>
        <v>14.629999999999999</v>
      </c>
      <c r="Q146" s="4">
        <f>P146</f>
        <v>14.629999999999999</v>
      </c>
      <c r="R146" s="4">
        <f t="shared" ref="R146:R205" si="28">(H146*(1-M146))-Q146</f>
        <v>13.600000000000001</v>
      </c>
      <c r="S146">
        <f t="shared" ref="S146:S201" si="29">R146/D146</f>
        <v>6.8000000000000005E-2</v>
      </c>
    </row>
    <row r="147" spans="1:19" x14ac:dyDescent="0.35">
      <c r="A147" t="s">
        <v>19</v>
      </c>
      <c r="B147" t="s">
        <v>9</v>
      </c>
      <c r="C147">
        <v>2</v>
      </c>
      <c r="D147">
        <f>((5+4.5+3)*25)</f>
        <v>312.5</v>
      </c>
      <c r="E147">
        <v>1.8</v>
      </c>
      <c r="F147" s="3">
        <v>4.8499999999999996</v>
      </c>
      <c r="G147" s="6">
        <v>128.53</v>
      </c>
      <c r="H147" s="4">
        <f t="shared" si="23"/>
        <v>126.73</v>
      </c>
      <c r="I147" s="6">
        <v>32.484999999999999</v>
      </c>
      <c r="J147" s="4">
        <f t="shared" si="24"/>
        <v>27.634999999999998</v>
      </c>
      <c r="K147" s="6">
        <v>13.57</v>
      </c>
      <c r="L147" s="4">
        <f t="shared" si="26"/>
        <v>8.7200000000000006</v>
      </c>
      <c r="M147" s="4">
        <f t="shared" si="27"/>
        <v>0.68445811470960738</v>
      </c>
      <c r="N147" s="3">
        <v>5.32</v>
      </c>
      <c r="O147" s="6">
        <v>8.57</v>
      </c>
      <c r="P147" s="4">
        <f t="shared" ref="P147:P177" si="30">O147-N147</f>
        <v>3.25</v>
      </c>
      <c r="Q147">
        <f t="shared" ref="Q147:Q201" si="31">P147*(1/(J147/H147))</f>
        <v>14.904016645558169</v>
      </c>
      <c r="R147" s="4">
        <f t="shared" si="28"/>
        <v>25.084606477293288</v>
      </c>
      <c r="S147">
        <f t="shared" si="29"/>
        <v>8.027074072733853E-2</v>
      </c>
    </row>
    <row r="148" spans="1:19" x14ac:dyDescent="0.35">
      <c r="A148" t="s">
        <v>19</v>
      </c>
      <c r="B148" t="s">
        <v>9</v>
      </c>
      <c r="C148">
        <v>3</v>
      </c>
      <c r="D148">
        <f>(2+2+3.5)*25</f>
        <v>187.5</v>
      </c>
      <c r="E148">
        <v>1.8</v>
      </c>
      <c r="F148" s="3">
        <v>4.8499999999999996</v>
      </c>
      <c r="G148" s="6">
        <v>27.15</v>
      </c>
      <c r="H148" s="4">
        <f t="shared" si="23"/>
        <v>25.349999999999998</v>
      </c>
      <c r="I148" s="6" t="s">
        <v>88</v>
      </c>
      <c r="J148" s="4" t="s">
        <v>88</v>
      </c>
      <c r="K148" s="6" t="s">
        <v>88</v>
      </c>
      <c r="L148" s="4" t="s">
        <v>88</v>
      </c>
      <c r="M148" s="4">
        <v>0</v>
      </c>
      <c r="N148" s="3">
        <v>5.32</v>
      </c>
      <c r="O148" s="6">
        <v>21.54</v>
      </c>
      <c r="P148" s="4">
        <f t="shared" si="30"/>
        <v>16.22</v>
      </c>
      <c r="Q148" s="4">
        <f>P148</f>
        <v>16.22</v>
      </c>
      <c r="R148" s="4">
        <f t="shared" si="28"/>
        <v>9.129999999999999</v>
      </c>
      <c r="S148">
        <f t="shared" si="29"/>
        <v>4.8693333333333325E-2</v>
      </c>
    </row>
    <row r="149" spans="1:19" x14ac:dyDescent="0.35">
      <c r="A149" t="s">
        <v>19</v>
      </c>
      <c r="B149" t="s">
        <v>9</v>
      </c>
      <c r="C149">
        <v>4</v>
      </c>
      <c r="D149">
        <f>(1.5+4)*25</f>
        <v>137.5</v>
      </c>
      <c r="E149">
        <v>1.8</v>
      </c>
      <c r="F149" s="3">
        <v>4.8499999999999996</v>
      </c>
      <c r="G149" s="6">
        <v>33.21</v>
      </c>
      <c r="H149" s="4">
        <f t="shared" si="23"/>
        <v>31.41</v>
      </c>
      <c r="I149" s="6" t="s">
        <v>88</v>
      </c>
      <c r="J149" s="4" t="s">
        <v>88</v>
      </c>
      <c r="K149" s="6" t="s">
        <v>88</v>
      </c>
      <c r="L149" s="4" t="s">
        <v>88</v>
      </c>
      <c r="M149" s="4">
        <v>0</v>
      </c>
      <c r="N149" s="3">
        <v>5.32</v>
      </c>
      <c r="O149" s="6">
        <v>25.41</v>
      </c>
      <c r="P149" s="4">
        <f t="shared" si="30"/>
        <v>20.09</v>
      </c>
      <c r="Q149" s="4">
        <f>P149</f>
        <v>20.09</v>
      </c>
      <c r="R149" s="4">
        <f t="shared" si="28"/>
        <v>11.32</v>
      </c>
      <c r="S149">
        <f t="shared" si="29"/>
        <v>8.2327272727272735E-2</v>
      </c>
    </row>
    <row r="150" spans="1:19" x14ac:dyDescent="0.35">
      <c r="A150" t="s">
        <v>19</v>
      </c>
      <c r="B150" t="s">
        <v>31</v>
      </c>
      <c r="C150">
        <v>1</v>
      </c>
      <c r="D150">
        <f>((4+8+8)*25)</f>
        <v>500</v>
      </c>
      <c r="E150">
        <v>1.8</v>
      </c>
      <c r="F150" s="3">
        <v>4.8499999999999996</v>
      </c>
      <c r="G150" s="6">
        <v>337.97</v>
      </c>
      <c r="H150" s="4">
        <f t="shared" si="23"/>
        <v>336.17</v>
      </c>
      <c r="I150" s="6">
        <v>85.73</v>
      </c>
      <c r="J150" s="4">
        <f t="shared" si="24"/>
        <v>80.88000000000001</v>
      </c>
      <c r="K150" s="6">
        <v>34.018999999999998</v>
      </c>
      <c r="L150" s="4">
        <f t="shared" si="26"/>
        <v>29.168999999999997</v>
      </c>
      <c r="M150" s="4">
        <f t="shared" si="27"/>
        <v>0.63935459940652828</v>
      </c>
      <c r="N150" s="3">
        <v>5.32</v>
      </c>
      <c r="O150" s="6">
        <v>18.399999999999999</v>
      </c>
      <c r="P150" s="4">
        <f t="shared" si="30"/>
        <v>13.079999999999998</v>
      </c>
      <c r="Q150">
        <f t="shared" si="31"/>
        <v>54.36577151335311</v>
      </c>
      <c r="R150" s="4">
        <f t="shared" si="28"/>
        <v>66.872392804154288</v>
      </c>
      <c r="S150">
        <f t="shared" si="29"/>
        <v>0.13374478560830858</v>
      </c>
    </row>
    <row r="151" spans="1:19" x14ac:dyDescent="0.35">
      <c r="A151" t="s">
        <v>19</v>
      </c>
      <c r="B151" t="s">
        <v>31</v>
      </c>
      <c r="C151">
        <v>2</v>
      </c>
      <c r="D151">
        <f>((9+4+4.5)*25)</f>
        <v>437.5</v>
      </c>
      <c r="E151">
        <v>1.8</v>
      </c>
      <c r="F151" s="3">
        <v>4.8499999999999996</v>
      </c>
      <c r="G151" s="6">
        <v>445.24</v>
      </c>
      <c r="H151" s="4">
        <f t="shared" si="23"/>
        <v>443.44</v>
      </c>
      <c r="I151" s="6">
        <v>110.79</v>
      </c>
      <c r="J151" s="4">
        <f t="shared" si="24"/>
        <v>105.94000000000001</v>
      </c>
      <c r="K151" s="6">
        <v>43.204000000000001</v>
      </c>
      <c r="L151" s="4">
        <f t="shared" si="26"/>
        <v>38.353999999999999</v>
      </c>
      <c r="M151" s="4">
        <f t="shared" si="27"/>
        <v>0.63796488578440635</v>
      </c>
      <c r="N151" s="3">
        <v>5.32</v>
      </c>
      <c r="O151" s="6">
        <v>26.38</v>
      </c>
      <c r="P151" s="4">
        <f t="shared" si="30"/>
        <v>21.06</v>
      </c>
      <c r="Q151">
        <f t="shared" si="31"/>
        <v>88.152222012459873</v>
      </c>
      <c r="R151" s="4">
        <f t="shared" si="28"/>
        <v>72.388629035302984</v>
      </c>
      <c r="S151">
        <f t="shared" si="29"/>
        <v>0.16545972350926397</v>
      </c>
    </row>
    <row r="152" spans="1:19" x14ac:dyDescent="0.35">
      <c r="A152" t="s">
        <v>19</v>
      </c>
      <c r="B152" t="s">
        <v>31</v>
      </c>
      <c r="C152">
        <v>3</v>
      </c>
      <c r="D152">
        <f>(5+7.5+10)*25</f>
        <v>562.5</v>
      </c>
      <c r="E152">
        <v>1.8</v>
      </c>
      <c r="F152" s="3">
        <v>4.8499999999999996</v>
      </c>
      <c r="G152" s="6">
        <v>524.9</v>
      </c>
      <c r="H152" s="4">
        <f t="shared" si="23"/>
        <v>523.1</v>
      </c>
      <c r="I152" s="6">
        <v>141.24</v>
      </c>
      <c r="J152" s="4">
        <f t="shared" si="24"/>
        <v>136.39000000000001</v>
      </c>
      <c r="K152" s="6">
        <v>45.756999999999998</v>
      </c>
      <c r="L152" s="4">
        <f t="shared" si="26"/>
        <v>40.906999999999996</v>
      </c>
      <c r="M152" s="4">
        <f t="shared" si="27"/>
        <v>0.70007331915829607</v>
      </c>
      <c r="N152" s="3">
        <v>5.32</v>
      </c>
      <c r="O152" s="6">
        <v>30.73</v>
      </c>
      <c r="P152" s="4">
        <f t="shared" si="30"/>
        <v>25.41</v>
      </c>
      <c r="Q152">
        <f t="shared" si="31"/>
        <v>97.455612581567564</v>
      </c>
      <c r="R152" s="4">
        <f t="shared" si="28"/>
        <v>59.436034166727765</v>
      </c>
      <c r="S152">
        <f t="shared" si="29"/>
        <v>0.10566406074084936</v>
      </c>
    </row>
    <row r="153" spans="1:19" x14ac:dyDescent="0.35">
      <c r="A153" t="s">
        <v>19</v>
      </c>
      <c r="B153" t="s">
        <v>31</v>
      </c>
      <c r="C153">
        <v>4</v>
      </c>
      <c r="D153">
        <f>((9+6.5+12.5)*25)+(4*12.5)</f>
        <v>750</v>
      </c>
      <c r="E153">
        <v>1.8</v>
      </c>
      <c r="F153" s="3">
        <v>4.8499999999999996</v>
      </c>
      <c r="G153" s="6">
        <v>783.22</v>
      </c>
      <c r="H153" s="4">
        <f t="shared" si="23"/>
        <v>781.42000000000007</v>
      </c>
      <c r="I153" s="6">
        <v>164.62</v>
      </c>
      <c r="J153" s="4">
        <f t="shared" si="24"/>
        <v>159.77000000000001</v>
      </c>
      <c r="K153" s="6">
        <v>63.8</v>
      </c>
      <c r="L153" s="4">
        <f t="shared" si="26"/>
        <v>58.949999999999996</v>
      </c>
      <c r="M153" s="4">
        <f t="shared" si="27"/>
        <v>0.63103210865619341</v>
      </c>
      <c r="N153" s="3">
        <v>5.32</v>
      </c>
      <c r="O153" s="6">
        <v>39.5</v>
      </c>
      <c r="P153" s="4">
        <f t="shared" si="30"/>
        <v>34.18</v>
      </c>
      <c r="Q153">
        <f t="shared" si="31"/>
        <v>167.1711560368029</v>
      </c>
      <c r="R153" s="4">
        <f t="shared" si="28"/>
        <v>121.14773361707446</v>
      </c>
      <c r="S153">
        <f t="shared" si="29"/>
        <v>0.16153031148943262</v>
      </c>
    </row>
    <row r="154" spans="1:19" x14ac:dyDescent="0.35">
      <c r="A154" t="s">
        <v>19</v>
      </c>
      <c r="B154" t="s">
        <v>32</v>
      </c>
      <c r="C154">
        <v>1</v>
      </c>
      <c r="D154">
        <f>(6*25)+(12*12.5)+(7*4.9)</f>
        <v>334.3</v>
      </c>
      <c r="E154">
        <v>1.8</v>
      </c>
      <c r="F154" s="3">
        <v>4.8499999999999996</v>
      </c>
      <c r="G154" s="6">
        <v>295.07</v>
      </c>
      <c r="H154" s="4">
        <f t="shared" si="23"/>
        <v>293.27</v>
      </c>
      <c r="I154" s="6">
        <v>77.540000000000006</v>
      </c>
      <c r="J154" s="4">
        <f t="shared" si="24"/>
        <v>72.690000000000012</v>
      </c>
      <c r="K154" s="6">
        <v>49.41</v>
      </c>
      <c r="L154" s="4">
        <f t="shared" si="26"/>
        <v>44.559999999999995</v>
      </c>
      <c r="M154" s="4">
        <f t="shared" si="27"/>
        <v>0.38698583023799715</v>
      </c>
      <c r="N154" s="3">
        <v>5.32</v>
      </c>
      <c r="O154" s="6">
        <v>22.81</v>
      </c>
      <c r="P154" s="4">
        <f t="shared" si="30"/>
        <v>17.489999999999998</v>
      </c>
      <c r="Q154">
        <f t="shared" si="31"/>
        <v>70.563933140734591</v>
      </c>
      <c r="R154" s="4">
        <f t="shared" si="28"/>
        <v>109.21473242536798</v>
      </c>
      <c r="S154">
        <f t="shared" si="29"/>
        <v>0.32669677662389462</v>
      </c>
    </row>
    <row r="155" spans="1:19" x14ac:dyDescent="0.35">
      <c r="A155" t="s">
        <v>19</v>
      </c>
      <c r="B155" t="s">
        <v>32</v>
      </c>
      <c r="C155">
        <v>2</v>
      </c>
      <c r="D155">
        <f>(10*25)+(8*12.5)+(8.5*4.9)</f>
        <v>391.65</v>
      </c>
      <c r="E155">
        <v>1.8</v>
      </c>
      <c r="F155" s="3">
        <v>4.8499999999999996</v>
      </c>
      <c r="G155" s="6">
        <v>486.18</v>
      </c>
      <c r="H155" s="4">
        <f t="shared" si="23"/>
        <v>484.38</v>
      </c>
      <c r="I155" s="6">
        <v>126.19</v>
      </c>
      <c r="J155" s="4">
        <f t="shared" si="24"/>
        <v>121.34</v>
      </c>
      <c r="K155" s="6">
        <v>77.09</v>
      </c>
      <c r="L155" s="4">
        <f t="shared" si="26"/>
        <v>72.240000000000009</v>
      </c>
      <c r="M155" s="4">
        <f t="shared" si="27"/>
        <v>0.40464809625844728</v>
      </c>
      <c r="N155" s="3">
        <v>5.32</v>
      </c>
      <c r="O155" s="6">
        <v>32.270000000000003</v>
      </c>
      <c r="P155" s="4">
        <f t="shared" si="30"/>
        <v>26.950000000000003</v>
      </c>
      <c r="Q155">
        <f t="shared" si="31"/>
        <v>107.58233888247899</v>
      </c>
      <c r="R155" s="4">
        <f t="shared" si="28"/>
        <v>180.79421625185427</v>
      </c>
      <c r="S155">
        <f t="shared" si="29"/>
        <v>0.4616218977450639</v>
      </c>
    </row>
    <row r="156" spans="1:19" x14ac:dyDescent="0.35">
      <c r="A156" t="s">
        <v>19</v>
      </c>
      <c r="B156" t="s">
        <v>32</v>
      </c>
      <c r="C156">
        <v>3</v>
      </c>
      <c r="D156">
        <f>(9*25)+(12*12.5)+((5.5+7+7.5)*4.9)</f>
        <v>473</v>
      </c>
      <c r="E156">
        <v>1.8</v>
      </c>
      <c r="F156" s="3">
        <v>4.8499999999999996</v>
      </c>
      <c r="G156" s="6">
        <v>646.02</v>
      </c>
      <c r="H156" s="4">
        <f t="shared" si="23"/>
        <v>644.22</v>
      </c>
      <c r="I156" s="6">
        <v>160.81</v>
      </c>
      <c r="J156" s="4">
        <f t="shared" si="24"/>
        <v>155.96</v>
      </c>
      <c r="K156" s="6">
        <v>110.95</v>
      </c>
      <c r="L156" s="4">
        <f t="shared" si="26"/>
        <v>106.10000000000001</v>
      </c>
      <c r="M156" s="4">
        <f t="shared" si="27"/>
        <v>0.31969735829699919</v>
      </c>
      <c r="N156" s="3">
        <v>5.32</v>
      </c>
      <c r="O156" s="6">
        <v>27.55</v>
      </c>
      <c r="P156" s="4">
        <f t="shared" si="30"/>
        <v>22.23</v>
      </c>
      <c r="Q156">
        <f t="shared" si="31"/>
        <v>91.824894844832002</v>
      </c>
      <c r="R156" s="4">
        <f t="shared" si="28"/>
        <v>346.43967299307519</v>
      </c>
      <c r="S156">
        <f t="shared" si="29"/>
        <v>0.7324305982940279</v>
      </c>
    </row>
    <row r="157" spans="1:19" x14ac:dyDescent="0.35">
      <c r="A157" t="s">
        <v>19</v>
      </c>
      <c r="B157" t="s">
        <v>32</v>
      </c>
      <c r="C157">
        <v>4</v>
      </c>
      <c r="D157">
        <f>((10+12+11.5)*4.9)+(4.5*25)+(8*12.5)</f>
        <v>376.65</v>
      </c>
      <c r="E157">
        <v>1.8</v>
      </c>
      <c r="F157" s="3">
        <v>4.8499999999999996</v>
      </c>
      <c r="G157" s="6">
        <v>385.76</v>
      </c>
      <c r="H157" s="4">
        <f t="shared" si="23"/>
        <v>383.96</v>
      </c>
      <c r="I157" s="6">
        <v>110.55</v>
      </c>
      <c r="J157" s="4">
        <f t="shared" si="24"/>
        <v>105.7</v>
      </c>
      <c r="K157" s="6">
        <v>88.1</v>
      </c>
      <c r="L157" s="4">
        <f t="shared" si="26"/>
        <v>83.25</v>
      </c>
      <c r="M157" s="4">
        <f t="shared" si="27"/>
        <v>0.21239356669820247</v>
      </c>
      <c r="N157" s="3">
        <v>5.32</v>
      </c>
      <c r="O157" s="6">
        <v>25.23</v>
      </c>
      <c r="P157" s="4">
        <f t="shared" si="30"/>
        <v>19.91</v>
      </c>
      <c r="Q157">
        <f t="shared" si="31"/>
        <v>72.323969725638591</v>
      </c>
      <c r="R157" s="4">
        <f t="shared" si="28"/>
        <v>230.08539640491958</v>
      </c>
      <c r="S157">
        <f t="shared" si="29"/>
        <v>0.61087321493407565</v>
      </c>
    </row>
    <row r="158" spans="1:19" x14ac:dyDescent="0.35">
      <c r="A158" t="s">
        <v>19</v>
      </c>
      <c r="B158" t="s">
        <v>10</v>
      </c>
      <c r="C158">
        <v>1</v>
      </c>
      <c r="D158">
        <f>10*4.9</f>
        <v>49</v>
      </c>
      <c r="E158">
        <v>1.8</v>
      </c>
      <c r="F158" s="3">
        <v>4.8499999999999996</v>
      </c>
      <c r="G158" s="6">
        <v>47.05</v>
      </c>
      <c r="H158" s="4">
        <f t="shared" si="23"/>
        <v>45.25</v>
      </c>
      <c r="I158" s="6" t="s">
        <v>88</v>
      </c>
      <c r="J158" s="4" t="s">
        <v>88</v>
      </c>
      <c r="K158" s="6" t="s">
        <v>88</v>
      </c>
      <c r="L158" s="4" t="s">
        <v>88</v>
      </c>
      <c r="M158" s="4">
        <v>0</v>
      </c>
      <c r="N158" s="3">
        <v>5.32</v>
      </c>
      <c r="O158" s="6">
        <v>16.11</v>
      </c>
      <c r="P158" s="4">
        <f t="shared" si="30"/>
        <v>10.79</v>
      </c>
      <c r="Q158" s="4">
        <f>P158</f>
        <v>10.79</v>
      </c>
      <c r="R158" s="4">
        <f t="shared" si="28"/>
        <v>34.46</v>
      </c>
      <c r="S158">
        <f t="shared" si="29"/>
        <v>0.70326530612244897</v>
      </c>
    </row>
    <row r="159" spans="1:19" x14ac:dyDescent="0.35">
      <c r="A159" t="s">
        <v>19</v>
      </c>
      <c r="B159" t="s">
        <v>10</v>
      </c>
      <c r="C159">
        <v>2</v>
      </c>
      <c r="D159">
        <f>(8+9+7)*4.9</f>
        <v>117.60000000000001</v>
      </c>
      <c r="E159">
        <v>1.8</v>
      </c>
      <c r="F159" s="3">
        <v>4.8499999999999996</v>
      </c>
      <c r="G159" s="6">
        <v>128.97999999999999</v>
      </c>
      <c r="H159" s="4">
        <f t="shared" si="23"/>
        <v>127.17999999999999</v>
      </c>
      <c r="I159" s="6" t="s">
        <v>88</v>
      </c>
      <c r="J159" s="4" t="s">
        <v>88</v>
      </c>
      <c r="K159" s="6" t="s">
        <v>88</v>
      </c>
      <c r="L159" s="4" t="s">
        <v>88</v>
      </c>
      <c r="M159" s="4">
        <v>0</v>
      </c>
      <c r="N159" s="3">
        <v>5.32</v>
      </c>
      <c r="O159" s="6">
        <v>29.42</v>
      </c>
      <c r="P159" s="4">
        <f t="shared" si="30"/>
        <v>24.1</v>
      </c>
      <c r="Q159" s="4">
        <f>P159</f>
        <v>24.1</v>
      </c>
      <c r="R159" s="4">
        <f t="shared" si="28"/>
        <v>103.07999999999998</v>
      </c>
      <c r="S159">
        <f t="shared" si="29"/>
        <v>0.87653061224489781</v>
      </c>
    </row>
    <row r="160" spans="1:19" x14ac:dyDescent="0.35">
      <c r="A160" t="s">
        <v>19</v>
      </c>
      <c r="B160" t="s">
        <v>10</v>
      </c>
      <c r="C160">
        <v>3</v>
      </c>
      <c r="D160">
        <f>(12+7.5)*4.9</f>
        <v>95.550000000000011</v>
      </c>
      <c r="E160">
        <v>1.8</v>
      </c>
      <c r="F160" s="3">
        <v>4.8499999999999996</v>
      </c>
      <c r="G160" s="6">
        <v>79.97</v>
      </c>
      <c r="H160" s="4">
        <f t="shared" si="23"/>
        <v>78.17</v>
      </c>
      <c r="I160" s="6" t="s">
        <v>88</v>
      </c>
      <c r="J160" s="4" t="s">
        <v>88</v>
      </c>
      <c r="K160" s="6" t="s">
        <v>88</v>
      </c>
      <c r="L160" s="4" t="s">
        <v>88</v>
      </c>
      <c r="M160" s="4">
        <v>0</v>
      </c>
      <c r="N160" s="3">
        <v>5.32</v>
      </c>
      <c r="O160" s="6">
        <v>7.94</v>
      </c>
      <c r="P160" s="4">
        <f t="shared" si="30"/>
        <v>2.62</v>
      </c>
      <c r="Q160" s="4">
        <f t="shared" ref="Q160:Q161" si="32">P160</f>
        <v>2.62</v>
      </c>
      <c r="R160" s="4">
        <f t="shared" si="28"/>
        <v>75.55</v>
      </c>
      <c r="S160">
        <f t="shared" si="29"/>
        <v>0.79068550497121914</v>
      </c>
    </row>
    <row r="161" spans="1:19" x14ac:dyDescent="0.35">
      <c r="A161" t="s">
        <v>19</v>
      </c>
      <c r="B161" t="s">
        <v>10</v>
      </c>
      <c r="C161">
        <v>4</v>
      </c>
      <c r="D161">
        <f>(2.5+4+1)*4.9</f>
        <v>36.75</v>
      </c>
      <c r="E161">
        <v>1.8</v>
      </c>
      <c r="F161" s="3">
        <v>4.8499999999999996</v>
      </c>
      <c r="G161" s="6">
        <v>29.48</v>
      </c>
      <c r="H161" s="4">
        <f t="shared" si="23"/>
        <v>27.68</v>
      </c>
      <c r="I161" s="6" t="s">
        <v>88</v>
      </c>
      <c r="J161" s="4" t="s">
        <v>88</v>
      </c>
      <c r="K161" s="6" t="s">
        <v>88</v>
      </c>
      <c r="L161" s="4" t="s">
        <v>88</v>
      </c>
      <c r="M161" s="4">
        <v>0</v>
      </c>
      <c r="N161" s="3">
        <v>5.32</v>
      </c>
      <c r="O161" s="6">
        <v>7.45</v>
      </c>
      <c r="P161" s="4">
        <f t="shared" si="30"/>
        <v>2.13</v>
      </c>
      <c r="Q161" s="4">
        <f t="shared" si="32"/>
        <v>2.13</v>
      </c>
      <c r="R161" s="4">
        <f t="shared" si="28"/>
        <v>25.55</v>
      </c>
      <c r="S161">
        <f t="shared" si="29"/>
        <v>0.69523809523809521</v>
      </c>
    </row>
    <row r="162" spans="1:19" x14ac:dyDescent="0.35">
      <c r="A162" t="s">
        <v>20</v>
      </c>
      <c r="B162" t="s">
        <v>9</v>
      </c>
      <c r="C162">
        <v>1</v>
      </c>
      <c r="D162">
        <f>11*25</f>
        <v>275</v>
      </c>
      <c r="E162">
        <v>1.8</v>
      </c>
      <c r="F162" s="3">
        <v>4.8499999999999996</v>
      </c>
      <c r="G162">
        <v>32.701000000000001</v>
      </c>
      <c r="H162" s="4">
        <f t="shared" si="23"/>
        <v>30.901</v>
      </c>
      <c r="I162">
        <v>10.394</v>
      </c>
      <c r="J162" s="4">
        <f t="shared" si="24"/>
        <v>5.5440000000000005</v>
      </c>
      <c r="K162">
        <v>10.303000000000001</v>
      </c>
      <c r="L162" s="4">
        <f t="shared" si="26"/>
        <v>5.4530000000000012</v>
      </c>
      <c r="M162" s="4">
        <f t="shared" si="27"/>
        <v>1.6414141414141287E-2</v>
      </c>
      <c r="N162" s="3">
        <v>5.32</v>
      </c>
      <c r="O162">
        <v>9.3439999999999994</v>
      </c>
      <c r="P162" s="4">
        <f t="shared" si="30"/>
        <v>4.0239999999999991</v>
      </c>
      <c r="Q162">
        <f t="shared" si="31"/>
        <v>22.428864357864349</v>
      </c>
      <c r="R162" s="4">
        <f t="shared" si="28"/>
        <v>7.9649222582972712</v>
      </c>
      <c r="S162">
        <f t="shared" si="29"/>
        <v>2.8963353666535532E-2</v>
      </c>
    </row>
    <row r="163" spans="1:19" x14ac:dyDescent="0.35">
      <c r="A163" t="s">
        <v>20</v>
      </c>
      <c r="B163" t="s">
        <v>9</v>
      </c>
      <c r="C163">
        <v>2</v>
      </c>
      <c r="D163">
        <f>7*25</f>
        <v>175</v>
      </c>
      <c r="E163">
        <v>1.8</v>
      </c>
      <c r="F163" s="3">
        <v>4.8499999999999996</v>
      </c>
      <c r="G163">
        <v>29.379000000000001</v>
      </c>
      <c r="H163" s="4">
        <f t="shared" ref="H163:H226" si="33">G163-E163</f>
        <v>27.579000000000001</v>
      </c>
      <c r="I163">
        <v>9.7460000000000004</v>
      </c>
      <c r="J163" s="4">
        <f t="shared" ref="J163:J226" si="34">I163-F163</f>
        <v>4.8960000000000008</v>
      </c>
      <c r="K163">
        <v>9.6690000000000005</v>
      </c>
      <c r="L163" s="4">
        <f t="shared" si="26"/>
        <v>4.8190000000000008</v>
      </c>
      <c r="M163" s="4">
        <f t="shared" si="27"/>
        <v>1.5727124183006525E-2</v>
      </c>
      <c r="N163" s="3">
        <v>5.32</v>
      </c>
      <c r="O163">
        <v>8.2590000000000003</v>
      </c>
      <c r="P163" s="4">
        <f t="shared" si="30"/>
        <v>2.9390000000000001</v>
      </c>
      <c r="Q163">
        <f t="shared" si="31"/>
        <v>16.555286151960786</v>
      </c>
      <c r="R163" s="4">
        <f t="shared" si="28"/>
        <v>10.589975490196078</v>
      </c>
      <c r="S163">
        <f t="shared" si="29"/>
        <v>6.0514145658263303E-2</v>
      </c>
    </row>
    <row r="164" spans="1:19" x14ac:dyDescent="0.35">
      <c r="A164" t="s">
        <v>20</v>
      </c>
      <c r="B164" t="s">
        <v>9</v>
      </c>
      <c r="C164">
        <v>3</v>
      </c>
      <c r="D164">
        <f>8*25</f>
        <v>200</v>
      </c>
      <c r="E164">
        <v>1.8</v>
      </c>
      <c r="F164" s="3">
        <v>4.8499999999999996</v>
      </c>
      <c r="G164">
        <v>27.004000000000001</v>
      </c>
      <c r="H164" s="4">
        <f t="shared" si="33"/>
        <v>25.204000000000001</v>
      </c>
      <c r="I164">
        <v>9.7789999999999999</v>
      </c>
      <c r="J164" s="4">
        <f t="shared" si="34"/>
        <v>4.9290000000000003</v>
      </c>
      <c r="K164">
        <v>9.718</v>
      </c>
      <c r="L164" s="4">
        <f t="shared" si="26"/>
        <v>4.8680000000000003</v>
      </c>
      <c r="M164" s="4">
        <f t="shared" si="27"/>
        <v>1.2375735443294773E-2</v>
      </c>
      <c r="N164" s="3">
        <v>5.32</v>
      </c>
      <c r="O164">
        <v>8.7460000000000004</v>
      </c>
      <c r="P164" s="4">
        <f t="shared" si="30"/>
        <v>3.4260000000000002</v>
      </c>
      <c r="Q164">
        <f t="shared" si="31"/>
        <v>17.518544126597686</v>
      </c>
      <c r="R164" s="4">
        <f t="shared" si="28"/>
        <v>7.3735378372895148</v>
      </c>
      <c r="S164">
        <f t="shared" si="29"/>
        <v>3.6867689186447575E-2</v>
      </c>
    </row>
    <row r="165" spans="1:19" x14ac:dyDescent="0.35">
      <c r="A165" t="s">
        <v>20</v>
      </c>
      <c r="B165" t="s">
        <v>9</v>
      </c>
      <c r="C165">
        <v>4</v>
      </c>
      <c r="D165">
        <f>9.5*25</f>
        <v>237.5</v>
      </c>
      <c r="E165">
        <v>1.8</v>
      </c>
      <c r="F165" s="3">
        <v>4.8499999999999996</v>
      </c>
      <c r="G165">
        <v>36.106000000000002</v>
      </c>
      <c r="H165" s="4">
        <f t="shared" si="33"/>
        <v>34.306000000000004</v>
      </c>
      <c r="I165">
        <v>12.122</v>
      </c>
      <c r="J165" s="4">
        <f t="shared" si="34"/>
        <v>7.2720000000000002</v>
      </c>
      <c r="K165">
        <v>11.968999999999999</v>
      </c>
      <c r="L165" s="4">
        <f t="shared" si="26"/>
        <v>7.1189999999999998</v>
      </c>
      <c r="M165" s="4">
        <f t="shared" si="27"/>
        <v>2.1039603960396103E-2</v>
      </c>
      <c r="N165" s="3">
        <v>5.32</v>
      </c>
      <c r="O165">
        <v>8.7390000000000008</v>
      </c>
      <c r="P165" s="4">
        <f t="shared" si="30"/>
        <v>3.4190000000000005</v>
      </c>
      <c r="Q165">
        <f t="shared" si="31"/>
        <v>16.129292354235428</v>
      </c>
      <c r="R165" s="4">
        <f t="shared" si="28"/>
        <v>17.454922992299228</v>
      </c>
      <c r="S165">
        <f t="shared" si="29"/>
        <v>7.3494412599154638E-2</v>
      </c>
    </row>
    <row r="166" spans="1:19" x14ac:dyDescent="0.35">
      <c r="A166" t="s">
        <v>20</v>
      </c>
      <c r="B166" t="s">
        <v>31</v>
      </c>
      <c r="C166">
        <v>1</v>
      </c>
      <c r="D166">
        <f>(4+9+4.5)*25</f>
        <v>437.5</v>
      </c>
      <c r="E166">
        <v>1.8</v>
      </c>
      <c r="F166" s="3">
        <v>4.8499999999999996</v>
      </c>
      <c r="G166">
        <f>246.55+(166.08-4.85)</f>
        <v>407.78000000000003</v>
      </c>
      <c r="H166" s="4">
        <f t="shared" si="33"/>
        <v>405.98</v>
      </c>
      <c r="I166">
        <v>106.59</v>
      </c>
      <c r="J166" s="4">
        <f t="shared" si="34"/>
        <v>101.74000000000001</v>
      </c>
      <c r="K166">
        <v>60.45</v>
      </c>
      <c r="L166" s="4">
        <f t="shared" si="26"/>
        <v>55.6</v>
      </c>
      <c r="M166" s="4">
        <f t="shared" si="27"/>
        <v>0.45350894436799688</v>
      </c>
      <c r="N166" s="3">
        <v>5.32</v>
      </c>
      <c r="O166">
        <v>27.013000000000002</v>
      </c>
      <c r="P166" s="4">
        <f t="shared" si="30"/>
        <v>21.693000000000001</v>
      </c>
      <c r="Q166">
        <f t="shared" si="31"/>
        <v>86.563044426970706</v>
      </c>
      <c r="R166" s="4">
        <f t="shared" si="28"/>
        <v>135.30139433850991</v>
      </c>
      <c r="S166">
        <f t="shared" si="29"/>
        <v>0.30926032991659408</v>
      </c>
    </row>
    <row r="167" spans="1:19" x14ac:dyDescent="0.35">
      <c r="A167" t="s">
        <v>20</v>
      </c>
      <c r="B167" t="s">
        <v>31</v>
      </c>
      <c r="C167">
        <v>2</v>
      </c>
      <c r="D167">
        <f>(11.5+4.5+3)*25</f>
        <v>475</v>
      </c>
      <c r="E167">
        <v>1.8</v>
      </c>
      <c r="F167" s="3">
        <v>4.8499999999999996</v>
      </c>
      <c r="G167">
        <v>180.29</v>
      </c>
      <c r="H167" s="4">
        <f t="shared" si="33"/>
        <v>178.48999999999998</v>
      </c>
      <c r="I167">
        <v>48.359000000000002</v>
      </c>
      <c r="J167" s="4">
        <f t="shared" si="34"/>
        <v>43.509</v>
      </c>
      <c r="K167">
        <v>27.648</v>
      </c>
      <c r="L167" s="4">
        <f t="shared" si="26"/>
        <v>22.798000000000002</v>
      </c>
      <c r="M167" s="4">
        <f t="shared" si="27"/>
        <v>0.47601645636534967</v>
      </c>
      <c r="N167" s="3">
        <v>5.32</v>
      </c>
      <c r="O167">
        <v>19.917000000000002</v>
      </c>
      <c r="P167" s="4">
        <f t="shared" si="30"/>
        <v>14.597000000000001</v>
      </c>
      <c r="Q167">
        <f t="shared" si="31"/>
        <v>59.882289411386139</v>
      </c>
      <c r="R167" s="4">
        <f t="shared" si="28"/>
        <v>33.643533291962584</v>
      </c>
      <c r="S167">
        <f t="shared" si="29"/>
        <v>7.0828491140973865E-2</v>
      </c>
    </row>
    <row r="168" spans="1:19" x14ac:dyDescent="0.35">
      <c r="A168" t="s">
        <v>20</v>
      </c>
      <c r="B168" t="s">
        <v>31</v>
      </c>
      <c r="C168">
        <v>3</v>
      </c>
      <c r="D168">
        <f>(4.5+5.5+4)*25</f>
        <v>350</v>
      </c>
      <c r="E168">
        <v>1.8</v>
      </c>
      <c r="F168" s="3">
        <v>4.8499999999999996</v>
      </c>
      <c r="G168">
        <f>298.89+(88.9-4.85)</f>
        <v>382.94</v>
      </c>
      <c r="H168" s="4">
        <f t="shared" si="33"/>
        <v>381.14</v>
      </c>
      <c r="I168">
        <v>99.94</v>
      </c>
      <c r="J168" s="4">
        <f t="shared" si="34"/>
        <v>95.09</v>
      </c>
      <c r="K168">
        <v>57.726999999999997</v>
      </c>
      <c r="L168" s="4">
        <f t="shared" si="26"/>
        <v>52.876999999999995</v>
      </c>
      <c r="M168" s="4">
        <f t="shared" si="27"/>
        <v>0.44392680618361557</v>
      </c>
      <c r="N168" s="3">
        <v>5.32</v>
      </c>
      <c r="O168">
        <v>20.606000000000002</v>
      </c>
      <c r="P168" s="4">
        <f t="shared" si="30"/>
        <v>15.286000000000001</v>
      </c>
      <c r="Q168">
        <f t="shared" si="31"/>
        <v>61.269387317278365</v>
      </c>
      <c r="R168" s="4">
        <f t="shared" si="28"/>
        <v>150.67234977389839</v>
      </c>
      <c r="S168">
        <f t="shared" si="29"/>
        <v>0.43049242792542397</v>
      </c>
    </row>
    <row r="169" spans="1:19" x14ac:dyDescent="0.35">
      <c r="A169" t="s">
        <v>20</v>
      </c>
      <c r="B169" t="s">
        <v>31</v>
      </c>
      <c r="C169">
        <v>4</v>
      </c>
      <c r="D169">
        <f>(2.5+5.5+5.5)*25</f>
        <v>337.5</v>
      </c>
      <c r="E169">
        <v>1.8</v>
      </c>
      <c r="F169" s="3">
        <v>4.8499999999999996</v>
      </c>
      <c r="G169">
        <f>214.93+(107.69-4.85)</f>
        <v>317.77</v>
      </c>
      <c r="H169" s="4">
        <f t="shared" si="33"/>
        <v>315.96999999999997</v>
      </c>
      <c r="I169">
        <v>70.239999999999995</v>
      </c>
      <c r="J169" s="4">
        <f t="shared" si="34"/>
        <v>65.39</v>
      </c>
      <c r="K169">
        <v>35.683</v>
      </c>
      <c r="L169" s="4">
        <f t="shared" si="26"/>
        <v>30.832999999999998</v>
      </c>
      <c r="M169" s="4">
        <f t="shared" si="27"/>
        <v>0.52847530203395021</v>
      </c>
      <c r="N169" s="3">
        <v>5.32</v>
      </c>
      <c r="O169">
        <v>21.143999999999998</v>
      </c>
      <c r="P169" s="4">
        <f t="shared" si="30"/>
        <v>15.823999999999998</v>
      </c>
      <c r="Q169">
        <f t="shared" si="31"/>
        <v>76.462903807921691</v>
      </c>
      <c r="R169" s="4">
        <f t="shared" si="28"/>
        <v>72.524755008411034</v>
      </c>
      <c r="S169">
        <f t="shared" si="29"/>
        <v>0.21488816298788455</v>
      </c>
    </row>
    <row r="170" spans="1:19" x14ac:dyDescent="0.35">
      <c r="A170" t="s">
        <v>20</v>
      </c>
      <c r="B170" t="s">
        <v>32</v>
      </c>
      <c r="C170">
        <v>1</v>
      </c>
      <c r="D170">
        <v>0</v>
      </c>
      <c r="E170">
        <v>1.8</v>
      </c>
      <c r="F170" s="3">
        <v>4.8499999999999996</v>
      </c>
      <c r="G170" t="s">
        <v>89</v>
      </c>
      <c r="H170" t="s">
        <v>89</v>
      </c>
      <c r="I170" t="s">
        <v>89</v>
      </c>
      <c r="J170" t="s">
        <v>89</v>
      </c>
      <c r="K170" t="s">
        <v>89</v>
      </c>
      <c r="L170" t="s">
        <v>89</v>
      </c>
      <c r="M170" t="s">
        <v>89</v>
      </c>
      <c r="N170" t="s">
        <v>89</v>
      </c>
      <c r="O170" t="s">
        <v>89</v>
      </c>
      <c r="P170" t="s">
        <v>89</v>
      </c>
      <c r="Q170" t="s">
        <v>89</v>
      </c>
      <c r="R170" t="s">
        <v>89</v>
      </c>
      <c r="S170" t="s">
        <v>89</v>
      </c>
    </row>
    <row r="171" spans="1:19" x14ac:dyDescent="0.35">
      <c r="A171" t="s">
        <v>20</v>
      </c>
      <c r="B171" t="s">
        <v>32</v>
      </c>
      <c r="C171">
        <v>2</v>
      </c>
      <c r="D171">
        <f>(5+7.5+6+3)*25</f>
        <v>537.5</v>
      </c>
      <c r="E171">
        <v>1.8</v>
      </c>
      <c r="F171" s="3">
        <v>4.8499999999999996</v>
      </c>
      <c r="G171">
        <f>251.63+(140.92-4.85)</f>
        <v>387.7</v>
      </c>
      <c r="H171" s="4">
        <f t="shared" si="33"/>
        <v>385.9</v>
      </c>
      <c r="I171">
        <v>80.48</v>
      </c>
      <c r="J171" s="4">
        <f t="shared" si="34"/>
        <v>75.63000000000001</v>
      </c>
      <c r="K171">
        <v>62.68</v>
      </c>
      <c r="L171" s="4">
        <f t="shared" si="26"/>
        <v>57.83</v>
      </c>
      <c r="M171" s="4">
        <f t="shared" si="27"/>
        <v>0.23535634007668926</v>
      </c>
      <c r="N171" s="3">
        <v>5.32</v>
      </c>
      <c r="O171">
        <v>14.821</v>
      </c>
      <c r="P171" s="4">
        <f t="shared" si="30"/>
        <v>9.5009999999999994</v>
      </c>
      <c r="Q171">
        <f t="shared" si="31"/>
        <v>48.478591828639416</v>
      </c>
      <c r="R171" s="4">
        <f t="shared" si="28"/>
        <v>246.59739653576617</v>
      </c>
      <c r="S171">
        <f t="shared" si="29"/>
        <v>0.45878585402003008</v>
      </c>
    </row>
    <row r="172" spans="1:19" x14ac:dyDescent="0.35">
      <c r="A172" t="s">
        <v>20</v>
      </c>
      <c r="B172" t="s">
        <v>32</v>
      </c>
      <c r="C172">
        <v>3</v>
      </c>
      <c r="D172">
        <f>((8.5+5)*25)</f>
        <v>337.5</v>
      </c>
      <c r="E172">
        <v>1.8</v>
      </c>
      <c r="F172" s="3">
        <v>4.8499999999999996</v>
      </c>
      <c r="G172">
        <v>286.94</v>
      </c>
      <c r="H172" s="4">
        <f t="shared" si="33"/>
        <v>285.14</v>
      </c>
      <c r="I172">
        <v>68.64</v>
      </c>
      <c r="J172" s="4">
        <f t="shared" si="34"/>
        <v>63.79</v>
      </c>
      <c r="K172">
        <v>60.73</v>
      </c>
      <c r="L172" s="4">
        <f t="shared" si="26"/>
        <v>55.879999999999995</v>
      </c>
      <c r="M172" s="4">
        <f t="shared" si="27"/>
        <v>0.12400062705753259</v>
      </c>
      <c r="N172" s="3">
        <v>5.32</v>
      </c>
      <c r="O172">
        <v>11.557</v>
      </c>
      <c r="P172" s="4">
        <f t="shared" si="30"/>
        <v>6.2370000000000001</v>
      </c>
      <c r="Q172">
        <f t="shared" si="31"/>
        <v>27.879262893870514</v>
      </c>
      <c r="R172" s="4">
        <f t="shared" si="28"/>
        <v>221.90319830694466</v>
      </c>
      <c r="S172">
        <f t="shared" si="29"/>
        <v>0.6574909579465027</v>
      </c>
    </row>
    <row r="173" spans="1:19" x14ac:dyDescent="0.35">
      <c r="A173" t="s">
        <v>20</v>
      </c>
      <c r="B173" t="s">
        <v>32</v>
      </c>
      <c r="C173">
        <v>4</v>
      </c>
      <c r="D173">
        <f>3*25</f>
        <v>75</v>
      </c>
      <c r="E173">
        <v>1.8</v>
      </c>
      <c r="F173" s="3">
        <v>4.8499999999999996</v>
      </c>
      <c r="G173">
        <v>56.972000000000001</v>
      </c>
      <c r="H173" s="4">
        <f t="shared" si="33"/>
        <v>55.172000000000004</v>
      </c>
      <c r="I173">
        <v>15.855</v>
      </c>
      <c r="J173" s="4">
        <f t="shared" si="34"/>
        <v>11.005000000000001</v>
      </c>
      <c r="K173">
        <v>15.782999999999999</v>
      </c>
      <c r="L173" s="4">
        <f t="shared" si="26"/>
        <v>10.933</v>
      </c>
      <c r="M173" s="4">
        <f t="shared" si="27"/>
        <v>6.54248069059527E-3</v>
      </c>
      <c r="N173" s="3">
        <v>5.32</v>
      </c>
      <c r="O173">
        <v>11.56</v>
      </c>
      <c r="P173" s="4">
        <f t="shared" si="30"/>
        <v>6.24</v>
      </c>
      <c r="Q173">
        <f t="shared" si="31"/>
        <v>31.283351203998183</v>
      </c>
      <c r="R173" s="4">
        <f t="shared" si="28"/>
        <v>23.527687051340298</v>
      </c>
      <c r="S173">
        <f t="shared" si="29"/>
        <v>0.31370249401787065</v>
      </c>
    </row>
    <row r="174" spans="1:19" x14ac:dyDescent="0.35">
      <c r="A174" t="s">
        <v>20</v>
      </c>
      <c r="B174" t="s">
        <v>10</v>
      </c>
      <c r="C174">
        <v>1</v>
      </c>
      <c r="D174">
        <f>50+(6*12.5)</f>
        <v>125</v>
      </c>
      <c r="E174">
        <v>1.8</v>
      </c>
      <c r="F174" s="3">
        <v>4.8499999999999996</v>
      </c>
      <c r="G174">
        <v>107.29</v>
      </c>
      <c r="H174" s="4">
        <f t="shared" si="33"/>
        <v>105.49000000000001</v>
      </c>
      <c r="I174">
        <v>31.309000000000001</v>
      </c>
      <c r="J174" s="4">
        <f t="shared" si="34"/>
        <v>26.459000000000003</v>
      </c>
      <c r="K174">
        <v>31.146999999999998</v>
      </c>
      <c r="L174" s="4">
        <f t="shared" si="26"/>
        <v>26.296999999999997</v>
      </c>
      <c r="M174" s="4">
        <f t="shared" si="27"/>
        <v>6.1226803734081457E-3</v>
      </c>
      <c r="N174" s="3">
        <v>5.32</v>
      </c>
      <c r="O174">
        <v>10.641</v>
      </c>
      <c r="P174" s="4">
        <f t="shared" si="30"/>
        <v>5.3209999999999997</v>
      </c>
      <c r="Q174">
        <f t="shared" si="31"/>
        <v>21.21441815639291</v>
      </c>
      <c r="R174" s="4">
        <f t="shared" si="28"/>
        <v>83.629700291016277</v>
      </c>
      <c r="S174">
        <f t="shared" si="29"/>
        <v>0.66903760232813025</v>
      </c>
    </row>
    <row r="175" spans="1:19" x14ac:dyDescent="0.35">
      <c r="A175" t="s">
        <v>20</v>
      </c>
      <c r="B175" t="s">
        <v>10</v>
      </c>
      <c r="C175">
        <v>2</v>
      </c>
      <c r="D175">
        <f>11*12.5</f>
        <v>137.5</v>
      </c>
      <c r="E175">
        <v>1.8</v>
      </c>
      <c r="F175" s="3">
        <v>4.8499999999999996</v>
      </c>
      <c r="G175">
        <v>202.54</v>
      </c>
      <c r="H175" s="4">
        <f t="shared" si="33"/>
        <v>200.73999999999998</v>
      </c>
      <c r="I175">
        <v>45.347999999999999</v>
      </c>
      <c r="J175" s="4">
        <f t="shared" si="34"/>
        <v>40.497999999999998</v>
      </c>
      <c r="K175">
        <v>43.087000000000003</v>
      </c>
      <c r="L175" s="4">
        <f t="shared" si="26"/>
        <v>38.237000000000002</v>
      </c>
      <c r="M175" s="4">
        <f t="shared" si="27"/>
        <v>5.5829917526791346E-2</v>
      </c>
      <c r="N175" s="3">
        <v>5.32</v>
      </c>
      <c r="O175">
        <v>9.1229999999999993</v>
      </c>
      <c r="P175" s="4">
        <f t="shared" si="30"/>
        <v>3.802999999999999</v>
      </c>
      <c r="Q175">
        <f t="shared" si="31"/>
        <v>18.850664724183904</v>
      </c>
      <c r="R175" s="4">
        <f t="shared" si="28"/>
        <v>170.68203763148799</v>
      </c>
      <c r="S175">
        <f t="shared" si="29"/>
        <v>1.2413239100471853</v>
      </c>
    </row>
    <row r="176" spans="1:19" x14ac:dyDescent="0.35">
      <c r="A176" t="s">
        <v>20</v>
      </c>
      <c r="B176" t="s">
        <v>10</v>
      </c>
      <c r="C176">
        <v>3</v>
      </c>
      <c r="D176">
        <f>(6*12.5)+100</f>
        <v>175</v>
      </c>
      <c r="E176">
        <v>1.8</v>
      </c>
      <c r="F176" s="3">
        <v>4.8499999999999996</v>
      </c>
      <c r="G176">
        <v>155.86000000000001</v>
      </c>
      <c r="H176" s="4">
        <f t="shared" si="33"/>
        <v>154.06</v>
      </c>
      <c r="I176">
        <v>44.92</v>
      </c>
      <c r="J176" s="4">
        <f t="shared" si="34"/>
        <v>40.07</v>
      </c>
      <c r="K176">
        <v>44.579000000000001</v>
      </c>
      <c r="L176" s="4">
        <f t="shared" si="26"/>
        <v>39.728999999999999</v>
      </c>
      <c r="M176" s="4">
        <f t="shared" si="27"/>
        <v>8.5101073122036703E-3</v>
      </c>
      <c r="N176" s="3">
        <v>5.32</v>
      </c>
      <c r="O176">
        <v>12.718999999999999</v>
      </c>
      <c r="P176" s="4">
        <f t="shared" si="30"/>
        <v>7.3989999999999991</v>
      </c>
      <c r="Q176">
        <f t="shared" si="31"/>
        <v>28.447465435487892</v>
      </c>
      <c r="R176" s="4">
        <f t="shared" si="28"/>
        <v>124.30146743199401</v>
      </c>
      <c r="S176">
        <f t="shared" si="29"/>
        <v>0.71029409961139434</v>
      </c>
    </row>
    <row r="177" spans="1:19" x14ac:dyDescent="0.35">
      <c r="A177" t="s">
        <v>20</v>
      </c>
      <c r="B177" t="s">
        <v>10</v>
      </c>
      <c r="C177">
        <v>4</v>
      </c>
      <c r="D177">
        <f>(9*25)+(4*12.5)</f>
        <v>275</v>
      </c>
      <c r="E177">
        <v>1.8</v>
      </c>
      <c r="F177" s="3">
        <v>4.8499999999999996</v>
      </c>
      <c r="G177">
        <v>182.68</v>
      </c>
      <c r="H177" s="4">
        <f t="shared" si="33"/>
        <v>180.88</v>
      </c>
      <c r="I177">
        <v>43.445999999999998</v>
      </c>
      <c r="J177" s="4">
        <f>I177-F177</f>
        <v>38.595999999999997</v>
      </c>
      <c r="K177">
        <v>42.959000000000003</v>
      </c>
      <c r="L177" s="4">
        <f>K177-F177</f>
        <v>38.109000000000002</v>
      </c>
      <c r="M177" s="4">
        <f t="shared" si="27"/>
        <v>1.2617887864027226E-2</v>
      </c>
      <c r="N177" s="3">
        <v>5.32</v>
      </c>
      <c r="O177">
        <v>7.9269999999999996</v>
      </c>
      <c r="P177" s="4">
        <f t="shared" si="30"/>
        <v>2.6069999999999993</v>
      </c>
      <c r="Q177">
        <f t="shared" si="31"/>
        <v>12.217695097937609</v>
      </c>
      <c r="R177" s="4">
        <f t="shared" si="28"/>
        <v>166.37998134521715</v>
      </c>
      <c r="S177">
        <f t="shared" si="29"/>
        <v>0.60501811398260785</v>
      </c>
    </row>
    <row r="178" spans="1:19" x14ac:dyDescent="0.35">
      <c r="A178" t="s">
        <v>21</v>
      </c>
      <c r="B178" t="s">
        <v>9</v>
      </c>
      <c r="C178">
        <v>1</v>
      </c>
      <c r="D178">
        <f>12.5*25</f>
        <v>312.5</v>
      </c>
      <c r="E178">
        <v>1.8</v>
      </c>
      <c r="F178" s="3">
        <v>4.8499999999999996</v>
      </c>
      <c r="G178">
        <v>60.14</v>
      </c>
      <c r="H178" s="4">
        <f>G178-E178</f>
        <v>58.34</v>
      </c>
      <c r="I178">
        <v>20.798999999999999</v>
      </c>
      <c r="J178" s="4">
        <f>I178-F178</f>
        <v>15.949</v>
      </c>
      <c r="K178">
        <v>15.055999999999999</v>
      </c>
      <c r="L178" s="4">
        <f>K178-F178</f>
        <v>10.206</v>
      </c>
      <c r="M178" s="4">
        <f t="shared" si="27"/>
        <v>0.3600852718038749</v>
      </c>
      <c r="N178" s="3">
        <v>5.32</v>
      </c>
      <c r="O178">
        <v>11.497</v>
      </c>
      <c r="P178" s="4">
        <f>O178-N178</f>
        <v>6.1769999999999996</v>
      </c>
      <c r="Q178">
        <f t="shared" si="31"/>
        <v>22.594907517712709</v>
      </c>
      <c r="R178" s="4">
        <f t="shared" si="28"/>
        <v>14.73771772524923</v>
      </c>
      <c r="S178">
        <f t="shared" si="29"/>
        <v>4.7160696720797535E-2</v>
      </c>
    </row>
    <row r="179" spans="1:19" x14ac:dyDescent="0.35">
      <c r="A179" t="s">
        <v>21</v>
      </c>
      <c r="B179" t="s">
        <v>9</v>
      </c>
      <c r="C179">
        <v>2</v>
      </c>
      <c r="D179">
        <f>9.5*25</f>
        <v>237.5</v>
      </c>
      <c r="E179">
        <v>1.8</v>
      </c>
      <c r="F179" s="3">
        <v>4.8499999999999996</v>
      </c>
      <c r="G179">
        <v>74.34</v>
      </c>
      <c r="H179" s="4">
        <f t="shared" ref="H179:H205" si="35">G179-E179</f>
        <v>72.540000000000006</v>
      </c>
      <c r="I179">
        <v>21.928999999999998</v>
      </c>
      <c r="J179" s="4">
        <f t="shared" ref="J179:J193" si="36">I179-F179</f>
        <v>17.079000000000001</v>
      </c>
      <c r="K179">
        <v>11.894</v>
      </c>
      <c r="L179" s="4">
        <f t="shared" ref="L179:L193" si="37">K179-F179</f>
        <v>7.0440000000000005</v>
      </c>
      <c r="M179" s="4">
        <f t="shared" si="27"/>
        <v>0.58756367468821358</v>
      </c>
      <c r="N179" s="3">
        <v>5.32</v>
      </c>
      <c r="O179">
        <v>9.2620000000000005</v>
      </c>
      <c r="P179" s="4">
        <f t="shared" ref="P179:P193" si="38">O179-N179</f>
        <v>3.9420000000000002</v>
      </c>
      <c r="Q179">
        <f t="shared" si="31"/>
        <v>16.74294045318813</v>
      </c>
      <c r="R179" s="4">
        <f t="shared" si="28"/>
        <v>13.17519058492886</v>
      </c>
      <c r="S179">
        <f t="shared" si="29"/>
        <v>5.5474486673384671E-2</v>
      </c>
    </row>
    <row r="180" spans="1:19" x14ac:dyDescent="0.35">
      <c r="A180" t="s">
        <v>21</v>
      </c>
      <c r="B180" t="s">
        <v>9</v>
      </c>
      <c r="C180">
        <v>3</v>
      </c>
      <c r="D180">
        <f>9.5*25</f>
        <v>237.5</v>
      </c>
      <c r="E180">
        <v>1.8</v>
      </c>
      <c r="F180" s="3">
        <v>4.8499999999999996</v>
      </c>
      <c r="G180">
        <v>67.61</v>
      </c>
      <c r="H180" s="4">
        <f t="shared" si="35"/>
        <v>65.81</v>
      </c>
      <c r="I180">
        <v>19.997</v>
      </c>
      <c r="J180" s="4">
        <f t="shared" si="36"/>
        <v>15.147</v>
      </c>
      <c r="K180">
        <v>13.305999999999999</v>
      </c>
      <c r="L180" s="4">
        <f t="shared" si="37"/>
        <v>8.4559999999999995</v>
      </c>
      <c r="M180" s="4">
        <f t="shared" si="27"/>
        <v>0.44173763781606923</v>
      </c>
      <c r="N180" s="3">
        <v>5.32</v>
      </c>
      <c r="O180">
        <v>7.1420000000000003</v>
      </c>
      <c r="P180" s="4">
        <f t="shared" si="38"/>
        <v>1.8220000000000001</v>
      </c>
      <c r="Q180">
        <f t="shared" si="31"/>
        <v>7.9161431306529355</v>
      </c>
      <c r="R180" s="4">
        <f t="shared" si="28"/>
        <v>28.823102924671552</v>
      </c>
      <c r="S180">
        <f t="shared" si="29"/>
        <v>0.12136043336703811</v>
      </c>
    </row>
    <row r="181" spans="1:19" x14ac:dyDescent="0.35">
      <c r="A181" t="s">
        <v>21</v>
      </c>
      <c r="B181" t="s">
        <v>9</v>
      </c>
      <c r="C181">
        <v>4</v>
      </c>
      <c r="D181">
        <f>(3.5+2.5+3.3)*25</f>
        <v>232.50000000000003</v>
      </c>
      <c r="E181">
        <v>1.8</v>
      </c>
      <c r="F181" s="3">
        <v>4.8499999999999996</v>
      </c>
      <c r="G181">
        <v>40.426000000000002</v>
      </c>
      <c r="H181" s="4">
        <f t="shared" si="35"/>
        <v>38.626000000000005</v>
      </c>
      <c r="I181">
        <v>10.471</v>
      </c>
      <c r="J181" s="4">
        <f t="shared" si="36"/>
        <v>5.6210000000000004</v>
      </c>
      <c r="K181">
        <v>10.167</v>
      </c>
      <c r="L181" s="4">
        <f t="shared" si="37"/>
        <v>5.3170000000000002</v>
      </c>
      <c r="M181" s="4">
        <f t="shared" si="27"/>
        <v>5.4082903397971935E-2</v>
      </c>
      <c r="N181" s="3">
        <v>5.32</v>
      </c>
      <c r="O181">
        <v>6.9020000000000001</v>
      </c>
      <c r="P181" s="4">
        <f t="shared" si="38"/>
        <v>1.5819999999999999</v>
      </c>
      <c r="Q181">
        <f t="shared" si="31"/>
        <v>10.871078455790785</v>
      </c>
      <c r="R181" s="4">
        <f t="shared" si="28"/>
        <v>25.665915317559154</v>
      </c>
      <c r="S181">
        <f t="shared" si="29"/>
        <v>0.11039103362391033</v>
      </c>
    </row>
    <row r="182" spans="1:19" x14ac:dyDescent="0.35">
      <c r="A182" t="s">
        <v>21</v>
      </c>
      <c r="B182" t="s">
        <v>31</v>
      </c>
      <c r="C182">
        <v>1</v>
      </c>
      <c r="D182">
        <f>(9+4+2.5)*25</f>
        <v>387.5</v>
      </c>
      <c r="E182">
        <v>1.8</v>
      </c>
      <c r="F182" s="3">
        <v>4.8499999999999996</v>
      </c>
      <c r="G182">
        <v>246.89</v>
      </c>
      <c r="H182" s="4">
        <f t="shared" si="35"/>
        <v>245.08999999999997</v>
      </c>
      <c r="I182">
        <v>55.055</v>
      </c>
      <c r="J182" s="4">
        <f t="shared" si="36"/>
        <v>50.204999999999998</v>
      </c>
      <c r="K182">
        <v>29.395</v>
      </c>
      <c r="L182" s="4">
        <f t="shared" si="37"/>
        <v>24.545000000000002</v>
      </c>
      <c r="M182" s="4">
        <f t="shared" si="27"/>
        <v>0.51110447166616868</v>
      </c>
      <c r="N182" s="3">
        <v>5.32</v>
      </c>
      <c r="O182">
        <v>18.483000000000001</v>
      </c>
      <c r="P182" s="4">
        <f t="shared" si="38"/>
        <v>13.163</v>
      </c>
      <c r="Q182">
        <f t="shared" si="31"/>
        <v>64.258931779703218</v>
      </c>
      <c r="R182" s="4">
        <f t="shared" si="28"/>
        <v>55.564473259635491</v>
      </c>
      <c r="S182">
        <f t="shared" si="29"/>
        <v>0.14339218905712384</v>
      </c>
    </row>
    <row r="183" spans="1:19" x14ac:dyDescent="0.35">
      <c r="A183" t="s">
        <v>21</v>
      </c>
      <c r="B183" t="s">
        <v>31</v>
      </c>
      <c r="C183">
        <v>2</v>
      </c>
      <c r="D183">
        <f>(10.5+4+11.5)*25</f>
        <v>650</v>
      </c>
      <c r="E183">
        <v>1.8</v>
      </c>
      <c r="F183" s="3">
        <v>4.8499999999999996</v>
      </c>
      <c r="G183">
        <f>296.08+(204.54-4.85)+(147.74-4.85)</f>
        <v>638.66</v>
      </c>
      <c r="H183" s="4">
        <f t="shared" si="35"/>
        <v>636.86</v>
      </c>
      <c r="I183">
        <v>116.97</v>
      </c>
      <c r="J183" s="4">
        <f t="shared" si="36"/>
        <v>112.12</v>
      </c>
      <c r="K183">
        <v>42.985999999999997</v>
      </c>
      <c r="L183" s="4">
        <f t="shared" si="37"/>
        <v>38.135999999999996</v>
      </c>
      <c r="M183" s="4">
        <f t="shared" si="27"/>
        <v>0.65986443096682135</v>
      </c>
      <c r="N183" s="3">
        <v>5.32</v>
      </c>
      <c r="O183">
        <v>22.056000000000001</v>
      </c>
      <c r="P183" s="4">
        <f t="shared" si="38"/>
        <v>16.736000000000001</v>
      </c>
      <c r="Q183">
        <f t="shared" si="31"/>
        <v>95.063226542989653</v>
      </c>
      <c r="R183" s="4">
        <f t="shared" si="28"/>
        <v>121.55551195148051</v>
      </c>
      <c r="S183">
        <f t="shared" si="29"/>
        <v>0.18700847992535463</v>
      </c>
    </row>
    <row r="184" spans="1:19" x14ac:dyDescent="0.35">
      <c r="A184" t="s">
        <v>21</v>
      </c>
      <c r="B184" t="s">
        <v>31</v>
      </c>
      <c r="C184">
        <v>3</v>
      </c>
      <c r="D184">
        <f>(18.5+5.5+3)*25</f>
        <v>675</v>
      </c>
      <c r="E184">
        <v>1.8</v>
      </c>
      <c r="F184" s="3">
        <v>4.8499999999999996</v>
      </c>
      <c r="G184">
        <f>303.41+(205.1-4.85)</f>
        <v>503.66</v>
      </c>
      <c r="H184" s="4">
        <f t="shared" si="35"/>
        <v>501.86</v>
      </c>
      <c r="I184">
        <v>93.49</v>
      </c>
      <c r="J184" s="4">
        <f t="shared" si="36"/>
        <v>88.64</v>
      </c>
      <c r="K184">
        <v>32.703000000000003</v>
      </c>
      <c r="L184" s="4">
        <f t="shared" si="37"/>
        <v>27.853000000000002</v>
      </c>
      <c r="M184" s="4">
        <f t="shared" si="27"/>
        <v>0.685773916967509</v>
      </c>
      <c r="N184" s="3">
        <v>5.32</v>
      </c>
      <c r="O184">
        <v>17.550999999999998</v>
      </c>
      <c r="P184" s="4">
        <f t="shared" si="38"/>
        <v>12.230999999999998</v>
      </c>
      <c r="Q184">
        <f t="shared" si="31"/>
        <v>69.249206453068581</v>
      </c>
      <c r="R184" s="4">
        <f t="shared" si="28"/>
        <v>88.448295577617358</v>
      </c>
      <c r="S184">
        <f t="shared" si="29"/>
        <v>0.13103451196684054</v>
      </c>
    </row>
    <row r="185" spans="1:19" x14ac:dyDescent="0.35">
      <c r="A185" t="s">
        <v>21</v>
      </c>
      <c r="B185" t="s">
        <v>31</v>
      </c>
      <c r="C185">
        <v>4</v>
      </c>
      <c r="D185" t="s">
        <v>87</v>
      </c>
      <c r="E185">
        <v>1.8</v>
      </c>
      <c r="F185" s="3">
        <v>4.8499999999999996</v>
      </c>
      <c r="G185">
        <v>293.83</v>
      </c>
      <c r="H185" s="4">
        <f t="shared" si="35"/>
        <v>292.02999999999997</v>
      </c>
      <c r="I185">
        <v>61.15</v>
      </c>
      <c r="J185" s="4">
        <f t="shared" si="36"/>
        <v>56.3</v>
      </c>
      <c r="K185">
        <v>22.31</v>
      </c>
      <c r="L185" s="4">
        <f t="shared" si="37"/>
        <v>17.46</v>
      </c>
      <c r="M185" s="4">
        <f t="shared" si="27"/>
        <v>0.68987566607460038</v>
      </c>
      <c r="N185" s="3">
        <v>5.32</v>
      </c>
      <c r="O185">
        <v>14.465</v>
      </c>
      <c r="P185" s="4">
        <f t="shared" si="38"/>
        <v>9.1449999999999996</v>
      </c>
      <c r="Q185">
        <f t="shared" si="31"/>
        <v>47.435423623445828</v>
      </c>
      <c r="R185" s="4">
        <f t="shared" si="28"/>
        <v>43.130185612788608</v>
      </c>
      <c r="S185" t="s">
        <v>87</v>
      </c>
    </row>
    <row r="186" spans="1:19" x14ac:dyDescent="0.35">
      <c r="A186" t="s">
        <v>21</v>
      </c>
      <c r="B186" t="s">
        <v>32</v>
      </c>
      <c r="C186">
        <v>1</v>
      </c>
      <c r="D186">
        <v>75</v>
      </c>
      <c r="E186">
        <v>1.8</v>
      </c>
      <c r="F186" s="3">
        <v>4.8499999999999996</v>
      </c>
      <c r="G186">
        <v>45.557000000000002</v>
      </c>
      <c r="H186" s="4">
        <f t="shared" si="35"/>
        <v>43.757000000000005</v>
      </c>
      <c r="I186">
        <v>9.9260000000000002</v>
      </c>
      <c r="J186" s="4">
        <f t="shared" si="36"/>
        <v>5.0760000000000005</v>
      </c>
      <c r="K186">
        <v>9.859</v>
      </c>
      <c r="L186" s="4">
        <f t="shared" si="37"/>
        <v>5.0090000000000003</v>
      </c>
      <c r="M186" s="4">
        <f t="shared" si="27"/>
        <v>1.3199369582348339E-2</v>
      </c>
      <c r="N186" s="3">
        <v>5.32</v>
      </c>
      <c r="O186">
        <v>8.9510000000000005</v>
      </c>
      <c r="P186" s="4">
        <f t="shared" si="38"/>
        <v>3.6310000000000002</v>
      </c>
      <c r="Q186">
        <f t="shared" si="31"/>
        <v>31.300564814814816</v>
      </c>
      <c r="R186" s="4">
        <f t="shared" si="28"/>
        <v>11.878870370370375</v>
      </c>
      <c r="S186">
        <f t="shared" si="29"/>
        <v>0.15838493827160499</v>
      </c>
    </row>
    <row r="187" spans="1:19" x14ac:dyDescent="0.35">
      <c r="A187" t="s">
        <v>21</v>
      </c>
      <c r="B187" t="s">
        <v>32</v>
      </c>
      <c r="C187">
        <v>2</v>
      </c>
      <c r="D187">
        <f>3.5*25</f>
        <v>87.5</v>
      </c>
      <c r="E187">
        <v>1.8</v>
      </c>
      <c r="F187" s="3">
        <v>4.8499999999999996</v>
      </c>
      <c r="G187">
        <v>80.13</v>
      </c>
      <c r="H187" s="4">
        <f t="shared" si="35"/>
        <v>78.33</v>
      </c>
      <c r="I187">
        <v>21.422999999999998</v>
      </c>
      <c r="J187" s="4">
        <f t="shared" si="36"/>
        <v>16.573</v>
      </c>
      <c r="K187">
        <v>21.308</v>
      </c>
      <c r="L187" s="4">
        <f t="shared" si="37"/>
        <v>16.457999999999998</v>
      </c>
      <c r="M187" s="4">
        <f t="shared" si="27"/>
        <v>6.9389971640621481E-3</v>
      </c>
      <c r="N187" s="3">
        <v>5.32</v>
      </c>
      <c r="O187">
        <v>5.7240000000000002</v>
      </c>
      <c r="P187" s="4">
        <f t="shared" si="38"/>
        <v>0.40399999999999991</v>
      </c>
      <c r="Q187">
        <f t="shared" si="31"/>
        <v>1.909450310746394</v>
      </c>
      <c r="R187" s="4">
        <f t="shared" si="28"/>
        <v>75.877018041392617</v>
      </c>
      <c r="S187">
        <f t="shared" si="29"/>
        <v>0.86716592047305852</v>
      </c>
    </row>
    <row r="188" spans="1:19" x14ac:dyDescent="0.35">
      <c r="A188" t="s">
        <v>21</v>
      </c>
      <c r="B188" t="s">
        <v>32</v>
      </c>
      <c r="C188">
        <v>3</v>
      </c>
      <c r="D188">
        <v>0</v>
      </c>
      <c r="E188">
        <v>1.8</v>
      </c>
      <c r="F188" s="3">
        <v>4.8499999999999996</v>
      </c>
      <c r="G188" t="s">
        <v>89</v>
      </c>
      <c r="H188" t="s">
        <v>89</v>
      </c>
      <c r="I188" t="s">
        <v>89</v>
      </c>
      <c r="J188" t="s">
        <v>89</v>
      </c>
      <c r="K188" t="s">
        <v>89</v>
      </c>
      <c r="L188" t="s">
        <v>89</v>
      </c>
      <c r="M188" t="s">
        <v>89</v>
      </c>
      <c r="N188" t="s">
        <v>89</v>
      </c>
      <c r="O188" t="s">
        <v>89</v>
      </c>
      <c r="P188" t="s">
        <v>89</v>
      </c>
      <c r="Q188" t="s">
        <v>89</v>
      </c>
      <c r="R188" t="s">
        <v>89</v>
      </c>
      <c r="S188" t="s">
        <v>89</v>
      </c>
    </row>
    <row r="189" spans="1:19" x14ac:dyDescent="0.35">
      <c r="A189" t="s">
        <v>21</v>
      </c>
      <c r="B189" t="s">
        <v>32</v>
      </c>
      <c r="C189">
        <v>4</v>
      </c>
      <c r="D189">
        <v>0</v>
      </c>
      <c r="E189">
        <v>1.8</v>
      </c>
      <c r="F189" s="3">
        <v>4.8499999999999996</v>
      </c>
      <c r="G189" t="s">
        <v>89</v>
      </c>
      <c r="H189" t="s">
        <v>89</v>
      </c>
      <c r="I189" t="s">
        <v>89</v>
      </c>
      <c r="J189" t="s">
        <v>89</v>
      </c>
      <c r="K189" t="s">
        <v>89</v>
      </c>
      <c r="L189" t="s">
        <v>89</v>
      </c>
      <c r="M189" t="s">
        <v>89</v>
      </c>
      <c r="N189" t="s">
        <v>89</v>
      </c>
      <c r="O189" t="s">
        <v>89</v>
      </c>
      <c r="P189" t="s">
        <v>89</v>
      </c>
      <c r="Q189" t="s">
        <v>89</v>
      </c>
      <c r="R189" t="s">
        <v>89</v>
      </c>
      <c r="S189" t="s">
        <v>89</v>
      </c>
    </row>
    <row r="190" spans="1:19" x14ac:dyDescent="0.35">
      <c r="A190" t="s">
        <v>21</v>
      </c>
      <c r="B190" t="s">
        <v>10</v>
      </c>
      <c r="C190">
        <v>1</v>
      </c>
      <c r="D190">
        <f>(5.5*25)+(3*12.5)</f>
        <v>175</v>
      </c>
      <c r="E190">
        <v>1.8</v>
      </c>
      <c r="F190" s="3">
        <v>4.8499999999999996</v>
      </c>
      <c r="G190">
        <v>114.08</v>
      </c>
      <c r="H190" s="4">
        <f t="shared" si="35"/>
        <v>112.28</v>
      </c>
      <c r="I190">
        <v>23.577000000000002</v>
      </c>
      <c r="J190" s="4">
        <f t="shared" si="36"/>
        <v>18.727000000000004</v>
      </c>
      <c r="K190">
        <v>23.448</v>
      </c>
      <c r="L190" s="4">
        <f t="shared" si="37"/>
        <v>18.597999999999999</v>
      </c>
      <c r="M190" s="4">
        <f t="shared" si="27"/>
        <v>6.8884498317939268E-3</v>
      </c>
      <c r="N190" s="3">
        <v>5.32</v>
      </c>
      <c r="O190">
        <v>14.733000000000001</v>
      </c>
      <c r="P190" s="4">
        <f t="shared" si="38"/>
        <v>9.4130000000000003</v>
      </c>
      <c r="Q190">
        <f t="shared" si="31"/>
        <v>56.436783254125046</v>
      </c>
      <c r="R190" s="4">
        <f t="shared" si="28"/>
        <v>55.069781598761139</v>
      </c>
      <c r="S190">
        <f t="shared" si="29"/>
        <v>0.31468446627863506</v>
      </c>
    </row>
    <row r="191" spans="1:19" x14ac:dyDescent="0.35">
      <c r="A191" t="s">
        <v>21</v>
      </c>
      <c r="B191" t="s">
        <v>10</v>
      </c>
      <c r="C191">
        <v>2</v>
      </c>
      <c r="D191">
        <f>(9.5*12.5)+(3.5*25)</f>
        <v>206.25</v>
      </c>
      <c r="E191">
        <v>1.8</v>
      </c>
      <c r="F191" s="3">
        <v>4.8499999999999996</v>
      </c>
      <c r="G191">
        <v>199.63</v>
      </c>
      <c r="H191" s="4">
        <f t="shared" si="35"/>
        <v>197.82999999999998</v>
      </c>
      <c r="I191">
        <v>55.74</v>
      </c>
      <c r="J191" s="4">
        <f t="shared" si="36"/>
        <v>50.89</v>
      </c>
      <c r="K191">
        <v>53.904000000000003</v>
      </c>
      <c r="L191" s="4">
        <f t="shared" si="37"/>
        <v>49.054000000000002</v>
      </c>
      <c r="M191" s="4">
        <f t="shared" si="27"/>
        <v>3.607781489487126E-2</v>
      </c>
      <c r="N191" s="3">
        <v>5.32</v>
      </c>
      <c r="O191">
        <v>10.721</v>
      </c>
      <c r="P191" s="4">
        <f t="shared" si="38"/>
        <v>5.4009999999999998</v>
      </c>
      <c r="Q191">
        <f t="shared" si="31"/>
        <v>20.995870112006287</v>
      </c>
      <c r="R191" s="4">
        <f t="shared" si="28"/>
        <v>169.6968557673413</v>
      </c>
      <c r="S191">
        <f t="shared" si="29"/>
        <v>0.822772634023473</v>
      </c>
    </row>
    <row r="192" spans="1:19" x14ac:dyDescent="0.35">
      <c r="A192" t="s">
        <v>21</v>
      </c>
      <c r="B192" t="s">
        <v>10</v>
      </c>
      <c r="C192">
        <v>3</v>
      </c>
      <c r="D192">
        <f>((3.5+5.5+6)*25)+(4*12.5)</f>
        <v>425</v>
      </c>
      <c r="E192">
        <v>1.8</v>
      </c>
      <c r="F192" s="3">
        <v>4.8499999999999996</v>
      </c>
      <c r="G192">
        <f>307.14+(218.14-4.85)</f>
        <v>520.42999999999995</v>
      </c>
      <c r="H192" s="4">
        <f t="shared" si="35"/>
        <v>518.63</v>
      </c>
      <c r="I192">
        <v>122.69</v>
      </c>
      <c r="J192" s="4">
        <f t="shared" si="36"/>
        <v>117.84</v>
      </c>
      <c r="K192">
        <v>95.26</v>
      </c>
      <c r="L192" s="4">
        <f t="shared" si="37"/>
        <v>90.410000000000011</v>
      </c>
      <c r="M192" s="4">
        <f t="shared" si="27"/>
        <v>0.23277325186693815</v>
      </c>
      <c r="N192" s="3">
        <v>5.32</v>
      </c>
      <c r="O192">
        <v>18.777999999999999</v>
      </c>
      <c r="P192" s="4">
        <f t="shared" si="38"/>
        <v>13.457999999999998</v>
      </c>
      <c r="Q192">
        <f t="shared" si="31"/>
        <v>59.23050356415478</v>
      </c>
      <c r="R192" s="4">
        <f t="shared" si="28"/>
        <v>338.67630482009508</v>
      </c>
      <c r="S192">
        <f t="shared" si="29"/>
        <v>0.79688542310610611</v>
      </c>
    </row>
    <row r="193" spans="1:19" x14ac:dyDescent="0.35">
      <c r="A193" t="s">
        <v>21</v>
      </c>
      <c r="B193" t="s">
        <v>10</v>
      </c>
      <c r="C193">
        <v>4</v>
      </c>
      <c r="D193">
        <f>(6.5*25)+(14.5*4.9)</f>
        <v>233.55</v>
      </c>
      <c r="E193">
        <v>1.8</v>
      </c>
      <c r="F193" s="3">
        <v>4.8499999999999996</v>
      </c>
      <c r="G193">
        <f>230.02+(203.6-4.85)</f>
        <v>428.77</v>
      </c>
      <c r="H193" s="4">
        <f t="shared" si="35"/>
        <v>426.96999999999997</v>
      </c>
      <c r="I193">
        <v>91.5</v>
      </c>
      <c r="J193" s="4">
        <f t="shared" si="36"/>
        <v>86.65</v>
      </c>
      <c r="K193">
        <v>77.88</v>
      </c>
      <c r="L193" s="4">
        <f t="shared" si="37"/>
        <v>73.03</v>
      </c>
      <c r="M193" s="4">
        <f t="shared" si="27"/>
        <v>0.15718407386035779</v>
      </c>
      <c r="N193" s="3">
        <v>5.32</v>
      </c>
      <c r="O193">
        <v>25.478999999999999</v>
      </c>
      <c r="P193" s="4">
        <f t="shared" si="38"/>
        <v>20.158999999999999</v>
      </c>
      <c r="Q193">
        <f t="shared" si="31"/>
        <v>99.333966878245803</v>
      </c>
      <c r="R193" s="4">
        <f t="shared" si="28"/>
        <v>260.52314910559721</v>
      </c>
      <c r="S193">
        <f t="shared" si="29"/>
        <v>1.1154919679109279</v>
      </c>
    </row>
    <row r="194" spans="1:19" x14ac:dyDescent="0.35">
      <c r="A194" t="s">
        <v>22</v>
      </c>
      <c r="B194" t="s">
        <v>9</v>
      </c>
      <c r="C194">
        <v>1</v>
      </c>
      <c r="D194">
        <f>9.5*25</f>
        <v>237.5</v>
      </c>
      <c r="E194">
        <v>1.8</v>
      </c>
      <c r="F194" s="3">
        <v>4.8499999999999996</v>
      </c>
      <c r="G194">
        <v>44.353000000000002</v>
      </c>
      <c r="H194" s="4">
        <f t="shared" si="35"/>
        <v>42.553000000000004</v>
      </c>
      <c r="I194">
        <v>11.561</v>
      </c>
      <c r="J194" s="4">
        <f>I194-F194</f>
        <v>6.7110000000000003</v>
      </c>
      <c r="K194">
        <v>11.074</v>
      </c>
      <c r="L194" s="4">
        <f>K194-F194</f>
        <v>6.2240000000000002</v>
      </c>
      <c r="M194" s="4">
        <f t="shared" si="27"/>
        <v>7.25674266130234E-2</v>
      </c>
      <c r="N194" s="3">
        <v>5.32</v>
      </c>
      <c r="O194">
        <v>9.3040000000000003</v>
      </c>
      <c r="P194" s="4">
        <f>O194-N194</f>
        <v>3.984</v>
      </c>
      <c r="Q194">
        <f t="shared" si="31"/>
        <v>25.261682610639248</v>
      </c>
      <c r="R194" s="4">
        <f t="shared" si="28"/>
        <v>14.203355684696774</v>
      </c>
      <c r="S194">
        <f t="shared" si="29"/>
        <v>5.9803602882933786E-2</v>
      </c>
    </row>
    <row r="195" spans="1:19" x14ac:dyDescent="0.35">
      <c r="A195" t="s">
        <v>22</v>
      </c>
      <c r="B195" t="s">
        <v>9</v>
      </c>
      <c r="C195">
        <v>2</v>
      </c>
      <c r="D195">
        <f>10.5*25</f>
        <v>262.5</v>
      </c>
      <c r="E195">
        <v>1.8</v>
      </c>
      <c r="F195" s="3">
        <v>4.8499999999999996</v>
      </c>
      <c r="G195">
        <v>49.219000000000001</v>
      </c>
      <c r="H195" s="4">
        <f t="shared" si="35"/>
        <v>47.419000000000004</v>
      </c>
      <c r="I195">
        <v>12.686999999999999</v>
      </c>
      <c r="J195" s="4">
        <f t="shared" ref="J195:J201" si="39">I195-F195</f>
        <v>7.8369999999999997</v>
      </c>
      <c r="K195">
        <v>11.641999999999999</v>
      </c>
      <c r="L195" s="4">
        <f t="shared" ref="L195:L201" si="40">K195-F195</f>
        <v>6.7919999999999998</v>
      </c>
      <c r="M195" s="4">
        <f t="shared" ref="M195:M241" si="41">(J195-L195)/J195</f>
        <v>0.13334183998979202</v>
      </c>
      <c r="N195" s="3">
        <v>5.32</v>
      </c>
      <c r="O195">
        <v>7.8620000000000001</v>
      </c>
      <c r="P195" s="4">
        <f t="shared" ref="P195:P205" si="42">O195-N195</f>
        <v>2.5419999999999998</v>
      </c>
      <c r="Q195">
        <f t="shared" si="31"/>
        <v>15.380770447875463</v>
      </c>
      <c r="R195" s="4">
        <f t="shared" si="28"/>
        <v>25.715292841648598</v>
      </c>
      <c r="S195">
        <f t="shared" si="29"/>
        <v>9.7963020349137508E-2</v>
      </c>
    </row>
    <row r="196" spans="1:19" x14ac:dyDescent="0.35">
      <c r="A196" t="s">
        <v>22</v>
      </c>
      <c r="B196" t="s">
        <v>9</v>
      </c>
      <c r="C196">
        <v>3</v>
      </c>
      <c r="D196">
        <f>11.5*25</f>
        <v>287.5</v>
      </c>
      <c r="E196">
        <v>1.8</v>
      </c>
      <c r="F196" s="3">
        <v>4.8499999999999996</v>
      </c>
      <c r="G196">
        <v>54.146999999999998</v>
      </c>
      <c r="H196" s="4">
        <f t="shared" si="35"/>
        <v>52.347000000000001</v>
      </c>
      <c r="I196">
        <v>13.654</v>
      </c>
      <c r="J196" s="4">
        <f t="shared" si="39"/>
        <v>8.8040000000000003</v>
      </c>
      <c r="K196">
        <v>13.051</v>
      </c>
      <c r="L196" s="4">
        <f t="shared" si="40"/>
        <v>8.2010000000000005</v>
      </c>
      <c r="M196" s="4">
        <f t="shared" si="41"/>
        <v>6.8491594729668301E-2</v>
      </c>
      <c r="N196" s="3">
        <v>5.32</v>
      </c>
      <c r="O196">
        <v>8.17</v>
      </c>
      <c r="P196" s="4">
        <f t="shared" si="42"/>
        <v>2.8499999999999996</v>
      </c>
      <c r="Q196">
        <f t="shared" si="31"/>
        <v>16.945587233075869</v>
      </c>
      <c r="R196" s="4">
        <f t="shared" si="28"/>
        <v>31.816083257610188</v>
      </c>
      <c r="S196">
        <f t="shared" si="29"/>
        <v>0.11066463741777456</v>
      </c>
    </row>
    <row r="197" spans="1:19" x14ac:dyDescent="0.35">
      <c r="A197" t="s">
        <v>22</v>
      </c>
      <c r="B197" t="s">
        <v>9</v>
      </c>
      <c r="C197">
        <v>4</v>
      </c>
      <c r="D197">
        <f>11*25</f>
        <v>275</v>
      </c>
      <c r="E197">
        <v>1.8</v>
      </c>
      <c r="F197" s="3">
        <v>4.8499999999999996</v>
      </c>
      <c r="G197">
        <v>49.965000000000003</v>
      </c>
      <c r="H197" s="4">
        <f t="shared" si="35"/>
        <v>48.165000000000006</v>
      </c>
      <c r="I197">
        <v>14.744999999999999</v>
      </c>
      <c r="J197" s="4">
        <f t="shared" si="39"/>
        <v>9.8949999999999996</v>
      </c>
      <c r="K197">
        <v>14.089</v>
      </c>
      <c r="L197" s="4">
        <f t="shared" si="40"/>
        <v>9.2390000000000008</v>
      </c>
      <c r="M197" s="4">
        <f t="shared" si="41"/>
        <v>6.6296109146033233E-2</v>
      </c>
      <c r="N197" s="3">
        <v>5.32</v>
      </c>
      <c r="O197">
        <v>8.0920000000000005</v>
      </c>
      <c r="P197" s="4">
        <f t="shared" si="42"/>
        <v>2.7720000000000002</v>
      </c>
      <c r="Q197">
        <f t="shared" si="31"/>
        <v>13.493014653865592</v>
      </c>
      <c r="R197" s="4">
        <f t="shared" si="28"/>
        <v>31.478833249115723</v>
      </c>
      <c r="S197">
        <f t="shared" si="29"/>
        <v>0.114468484542239</v>
      </c>
    </row>
    <row r="198" spans="1:19" x14ac:dyDescent="0.35">
      <c r="A198" t="s">
        <v>22</v>
      </c>
      <c r="B198" t="s">
        <v>31</v>
      </c>
      <c r="C198">
        <v>1</v>
      </c>
      <c r="D198">
        <f>((4+2+4)*25)+(8*12.5)+(12*4.9)</f>
        <v>408.8</v>
      </c>
      <c r="E198">
        <v>1.8</v>
      </c>
      <c r="F198" s="3">
        <v>4.8499999999999996</v>
      </c>
      <c r="G198">
        <v>219.43</v>
      </c>
      <c r="H198" s="4">
        <f t="shared" si="35"/>
        <v>217.63</v>
      </c>
      <c r="I198">
        <v>58.143000000000001</v>
      </c>
      <c r="J198" s="4">
        <f t="shared" si="39"/>
        <v>53.292999999999999</v>
      </c>
      <c r="K198">
        <v>49.966999999999999</v>
      </c>
      <c r="L198" s="4">
        <f t="shared" si="40"/>
        <v>45.116999999999997</v>
      </c>
      <c r="M198" s="4">
        <f t="shared" si="41"/>
        <v>0.1534160208657798</v>
      </c>
      <c r="N198" s="3">
        <v>5.32</v>
      </c>
      <c r="O198">
        <v>17.652000000000001</v>
      </c>
      <c r="P198" s="4">
        <f t="shared" si="42"/>
        <v>12.332000000000001</v>
      </c>
      <c r="Q198">
        <f t="shared" si="31"/>
        <v>50.359581183269846</v>
      </c>
      <c r="R198" s="4">
        <f t="shared" si="28"/>
        <v>133.88249019571049</v>
      </c>
      <c r="S198">
        <f t="shared" si="29"/>
        <v>0.32750119910888081</v>
      </c>
    </row>
    <row r="199" spans="1:19" x14ac:dyDescent="0.35">
      <c r="A199" t="s">
        <v>22</v>
      </c>
      <c r="B199" t="s">
        <v>31</v>
      </c>
      <c r="C199">
        <v>2</v>
      </c>
      <c r="D199">
        <f>((4+6.5+2)*25)+(12*12.5)+(7*4.9)</f>
        <v>496.8</v>
      </c>
      <c r="E199">
        <v>1.8</v>
      </c>
      <c r="F199" s="3">
        <v>4.8499999999999996</v>
      </c>
      <c r="G199">
        <f>257.52+(143.41-4.85)</f>
        <v>396.08</v>
      </c>
      <c r="H199" s="4">
        <f t="shared" si="35"/>
        <v>394.28</v>
      </c>
      <c r="I199">
        <v>104.96</v>
      </c>
      <c r="J199" s="4">
        <f t="shared" si="39"/>
        <v>100.11</v>
      </c>
      <c r="K199">
        <v>75.819999999999993</v>
      </c>
      <c r="L199" s="4">
        <f t="shared" si="40"/>
        <v>70.97</v>
      </c>
      <c r="M199" s="4">
        <f t="shared" si="41"/>
        <v>0.29107981220657275</v>
      </c>
      <c r="N199" s="3">
        <v>5.32</v>
      </c>
      <c r="O199">
        <v>20.074000000000002</v>
      </c>
      <c r="P199" s="4">
        <f t="shared" si="42"/>
        <v>14.754000000000001</v>
      </c>
      <c r="Q199">
        <f t="shared" si="31"/>
        <v>58.108152232544207</v>
      </c>
      <c r="R199" s="4">
        <f t="shared" si="28"/>
        <v>221.40489941064826</v>
      </c>
      <c r="S199">
        <f t="shared" si="29"/>
        <v>0.44566203585074127</v>
      </c>
    </row>
    <row r="200" spans="1:19" x14ac:dyDescent="0.35">
      <c r="A200" t="s">
        <v>22</v>
      </c>
      <c r="B200" t="s">
        <v>31</v>
      </c>
      <c r="C200">
        <v>3</v>
      </c>
      <c r="D200">
        <f>((3.5+0.5+1)*25)+(12*12.5)+((13.5+7+12)*4.9)</f>
        <v>434.25</v>
      </c>
      <c r="E200">
        <v>1.8</v>
      </c>
      <c r="F200" s="3">
        <v>4.8499999999999996</v>
      </c>
      <c r="G200">
        <v>285.20999999999998</v>
      </c>
      <c r="H200" s="4">
        <f t="shared" si="35"/>
        <v>283.40999999999997</v>
      </c>
      <c r="I200">
        <v>68.88</v>
      </c>
      <c r="J200" s="4">
        <f t="shared" si="39"/>
        <v>64.03</v>
      </c>
      <c r="K200">
        <v>54.762</v>
      </c>
      <c r="L200" s="4">
        <f t="shared" si="40"/>
        <v>49.911999999999999</v>
      </c>
      <c r="M200" s="4">
        <f t="shared" si="41"/>
        <v>0.22049039512728411</v>
      </c>
      <c r="N200" s="3">
        <v>5.32</v>
      </c>
      <c r="O200">
        <v>18.216999999999999</v>
      </c>
      <c r="P200" s="4">
        <f t="shared" si="42"/>
        <v>12.896999999999998</v>
      </c>
      <c r="Q200">
        <f t="shared" si="31"/>
        <v>57.084784788380432</v>
      </c>
      <c r="R200" s="4">
        <f t="shared" si="28"/>
        <v>163.83603232859596</v>
      </c>
      <c r="S200">
        <f t="shared" si="29"/>
        <v>0.37728504854023248</v>
      </c>
    </row>
    <row r="201" spans="1:19" x14ac:dyDescent="0.35">
      <c r="A201" t="s">
        <v>22</v>
      </c>
      <c r="B201" t="s">
        <v>31</v>
      </c>
      <c r="C201">
        <v>4</v>
      </c>
      <c r="D201">
        <f>((5.5+2+1.5)*25)+(12*12.5)+((6.5+6.5+3.5)*4.9)</f>
        <v>455.85</v>
      </c>
      <c r="E201">
        <v>1.8</v>
      </c>
      <c r="F201" s="3">
        <v>4.8499999999999996</v>
      </c>
      <c r="G201">
        <f>253.97+(64.07-4.85)</f>
        <v>313.19</v>
      </c>
      <c r="H201" s="4">
        <f t="shared" si="35"/>
        <v>311.39</v>
      </c>
      <c r="I201">
        <v>91.38</v>
      </c>
      <c r="J201" s="4">
        <f t="shared" si="39"/>
        <v>86.53</v>
      </c>
      <c r="K201">
        <v>72.489999999999995</v>
      </c>
      <c r="L201" s="4">
        <f t="shared" si="40"/>
        <v>67.64</v>
      </c>
      <c r="M201" s="4">
        <f t="shared" si="41"/>
        <v>0.21830578989945684</v>
      </c>
      <c r="N201" s="3">
        <v>5.32</v>
      </c>
      <c r="O201">
        <v>22.856999999999999</v>
      </c>
      <c r="P201" s="4">
        <f t="shared" si="42"/>
        <v>17.536999999999999</v>
      </c>
      <c r="Q201">
        <f t="shared" si="31"/>
        <v>63.109284987865465</v>
      </c>
      <c r="R201" s="4">
        <f t="shared" si="28"/>
        <v>180.30247509534266</v>
      </c>
      <c r="S201">
        <f t="shared" si="29"/>
        <v>0.39553027332531021</v>
      </c>
    </row>
    <row r="202" spans="1:19" x14ac:dyDescent="0.35">
      <c r="A202" t="s">
        <v>22</v>
      </c>
      <c r="B202" t="s">
        <v>32</v>
      </c>
      <c r="C202">
        <v>1</v>
      </c>
      <c r="D202">
        <v>0</v>
      </c>
      <c r="E202">
        <v>1.8</v>
      </c>
      <c r="F202" s="3">
        <v>4.8499999999999996</v>
      </c>
      <c r="G202" t="s">
        <v>33</v>
      </c>
      <c r="H202" t="s">
        <v>33</v>
      </c>
      <c r="I202" t="s">
        <v>33</v>
      </c>
      <c r="J202" t="s">
        <v>33</v>
      </c>
      <c r="K202" t="s">
        <v>33</v>
      </c>
      <c r="L202" t="s">
        <v>33</v>
      </c>
      <c r="M202" t="s">
        <v>33</v>
      </c>
      <c r="N202" t="s">
        <v>33</v>
      </c>
      <c r="O202" t="s">
        <v>33</v>
      </c>
      <c r="P202" t="s">
        <v>33</v>
      </c>
      <c r="Q202" t="s">
        <v>33</v>
      </c>
      <c r="R202" t="s">
        <v>33</v>
      </c>
      <c r="S202" t="s">
        <v>33</v>
      </c>
    </row>
    <row r="203" spans="1:19" x14ac:dyDescent="0.35">
      <c r="A203" t="s">
        <v>22</v>
      </c>
      <c r="B203" t="s">
        <v>32</v>
      </c>
      <c r="C203">
        <v>2</v>
      </c>
      <c r="D203">
        <v>0</v>
      </c>
      <c r="E203">
        <v>1.8</v>
      </c>
      <c r="F203" s="3">
        <v>4.8499999999999996</v>
      </c>
      <c r="G203" t="s">
        <v>33</v>
      </c>
      <c r="H203" t="s">
        <v>33</v>
      </c>
      <c r="I203" t="s">
        <v>33</v>
      </c>
      <c r="J203" t="s">
        <v>33</v>
      </c>
      <c r="K203" t="s">
        <v>33</v>
      </c>
      <c r="L203" t="s">
        <v>33</v>
      </c>
      <c r="M203" t="s">
        <v>33</v>
      </c>
      <c r="N203" t="s">
        <v>33</v>
      </c>
      <c r="O203" t="s">
        <v>33</v>
      </c>
      <c r="P203" t="s">
        <v>33</v>
      </c>
      <c r="Q203" t="s">
        <v>33</v>
      </c>
      <c r="R203" t="s">
        <v>33</v>
      </c>
      <c r="S203" t="s">
        <v>33</v>
      </c>
    </row>
    <row r="204" spans="1:19" x14ac:dyDescent="0.35">
      <c r="A204" t="s">
        <v>22</v>
      </c>
      <c r="B204" t="s">
        <v>32</v>
      </c>
      <c r="C204">
        <v>3</v>
      </c>
      <c r="D204">
        <f>15*4.9</f>
        <v>73.5</v>
      </c>
      <c r="E204">
        <v>1.8</v>
      </c>
      <c r="F204" s="3">
        <v>4.8499999999999996</v>
      </c>
      <c r="G204">
        <v>12.209</v>
      </c>
      <c r="H204" s="4">
        <f t="shared" si="35"/>
        <v>10.408999999999999</v>
      </c>
      <c r="I204" t="s">
        <v>88</v>
      </c>
      <c r="J204" s="4" t="s">
        <v>88</v>
      </c>
      <c r="K204" t="s">
        <v>88</v>
      </c>
      <c r="L204" s="4" t="s">
        <v>88</v>
      </c>
      <c r="M204" s="4">
        <v>0</v>
      </c>
      <c r="N204" s="3">
        <v>5.32</v>
      </c>
      <c r="O204">
        <v>6.0609999999999999</v>
      </c>
      <c r="P204" s="4">
        <f t="shared" si="42"/>
        <v>0.74099999999999966</v>
      </c>
      <c r="Q204" s="4">
        <f>P204</f>
        <v>0.74099999999999966</v>
      </c>
      <c r="R204" s="4">
        <f t="shared" si="28"/>
        <v>9.6679999999999993</v>
      </c>
      <c r="S204">
        <f>R204/D204</f>
        <v>0.13153741496598639</v>
      </c>
    </row>
    <row r="205" spans="1:19" x14ac:dyDescent="0.35">
      <c r="A205" t="s">
        <v>22</v>
      </c>
      <c r="B205" t="s">
        <v>32</v>
      </c>
      <c r="C205">
        <v>4</v>
      </c>
      <c r="D205">
        <f>3*4.9</f>
        <v>14.700000000000001</v>
      </c>
      <c r="E205">
        <v>1.8</v>
      </c>
      <c r="F205" s="3">
        <v>4.8499999999999996</v>
      </c>
      <c r="G205">
        <v>11.506</v>
      </c>
      <c r="H205" s="4">
        <f t="shared" si="35"/>
        <v>9.7059999999999995</v>
      </c>
      <c r="I205" t="s">
        <v>88</v>
      </c>
      <c r="J205" s="4" t="s">
        <v>88</v>
      </c>
      <c r="K205" t="s">
        <v>88</v>
      </c>
      <c r="L205" s="4" t="s">
        <v>88</v>
      </c>
      <c r="M205" s="4">
        <v>0</v>
      </c>
      <c r="N205" s="3">
        <v>5.32</v>
      </c>
      <c r="O205">
        <v>5.8719999999999999</v>
      </c>
      <c r="P205" s="4">
        <f t="shared" si="42"/>
        <v>0.5519999999999996</v>
      </c>
      <c r="Q205" s="4">
        <f>P205</f>
        <v>0.5519999999999996</v>
      </c>
      <c r="R205" s="4">
        <f t="shared" si="28"/>
        <v>9.1539999999999999</v>
      </c>
      <c r="S205">
        <f>R205/D205</f>
        <v>0.6227210884353741</v>
      </c>
    </row>
    <row r="206" spans="1:19" x14ac:dyDescent="0.35">
      <c r="A206" t="s">
        <v>22</v>
      </c>
      <c r="B206" t="s">
        <v>10</v>
      </c>
      <c r="C206">
        <v>1</v>
      </c>
      <c r="D206">
        <v>0</v>
      </c>
      <c r="E206">
        <v>1.8</v>
      </c>
      <c r="F206" s="3">
        <v>4.8499999999999996</v>
      </c>
      <c r="G206" t="s">
        <v>33</v>
      </c>
      <c r="H206" t="s">
        <v>33</v>
      </c>
      <c r="I206" t="s">
        <v>33</v>
      </c>
      <c r="J206" t="s">
        <v>33</v>
      </c>
      <c r="K206" t="s">
        <v>33</v>
      </c>
      <c r="L206" t="s">
        <v>33</v>
      </c>
      <c r="M206" t="s">
        <v>33</v>
      </c>
      <c r="N206" t="s">
        <v>33</v>
      </c>
      <c r="O206" t="s">
        <v>33</v>
      </c>
      <c r="P206" t="s">
        <v>33</v>
      </c>
      <c r="Q206" t="s">
        <v>33</v>
      </c>
      <c r="R206" t="s">
        <v>33</v>
      </c>
      <c r="S206" t="s">
        <v>33</v>
      </c>
    </row>
    <row r="207" spans="1:19" x14ac:dyDescent="0.35">
      <c r="A207" t="s">
        <v>22</v>
      </c>
      <c r="B207" t="s">
        <v>10</v>
      </c>
      <c r="C207">
        <v>2</v>
      </c>
      <c r="D207">
        <v>0</v>
      </c>
      <c r="E207">
        <v>1.8</v>
      </c>
      <c r="F207" s="3">
        <v>4.8499999999999996</v>
      </c>
      <c r="G207" t="s">
        <v>33</v>
      </c>
      <c r="H207" t="s">
        <v>33</v>
      </c>
      <c r="I207" t="s">
        <v>33</v>
      </c>
      <c r="J207" t="s">
        <v>33</v>
      </c>
      <c r="K207" t="s">
        <v>33</v>
      </c>
      <c r="L207" t="s">
        <v>33</v>
      </c>
      <c r="M207" t="s">
        <v>33</v>
      </c>
      <c r="N207" t="s">
        <v>33</v>
      </c>
      <c r="O207" t="s">
        <v>33</v>
      </c>
      <c r="P207" t="s">
        <v>33</v>
      </c>
      <c r="Q207" t="s">
        <v>33</v>
      </c>
      <c r="R207" t="s">
        <v>33</v>
      </c>
      <c r="S207" t="s">
        <v>33</v>
      </c>
    </row>
    <row r="208" spans="1:19" x14ac:dyDescent="0.35">
      <c r="A208" t="s">
        <v>22</v>
      </c>
      <c r="B208" t="s">
        <v>10</v>
      </c>
      <c r="C208">
        <v>3</v>
      </c>
      <c r="D208">
        <v>0</v>
      </c>
      <c r="E208">
        <v>1.8</v>
      </c>
      <c r="F208" s="3">
        <v>4.8499999999999996</v>
      </c>
      <c r="G208" t="s">
        <v>33</v>
      </c>
      <c r="H208" t="s">
        <v>33</v>
      </c>
      <c r="I208" t="s">
        <v>33</v>
      </c>
      <c r="J208" t="s">
        <v>33</v>
      </c>
      <c r="K208" t="s">
        <v>33</v>
      </c>
      <c r="L208" t="s">
        <v>33</v>
      </c>
      <c r="M208" t="s">
        <v>33</v>
      </c>
      <c r="N208" t="s">
        <v>33</v>
      </c>
      <c r="O208" t="s">
        <v>33</v>
      </c>
      <c r="P208" t="s">
        <v>33</v>
      </c>
      <c r="Q208" t="s">
        <v>33</v>
      </c>
      <c r="R208" t="s">
        <v>33</v>
      </c>
      <c r="S208" t="s">
        <v>33</v>
      </c>
    </row>
    <row r="209" spans="1:19" x14ac:dyDescent="0.35">
      <c r="A209" t="s">
        <v>22</v>
      </c>
      <c r="B209" t="s">
        <v>10</v>
      </c>
      <c r="C209">
        <v>4</v>
      </c>
      <c r="D209">
        <v>0</v>
      </c>
      <c r="E209">
        <v>1.8</v>
      </c>
      <c r="F209" s="3">
        <v>4.8499999999999996</v>
      </c>
      <c r="G209" t="s">
        <v>33</v>
      </c>
      <c r="H209" t="s">
        <v>33</v>
      </c>
      <c r="I209" t="s">
        <v>33</v>
      </c>
      <c r="J209" t="s">
        <v>33</v>
      </c>
      <c r="K209" t="s">
        <v>33</v>
      </c>
      <c r="L209" t="s">
        <v>33</v>
      </c>
      <c r="M209" t="s">
        <v>33</v>
      </c>
      <c r="N209" t="s">
        <v>33</v>
      </c>
      <c r="O209" t="s">
        <v>33</v>
      </c>
      <c r="P209" t="s">
        <v>33</v>
      </c>
      <c r="Q209" t="s">
        <v>33</v>
      </c>
      <c r="R209" t="s">
        <v>33</v>
      </c>
      <c r="S209" t="s">
        <v>33</v>
      </c>
    </row>
    <row r="210" spans="1:19" x14ac:dyDescent="0.35">
      <c r="A210" t="s">
        <v>23</v>
      </c>
      <c r="B210" t="s">
        <v>9</v>
      </c>
      <c r="C210">
        <v>1</v>
      </c>
      <c r="D210">
        <f>9.5*25</f>
        <v>237.5</v>
      </c>
      <c r="E210">
        <v>1.8</v>
      </c>
      <c r="F210" s="3">
        <v>4.8499999999999996</v>
      </c>
      <c r="G210">
        <v>54.664999999999999</v>
      </c>
      <c r="H210" s="4">
        <f t="shared" si="33"/>
        <v>52.865000000000002</v>
      </c>
      <c r="I210">
        <v>12.590999999999999</v>
      </c>
      <c r="J210" s="4">
        <f t="shared" si="34"/>
        <v>7.7409999999999997</v>
      </c>
      <c r="K210">
        <v>12.538</v>
      </c>
      <c r="L210" s="4">
        <f t="shared" ref="L210:L241" si="43">K210-F210</f>
        <v>7.6880000000000006</v>
      </c>
      <c r="M210" s="4">
        <f t="shared" si="41"/>
        <v>6.8466606381603215E-3</v>
      </c>
      <c r="N210" s="3">
        <v>5.32</v>
      </c>
      <c r="O210">
        <v>9.1620000000000008</v>
      </c>
      <c r="P210" s="4">
        <f>O210-N210</f>
        <v>3.8420000000000005</v>
      </c>
      <c r="Q210">
        <f t="shared" ref="Q210:Q265" si="44">P210*(1/(J210/H210))</f>
        <v>26.23786720062008</v>
      </c>
      <c r="R210" s="4">
        <f t="shared" ref="R210:R268" si="45">(H210*(1-M210))-Q210</f>
        <v>26.265184084743581</v>
      </c>
      <c r="S210">
        <f t="shared" ref="S210:S268" si="46">R210/D210</f>
        <v>0.1105902487778677</v>
      </c>
    </row>
    <row r="211" spans="1:19" x14ac:dyDescent="0.35">
      <c r="A211" t="s">
        <v>23</v>
      </c>
      <c r="B211" t="s">
        <v>9</v>
      </c>
      <c r="C211">
        <v>2</v>
      </c>
      <c r="D211">
        <f>7.5*25</f>
        <v>187.5</v>
      </c>
      <c r="E211">
        <v>1.8</v>
      </c>
      <c r="F211" s="3">
        <v>4.8499999999999996</v>
      </c>
      <c r="G211">
        <v>40.594999999999999</v>
      </c>
      <c r="H211" s="4">
        <f t="shared" si="33"/>
        <v>38.795000000000002</v>
      </c>
      <c r="I211">
        <v>10.923</v>
      </c>
      <c r="J211" s="4">
        <f t="shared" si="34"/>
        <v>6.0730000000000004</v>
      </c>
      <c r="K211">
        <v>10.891999999999999</v>
      </c>
      <c r="L211" s="4">
        <f t="shared" si="43"/>
        <v>6.0419999999999998</v>
      </c>
      <c r="M211" s="4">
        <f t="shared" si="41"/>
        <v>5.1045611724025329E-3</v>
      </c>
      <c r="N211" s="3">
        <v>5.32</v>
      </c>
      <c r="O211">
        <v>7.4370000000000003</v>
      </c>
      <c r="P211" s="4">
        <f t="shared" ref="P211:P221" si="47">O211-N211</f>
        <v>2.117</v>
      </c>
      <c r="Q211">
        <f t="shared" si="44"/>
        <v>13.523631648279268</v>
      </c>
      <c r="R211" s="4">
        <f t="shared" si="45"/>
        <v>25.073336901037372</v>
      </c>
      <c r="S211">
        <f t="shared" si="46"/>
        <v>0.13372446347219932</v>
      </c>
    </row>
    <row r="212" spans="1:19" x14ac:dyDescent="0.35">
      <c r="A212" t="s">
        <v>23</v>
      </c>
      <c r="B212" t="s">
        <v>9</v>
      </c>
      <c r="C212">
        <v>3</v>
      </c>
      <c r="D212">
        <f>6*25</f>
        <v>150</v>
      </c>
      <c r="E212">
        <v>1.8</v>
      </c>
      <c r="F212" s="3">
        <v>4.8499999999999996</v>
      </c>
      <c r="G212">
        <v>69.03</v>
      </c>
      <c r="H212" s="4">
        <f t="shared" si="33"/>
        <v>67.23</v>
      </c>
      <c r="I212">
        <v>15.840999999999999</v>
      </c>
      <c r="J212" s="4">
        <f t="shared" si="34"/>
        <v>10.991</v>
      </c>
      <c r="K212">
        <v>15.82</v>
      </c>
      <c r="L212" s="4">
        <f t="shared" si="43"/>
        <v>10.97</v>
      </c>
      <c r="M212" s="4">
        <f t="shared" si="41"/>
        <v>1.9106541715948522E-3</v>
      </c>
      <c r="N212" s="3">
        <v>5.32</v>
      </c>
      <c r="O212">
        <v>9.4359999999999999</v>
      </c>
      <c r="P212" s="4">
        <f t="shared" si="47"/>
        <v>4.1159999999999997</v>
      </c>
      <c r="Q212">
        <f t="shared" si="44"/>
        <v>25.176842871440272</v>
      </c>
      <c r="R212" s="4">
        <f t="shared" si="45"/>
        <v>41.924703848603414</v>
      </c>
      <c r="S212">
        <f t="shared" si="46"/>
        <v>0.2794980256573561</v>
      </c>
    </row>
    <row r="213" spans="1:19" x14ac:dyDescent="0.35">
      <c r="A213" t="s">
        <v>23</v>
      </c>
      <c r="B213" t="s">
        <v>9</v>
      </c>
      <c r="C213">
        <v>4</v>
      </c>
      <c r="D213">
        <f>6*25</f>
        <v>150</v>
      </c>
      <c r="E213">
        <v>1.8</v>
      </c>
      <c r="F213" s="3">
        <v>4.8499999999999996</v>
      </c>
      <c r="G213">
        <v>39.328000000000003</v>
      </c>
      <c r="H213" s="4">
        <f t="shared" si="33"/>
        <v>37.528000000000006</v>
      </c>
      <c r="I213">
        <v>9.9830000000000005</v>
      </c>
      <c r="J213" s="4">
        <f t="shared" si="34"/>
        <v>5.1330000000000009</v>
      </c>
      <c r="K213">
        <v>9.9659999999999993</v>
      </c>
      <c r="L213" s="4">
        <f t="shared" si="43"/>
        <v>5.1159999999999997</v>
      </c>
      <c r="M213" s="4">
        <f t="shared" si="41"/>
        <v>3.3119033703489643E-3</v>
      </c>
      <c r="N213" s="3">
        <v>5.32</v>
      </c>
      <c r="O213">
        <v>9.5960000000000001</v>
      </c>
      <c r="P213" s="4">
        <f t="shared" si="47"/>
        <v>4.2759999999999998</v>
      </c>
      <c r="Q213">
        <f t="shared" si="44"/>
        <v>31.262366647184876</v>
      </c>
      <c r="R213" s="4">
        <f t="shared" si="45"/>
        <v>6.1413442431326715</v>
      </c>
      <c r="S213">
        <f t="shared" si="46"/>
        <v>4.0942294954217813E-2</v>
      </c>
    </row>
    <row r="214" spans="1:19" x14ac:dyDescent="0.35">
      <c r="A214" t="s">
        <v>23</v>
      </c>
      <c r="B214" t="s">
        <v>31</v>
      </c>
      <c r="C214">
        <v>1</v>
      </c>
      <c r="D214">
        <f>((9+4.5+5)*25)+((6.5+7.5)*4.9)</f>
        <v>531.1</v>
      </c>
      <c r="E214">
        <v>1.8</v>
      </c>
      <c r="F214" s="3">
        <v>4.8499999999999996</v>
      </c>
      <c r="G214">
        <f>273.75+(75.06-4.85)</f>
        <v>343.96000000000004</v>
      </c>
      <c r="H214" s="4">
        <f t="shared" si="33"/>
        <v>342.16</v>
      </c>
      <c r="I214">
        <v>92.82</v>
      </c>
      <c r="J214" s="4">
        <f t="shared" si="34"/>
        <v>87.97</v>
      </c>
      <c r="K214">
        <v>79.290000000000006</v>
      </c>
      <c r="L214" s="4">
        <f t="shared" si="43"/>
        <v>74.440000000000012</v>
      </c>
      <c r="M214" s="4">
        <f t="shared" si="41"/>
        <v>0.15380243264749333</v>
      </c>
      <c r="N214" s="3">
        <v>5.32</v>
      </c>
      <c r="O214">
        <v>22.225000000000001</v>
      </c>
      <c r="P214" s="4">
        <f t="shared" si="47"/>
        <v>16.905000000000001</v>
      </c>
      <c r="Q214">
        <f t="shared" si="44"/>
        <v>65.752129134932375</v>
      </c>
      <c r="R214" s="4">
        <f t="shared" si="45"/>
        <v>223.78283051040131</v>
      </c>
      <c r="S214">
        <f t="shared" si="46"/>
        <v>0.42135724065223368</v>
      </c>
    </row>
    <row r="215" spans="1:19" x14ac:dyDescent="0.35">
      <c r="A215" t="s">
        <v>23</v>
      </c>
      <c r="B215" t="s">
        <v>31</v>
      </c>
      <c r="C215">
        <v>2</v>
      </c>
      <c r="D215">
        <f>((6+5+9)*25)+((4.5+5+8)*4.9)</f>
        <v>585.75</v>
      </c>
      <c r="E215">
        <v>1.8</v>
      </c>
      <c r="F215" s="3">
        <v>4.8499999999999996</v>
      </c>
      <c r="G215">
        <f>278.24+(156.42-4.85)+(67.54-4.85)</f>
        <v>492.5</v>
      </c>
      <c r="H215" s="4">
        <f t="shared" si="33"/>
        <v>490.7</v>
      </c>
      <c r="I215">
        <v>102.54</v>
      </c>
      <c r="J215" s="4">
        <f t="shared" si="34"/>
        <v>97.690000000000012</v>
      </c>
      <c r="K215">
        <v>74.56</v>
      </c>
      <c r="L215" s="4">
        <f t="shared" si="43"/>
        <v>69.710000000000008</v>
      </c>
      <c r="M215" s="4">
        <f t="shared" si="41"/>
        <v>0.28641621455624938</v>
      </c>
      <c r="N215" s="3">
        <v>5.32</v>
      </c>
      <c r="O215">
        <v>20.533999999999999</v>
      </c>
      <c r="P215" s="4">
        <f t="shared" si="47"/>
        <v>15.213999999999999</v>
      </c>
      <c r="Q215">
        <f t="shared" si="44"/>
        <v>76.420409458491122</v>
      </c>
      <c r="R215" s="4">
        <f t="shared" si="45"/>
        <v>273.73515405875725</v>
      </c>
      <c r="S215">
        <f t="shared" si="46"/>
        <v>0.46732420667308111</v>
      </c>
    </row>
    <row r="216" spans="1:19" x14ac:dyDescent="0.35">
      <c r="A216" t="s">
        <v>23</v>
      </c>
      <c r="B216" t="s">
        <v>31</v>
      </c>
      <c r="C216">
        <v>3</v>
      </c>
      <c r="D216">
        <f>((4.5+4.5+5)*25)+((8.5+9.5+10.5)*4.9)</f>
        <v>489.65</v>
      </c>
      <c r="E216">
        <v>1.8</v>
      </c>
      <c r="F216" s="3">
        <v>4.8499999999999996</v>
      </c>
      <c r="G216">
        <f>288.48+(54.578-4.85)</f>
        <v>338.20800000000003</v>
      </c>
      <c r="H216" s="4">
        <f t="shared" si="33"/>
        <v>336.40800000000002</v>
      </c>
      <c r="I216">
        <v>81.73</v>
      </c>
      <c r="J216" s="4">
        <f t="shared" si="34"/>
        <v>76.88000000000001</v>
      </c>
      <c r="K216">
        <v>62.47</v>
      </c>
      <c r="L216" s="4">
        <f t="shared" si="43"/>
        <v>57.62</v>
      </c>
      <c r="M216" s="4">
        <f t="shared" si="41"/>
        <v>0.25052029136316351</v>
      </c>
      <c r="N216" s="3">
        <v>5.32</v>
      </c>
      <c r="O216">
        <v>15.06</v>
      </c>
      <c r="P216" s="4">
        <f t="shared" si="47"/>
        <v>9.74</v>
      </c>
      <c r="Q216">
        <f t="shared" si="44"/>
        <v>42.619848074921954</v>
      </c>
      <c r="R216" s="4">
        <f t="shared" si="45"/>
        <v>209.51112174817897</v>
      </c>
      <c r="S216">
        <f t="shared" si="46"/>
        <v>0.42787934595768196</v>
      </c>
    </row>
    <row r="217" spans="1:19" x14ac:dyDescent="0.35">
      <c r="A217" t="s">
        <v>23</v>
      </c>
      <c r="B217" t="s">
        <v>31</v>
      </c>
      <c r="C217">
        <v>4</v>
      </c>
      <c r="D217">
        <f>((5+5)*25)+(4*12.5)+((9.5+7+4.5)*4.9)</f>
        <v>402.9</v>
      </c>
      <c r="E217">
        <v>1.8</v>
      </c>
      <c r="F217" s="3">
        <v>4.8499999999999996</v>
      </c>
      <c r="G217">
        <v>294.33999999999997</v>
      </c>
      <c r="H217" s="4">
        <f t="shared" si="33"/>
        <v>292.53999999999996</v>
      </c>
      <c r="I217">
        <v>94.53</v>
      </c>
      <c r="J217" s="4">
        <f t="shared" si="34"/>
        <v>89.68</v>
      </c>
      <c r="K217">
        <v>76.099999999999994</v>
      </c>
      <c r="L217" s="4">
        <f t="shared" si="43"/>
        <v>71.25</v>
      </c>
      <c r="M217" s="4">
        <f t="shared" si="41"/>
        <v>0.20550847457627125</v>
      </c>
      <c r="N217" s="3">
        <v>5.32</v>
      </c>
      <c r="O217">
        <v>17.423999999999999</v>
      </c>
      <c r="P217" s="4">
        <f t="shared" si="47"/>
        <v>12.103999999999999</v>
      </c>
      <c r="Q217">
        <f t="shared" si="44"/>
        <v>39.483766280107034</v>
      </c>
      <c r="R217" s="4">
        <f t="shared" si="45"/>
        <v>192.93678456735057</v>
      </c>
      <c r="S217">
        <f t="shared" si="46"/>
        <v>0.47887015281050033</v>
      </c>
    </row>
    <row r="218" spans="1:19" x14ac:dyDescent="0.35">
      <c r="A218" t="s">
        <v>23</v>
      </c>
      <c r="B218" t="s">
        <v>32</v>
      </c>
      <c r="C218">
        <v>1</v>
      </c>
      <c r="D218">
        <v>0</v>
      </c>
      <c r="E218">
        <v>1.8</v>
      </c>
      <c r="F218" s="3">
        <v>4.8499999999999996</v>
      </c>
      <c r="G218" t="s">
        <v>33</v>
      </c>
      <c r="H218" t="s">
        <v>33</v>
      </c>
      <c r="I218" t="s">
        <v>33</v>
      </c>
      <c r="J218" t="s">
        <v>33</v>
      </c>
      <c r="K218" t="s">
        <v>33</v>
      </c>
      <c r="L218" t="s">
        <v>33</v>
      </c>
      <c r="M218" t="s">
        <v>33</v>
      </c>
      <c r="N218" t="s">
        <v>33</v>
      </c>
      <c r="O218" t="s">
        <v>33</v>
      </c>
      <c r="P218" t="s">
        <v>33</v>
      </c>
      <c r="Q218" t="s">
        <v>33</v>
      </c>
      <c r="R218" t="s">
        <v>33</v>
      </c>
      <c r="S218" t="s">
        <v>33</v>
      </c>
    </row>
    <row r="219" spans="1:19" x14ac:dyDescent="0.35">
      <c r="A219" t="s">
        <v>23</v>
      </c>
      <c r="B219" t="s">
        <v>32</v>
      </c>
      <c r="C219">
        <v>2</v>
      </c>
      <c r="D219">
        <v>0</v>
      </c>
      <c r="E219">
        <v>1.8</v>
      </c>
      <c r="F219" s="3">
        <v>4.8499999999999996</v>
      </c>
      <c r="G219">
        <v>30.094000000000001</v>
      </c>
      <c r="H219" s="4">
        <f t="shared" si="33"/>
        <v>28.294</v>
      </c>
      <c r="I219" t="s">
        <v>88</v>
      </c>
      <c r="J219" s="4" t="s">
        <v>88</v>
      </c>
      <c r="K219" t="s">
        <v>88</v>
      </c>
      <c r="L219" s="4" t="s">
        <v>88</v>
      </c>
      <c r="M219" s="4">
        <v>0</v>
      </c>
      <c r="N219" s="3">
        <v>5.32</v>
      </c>
      <c r="O219">
        <v>7.9420000000000002</v>
      </c>
      <c r="P219" s="4">
        <f t="shared" si="47"/>
        <v>2.6219999999999999</v>
      </c>
      <c r="Q219" s="4">
        <f>P219</f>
        <v>2.6219999999999999</v>
      </c>
      <c r="R219" s="4">
        <f t="shared" si="45"/>
        <v>25.672000000000001</v>
      </c>
      <c r="S219" t="s">
        <v>87</v>
      </c>
    </row>
    <row r="220" spans="1:19" x14ac:dyDescent="0.35">
      <c r="A220" t="s">
        <v>23</v>
      </c>
      <c r="B220" t="s">
        <v>32</v>
      </c>
      <c r="C220">
        <v>3</v>
      </c>
      <c r="D220">
        <v>4.9000000000000004</v>
      </c>
      <c r="E220">
        <v>1.8</v>
      </c>
      <c r="F220" s="3">
        <v>4.8499999999999996</v>
      </c>
      <c r="G220">
        <v>8.7309999999999999</v>
      </c>
      <c r="H220" s="4">
        <f t="shared" si="33"/>
        <v>6.931</v>
      </c>
      <c r="I220" t="s">
        <v>88</v>
      </c>
      <c r="J220" s="4" t="s">
        <v>88</v>
      </c>
      <c r="K220" t="s">
        <v>88</v>
      </c>
      <c r="L220" s="4" t="s">
        <v>88</v>
      </c>
      <c r="M220" s="4">
        <v>0</v>
      </c>
      <c r="N220" s="3">
        <v>5.32</v>
      </c>
      <c r="O220">
        <v>5.5620000000000003</v>
      </c>
      <c r="P220" s="4">
        <f t="shared" si="47"/>
        <v>0.24199999999999999</v>
      </c>
      <c r="Q220" s="4">
        <f t="shared" ref="Q220:Q221" si="48">P220</f>
        <v>0.24199999999999999</v>
      </c>
      <c r="R220" s="4">
        <f t="shared" si="45"/>
        <v>6.6890000000000001</v>
      </c>
      <c r="S220">
        <f t="shared" si="46"/>
        <v>1.3651020408163264</v>
      </c>
    </row>
    <row r="221" spans="1:19" x14ac:dyDescent="0.35">
      <c r="A221" t="s">
        <v>23</v>
      </c>
      <c r="B221" t="s">
        <v>32</v>
      </c>
      <c r="C221">
        <v>4</v>
      </c>
      <c r="D221">
        <f>((1.5+2+2)*4.9)</f>
        <v>26.950000000000003</v>
      </c>
      <c r="E221">
        <v>1.8</v>
      </c>
      <c r="F221" s="3">
        <v>4.8499999999999996</v>
      </c>
      <c r="G221">
        <v>19.841999999999999</v>
      </c>
      <c r="H221" s="4">
        <f t="shared" si="33"/>
        <v>18.041999999999998</v>
      </c>
      <c r="I221" t="s">
        <v>88</v>
      </c>
      <c r="J221" s="4" t="s">
        <v>88</v>
      </c>
      <c r="K221" t="s">
        <v>88</v>
      </c>
      <c r="L221" s="4" t="s">
        <v>88</v>
      </c>
      <c r="M221" s="4">
        <v>0</v>
      </c>
      <c r="N221" s="3">
        <v>5.32</v>
      </c>
      <c r="O221">
        <v>7.0149999999999997</v>
      </c>
      <c r="P221" s="4">
        <f t="shared" si="47"/>
        <v>1.6949999999999994</v>
      </c>
      <c r="Q221" s="4">
        <f t="shared" si="48"/>
        <v>1.6949999999999994</v>
      </c>
      <c r="R221" s="4">
        <f t="shared" si="45"/>
        <v>16.346999999999998</v>
      </c>
      <c r="S221">
        <f t="shared" si="46"/>
        <v>0.60656771799628928</v>
      </c>
    </row>
    <row r="222" spans="1:19" x14ac:dyDescent="0.35">
      <c r="A222" t="s">
        <v>23</v>
      </c>
      <c r="B222" t="s">
        <v>10</v>
      </c>
      <c r="C222">
        <v>1</v>
      </c>
      <c r="D222">
        <v>0</v>
      </c>
      <c r="E222">
        <v>1.8</v>
      </c>
      <c r="F222" s="3">
        <v>4.8499999999999996</v>
      </c>
      <c r="G222" t="s">
        <v>33</v>
      </c>
      <c r="H222" t="s">
        <v>33</v>
      </c>
      <c r="I222" t="s">
        <v>33</v>
      </c>
      <c r="J222" t="s">
        <v>33</v>
      </c>
      <c r="K222" t="s">
        <v>33</v>
      </c>
      <c r="L222" t="s">
        <v>33</v>
      </c>
      <c r="M222" t="s">
        <v>33</v>
      </c>
      <c r="N222" t="s">
        <v>33</v>
      </c>
      <c r="O222" t="s">
        <v>33</v>
      </c>
      <c r="P222" t="s">
        <v>33</v>
      </c>
      <c r="Q222" t="s">
        <v>33</v>
      </c>
      <c r="R222" t="s">
        <v>33</v>
      </c>
      <c r="S222" t="s">
        <v>33</v>
      </c>
    </row>
    <row r="223" spans="1:19" x14ac:dyDescent="0.35">
      <c r="A223" t="s">
        <v>23</v>
      </c>
      <c r="B223" t="s">
        <v>10</v>
      </c>
      <c r="C223">
        <v>2</v>
      </c>
      <c r="D223">
        <v>0</v>
      </c>
      <c r="E223">
        <v>1.8</v>
      </c>
      <c r="F223" s="3">
        <v>4.8499999999999996</v>
      </c>
      <c r="G223" t="s">
        <v>33</v>
      </c>
      <c r="H223" t="s">
        <v>33</v>
      </c>
      <c r="I223" t="s">
        <v>33</v>
      </c>
      <c r="J223" t="s">
        <v>33</v>
      </c>
      <c r="K223" t="s">
        <v>33</v>
      </c>
      <c r="L223" t="s">
        <v>33</v>
      </c>
      <c r="M223" t="s">
        <v>33</v>
      </c>
      <c r="N223" t="s">
        <v>33</v>
      </c>
      <c r="O223" t="s">
        <v>33</v>
      </c>
      <c r="P223" t="s">
        <v>33</v>
      </c>
      <c r="Q223" t="s">
        <v>33</v>
      </c>
      <c r="R223" t="s">
        <v>33</v>
      </c>
      <c r="S223" t="s">
        <v>33</v>
      </c>
    </row>
    <row r="224" spans="1:19" x14ac:dyDescent="0.35">
      <c r="A224" t="s">
        <v>23</v>
      </c>
      <c r="B224" t="s">
        <v>10</v>
      </c>
      <c r="C224">
        <v>3</v>
      </c>
      <c r="D224">
        <v>0</v>
      </c>
      <c r="E224">
        <v>1.8</v>
      </c>
      <c r="F224" s="3">
        <v>4.8499999999999996</v>
      </c>
      <c r="G224" t="s">
        <v>33</v>
      </c>
      <c r="H224" t="s">
        <v>33</v>
      </c>
      <c r="I224" t="s">
        <v>33</v>
      </c>
      <c r="J224" t="s">
        <v>33</v>
      </c>
      <c r="K224" t="s">
        <v>33</v>
      </c>
      <c r="L224" t="s">
        <v>33</v>
      </c>
      <c r="M224" t="s">
        <v>33</v>
      </c>
      <c r="N224" t="s">
        <v>33</v>
      </c>
      <c r="O224" t="s">
        <v>33</v>
      </c>
      <c r="P224" t="s">
        <v>33</v>
      </c>
      <c r="Q224" t="s">
        <v>33</v>
      </c>
      <c r="R224" t="s">
        <v>33</v>
      </c>
      <c r="S224" t="s">
        <v>33</v>
      </c>
    </row>
    <row r="225" spans="1:19" x14ac:dyDescent="0.35">
      <c r="A225" t="s">
        <v>23</v>
      </c>
      <c r="B225" t="s">
        <v>10</v>
      </c>
      <c r="C225">
        <v>4</v>
      </c>
      <c r="D225">
        <v>0</v>
      </c>
      <c r="E225">
        <v>1.8</v>
      </c>
      <c r="F225" s="3">
        <v>4.8499999999999996</v>
      </c>
      <c r="G225" t="s">
        <v>33</v>
      </c>
      <c r="H225" t="s">
        <v>33</v>
      </c>
      <c r="I225" t="s">
        <v>33</v>
      </c>
      <c r="J225" t="s">
        <v>33</v>
      </c>
      <c r="K225" t="s">
        <v>33</v>
      </c>
      <c r="L225" t="s">
        <v>33</v>
      </c>
      <c r="M225" t="s">
        <v>33</v>
      </c>
      <c r="N225" t="s">
        <v>33</v>
      </c>
      <c r="O225" t="s">
        <v>33</v>
      </c>
      <c r="P225" t="s">
        <v>33</v>
      </c>
      <c r="Q225" t="s">
        <v>33</v>
      </c>
      <c r="R225" t="s">
        <v>33</v>
      </c>
      <c r="S225" t="s">
        <v>33</v>
      </c>
    </row>
    <row r="226" spans="1:19" x14ac:dyDescent="0.35">
      <c r="A226" t="s">
        <v>24</v>
      </c>
      <c r="B226" t="s">
        <v>9</v>
      </c>
      <c r="C226">
        <v>1</v>
      </c>
      <c r="D226">
        <f>6*25</f>
        <v>150</v>
      </c>
      <c r="E226">
        <v>1.8</v>
      </c>
      <c r="F226" s="3">
        <v>4.8499999999999996</v>
      </c>
      <c r="G226">
        <v>20.047999999999998</v>
      </c>
      <c r="H226" s="4">
        <f t="shared" si="33"/>
        <v>18.247999999999998</v>
      </c>
      <c r="I226">
        <v>7.2229999999999999</v>
      </c>
      <c r="J226" s="4">
        <f t="shared" si="34"/>
        <v>2.3730000000000002</v>
      </c>
      <c r="K226">
        <v>7.2389999999999999</v>
      </c>
      <c r="L226" s="4">
        <f t="shared" si="43"/>
        <v>2.3890000000000002</v>
      </c>
      <c r="M226" s="4">
        <f t="shared" si="41"/>
        <v>-6.7425200168563055E-3</v>
      </c>
      <c r="N226" s="3">
        <v>5.32</v>
      </c>
      <c r="O226">
        <v>6.7050000000000001</v>
      </c>
      <c r="P226" s="4">
        <f>O226-N226</f>
        <v>1.3849999999999998</v>
      </c>
      <c r="Q226">
        <f t="shared" si="44"/>
        <v>10.650434049726082</v>
      </c>
      <c r="R226" s="4">
        <f t="shared" si="45"/>
        <v>7.7206034555415091</v>
      </c>
      <c r="S226">
        <f t="shared" si="46"/>
        <v>5.1470689703610059E-2</v>
      </c>
    </row>
    <row r="227" spans="1:19" x14ac:dyDescent="0.35">
      <c r="A227" t="s">
        <v>24</v>
      </c>
      <c r="B227" t="s">
        <v>9</v>
      </c>
      <c r="C227">
        <v>2</v>
      </c>
      <c r="D227">
        <f>8.5*25</f>
        <v>212.5</v>
      </c>
      <c r="E227">
        <v>1.8</v>
      </c>
      <c r="F227" s="3">
        <v>4.8499999999999996</v>
      </c>
      <c r="G227">
        <v>23.405999999999999</v>
      </c>
      <c r="H227" s="4">
        <f t="shared" ref="H227:H290" si="49">G227-E227</f>
        <v>21.605999999999998</v>
      </c>
      <c r="I227">
        <v>7.2789999999999999</v>
      </c>
      <c r="J227" s="4">
        <f t="shared" ref="J227:J290" si="50">I227-F227</f>
        <v>2.4290000000000003</v>
      </c>
      <c r="K227">
        <v>7.2869999999999999</v>
      </c>
      <c r="L227" s="4">
        <f t="shared" si="43"/>
        <v>2.4370000000000003</v>
      </c>
      <c r="M227" s="4">
        <f t="shared" si="41"/>
        <v>-3.293536434746812E-3</v>
      </c>
      <c r="N227" s="3">
        <v>5.32</v>
      </c>
      <c r="O227">
        <v>6.6479999999999997</v>
      </c>
      <c r="P227" s="4">
        <f t="shared" ref="P227:P290" si="51">O227-N227</f>
        <v>1.3279999999999994</v>
      </c>
      <c r="Q227">
        <f t="shared" si="44"/>
        <v>11.812584602717159</v>
      </c>
      <c r="R227" s="4">
        <f t="shared" si="45"/>
        <v>9.8645755454919808</v>
      </c>
      <c r="S227">
        <f t="shared" si="46"/>
        <v>4.6421531978785791E-2</v>
      </c>
    </row>
    <row r="228" spans="1:19" x14ac:dyDescent="0.35">
      <c r="A228" t="s">
        <v>24</v>
      </c>
      <c r="B228" t="s">
        <v>9</v>
      </c>
      <c r="C228">
        <v>3</v>
      </c>
      <c r="D228">
        <f>12.25*25</f>
        <v>306.25</v>
      </c>
      <c r="E228">
        <v>1.8</v>
      </c>
      <c r="F228" s="3">
        <v>4.8499999999999996</v>
      </c>
      <c r="G228">
        <v>38.518000000000001</v>
      </c>
      <c r="H228" s="4">
        <f t="shared" si="49"/>
        <v>36.718000000000004</v>
      </c>
      <c r="I228">
        <v>8.9830000000000005</v>
      </c>
      <c r="J228" s="4">
        <f t="shared" si="50"/>
        <v>4.1330000000000009</v>
      </c>
      <c r="K228">
        <v>8.9819999999999993</v>
      </c>
      <c r="L228" s="4">
        <f t="shared" si="43"/>
        <v>4.1319999999999997</v>
      </c>
      <c r="M228" s="4">
        <f t="shared" si="41"/>
        <v>2.4195499637097071E-4</v>
      </c>
      <c r="N228" s="3">
        <v>5.32</v>
      </c>
      <c r="O228">
        <v>6.8529999999999998</v>
      </c>
      <c r="P228" s="4">
        <f t="shared" si="51"/>
        <v>1.5329999999999995</v>
      </c>
      <c r="Q228">
        <f t="shared" si="44"/>
        <v>13.619330752480032</v>
      </c>
      <c r="R228" s="4">
        <f t="shared" si="45"/>
        <v>23.089785143963226</v>
      </c>
      <c r="S228">
        <f t="shared" si="46"/>
        <v>7.5395216796614623E-2</v>
      </c>
    </row>
    <row r="229" spans="1:19" x14ac:dyDescent="0.35">
      <c r="A229" t="s">
        <v>24</v>
      </c>
      <c r="B229" t="s">
        <v>9</v>
      </c>
      <c r="C229">
        <v>4</v>
      </c>
      <c r="D229">
        <f>8.5*25</f>
        <v>212.5</v>
      </c>
      <c r="E229">
        <v>1.8</v>
      </c>
      <c r="F229" s="3">
        <v>4.8499999999999996</v>
      </c>
      <c r="G229">
        <v>30.023</v>
      </c>
      <c r="H229" s="4">
        <f t="shared" si="49"/>
        <v>28.222999999999999</v>
      </c>
      <c r="I229">
        <v>8.7710000000000008</v>
      </c>
      <c r="J229" s="4">
        <f t="shared" si="50"/>
        <v>3.9210000000000012</v>
      </c>
      <c r="K229">
        <v>8.7680000000000007</v>
      </c>
      <c r="L229" s="4">
        <f t="shared" si="43"/>
        <v>3.918000000000001</v>
      </c>
      <c r="M229" s="4">
        <f t="shared" si="41"/>
        <v>7.6511094108648635E-4</v>
      </c>
      <c r="N229" s="3">
        <v>5.32</v>
      </c>
      <c r="O229">
        <v>7.0910000000000002</v>
      </c>
      <c r="P229" s="4">
        <f t="shared" si="51"/>
        <v>1.7709999999999999</v>
      </c>
      <c r="Q229">
        <f t="shared" si="44"/>
        <v>12.74749630196378</v>
      </c>
      <c r="R229" s="4">
        <f t="shared" si="45"/>
        <v>15.453909971945935</v>
      </c>
      <c r="S229">
        <f t="shared" si="46"/>
        <v>7.2724282220922046E-2</v>
      </c>
    </row>
    <row r="230" spans="1:19" x14ac:dyDescent="0.35">
      <c r="A230" t="s">
        <v>24</v>
      </c>
      <c r="B230" t="s">
        <v>31</v>
      </c>
      <c r="C230">
        <v>1</v>
      </c>
      <c r="D230">
        <f>(8+7+7+8.5)*25</f>
        <v>762.5</v>
      </c>
      <c r="E230">
        <v>1.8</v>
      </c>
      <c r="F230" s="3">
        <v>4.8499999999999996</v>
      </c>
      <c r="G230">
        <f>253.54+(189.89-4.85)+(147.23-4.85)</f>
        <v>580.96</v>
      </c>
      <c r="H230" s="4">
        <f t="shared" si="49"/>
        <v>579.16000000000008</v>
      </c>
      <c r="I230">
        <v>120.03</v>
      </c>
      <c r="J230" s="4">
        <f t="shared" si="50"/>
        <v>115.18</v>
      </c>
      <c r="K230">
        <v>91.01</v>
      </c>
      <c r="L230" s="4">
        <f t="shared" si="43"/>
        <v>86.160000000000011</v>
      </c>
      <c r="M230" s="4">
        <f t="shared" si="41"/>
        <v>0.25195346414308034</v>
      </c>
      <c r="N230" s="3">
        <v>5.32</v>
      </c>
      <c r="O230">
        <v>26.042000000000002</v>
      </c>
      <c r="P230" s="4">
        <f t="shared" si="51"/>
        <v>20.722000000000001</v>
      </c>
      <c r="Q230">
        <f t="shared" si="44"/>
        <v>104.19650564334088</v>
      </c>
      <c r="R230" s="4">
        <f t="shared" si="45"/>
        <v>329.04212606355281</v>
      </c>
      <c r="S230">
        <f t="shared" si="46"/>
        <v>0.43153065713252831</v>
      </c>
    </row>
    <row r="231" spans="1:19" x14ac:dyDescent="0.35">
      <c r="A231" t="s">
        <v>24</v>
      </c>
      <c r="B231" t="s">
        <v>31</v>
      </c>
      <c r="C231">
        <v>2</v>
      </c>
      <c r="D231">
        <f>16.5*25</f>
        <v>412.5</v>
      </c>
      <c r="E231">
        <v>1.8</v>
      </c>
      <c r="F231" s="3">
        <v>4.8499999999999996</v>
      </c>
      <c r="G231">
        <v>225.57</v>
      </c>
      <c r="H231" s="4">
        <f t="shared" si="49"/>
        <v>223.76999999999998</v>
      </c>
      <c r="I231">
        <v>63.19</v>
      </c>
      <c r="J231" s="4">
        <f t="shared" si="50"/>
        <v>58.339999999999996</v>
      </c>
      <c r="K231">
        <v>42.588999999999999</v>
      </c>
      <c r="L231" s="4">
        <f t="shared" si="43"/>
        <v>37.738999999999997</v>
      </c>
      <c r="M231" s="4">
        <f t="shared" si="41"/>
        <v>0.35311964346931779</v>
      </c>
      <c r="N231" s="3">
        <v>5.32</v>
      </c>
      <c r="O231">
        <v>27.141999999999999</v>
      </c>
      <c r="P231" s="4">
        <f t="shared" si="51"/>
        <v>21.821999999999999</v>
      </c>
      <c r="Q231">
        <f t="shared" si="44"/>
        <v>83.700873157353442</v>
      </c>
      <c r="R231" s="4">
        <f t="shared" si="45"/>
        <v>61.051544223517311</v>
      </c>
      <c r="S231">
        <f t="shared" si="46"/>
        <v>0.14800374357216317</v>
      </c>
    </row>
    <row r="232" spans="1:19" x14ac:dyDescent="0.35">
      <c r="A232" t="s">
        <v>24</v>
      </c>
      <c r="B232" t="s">
        <v>31</v>
      </c>
      <c r="C232">
        <v>3</v>
      </c>
      <c r="D232">
        <f>13.5*25</f>
        <v>337.5</v>
      </c>
      <c r="E232">
        <v>1.8</v>
      </c>
      <c r="F232" s="3">
        <v>4.8499999999999996</v>
      </c>
      <c r="G232">
        <v>116.96</v>
      </c>
      <c r="H232" s="4">
        <f t="shared" si="49"/>
        <v>115.16</v>
      </c>
      <c r="I232">
        <v>22.887</v>
      </c>
      <c r="J232" s="4">
        <f t="shared" si="50"/>
        <v>18.036999999999999</v>
      </c>
      <c r="K232">
        <v>21.613</v>
      </c>
      <c r="L232" s="4">
        <f t="shared" si="43"/>
        <v>16.762999999999998</v>
      </c>
      <c r="M232" s="4">
        <f t="shared" si="41"/>
        <v>7.063258856794373E-2</v>
      </c>
      <c r="N232" s="3">
        <v>5.32</v>
      </c>
      <c r="O232">
        <v>12.372</v>
      </c>
      <c r="P232" s="4">
        <f t="shared" si="51"/>
        <v>7.0519999999999996</v>
      </c>
      <c r="Q232">
        <f t="shared" si="44"/>
        <v>45.024578366690697</v>
      </c>
      <c r="R232" s="4">
        <f t="shared" si="45"/>
        <v>62.001372733824901</v>
      </c>
      <c r="S232">
        <f t="shared" si="46"/>
        <v>0.18370777106318489</v>
      </c>
    </row>
    <row r="233" spans="1:19" x14ac:dyDescent="0.35">
      <c r="A233" t="s">
        <v>24</v>
      </c>
      <c r="B233" t="s">
        <v>31</v>
      </c>
      <c r="C233">
        <v>4</v>
      </c>
      <c r="D233">
        <f>((2+3.5+4.5)*25)+(1.5*12.5)</f>
        <v>268.75</v>
      </c>
      <c r="E233">
        <v>1.8</v>
      </c>
      <c r="F233" s="3">
        <v>4.8499999999999996</v>
      </c>
      <c r="G233">
        <v>75.77</v>
      </c>
      <c r="H233" s="4">
        <f t="shared" si="49"/>
        <v>73.97</v>
      </c>
      <c r="I233">
        <v>17.573</v>
      </c>
      <c r="J233" s="4">
        <f t="shared" si="50"/>
        <v>12.723000000000001</v>
      </c>
      <c r="K233">
        <v>17.547999999999998</v>
      </c>
      <c r="L233" s="4">
        <f t="shared" si="43"/>
        <v>12.697999999999999</v>
      </c>
      <c r="M233" s="4">
        <f t="shared" si="41"/>
        <v>1.9649453745187559E-3</v>
      </c>
      <c r="N233" s="3">
        <v>5.32</v>
      </c>
      <c r="O233">
        <v>13.916</v>
      </c>
      <c r="P233" s="4">
        <f t="shared" si="51"/>
        <v>8.5960000000000001</v>
      </c>
      <c r="Q233">
        <f t="shared" si="44"/>
        <v>49.976115695983651</v>
      </c>
      <c r="R233" s="4">
        <f t="shared" si="45"/>
        <v>23.848537294663203</v>
      </c>
      <c r="S233">
        <f t="shared" si="46"/>
        <v>8.8738743422002608E-2</v>
      </c>
    </row>
    <row r="234" spans="1:19" x14ac:dyDescent="0.35">
      <c r="A234" t="s">
        <v>24</v>
      </c>
      <c r="B234" t="s">
        <v>32</v>
      </c>
      <c r="C234">
        <v>1</v>
      </c>
      <c r="D234" t="s">
        <v>89</v>
      </c>
      <c r="E234" t="s">
        <v>89</v>
      </c>
      <c r="F234" t="s">
        <v>89</v>
      </c>
      <c r="G234" t="s">
        <v>89</v>
      </c>
      <c r="H234" t="s">
        <v>89</v>
      </c>
      <c r="I234" t="s">
        <v>89</v>
      </c>
      <c r="J234" t="s">
        <v>89</v>
      </c>
      <c r="K234" t="s">
        <v>89</v>
      </c>
      <c r="L234" t="s">
        <v>89</v>
      </c>
      <c r="M234" t="s">
        <v>89</v>
      </c>
      <c r="N234" t="s">
        <v>89</v>
      </c>
      <c r="O234" t="s">
        <v>89</v>
      </c>
      <c r="P234" t="s">
        <v>89</v>
      </c>
      <c r="Q234" t="s">
        <v>89</v>
      </c>
      <c r="R234" t="s">
        <v>89</v>
      </c>
      <c r="S234" t="s">
        <v>89</v>
      </c>
    </row>
    <row r="235" spans="1:19" x14ac:dyDescent="0.35">
      <c r="A235" t="s">
        <v>24</v>
      </c>
      <c r="B235" t="s">
        <v>32</v>
      </c>
      <c r="C235">
        <v>2</v>
      </c>
      <c r="D235">
        <f>((3.7+2.5+8.5)*25)+(4*12.5)</f>
        <v>417.5</v>
      </c>
      <c r="E235">
        <v>1.8</v>
      </c>
      <c r="F235" s="3">
        <v>4.8499999999999996</v>
      </c>
      <c r="G235">
        <f>241.68+(95.18-4.85)</f>
        <v>332.01</v>
      </c>
      <c r="H235" s="4">
        <f t="shared" si="49"/>
        <v>330.21</v>
      </c>
      <c r="I235">
        <v>77.77</v>
      </c>
      <c r="J235" s="4">
        <f t="shared" si="50"/>
        <v>72.92</v>
      </c>
      <c r="K235">
        <v>71.94</v>
      </c>
      <c r="L235" s="4">
        <f t="shared" si="43"/>
        <v>67.09</v>
      </c>
      <c r="M235" s="4">
        <f t="shared" si="41"/>
        <v>7.9950630828304961E-2</v>
      </c>
      <c r="N235" s="3">
        <v>5.32</v>
      </c>
      <c r="O235">
        <v>13.845000000000001</v>
      </c>
      <c r="P235" s="4">
        <f t="shared" si="51"/>
        <v>8.5250000000000004</v>
      </c>
      <c r="Q235">
        <f t="shared" si="44"/>
        <v>38.604501508502466</v>
      </c>
      <c r="R235" s="4">
        <f t="shared" si="45"/>
        <v>265.20500068568288</v>
      </c>
      <c r="S235">
        <f t="shared" si="46"/>
        <v>0.63522155852858175</v>
      </c>
    </row>
    <row r="236" spans="1:19" x14ac:dyDescent="0.35">
      <c r="A236" t="s">
        <v>24</v>
      </c>
      <c r="B236" t="s">
        <v>32</v>
      </c>
      <c r="C236">
        <v>3</v>
      </c>
      <c r="D236">
        <f>(7.5*25)+(4*12.5)</f>
        <v>237.5</v>
      </c>
      <c r="E236">
        <v>1.8</v>
      </c>
      <c r="F236" s="3">
        <v>4.8499999999999996</v>
      </c>
      <c r="G236">
        <v>176.93</v>
      </c>
      <c r="H236" s="4">
        <f t="shared" si="49"/>
        <v>175.13</v>
      </c>
      <c r="I236">
        <v>39.540999999999997</v>
      </c>
      <c r="J236" s="4">
        <f t="shared" si="50"/>
        <v>34.690999999999995</v>
      </c>
      <c r="K236">
        <v>39.515000000000001</v>
      </c>
      <c r="L236" s="4">
        <f t="shared" si="43"/>
        <v>34.664999999999999</v>
      </c>
      <c r="M236" s="4">
        <f t="shared" si="41"/>
        <v>7.4947392695501E-4</v>
      </c>
      <c r="N236" s="3">
        <v>5.32</v>
      </c>
      <c r="O236">
        <v>15.808</v>
      </c>
      <c r="P236" s="4">
        <f t="shared" si="51"/>
        <v>10.488</v>
      </c>
      <c r="Q236">
        <f t="shared" si="44"/>
        <v>52.946396471707359</v>
      </c>
      <c r="R236" s="4">
        <f t="shared" si="45"/>
        <v>122.05234815946501</v>
      </c>
      <c r="S236">
        <f t="shared" si="46"/>
        <v>0.51390462382932633</v>
      </c>
    </row>
    <row r="237" spans="1:19" x14ac:dyDescent="0.35">
      <c r="A237" t="s">
        <v>24</v>
      </c>
      <c r="B237" t="s">
        <v>32</v>
      </c>
      <c r="C237">
        <v>4</v>
      </c>
      <c r="D237">
        <f>(3*25)+(2.5*12.5)</f>
        <v>106.25</v>
      </c>
      <c r="E237">
        <v>1.8</v>
      </c>
      <c r="F237" s="3">
        <v>4.8499999999999996</v>
      </c>
      <c r="G237">
        <v>90.86</v>
      </c>
      <c r="H237" s="4">
        <f t="shared" si="49"/>
        <v>89.06</v>
      </c>
      <c r="I237">
        <v>23.306000000000001</v>
      </c>
      <c r="J237" s="4">
        <f t="shared" si="50"/>
        <v>18.456000000000003</v>
      </c>
      <c r="K237">
        <v>23.315999999999999</v>
      </c>
      <c r="L237" s="4">
        <f t="shared" si="43"/>
        <v>18.466000000000001</v>
      </c>
      <c r="M237" s="4">
        <f t="shared" si="41"/>
        <v>-5.4182921543118815E-4</v>
      </c>
      <c r="N237" s="3">
        <v>5.32</v>
      </c>
      <c r="O237">
        <v>6.335</v>
      </c>
      <c r="P237" s="4">
        <f t="shared" si="51"/>
        <v>1.0149999999999997</v>
      </c>
      <c r="Q237">
        <f t="shared" si="44"/>
        <v>4.8979139575205872</v>
      </c>
      <c r="R237" s="4">
        <f t="shared" si="45"/>
        <v>84.210341352405706</v>
      </c>
      <c r="S237">
        <f t="shared" si="46"/>
        <v>0.79256791861087728</v>
      </c>
    </row>
    <row r="238" spans="1:19" x14ac:dyDescent="0.35">
      <c r="A238" t="s">
        <v>24</v>
      </c>
      <c r="B238" t="s">
        <v>10</v>
      </c>
      <c r="C238">
        <v>1</v>
      </c>
      <c r="D238">
        <f>(2.5*25)+(12*12.5)</f>
        <v>212.5</v>
      </c>
      <c r="E238">
        <v>1.8</v>
      </c>
      <c r="F238" s="3">
        <v>4.8499999999999996</v>
      </c>
      <c r="G238">
        <v>261.19</v>
      </c>
      <c r="H238" s="4">
        <f t="shared" si="49"/>
        <v>259.39</v>
      </c>
      <c r="I238">
        <v>59.747</v>
      </c>
      <c r="J238" s="4">
        <f t="shared" si="50"/>
        <v>54.896999999999998</v>
      </c>
      <c r="K238">
        <v>59.758000000000003</v>
      </c>
      <c r="L238" s="4">
        <f t="shared" si="43"/>
        <v>54.908000000000001</v>
      </c>
      <c r="M238" s="4">
        <f t="shared" si="41"/>
        <v>-2.0037524819211953E-4</v>
      </c>
      <c r="N238" s="3">
        <v>5.32</v>
      </c>
      <c r="O238">
        <v>17.821000000000002</v>
      </c>
      <c r="P238" s="4">
        <f t="shared" si="51"/>
        <v>12.501000000000001</v>
      </c>
      <c r="Q238">
        <f t="shared" si="44"/>
        <v>59.067606426580689</v>
      </c>
      <c r="R238" s="4">
        <f t="shared" si="45"/>
        <v>200.37436890904783</v>
      </c>
      <c r="S238">
        <f t="shared" si="46"/>
        <v>0.94293820663081329</v>
      </c>
    </row>
    <row r="239" spans="1:19" x14ac:dyDescent="0.35">
      <c r="A239" t="s">
        <v>24</v>
      </c>
      <c r="B239" t="s">
        <v>10</v>
      </c>
      <c r="C239">
        <v>2</v>
      </c>
      <c r="D239">
        <f>100+(5.5*12.5)</f>
        <v>168.75</v>
      </c>
      <c r="E239">
        <v>1.8</v>
      </c>
      <c r="F239" s="3">
        <v>4.8499999999999996</v>
      </c>
      <c r="G239">
        <v>186.53</v>
      </c>
      <c r="H239" s="4">
        <f t="shared" si="49"/>
        <v>184.73</v>
      </c>
      <c r="I239">
        <v>44.423999999999999</v>
      </c>
      <c r="J239" s="4">
        <f t="shared" si="50"/>
        <v>39.573999999999998</v>
      </c>
      <c r="K239">
        <v>44.402000000000001</v>
      </c>
      <c r="L239" s="4">
        <f t="shared" si="43"/>
        <v>39.552</v>
      </c>
      <c r="M239" s="4">
        <f t="shared" si="41"/>
        <v>5.5592055389898582E-4</v>
      </c>
      <c r="N239" s="3">
        <v>5.32</v>
      </c>
      <c r="O239">
        <v>8.8870000000000005</v>
      </c>
      <c r="P239" s="4">
        <f t="shared" si="51"/>
        <v>3.5670000000000002</v>
      </c>
      <c r="Q239">
        <f t="shared" si="44"/>
        <v>16.650626926770101</v>
      </c>
      <c r="R239" s="4">
        <f t="shared" si="45"/>
        <v>167.97667786930811</v>
      </c>
      <c r="S239">
        <f t="shared" si="46"/>
        <v>0.99541735033664058</v>
      </c>
    </row>
    <row r="240" spans="1:19" x14ac:dyDescent="0.35">
      <c r="A240" t="s">
        <v>24</v>
      </c>
      <c r="B240" t="s">
        <v>10</v>
      </c>
      <c r="C240">
        <v>3</v>
      </c>
      <c r="D240">
        <f>8*12.5</f>
        <v>100</v>
      </c>
      <c r="E240">
        <v>1.8</v>
      </c>
      <c r="F240" s="3">
        <v>4.8499999999999996</v>
      </c>
      <c r="G240">
        <v>132.55000000000001</v>
      </c>
      <c r="H240" s="4">
        <f t="shared" si="49"/>
        <v>130.75</v>
      </c>
      <c r="I240">
        <v>30.914000000000001</v>
      </c>
      <c r="J240" s="4">
        <f t="shared" si="50"/>
        <v>26.064</v>
      </c>
      <c r="K240">
        <v>30.943999999999999</v>
      </c>
      <c r="L240" s="4">
        <f t="shared" si="43"/>
        <v>26.094000000000001</v>
      </c>
      <c r="M240" s="4">
        <f t="shared" si="41"/>
        <v>-1.1510128913444267E-3</v>
      </c>
      <c r="N240" s="3">
        <v>5.32</v>
      </c>
      <c r="O240">
        <v>7.0380000000000003</v>
      </c>
      <c r="P240" s="4">
        <f t="shared" si="51"/>
        <v>1.718</v>
      </c>
      <c r="Q240">
        <f t="shared" si="44"/>
        <v>8.6183433087783907</v>
      </c>
      <c r="R240" s="4">
        <f t="shared" si="45"/>
        <v>122.28215162676487</v>
      </c>
      <c r="S240">
        <f t="shared" si="46"/>
        <v>1.2228215162676488</v>
      </c>
    </row>
    <row r="241" spans="1:19" x14ac:dyDescent="0.35">
      <c r="A241" t="s">
        <v>24</v>
      </c>
      <c r="B241" t="s">
        <v>10</v>
      </c>
      <c r="C241">
        <v>4</v>
      </c>
      <c r="D241">
        <f>50+(8*12.5)</f>
        <v>150</v>
      </c>
      <c r="E241">
        <v>1.8</v>
      </c>
      <c r="F241" s="3">
        <v>4.8499999999999996</v>
      </c>
      <c r="G241">
        <v>166.58</v>
      </c>
      <c r="H241" s="4">
        <f t="shared" si="49"/>
        <v>164.78</v>
      </c>
      <c r="I241">
        <v>38.649000000000001</v>
      </c>
      <c r="J241" s="4">
        <f t="shared" si="50"/>
        <v>33.798999999999999</v>
      </c>
      <c r="K241">
        <v>38.656999999999996</v>
      </c>
      <c r="L241" s="4">
        <f t="shared" si="43"/>
        <v>33.806999999999995</v>
      </c>
      <c r="M241" s="4">
        <f t="shared" si="41"/>
        <v>-2.3669339329552845E-4</v>
      </c>
      <c r="N241" s="3">
        <v>5.32</v>
      </c>
      <c r="O241">
        <v>13.612</v>
      </c>
      <c r="P241" s="4">
        <f t="shared" si="51"/>
        <v>8.2919999999999998</v>
      </c>
      <c r="Q241">
        <f t="shared" si="44"/>
        <v>40.425922660433741</v>
      </c>
      <c r="R241" s="4">
        <f t="shared" si="45"/>
        <v>124.39307967691352</v>
      </c>
      <c r="S241">
        <f t="shared" si="46"/>
        <v>0.82928719784609006</v>
      </c>
    </row>
    <row r="242" spans="1:19" x14ac:dyDescent="0.35">
      <c r="A242" t="s">
        <v>25</v>
      </c>
      <c r="B242" t="s">
        <v>9</v>
      </c>
      <c r="C242">
        <v>1</v>
      </c>
      <c r="D242" t="s">
        <v>89</v>
      </c>
      <c r="E242" t="s">
        <v>89</v>
      </c>
      <c r="F242" t="s">
        <v>89</v>
      </c>
      <c r="G242" t="s">
        <v>89</v>
      </c>
      <c r="H242" t="s">
        <v>89</v>
      </c>
      <c r="I242" t="s">
        <v>89</v>
      </c>
      <c r="J242" t="s">
        <v>89</v>
      </c>
      <c r="K242" t="s">
        <v>89</v>
      </c>
      <c r="L242" t="s">
        <v>89</v>
      </c>
      <c r="M242" t="s">
        <v>89</v>
      </c>
      <c r="N242" t="s">
        <v>89</v>
      </c>
      <c r="O242" t="s">
        <v>89</v>
      </c>
      <c r="P242" t="s">
        <v>89</v>
      </c>
      <c r="Q242" t="s">
        <v>89</v>
      </c>
      <c r="R242" t="s">
        <v>89</v>
      </c>
      <c r="S242" t="s">
        <v>89</v>
      </c>
    </row>
    <row r="243" spans="1:19" x14ac:dyDescent="0.35">
      <c r="A243" t="s">
        <v>25</v>
      </c>
      <c r="B243" t="s">
        <v>9</v>
      </c>
      <c r="C243">
        <v>2</v>
      </c>
      <c r="D243" t="s">
        <v>89</v>
      </c>
      <c r="E243" t="s">
        <v>89</v>
      </c>
      <c r="F243" t="s">
        <v>89</v>
      </c>
      <c r="G243" t="s">
        <v>89</v>
      </c>
      <c r="H243" t="s">
        <v>89</v>
      </c>
      <c r="I243" t="s">
        <v>89</v>
      </c>
      <c r="J243" t="s">
        <v>89</v>
      </c>
      <c r="K243" t="s">
        <v>89</v>
      </c>
      <c r="L243" t="s">
        <v>89</v>
      </c>
      <c r="M243" t="s">
        <v>89</v>
      </c>
      <c r="N243" t="s">
        <v>89</v>
      </c>
      <c r="O243" t="s">
        <v>89</v>
      </c>
      <c r="P243" t="s">
        <v>89</v>
      </c>
      <c r="Q243" t="s">
        <v>89</v>
      </c>
      <c r="R243" t="s">
        <v>89</v>
      </c>
      <c r="S243" t="s">
        <v>89</v>
      </c>
    </row>
    <row r="244" spans="1:19" x14ac:dyDescent="0.35">
      <c r="A244" t="s">
        <v>25</v>
      </c>
      <c r="B244" t="s">
        <v>9</v>
      </c>
      <c r="C244">
        <v>3</v>
      </c>
      <c r="D244" t="s">
        <v>89</v>
      </c>
      <c r="E244" t="s">
        <v>89</v>
      </c>
      <c r="F244" t="s">
        <v>89</v>
      </c>
      <c r="G244" t="s">
        <v>89</v>
      </c>
      <c r="H244" t="s">
        <v>89</v>
      </c>
      <c r="I244" t="s">
        <v>89</v>
      </c>
      <c r="J244" t="s">
        <v>89</v>
      </c>
      <c r="K244" t="s">
        <v>89</v>
      </c>
      <c r="L244" t="s">
        <v>89</v>
      </c>
      <c r="M244" t="s">
        <v>89</v>
      </c>
      <c r="N244" t="s">
        <v>89</v>
      </c>
      <c r="O244" t="s">
        <v>89</v>
      </c>
      <c r="P244" t="s">
        <v>89</v>
      </c>
      <c r="Q244" t="s">
        <v>89</v>
      </c>
      <c r="R244" t="s">
        <v>89</v>
      </c>
      <c r="S244" t="s">
        <v>89</v>
      </c>
    </row>
    <row r="245" spans="1:19" x14ac:dyDescent="0.35">
      <c r="A245" t="s">
        <v>25</v>
      </c>
      <c r="B245" t="s">
        <v>9</v>
      </c>
      <c r="C245">
        <v>4</v>
      </c>
      <c r="D245" t="s">
        <v>89</v>
      </c>
      <c r="E245" t="s">
        <v>89</v>
      </c>
      <c r="F245" t="s">
        <v>89</v>
      </c>
      <c r="G245" t="s">
        <v>89</v>
      </c>
      <c r="H245" t="s">
        <v>89</v>
      </c>
      <c r="I245" t="s">
        <v>89</v>
      </c>
      <c r="J245" t="s">
        <v>89</v>
      </c>
      <c r="K245" t="s">
        <v>89</v>
      </c>
      <c r="L245" t="s">
        <v>89</v>
      </c>
      <c r="M245" t="s">
        <v>89</v>
      </c>
      <c r="N245" t="s">
        <v>89</v>
      </c>
      <c r="O245" t="s">
        <v>89</v>
      </c>
      <c r="P245" t="s">
        <v>89</v>
      </c>
      <c r="Q245" t="s">
        <v>89</v>
      </c>
      <c r="R245" t="s">
        <v>89</v>
      </c>
      <c r="S245" t="s">
        <v>89</v>
      </c>
    </row>
    <row r="246" spans="1:19" x14ac:dyDescent="0.35">
      <c r="A246" t="s">
        <v>25</v>
      </c>
      <c r="B246" t="s">
        <v>31</v>
      </c>
      <c r="C246">
        <v>1</v>
      </c>
      <c r="D246">
        <f>((12+4.5+10.5)*25)+(8*12.5)</f>
        <v>775</v>
      </c>
      <c r="E246">
        <v>1.8</v>
      </c>
      <c r="F246" s="3">
        <v>4.8499999999999996</v>
      </c>
      <c r="G246">
        <f>287.27+(178.34-4.85)+(246.74-4.85)</f>
        <v>702.65</v>
      </c>
      <c r="H246" s="4">
        <f>G246-E246</f>
        <v>700.85</v>
      </c>
      <c r="I246">
        <v>163.52000000000001</v>
      </c>
      <c r="J246" s="4">
        <f>I246-F246</f>
        <v>158.67000000000002</v>
      </c>
      <c r="K246">
        <v>146.03</v>
      </c>
      <c r="L246" s="4">
        <f>K246-F246</f>
        <v>141.18</v>
      </c>
      <c r="M246" s="4">
        <f>(J246-L246)/J246</f>
        <v>0.11022877670637177</v>
      </c>
      <c r="N246" s="3">
        <v>5.32</v>
      </c>
      <c r="O246">
        <v>57.786999999999999</v>
      </c>
      <c r="P246" s="4">
        <f>O246-N246</f>
        <v>52.466999999999999</v>
      </c>
      <c r="Q246">
        <f>P246*(1/(J246/H246))</f>
        <v>231.74826337681981</v>
      </c>
      <c r="R246" s="4">
        <f>(H246*(1-M246))-Q246</f>
        <v>391.84789846851953</v>
      </c>
      <c r="S246">
        <f>R246/D246</f>
        <v>0.50561019157228326</v>
      </c>
    </row>
    <row r="247" spans="1:19" x14ac:dyDescent="0.35">
      <c r="A247" t="s">
        <v>25</v>
      </c>
      <c r="B247" t="s">
        <v>31</v>
      </c>
      <c r="C247">
        <v>2</v>
      </c>
      <c r="D247">
        <f>((13.5+13+10)*25)+(12*12.5)</f>
        <v>1062.5</v>
      </c>
      <c r="E247">
        <v>1.8</v>
      </c>
      <c r="F247" s="3">
        <v>4.8499999999999996</v>
      </c>
      <c r="G247">
        <f>277.91+(272.49-4.85)+(272.49-4.85)+(242.14-4.85)+(275.07-4.85)+(49.047-4.85)</f>
        <v>1364.8969999999999</v>
      </c>
      <c r="H247" s="4">
        <f>G247-E247</f>
        <v>1363.097</v>
      </c>
      <c r="I247">
        <v>263.14</v>
      </c>
      <c r="J247" s="4">
        <f>I247-F247</f>
        <v>258.28999999999996</v>
      </c>
      <c r="K247">
        <v>243.34</v>
      </c>
      <c r="L247" s="4">
        <f>K247-F247</f>
        <v>238.49</v>
      </c>
      <c r="M247" s="4">
        <f>(J247-L247)/J247</f>
        <v>7.6658020054976794E-2</v>
      </c>
      <c r="N247" s="3">
        <v>5.32</v>
      </c>
      <c r="O247">
        <v>123.54</v>
      </c>
      <c r="P247" s="4">
        <f>O247-N247</f>
        <v>118.22</v>
      </c>
      <c r="Q247">
        <f>P247*(1/(J247/H247))</f>
        <v>623.89301691896719</v>
      </c>
      <c r="R247" s="4">
        <f>(H247*(1-M247))-Q247</f>
        <v>634.71166591815415</v>
      </c>
      <c r="S247">
        <f>R247/D247</f>
        <v>0.5973756855700274</v>
      </c>
    </row>
    <row r="248" spans="1:19" x14ac:dyDescent="0.35">
      <c r="A248" t="s">
        <v>25</v>
      </c>
      <c r="B248" t="s">
        <v>31</v>
      </c>
      <c r="C248">
        <v>3</v>
      </c>
      <c r="D248">
        <f>((8+8.5+8.5)*25)+(7*12.5)</f>
        <v>712.5</v>
      </c>
      <c r="E248">
        <v>1.8</v>
      </c>
      <c r="F248" s="3">
        <v>4.8499999999999996</v>
      </c>
      <c r="G248">
        <f>301.55+(164.07-4.85)+(233.81-4.85)</f>
        <v>689.73</v>
      </c>
      <c r="H248" s="4">
        <f>G248-E248</f>
        <v>687.93000000000006</v>
      </c>
      <c r="I248">
        <v>201.31</v>
      </c>
      <c r="J248" s="4">
        <f>I248-F248</f>
        <v>196.46</v>
      </c>
      <c r="K248">
        <v>182.39</v>
      </c>
      <c r="L248" s="4">
        <f>K248-F248</f>
        <v>177.54</v>
      </c>
      <c r="M248" s="4">
        <f>(J248-L248)/J248</f>
        <v>9.6304591265397615E-2</v>
      </c>
      <c r="N248" s="3">
        <v>5.32</v>
      </c>
      <c r="O248">
        <v>49.018000000000001</v>
      </c>
      <c r="P248" s="4">
        <f>O248-N248</f>
        <v>43.698</v>
      </c>
      <c r="Q248">
        <f>P248*(1/(J248/H248))</f>
        <v>153.01417662628526</v>
      </c>
      <c r="R248" s="4">
        <f>(H248*(1-M248))-Q248</f>
        <v>468.66500590450983</v>
      </c>
      <c r="S248">
        <f>R248/D248</f>
        <v>0.65777544688352252</v>
      </c>
    </row>
    <row r="249" spans="1:19" x14ac:dyDescent="0.35">
      <c r="A249" t="s">
        <v>25</v>
      </c>
      <c r="B249" t="s">
        <v>31</v>
      </c>
      <c r="C249">
        <v>4</v>
      </c>
      <c r="D249">
        <f>((9+17+8)*25)+(12*12.5)</f>
        <v>1000</v>
      </c>
      <c r="E249">
        <v>1.8</v>
      </c>
      <c r="F249" s="3">
        <v>4.8499999999999996</v>
      </c>
      <c r="G249">
        <f>279.88+(200.21-4.85)+(253.82-4.85)+(216.28-4.85)</f>
        <v>935.6400000000001</v>
      </c>
      <c r="H249" s="4">
        <f>G249-E249</f>
        <v>933.84000000000015</v>
      </c>
      <c r="I249">
        <v>195.36</v>
      </c>
      <c r="J249" s="4">
        <f>I249-F249</f>
        <v>190.51000000000002</v>
      </c>
      <c r="K249">
        <v>175.84</v>
      </c>
      <c r="L249" s="4">
        <f>K249-F249</f>
        <v>170.99</v>
      </c>
      <c r="M249" s="4">
        <f>(J249-L249)/J249</f>
        <v>0.10246181302818753</v>
      </c>
      <c r="N249" s="3">
        <v>5.32</v>
      </c>
      <c r="O249">
        <v>41.177999999999997</v>
      </c>
      <c r="P249" s="4">
        <f>O249-N249</f>
        <v>35.857999999999997</v>
      </c>
      <c r="Q249">
        <f>P249*(1/(J249/H249))</f>
        <v>175.76838339194791</v>
      </c>
      <c r="R249" s="4">
        <f>(H249*(1-M249))-Q249</f>
        <v>662.38867712980959</v>
      </c>
      <c r="S249">
        <f>R249/D249</f>
        <v>0.66238867712980964</v>
      </c>
    </row>
    <row r="250" spans="1:19" x14ac:dyDescent="0.35">
      <c r="A250" t="s">
        <v>25</v>
      </c>
      <c r="B250" t="s">
        <v>32</v>
      </c>
      <c r="C250">
        <v>1</v>
      </c>
      <c r="D250">
        <v>0</v>
      </c>
      <c r="E250">
        <v>1.8</v>
      </c>
      <c r="F250" s="3">
        <v>4.8499999999999996</v>
      </c>
      <c r="G250" t="s">
        <v>33</v>
      </c>
      <c r="H250" t="s">
        <v>33</v>
      </c>
      <c r="I250" t="s">
        <v>33</v>
      </c>
      <c r="J250" t="s">
        <v>33</v>
      </c>
      <c r="K250" t="s">
        <v>33</v>
      </c>
      <c r="L250" t="s">
        <v>33</v>
      </c>
      <c r="M250" t="s">
        <v>33</v>
      </c>
      <c r="N250" t="s">
        <v>33</v>
      </c>
      <c r="O250" t="s">
        <v>33</v>
      </c>
      <c r="P250" t="s">
        <v>33</v>
      </c>
      <c r="Q250" t="s">
        <v>33</v>
      </c>
      <c r="R250" t="s">
        <v>33</v>
      </c>
      <c r="S250" t="s">
        <v>33</v>
      </c>
    </row>
    <row r="251" spans="1:19" x14ac:dyDescent="0.35">
      <c r="A251" t="s">
        <v>25</v>
      </c>
      <c r="B251" t="s">
        <v>32</v>
      </c>
      <c r="C251">
        <v>2</v>
      </c>
      <c r="D251">
        <v>0</v>
      </c>
      <c r="E251">
        <v>1.8</v>
      </c>
      <c r="F251" s="3">
        <v>4.8499999999999996</v>
      </c>
      <c r="G251" t="s">
        <v>33</v>
      </c>
      <c r="H251" t="s">
        <v>33</v>
      </c>
      <c r="I251" t="s">
        <v>33</v>
      </c>
      <c r="J251" t="s">
        <v>33</v>
      </c>
      <c r="K251" t="s">
        <v>33</v>
      </c>
      <c r="L251" t="s">
        <v>33</v>
      </c>
      <c r="M251" t="s">
        <v>33</v>
      </c>
      <c r="N251" t="s">
        <v>33</v>
      </c>
      <c r="O251" t="s">
        <v>33</v>
      </c>
      <c r="P251" t="s">
        <v>33</v>
      </c>
      <c r="Q251" t="s">
        <v>33</v>
      </c>
      <c r="R251" t="s">
        <v>33</v>
      </c>
      <c r="S251" t="s">
        <v>33</v>
      </c>
    </row>
    <row r="252" spans="1:19" x14ac:dyDescent="0.35">
      <c r="A252" t="s">
        <v>25</v>
      </c>
      <c r="B252" t="s">
        <v>32</v>
      </c>
      <c r="C252">
        <v>3</v>
      </c>
      <c r="D252">
        <v>0</v>
      </c>
      <c r="E252">
        <v>1.8</v>
      </c>
      <c r="F252" s="3">
        <v>4.8499999999999996</v>
      </c>
      <c r="G252" t="s">
        <v>33</v>
      </c>
      <c r="H252" t="s">
        <v>33</v>
      </c>
      <c r="I252" t="s">
        <v>33</v>
      </c>
      <c r="J252" t="s">
        <v>33</v>
      </c>
      <c r="K252" t="s">
        <v>33</v>
      </c>
      <c r="L252" t="s">
        <v>33</v>
      </c>
      <c r="M252" t="s">
        <v>33</v>
      </c>
      <c r="N252" t="s">
        <v>33</v>
      </c>
      <c r="O252" t="s">
        <v>33</v>
      </c>
      <c r="P252" t="s">
        <v>33</v>
      </c>
      <c r="Q252" t="s">
        <v>33</v>
      </c>
      <c r="R252" t="s">
        <v>33</v>
      </c>
      <c r="S252" t="s">
        <v>33</v>
      </c>
    </row>
    <row r="253" spans="1:19" x14ac:dyDescent="0.35">
      <c r="A253" t="s">
        <v>25</v>
      </c>
      <c r="B253" t="s">
        <v>32</v>
      </c>
      <c r="C253">
        <v>4</v>
      </c>
      <c r="D253">
        <v>0</v>
      </c>
      <c r="E253">
        <v>1.8</v>
      </c>
      <c r="F253" s="3">
        <v>4.8499999999999996</v>
      </c>
      <c r="G253" t="s">
        <v>33</v>
      </c>
      <c r="H253" t="s">
        <v>33</v>
      </c>
      <c r="I253" t="s">
        <v>33</v>
      </c>
      <c r="J253" t="s">
        <v>33</v>
      </c>
      <c r="K253" t="s">
        <v>33</v>
      </c>
      <c r="L253" t="s">
        <v>33</v>
      </c>
      <c r="M253" t="s">
        <v>33</v>
      </c>
      <c r="N253" t="s">
        <v>33</v>
      </c>
      <c r="O253" t="s">
        <v>33</v>
      </c>
      <c r="P253" t="s">
        <v>33</v>
      </c>
      <c r="Q253" t="s">
        <v>33</v>
      </c>
      <c r="R253" t="s">
        <v>33</v>
      </c>
      <c r="S253" t="s">
        <v>33</v>
      </c>
    </row>
    <row r="254" spans="1:19" x14ac:dyDescent="0.35">
      <c r="A254" t="s">
        <v>25</v>
      </c>
      <c r="B254" t="s">
        <v>10</v>
      </c>
      <c r="C254">
        <v>1</v>
      </c>
      <c r="D254">
        <v>0</v>
      </c>
      <c r="E254">
        <v>1.8</v>
      </c>
      <c r="F254" s="3">
        <v>4.8499999999999996</v>
      </c>
      <c r="G254" t="s">
        <v>33</v>
      </c>
      <c r="H254" t="s">
        <v>33</v>
      </c>
      <c r="I254" t="s">
        <v>33</v>
      </c>
      <c r="J254" t="s">
        <v>33</v>
      </c>
      <c r="K254" t="s">
        <v>33</v>
      </c>
      <c r="L254" t="s">
        <v>33</v>
      </c>
      <c r="M254" t="s">
        <v>33</v>
      </c>
      <c r="N254" t="s">
        <v>33</v>
      </c>
      <c r="O254" t="s">
        <v>33</v>
      </c>
      <c r="P254" t="s">
        <v>33</v>
      </c>
      <c r="Q254" t="s">
        <v>33</v>
      </c>
      <c r="R254" t="s">
        <v>33</v>
      </c>
      <c r="S254" t="s">
        <v>33</v>
      </c>
    </row>
    <row r="255" spans="1:19" x14ac:dyDescent="0.35">
      <c r="A255" t="s">
        <v>25</v>
      </c>
      <c r="B255" t="s">
        <v>10</v>
      </c>
      <c r="C255">
        <v>2</v>
      </c>
      <c r="D255">
        <v>0</v>
      </c>
      <c r="E255">
        <v>1.8</v>
      </c>
      <c r="F255" s="3">
        <v>4.8499999999999996</v>
      </c>
      <c r="G255" t="s">
        <v>33</v>
      </c>
      <c r="H255" t="s">
        <v>33</v>
      </c>
      <c r="I255" t="s">
        <v>33</v>
      </c>
      <c r="J255" t="s">
        <v>33</v>
      </c>
      <c r="K255" t="s">
        <v>33</v>
      </c>
      <c r="L255" t="s">
        <v>33</v>
      </c>
      <c r="M255" t="s">
        <v>33</v>
      </c>
      <c r="N255" t="s">
        <v>33</v>
      </c>
      <c r="O255" t="s">
        <v>33</v>
      </c>
      <c r="P255" t="s">
        <v>33</v>
      </c>
      <c r="Q255" t="s">
        <v>33</v>
      </c>
      <c r="R255" t="s">
        <v>33</v>
      </c>
      <c r="S255" t="s">
        <v>33</v>
      </c>
    </row>
    <row r="256" spans="1:19" x14ac:dyDescent="0.35">
      <c r="A256" t="s">
        <v>25</v>
      </c>
      <c r="B256" t="s">
        <v>10</v>
      </c>
      <c r="C256">
        <v>3</v>
      </c>
      <c r="D256">
        <v>0</v>
      </c>
      <c r="E256">
        <v>1.8</v>
      </c>
      <c r="F256" s="3">
        <v>4.8499999999999996</v>
      </c>
      <c r="G256" t="s">
        <v>33</v>
      </c>
      <c r="H256" t="s">
        <v>33</v>
      </c>
      <c r="I256" t="s">
        <v>33</v>
      </c>
      <c r="J256" t="s">
        <v>33</v>
      </c>
      <c r="K256" t="s">
        <v>33</v>
      </c>
      <c r="L256" t="s">
        <v>33</v>
      </c>
      <c r="M256" t="s">
        <v>33</v>
      </c>
      <c r="N256" t="s">
        <v>33</v>
      </c>
      <c r="O256" t="s">
        <v>33</v>
      </c>
      <c r="P256" t="s">
        <v>33</v>
      </c>
      <c r="Q256" t="s">
        <v>33</v>
      </c>
      <c r="R256" t="s">
        <v>33</v>
      </c>
      <c r="S256" t="s">
        <v>33</v>
      </c>
    </row>
    <row r="257" spans="1:19" x14ac:dyDescent="0.35">
      <c r="A257" t="s">
        <v>25</v>
      </c>
      <c r="B257" t="s">
        <v>10</v>
      </c>
      <c r="C257">
        <v>4</v>
      </c>
      <c r="D257">
        <v>0</v>
      </c>
      <c r="E257">
        <v>1.8</v>
      </c>
      <c r="F257" s="3">
        <v>4.8499999999999996</v>
      </c>
      <c r="G257" t="s">
        <v>33</v>
      </c>
      <c r="H257" t="s">
        <v>33</v>
      </c>
      <c r="I257" t="s">
        <v>33</v>
      </c>
      <c r="J257" t="s">
        <v>33</v>
      </c>
      <c r="K257" t="s">
        <v>33</v>
      </c>
      <c r="L257" t="s">
        <v>33</v>
      </c>
      <c r="M257" t="s">
        <v>33</v>
      </c>
      <c r="N257" t="s">
        <v>33</v>
      </c>
      <c r="O257" t="s">
        <v>33</v>
      </c>
      <c r="P257" t="s">
        <v>33</v>
      </c>
      <c r="Q257" t="s">
        <v>33</v>
      </c>
      <c r="R257" t="s">
        <v>33</v>
      </c>
      <c r="S257" t="s">
        <v>33</v>
      </c>
    </row>
    <row r="258" spans="1:19" x14ac:dyDescent="0.35">
      <c r="A258" t="s">
        <v>26</v>
      </c>
      <c r="B258" t="s">
        <v>9</v>
      </c>
      <c r="C258">
        <v>1</v>
      </c>
      <c r="D258">
        <f>2.5*25</f>
        <v>62.5</v>
      </c>
      <c r="E258">
        <v>1.8</v>
      </c>
      <c r="F258" s="3">
        <v>4.8499999999999996</v>
      </c>
      <c r="G258">
        <v>26.785</v>
      </c>
      <c r="H258" s="4">
        <f t="shared" si="49"/>
        <v>24.984999999999999</v>
      </c>
      <c r="I258" t="s">
        <v>88</v>
      </c>
      <c r="J258" s="4" t="s">
        <v>88</v>
      </c>
      <c r="K258" t="s">
        <v>88</v>
      </c>
      <c r="L258" s="4" t="s">
        <v>88</v>
      </c>
      <c r="M258" s="4">
        <v>0</v>
      </c>
      <c r="N258" s="3">
        <v>5.32</v>
      </c>
      <c r="O258">
        <v>10.856999999999999</v>
      </c>
      <c r="P258" s="4">
        <f t="shared" si="51"/>
        <v>5.536999999999999</v>
      </c>
      <c r="Q258" s="4">
        <f>P258</f>
        <v>5.536999999999999</v>
      </c>
      <c r="R258" s="4">
        <f t="shared" si="45"/>
        <v>19.448</v>
      </c>
      <c r="S258">
        <f t="shared" si="46"/>
        <v>0.311168</v>
      </c>
    </row>
    <row r="259" spans="1:19" x14ac:dyDescent="0.35">
      <c r="A259" t="s">
        <v>26</v>
      </c>
      <c r="B259" t="s">
        <v>9</v>
      </c>
      <c r="C259">
        <v>2</v>
      </c>
      <c r="D259">
        <f>(1.5+1.5+2)*25</f>
        <v>125</v>
      </c>
      <c r="E259">
        <v>1.8</v>
      </c>
      <c r="F259" s="3">
        <v>4.8499999999999996</v>
      </c>
      <c r="G259">
        <v>79.03</v>
      </c>
      <c r="H259" s="4">
        <f t="shared" si="49"/>
        <v>77.23</v>
      </c>
      <c r="I259">
        <v>22.550999999999998</v>
      </c>
      <c r="J259" s="4">
        <f t="shared" si="50"/>
        <v>17.701000000000001</v>
      </c>
      <c r="K259">
        <v>22.635999999999999</v>
      </c>
      <c r="L259" s="4">
        <f t="shared" ref="L259:L315" si="52">K259-F259</f>
        <v>17.786000000000001</v>
      </c>
      <c r="M259" s="4">
        <f t="shared" ref="M259:M315" si="53">(J259-L259)/J259</f>
        <v>-4.8019885882154027E-3</v>
      </c>
      <c r="N259" s="3">
        <v>5.32</v>
      </c>
      <c r="O259">
        <v>14.817</v>
      </c>
      <c r="P259" s="4">
        <f t="shared" si="51"/>
        <v>9.4969999999999999</v>
      </c>
      <c r="Q259">
        <f t="shared" si="44"/>
        <v>41.435699113044457</v>
      </c>
      <c r="R259" s="4">
        <f t="shared" si="45"/>
        <v>36.165158465623414</v>
      </c>
      <c r="S259">
        <f t="shared" si="46"/>
        <v>0.28932126772498729</v>
      </c>
    </row>
    <row r="260" spans="1:19" x14ac:dyDescent="0.35">
      <c r="A260" t="s">
        <v>26</v>
      </c>
      <c r="B260" t="s">
        <v>9</v>
      </c>
      <c r="C260">
        <v>3</v>
      </c>
      <c r="D260">
        <f>5*25</f>
        <v>125</v>
      </c>
      <c r="E260">
        <v>1.8</v>
      </c>
      <c r="F260" s="3">
        <v>4.8499999999999996</v>
      </c>
      <c r="G260">
        <v>71.209999999999994</v>
      </c>
      <c r="H260" s="4">
        <f t="shared" si="49"/>
        <v>69.41</v>
      </c>
      <c r="I260">
        <v>19.515000000000001</v>
      </c>
      <c r="J260" s="4">
        <f t="shared" si="50"/>
        <v>14.665000000000001</v>
      </c>
      <c r="K260">
        <v>19.561</v>
      </c>
      <c r="L260" s="4">
        <f t="shared" si="52"/>
        <v>14.711</v>
      </c>
      <c r="M260" s="4">
        <f t="shared" si="53"/>
        <v>-3.1367200818274376E-3</v>
      </c>
      <c r="N260" s="3">
        <v>5.32</v>
      </c>
      <c r="O260">
        <v>17.239000000000001</v>
      </c>
      <c r="P260" s="4">
        <f t="shared" si="51"/>
        <v>11.919</v>
      </c>
      <c r="Q260">
        <f t="shared" si="44"/>
        <v>56.413078077054202</v>
      </c>
      <c r="R260" s="4">
        <f t="shared" si="45"/>
        <v>13.214641663825439</v>
      </c>
      <c r="S260">
        <f t="shared" si="46"/>
        <v>0.10571713331060352</v>
      </c>
    </row>
    <row r="261" spans="1:19" x14ac:dyDescent="0.35">
      <c r="A261" t="s">
        <v>26</v>
      </c>
      <c r="B261" t="s">
        <v>9</v>
      </c>
      <c r="C261">
        <v>4</v>
      </c>
      <c r="D261">
        <f>7*25</f>
        <v>175</v>
      </c>
      <c r="E261">
        <v>1.8</v>
      </c>
      <c r="F261" s="3">
        <v>4.8499999999999996</v>
      </c>
      <c r="G261">
        <v>129.72999999999999</v>
      </c>
      <c r="H261" s="4">
        <f t="shared" si="49"/>
        <v>127.92999999999999</v>
      </c>
      <c r="I261">
        <v>35.107999999999997</v>
      </c>
      <c r="J261" s="4">
        <f t="shared" si="50"/>
        <v>30.257999999999996</v>
      </c>
      <c r="K261">
        <v>35.241999999999997</v>
      </c>
      <c r="L261" s="4">
        <f t="shared" si="52"/>
        <v>30.391999999999996</v>
      </c>
      <c r="M261" s="4">
        <f t="shared" si="53"/>
        <v>-4.4285808711745775E-3</v>
      </c>
      <c r="N261" s="3">
        <v>5.32</v>
      </c>
      <c r="O261">
        <v>30.151</v>
      </c>
      <c r="P261" s="4">
        <f t="shared" si="51"/>
        <v>24.831</v>
      </c>
      <c r="Q261">
        <f t="shared" si="44"/>
        <v>104.98479179060082</v>
      </c>
      <c r="R261" s="4">
        <f t="shared" si="45"/>
        <v>23.511756560248543</v>
      </c>
      <c r="S261">
        <f t="shared" si="46"/>
        <v>0.13435289462999167</v>
      </c>
    </row>
    <row r="262" spans="1:19" x14ac:dyDescent="0.35">
      <c r="A262" t="s">
        <v>26</v>
      </c>
      <c r="B262" t="s">
        <v>31</v>
      </c>
      <c r="C262">
        <v>1</v>
      </c>
      <c r="D262">
        <f>((9.5+14+17)*25)+((8+6.5+1)*4.9)</f>
        <v>1088.45</v>
      </c>
      <c r="E262">
        <v>1.8</v>
      </c>
      <c r="F262" s="3">
        <v>4.8499999999999996</v>
      </c>
      <c r="G262">
        <f>307.36+(273.38-4.85)+(242.84-4.85)+(277.46-4.85)+(279.95-4.85)</f>
        <v>1361.59</v>
      </c>
      <c r="H262" s="4">
        <f t="shared" si="49"/>
        <v>1359.79</v>
      </c>
      <c r="I262">
        <v>238.01</v>
      </c>
      <c r="J262" s="4">
        <f t="shared" si="50"/>
        <v>233.16</v>
      </c>
      <c r="K262">
        <v>213.19</v>
      </c>
      <c r="L262" s="4">
        <f t="shared" si="52"/>
        <v>208.34</v>
      </c>
      <c r="M262" s="4">
        <f t="shared" si="53"/>
        <v>0.10645050609023844</v>
      </c>
      <c r="N262" s="3">
        <v>5.32</v>
      </c>
      <c r="O262">
        <v>41.063000000000002</v>
      </c>
      <c r="P262" s="4">
        <f t="shared" si="51"/>
        <v>35.743000000000002</v>
      </c>
      <c r="Q262">
        <f t="shared" si="44"/>
        <v>208.45331090238463</v>
      </c>
      <c r="R262" s="4">
        <f t="shared" si="45"/>
        <v>1006.5863554211701</v>
      </c>
      <c r="S262">
        <f t="shared" si="46"/>
        <v>0.92478878719387203</v>
      </c>
    </row>
    <row r="263" spans="1:19" x14ac:dyDescent="0.35">
      <c r="A263" t="s">
        <v>26</v>
      </c>
      <c r="B263" t="s">
        <v>31</v>
      </c>
      <c r="C263">
        <v>2</v>
      </c>
      <c r="D263">
        <f>((11+18+15)*25)+((13+10)*4.9)</f>
        <v>1212.7</v>
      </c>
      <c r="E263">
        <v>1.8</v>
      </c>
      <c r="F263" s="3">
        <v>4.8499999999999996</v>
      </c>
      <c r="G263">
        <f>291.22+(217.31-4.85)+(265.82-4.85)+(279.36-4.85)+(168.42-4.85)</f>
        <v>1202.73</v>
      </c>
      <c r="H263" s="4">
        <f t="shared" si="49"/>
        <v>1200.93</v>
      </c>
      <c r="I263">
        <v>277.99</v>
      </c>
      <c r="J263" s="4">
        <f t="shared" si="50"/>
        <v>273.14</v>
      </c>
      <c r="K263">
        <v>251.65</v>
      </c>
      <c r="L263" s="4">
        <f t="shared" si="52"/>
        <v>246.8</v>
      </c>
      <c r="M263" s="4">
        <f t="shared" si="53"/>
        <v>9.6434063117814953E-2</v>
      </c>
      <c r="N263" s="3">
        <v>5.32</v>
      </c>
      <c r="O263">
        <v>36.673000000000002</v>
      </c>
      <c r="P263" s="4">
        <f t="shared" si="51"/>
        <v>31.353000000000002</v>
      </c>
      <c r="Q263">
        <f t="shared" si="44"/>
        <v>137.85149846232704</v>
      </c>
      <c r="R263" s="4">
        <f t="shared" si="45"/>
        <v>947.26794211759534</v>
      </c>
      <c r="S263">
        <f t="shared" si="46"/>
        <v>0.78112306598300929</v>
      </c>
    </row>
    <row r="264" spans="1:19" x14ac:dyDescent="0.35">
      <c r="A264" t="s">
        <v>26</v>
      </c>
      <c r="B264" t="s">
        <v>31</v>
      </c>
      <c r="C264">
        <v>3</v>
      </c>
      <c r="D264">
        <f>((10.5+20+13.5)*25)+((11+7.5)*4.9)</f>
        <v>1190.6500000000001</v>
      </c>
      <c r="E264">
        <v>1.8</v>
      </c>
      <c r="F264" s="3">
        <v>4.8499999999999996</v>
      </c>
      <c r="G264">
        <f>300.45+(302.84-4.85)+(298.09-4.85)+(284.59-4.85)+(203.43-4.85)</f>
        <v>1369.9999999999998</v>
      </c>
      <c r="H264" s="4">
        <f t="shared" si="49"/>
        <v>1368.1999999999998</v>
      </c>
      <c r="I264">
        <v>285.83999999999997</v>
      </c>
      <c r="J264" s="4">
        <f t="shared" si="50"/>
        <v>280.98999999999995</v>
      </c>
      <c r="K264">
        <v>266.70999999999998</v>
      </c>
      <c r="L264" s="4">
        <f t="shared" si="52"/>
        <v>261.85999999999996</v>
      </c>
      <c r="M264" s="4">
        <f t="shared" si="53"/>
        <v>6.8080714616178512E-2</v>
      </c>
      <c r="N264" s="3">
        <v>5.32</v>
      </c>
      <c r="O264">
        <v>88.24</v>
      </c>
      <c r="P264" s="4">
        <f t="shared" si="51"/>
        <v>82.919999999999987</v>
      </c>
      <c r="Q264">
        <f t="shared" si="44"/>
        <v>403.75509448734823</v>
      </c>
      <c r="R264" s="4">
        <f t="shared" si="45"/>
        <v>871.29687177479605</v>
      </c>
      <c r="S264">
        <f t="shared" si="46"/>
        <v>0.73178253204115062</v>
      </c>
    </row>
    <row r="265" spans="1:19" x14ac:dyDescent="0.35">
      <c r="A265" t="s">
        <v>26</v>
      </c>
      <c r="B265" t="s">
        <v>31</v>
      </c>
      <c r="C265">
        <v>4</v>
      </c>
      <c r="D265">
        <f>((13+11+10.5)*25)+49</f>
        <v>911.5</v>
      </c>
      <c r="E265">
        <v>1.8</v>
      </c>
      <c r="F265" s="3">
        <v>4.8499999999999996</v>
      </c>
      <c r="G265">
        <f>298.12+(305.71-4.85)+(307.02-4.85)+(95.19-4.85)</f>
        <v>991.49</v>
      </c>
      <c r="H265" s="4">
        <f t="shared" si="49"/>
        <v>989.69</v>
      </c>
      <c r="I265">
        <v>275.12</v>
      </c>
      <c r="J265" s="4">
        <f t="shared" si="50"/>
        <v>270.27</v>
      </c>
      <c r="K265">
        <v>257.25</v>
      </c>
      <c r="L265" s="4">
        <f t="shared" si="52"/>
        <v>252.4</v>
      </c>
      <c r="M265" s="4">
        <f t="shared" si="53"/>
        <v>6.6119066119066039E-2</v>
      </c>
      <c r="N265" s="3">
        <v>5.32</v>
      </c>
      <c r="O265">
        <v>117.27</v>
      </c>
      <c r="P265" s="4">
        <f t="shared" si="51"/>
        <v>111.94999999999999</v>
      </c>
      <c r="Q265">
        <f t="shared" si="44"/>
        <v>409.94485329485332</v>
      </c>
      <c r="R265" s="4">
        <f t="shared" si="45"/>
        <v>514.30776815776835</v>
      </c>
      <c r="S265">
        <f t="shared" si="46"/>
        <v>0.56424330022794111</v>
      </c>
    </row>
    <row r="266" spans="1:19" x14ac:dyDescent="0.35">
      <c r="A266" t="s">
        <v>26</v>
      </c>
      <c r="B266" t="s">
        <v>32</v>
      </c>
      <c r="C266">
        <v>1</v>
      </c>
      <c r="D266">
        <f>13*4.9</f>
        <v>63.7</v>
      </c>
      <c r="E266">
        <v>1.8</v>
      </c>
      <c r="F266" s="3">
        <v>4.8499999999999996</v>
      </c>
      <c r="G266">
        <v>77.02</v>
      </c>
      <c r="H266" s="4">
        <f t="shared" si="49"/>
        <v>75.22</v>
      </c>
      <c r="I266" t="s">
        <v>88</v>
      </c>
      <c r="J266" s="4" t="s">
        <v>88</v>
      </c>
      <c r="K266" t="s">
        <v>88</v>
      </c>
      <c r="L266" s="4" t="s">
        <v>88</v>
      </c>
      <c r="M266" s="4">
        <v>0</v>
      </c>
      <c r="N266" s="3">
        <v>5.32</v>
      </c>
      <c r="O266">
        <v>30.716999999999999</v>
      </c>
      <c r="P266" s="4">
        <f t="shared" si="51"/>
        <v>25.396999999999998</v>
      </c>
      <c r="Q266" s="4">
        <f>P266</f>
        <v>25.396999999999998</v>
      </c>
      <c r="R266" s="4">
        <f t="shared" si="45"/>
        <v>49.823</v>
      </c>
      <c r="S266">
        <f t="shared" si="46"/>
        <v>0.78215070643642071</v>
      </c>
    </row>
    <row r="267" spans="1:19" x14ac:dyDescent="0.35">
      <c r="A267" t="s">
        <v>26</v>
      </c>
      <c r="B267" t="s">
        <v>32</v>
      </c>
      <c r="C267">
        <v>2</v>
      </c>
      <c r="D267">
        <f>13*4.9</f>
        <v>63.7</v>
      </c>
      <c r="E267">
        <v>1.8</v>
      </c>
      <c r="F267" s="3">
        <v>4.8499999999999996</v>
      </c>
      <c r="G267">
        <v>80.06</v>
      </c>
      <c r="H267" s="4">
        <f t="shared" si="49"/>
        <v>78.260000000000005</v>
      </c>
      <c r="I267" t="s">
        <v>88</v>
      </c>
      <c r="J267" s="4" t="s">
        <v>88</v>
      </c>
      <c r="K267" t="s">
        <v>88</v>
      </c>
      <c r="L267" s="4" t="s">
        <v>88</v>
      </c>
      <c r="M267" s="4">
        <v>0</v>
      </c>
      <c r="N267" s="3">
        <v>5.32</v>
      </c>
      <c r="O267">
        <v>39.146999999999998</v>
      </c>
      <c r="P267" s="4">
        <f t="shared" si="51"/>
        <v>33.826999999999998</v>
      </c>
      <c r="Q267" s="4">
        <f t="shared" ref="Q267:Q268" si="54">P267</f>
        <v>33.826999999999998</v>
      </c>
      <c r="R267" s="4">
        <f t="shared" si="45"/>
        <v>44.433000000000007</v>
      </c>
      <c r="S267">
        <f t="shared" si="46"/>
        <v>0.69753532182103617</v>
      </c>
    </row>
    <row r="268" spans="1:19" x14ac:dyDescent="0.35">
      <c r="A268" t="s">
        <v>26</v>
      </c>
      <c r="B268" t="s">
        <v>32</v>
      </c>
      <c r="C268">
        <v>3</v>
      </c>
      <c r="D268">
        <f>4.9</f>
        <v>4.9000000000000004</v>
      </c>
      <c r="E268">
        <v>1.8</v>
      </c>
      <c r="F268" s="3">
        <v>4.8499999999999996</v>
      </c>
      <c r="G268">
        <v>9.9269999999999996</v>
      </c>
      <c r="H268" s="4">
        <f t="shared" si="49"/>
        <v>8.1269999999999989</v>
      </c>
      <c r="I268" t="s">
        <v>88</v>
      </c>
      <c r="J268" s="4" t="s">
        <v>88</v>
      </c>
      <c r="K268" t="s">
        <v>88</v>
      </c>
      <c r="L268" s="4" t="s">
        <v>88</v>
      </c>
      <c r="M268" s="4">
        <v>0</v>
      </c>
      <c r="N268" s="3">
        <v>5.32</v>
      </c>
      <c r="O268">
        <v>7.1040000000000001</v>
      </c>
      <c r="P268" s="4">
        <f t="shared" si="51"/>
        <v>1.7839999999999998</v>
      </c>
      <c r="Q268" s="4">
        <f t="shared" si="54"/>
        <v>1.7839999999999998</v>
      </c>
      <c r="R268" s="4">
        <f t="shared" si="45"/>
        <v>6.3429999999999991</v>
      </c>
      <c r="S268">
        <f t="shared" si="46"/>
        <v>1.294489795918367</v>
      </c>
    </row>
    <row r="269" spans="1:19" x14ac:dyDescent="0.35">
      <c r="A269" t="s">
        <v>26</v>
      </c>
      <c r="B269" t="s">
        <v>32</v>
      </c>
      <c r="C269">
        <v>4</v>
      </c>
      <c r="D269">
        <v>0</v>
      </c>
      <c r="E269">
        <v>1.8</v>
      </c>
      <c r="F269" s="3">
        <v>4.8499999999999996</v>
      </c>
      <c r="G269" t="s">
        <v>33</v>
      </c>
      <c r="H269" t="s">
        <v>33</v>
      </c>
      <c r="I269" t="s">
        <v>33</v>
      </c>
      <c r="J269" t="s">
        <v>33</v>
      </c>
      <c r="K269" t="s">
        <v>33</v>
      </c>
      <c r="L269" t="s">
        <v>33</v>
      </c>
      <c r="M269" t="s">
        <v>33</v>
      </c>
      <c r="N269" t="s">
        <v>33</v>
      </c>
      <c r="O269" t="s">
        <v>33</v>
      </c>
      <c r="P269" t="s">
        <v>33</v>
      </c>
      <c r="Q269" t="s">
        <v>33</v>
      </c>
      <c r="R269" t="s">
        <v>33</v>
      </c>
      <c r="S269" t="s">
        <v>33</v>
      </c>
    </row>
    <row r="270" spans="1:19" x14ac:dyDescent="0.35">
      <c r="A270" t="s">
        <v>26</v>
      </c>
      <c r="B270" t="s">
        <v>10</v>
      </c>
      <c r="C270">
        <v>1</v>
      </c>
      <c r="D270">
        <v>0</v>
      </c>
      <c r="E270">
        <v>1.8</v>
      </c>
      <c r="F270" s="3">
        <v>4.8499999999999996</v>
      </c>
      <c r="G270" t="s">
        <v>33</v>
      </c>
      <c r="H270" t="s">
        <v>33</v>
      </c>
      <c r="I270" t="s">
        <v>33</v>
      </c>
      <c r="J270" t="s">
        <v>33</v>
      </c>
      <c r="K270" t="s">
        <v>33</v>
      </c>
      <c r="L270" t="s">
        <v>33</v>
      </c>
      <c r="M270" t="s">
        <v>33</v>
      </c>
      <c r="N270" t="s">
        <v>33</v>
      </c>
      <c r="O270" t="s">
        <v>33</v>
      </c>
      <c r="P270" t="s">
        <v>33</v>
      </c>
      <c r="Q270" t="s">
        <v>33</v>
      </c>
      <c r="R270" t="s">
        <v>33</v>
      </c>
      <c r="S270" t="s">
        <v>33</v>
      </c>
    </row>
    <row r="271" spans="1:19" x14ac:dyDescent="0.35">
      <c r="A271" t="s">
        <v>26</v>
      </c>
      <c r="B271" t="s">
        <v>10</v>
      </c>
      <c r="C271">
        <v>2</v>
      </c>
      <c r="D271">
        <v>0</v>
      </c>
      <c r="E271">
        <v>1.8</v>
      </c>
      <c r="F271" s="3">
        <v>4.8499999999999996</v>
      </c>
      <c r="G271" t="s">
        <v>33</v>
      </c>
      <c r="H271" t="s">
        <v>33</v>
      </c>
      <c r="I271" t="s">
        <v>33</v>
      </c>
      <c r="J271" t="s">
        <v>33</v>
      </c>
      <c r="K271" t="s">
        <v>33</v>
      </c>
      <c r="L271" t="s">
        <v>33</v>
      </c>
      <c r="M271" t="s">
        <v>33</v>
      </c>
      <c r="N271" t="s">
        <v>33</v>
      </c>
      <c r="O271" t="s">
        <v>33</v>
      </c>
      <c r="P271" t="s">
        <v>33</v>
      </c>
      <c r="Q271" t="s">
        <v>33</v>
      </c>
      <c r="R271" t="s">
        <v>33</v>
      </c>
      <c r="S271" t="s">
        <v>33</v>
      </c>
    </row>
    <row r="272" spans="1:19" x14ac:dyDescent="0.35">
      <c r="A272" t="s">
        <v>26</v>
      </c>
      <c r="B272" t="s">
        <v>10</v>
      </c>
      <c r="C272">
        <v>3</v>
      </c>
      <c r="D272">
        <v>0</v>
      </c>
      <c r="E272">
        <v>1.8</v>
      </c>
      <c r="F272" s="3">
        <v>4.8499999999999996</v>
      </c>
      <c r="G272" t="s">
        <v>33</v>
      </c>
      <c r="H272" t="s">
        <v>33</v>
      </c>
      <c r="I272" t="s">
        <v>33</v>
      </c>
      <c r="J272" t="s">
        <v>33</v>
      </c>
      <c r="K272" t="s">
        <v>33</v>
      </c>
      <c r="L272" t="s">
        <v>33</v>
      </c>
      <c r="M272" t="s">
        <v>33</v>
      </c>
      <c r="N272" t="s">
        <v>33</v>
      </c>
      <c r="O272" t="s">
        <v>33</v>
      </c>
      <c r="P272" t="s">
        <v>33</v>
      </c>
      <c r="Q272" t="s">
        <v>33</v>
      </c>
      <c r="R272" t="s">
        <v>33</v>
      </c>
      <c r="S272" t="s">
        <v>33</v>
      </c>
    </row>
    <row r="273" spans="1:19" x14ac:dyDescent="0.35">
      <c r="A273" t="s">
        <v>26</v>
      </c>
      <c r="B273" t="s">
        <v>10</v>
      </c>
      <c r="C273">
        <v>4</v>
      </c>
      <c r="D273">
        <v>0</v>
      </c>
      <c r="E273">
        <v>1.8</v>
      </c>
      <c r="F273" s="3">
        <v>4.8499999999999996</v>
      </c>
      <c r="G273" t="s">
        <v>33</v>
      </c>
      <c r="H273" t="s">
        <v>33</v>
      </c>
      <c r="I273" t="s">
        <v>33</v>
      </c>
      <c r="J273" t="s">
        <v>33</v>
      </c>
      <c r="K273" t="s">
        <v>33</v>
      </c>
      <c r="L273" t="s">
        <v>33</v>
      </c>
      <c r="M273" t="s">
        <v>33</v>
      </c>
      <c r="N273" t="s">
        <v>33</v>
      </c>
      <c r="O273" t="s">
        <v>33</v>
      </c>
      <c r="P273" t="s">
        <v>33</v>
      </c>
      <c r="Q273" t="s">
        <v>33</v>
      </c>
      <c r="R273" t="s">
        <v>33</v>
      </c>
      <c r="S273" t="s">
        <v>33</v>
      </c>
    </row>
    <row r="274" spans="1:19" x14ac:dyDescent="0.35">
      <c r="A274" t="s">
        <v>27</v>
      </c>
      <c r="B274" t="s">
        <v>9</v>
      </c>
      <c r="C274">
        <v>1</v>
      </c>
      <c r="D274">
        <f>((14+8)*25)+(3*12.5)+((25+21+25.5)*4.9)</f>
        <v>937.85</v>
      </c>
      <c r="E274">
        <v>1.8</v>
      </c>
      <c r="F274" s="3">
        <v>4.8499999999999996</v>
      </c>
      <c r="G274">
        <v>1513.6</v>
      </c>
      <c r="H274" s="4">
        <f t="shared" si="49"/>
        <v>1511.8</v>
      </c>
      <c r="I274">
        <v>231.14</v>
      </c>
      <c r="J274" s="4">
        <f t="shared" si="50"/>
        <v>226.29</v>
      </c>
      <c r="K274">
        <v>193.74</v>
      </c>
      <c r="L274" s="4">
        <f t="shared" si="52"/>
        <v>188.89000000000001</v>
      </c>
      <c r="M274" s="4">
        <f t="shared" si="53"/>
        <v>0.16527464757611904</v>
      </c>
      <c r="N274" s="3">
        <v>5.32</v>
      </c>
      <c r="O274">
        <v>166.26</v>
      </c>
      <c r="P274" s="4">
        <f t="shared" si="51"/>
        <v>160.94</v>
      </c>
      <c r="Q274">
        <f t="shared" ref="Q274:Q315" si="55">P274*(1/(J274/H274))</f>
        <v>1075.2092094215386</v>
      </c>
      <c r="R274" s="4">
        <f t="shared" ref="R274:R315" si="56">(H274*(1-M274))-Q274</f>
        <v>186.72857837288461</v>
      </c>
      <c r="S274">
        <f>R274/D274</f>
        <v>0.19910281854548659</v>
      </c>
    </row>
    <row r="275" spans="1:19" x14ac:dyDescent="0.35">
      <c r="A275" t="s">
        <v>27</v>
      </c>
      <c r="B275" t="s">
        <v>9</v>
      </c>
      <c r="C275">
        <v>2</v>
      </c>
      <c r="D275">
        <f>((13+17+11.5)*25)+(12*12.5)+((7+6.5)*4.9)</f>
        <v>1253.6500000000001</v>
      </c>
      <c r="E275">
        <v>1.8</v>
      </c>
      <c r="F275" s="3">
        <v>4.8499999999999996</v>
      </c>
      <c r="G275">
        <v>1569.3</v>
      </c>
      <c r="H275" s="4">
        <f t="shared" si="49"/>
        <v>1567.5</v>
      </c>
      <c r="I275">
        <v>223.59</v>
      </c>
      <c r="J275" s="4">
        <f t="shared" si="50"/>
        <v>218.74</v>
      </c>
      <c r="K275">
        <v>191.08</v>
      </c>
      <c r="L275" s="4">
        <f t="shared" si="52"/>
        <v>186.23000000000002</v>
      </c>
      <c r="M275" s="4">
        <f t="shared" si="53"/>
        <v>0.14862393709426711</v>
      </c>
      <c r="N275" s="3">
        <v>5.32</v>
      </c>
      <c r="O275">
        <v>45.76</v>
      </c>
      <c r="P275" s="4">
        <f t="shared" si="51"/>
        <v>40.44</v>
      </c>
      <c r="Q275">
        <f t="shared" si="55"/>
        <v>289.79473347353019</v>
      </c>
      <c r="R275" s="4">
        <f t="shared" si="56"/>
        <v>1044.737245131206</v>
      </c>
      <c r="S275">
        <f t="shared" ref="S275:S277" si="57">R275/D275</f>
        <v>0.83335639543030826</v>
      </c>
    </row>
    <row r="276" spans="1:19" x14ac:dyDescent="0.35">
      <c r="A276" t="s">
        <v>27</v>
      </c>
      <c r="B276" t="s">
        <v>9</v>
      </c>
      <c r="C276">
        <v>3</v>
      </c>
      <c r="D276">
        <f>((18.5+18+17)*25)+(12*12.5)+((13.5+12.5+12.5)*4.9)</f>
        <v>1676.15</v>
      </c>
      <c r="E276">
        <v>1.8</v>
      </c>
      <c r="F276" s="3">
        <v>4.8499999999999996</v>
      </c>
      <c r="G276">
        <v>2169.5</v>
      </c>
      <c r="H276" s="4">
        <f t="shared" si="49"/>
        <v>2167.6999999999998</v>
      </c>
      <c r="I276">
        <v>257.8</v>
      </c>
      <c r="J276" s="4">
        <f t="shared" si="50"/>
        <v>252.95000000000002</v>
      </c>
      <c r="K276">
        <v>221.85</v>
      </c>
      <c r="L276" s="4">
        <f t="shared" si="52"/>
        <v>217</v>
      </c>
      <c r="M276" s="4">
        <f t="shared" si="53"/>
        <v>0.1421229491994466</v>
      </c>
      <c r="N276" s="3">
        <v>5.32</v>
      </c>
      <c r="O276">
        <v>32.203000000000003</v>
      </c>
      <c r="P276" s="4">
        <f t="shared" si="51"/>
        <v>26.883000000000003</v>
      </c>
      <c r="Q276">
        <f t="shared" si="55"/>
        <v>230.37864834947618</v>
      </c>
      <c r="R276" s="4">
        <f t="shared" si="56"/>
        <v>1629.2414346708833</v>
      </c>
      <c r="S276">
        <f t="shared" si="57"/>
        <v>0.97201410057028503</v>
      </c>
    </row>
    <row r="277" spans="1:19" x14ac:dyDescent="0.35">
      <c r="A277" t="s">
        <v>27</v>
      </c>
      <c r="B277" t="s">
        <v>9</v>
      </c>
      <c r="C277">
        <v>4</v>
      </c>
      <c r="D277">
        <f>((13.5+18+16)*25)+(12*12.5)+((4.5+8.5+8.5)*4.9)</f>
        <v>1442.85</v>
      </c>
      <c r="E277">
        <v>1.8</v>
      </c>
      <c r="F277" s="3">
        <v>4.8499999999999996</v>
      </c>
      <c r="G277">
        <v>1931.8</v>
      </c>
      <c r="H277" s="4">
        <f t="shared" si="49"/>
        <v>1930</v>
      </c>
      <c r="I277">
        <v>253.93</v>
      </c>
      <c r="J277" s="4">
        <f t="shared" si="50"/>
        <v>249.08</v>
      </c>
      <c r="K277">
        <v>224.44</v>
      </c>
      <c r="L277" s="4">
        <f t="shared" si="52"/>
        <v>219.59</v>
      </c>
      <c r="M277" s="4">
        <f t="shared" si="53"/>
        <v>0.11839569616187573</v>
      </c>
      <c r="N277" s="3">
        <v>5.32</v>
      </c>
      <c r="O277">
        <v>24.219000000000001</v>
      </c>
      <c r="P277" s="4">
        <f t="shared" si="51"/>
        <v>18.899000000000001</v>
      </c>
      <c r="Q277">
        <f t="shared" si="55"/>
        <v>146.43917616829935</v>
      </c>
      <c r="R277" s="4">
        <f t="shared" si="56"/>
        <v>1555.0571302392805</v>
      </c>
      <c r="S277">
        <f t="shared" si="57"/>
        <v>1.0777677029762487</v>
      </c>
    </row>
    <row r="278" spans="1:19" x14ac:dyDescent="0.35">
      <c r="A278" t="s">
        <v>27</v>
      </c>
      <c r="B278" t="s">
        <v>31</v>
      </c>
      <c r="C278">
        <v>1</v>
      </c>
      <c r="D278">
        <f>15.5*4.9</f>
        <v>75.95</v>
      </c>
      <c r="E278">
        <v>1.8</v>
      </c>
      <c r="F278" s="3">
        <v>4.8499999999999996</v>
      </c>
      <c r="G278">
        <v>98.86</v>
      </c>
      <c r="H278" s="4">
        <f t="shared" si="49"/>
        <v>97.06</v>
      </c>
      <c r="I278">
        <v>24.285</v>
      </c>
      <c r="J278" s="4">
        <f t="shared" si="50"/>
        <v>19.435000000000002</v>
      </c>
      <c r="K278">
        <v>24.280999999999999</v>
      </c>
      <c r="L278" s="4">
        <f t="shared" si="52"/>
        <v>19.430999999999997</v>
      </c>
      <c r="M278" s="4">
        <f t="shared" si="53"/>
        <v>2.0581425263724662E-4</v>
      </c>
      <c r="N278" s="3">
        <v>5.32</v>
      </c>
      <c r="O278">
        <v>14.433999999999999</v>
      </c>
      <c r="P278" s="4">
        <f t="shared" si="51"/>
        <v>9.113999999999999</v>
      </c>
      <c r="Q278">
        <f t="shared" si="55"/>
        <v>45.516071005917155</v>
      </c>
      <c r="R278" s="4">
        <f t="shared" si="56"/>
        <v>51.523952662721882</v>
      </c>
      <c r="S278">
        <f>R278/D274</f>
        <v>5.493837251449793E-2</v>
      </c>
    </row>
    <row r="279" spans="1:19" x14ac:dyDescent="0.35">
      <c r="A279" t="s">
        <v>27</v>
      </c>
      <c r="B279" t="s">
        <v>31</v>
      </c>
      <c r="C279">
        <v>2</v>
      </c>
      <c r="D279">
        <f>11*4.9</f>
        <v>53.900000000000006</v>
      </c>
      <c r="E279">
        <v>1.8</v>
      </c>
      <c r="F279" s="3">
        <v>4.8499999999999996</v>
      </c>
      <c r="G279">
        <v>44.445999999999998</v>
      </c>
      <c r="H279" s="4">
        <f t="shared" si="49"/>
        <v>42.646000000000001</v>
      </c>
      <c r="I279">
        <v>13.124000000000001</v>
      </c>
      <c r="J279" s="4">
        <f t="shared" si="50"/>
        <v>8.2740000000000009</v>
      </c>
      <c r="K279">
        <v>13.14</v>
      </c>
      <c r="L279" s="4">
        <f t="shared" si="52"/>
        <v>8.2900000000000009</v>
      </c>
      <c r="M279" s="4">
        <f t="shared" si="53"/>
        <v>-1.9337684312303617E-3</v>
      </c>
      <c r="N279" s="3">
        <v>5.32</v>
      </c>
      <c r="O279">
        <v>6.157</v>
      </c>
      <c r="P279" s="4">
        <f t="shared" si="51"/>
        <v>0.83699999999999974</v>
      </c>
      <c r="Q279">
        <f t="shared" si="55"/>
        <v>4.3140804931109473</v>
      </c>
      <c r="R279" s="4">
        <f t="shared" si="56"/>
        <v>38.414386995407305</v>
      </c>
      <c r="S279">
        <f>R279/D275</f>
        <v>3.0642034854550554E-2</v>
      </c>
    </row>
    <row r="280" spans="1:19" x14ac:dyDescent="0.35">
      <c r="A280" t="s">
        <v>27</v>
      </c>
      <c r="B280" t="s">
        <v>31</v>
      </c>
      <c r="C280">
        <v>3</v>
      </c>
      <c r="D280">
        <f>(10.5+9+1.5)*4.9</f>
        <v>102.9</v>
      </c>
      <c r="E280">
        <v>1.8</v>
      </c>
      <c r="F280" s="3">
        <v>4.8499999999999996</v>
      </c>
      <c r="G280">
        <v>144.85</v>
      </c>
      <c r="H280" s="4">
        <f t="shared" si="49"/>
        <v>143.04999999999998</v>
      </c>
      <c r="I280">
        <v>34.103999999999999</v>
      </c>
      <c r="J280" s="4">
        <f t="shared" si="50"/>
        <v>29.253999999999998</v>
      </c>
      <c r="K280">
        <v>34.137</v>
      </c>
      <c r="L280" s="4">
        <f t="shared" si="52"/>
        <v>29.286999999999999</v>
      </c>
      <c r="M280" s="4">
        <f t="shared" si="53"/>
        <v>-1.1280508648390392E-3</v>
      </c>
      <c r="N280" s="3">
        <v>5.32</v>
      </c>
      <c r="O280">
        <v>19.826000000000001</v>
      </c>
      <c r="P280" s="4">
        <f t="shared" si="51"/>
        <v>14.506</v>
      </c>
      <c r="Q280">
        <f t="shared" si="55"/>
        <v>70.933318520544191</v>
      </c>
      <c r="R280" s="4">
        <f t="shared" si="56"/>
        <v>72.278049155671027</v>
      </c>
      <c r="S280">
        <f>R280/D276</f>
        <v>4.3121468338556228E-2</v>
      </c>
    </row>
    <row r="281" spans="1:19" x14ac:dyDescent="0.35">
      <c r="A281" t="s">
        <v>27</v>
      </c>
      <c r="B281" t="s">
        <v>31</v>
      </c>
      <c r="C281">
        <v>4</v>
      </c>
      <c r="D281">
        <f>(18+16+15)*4.9</f>
        <v>240.10000000000002</v>
      </c>
      <c r="E281">
        <v>1.8</v>
      </c>
      <c r="F281" s="3">
        <v>4.8499999999999996</v>
      </c>
      <c r="G281">
        <v>259.44</v>
      </c>
      <c r="H281" s="4">
        <f t="shared" si="49"/>
        <v>257.64</v>
      </c>
      <c r="I281">
        <v>58.314</v>
      </c>
      <c r="J281" s="4">
        <f t="shared" si="50"/>
        <v>53.463999999999999</v>
      </c>
      <c r="K281">
        <v>58.322000000000003</v>
      </c>
      <c r="L281" s="4">
        <f t="shared" si="52"/>
        <v>53.472000000000001</v>
      </c>
      <c r="M281" s="4">
        <f t="shared" si="53"/>
        <v>-1.4963339817452252E-4</v>
      </c>
      <c r="N281" s="3">
        <v>5.32</v>
      </c>
      <c r="O281">
        <v>11.388999999999999</v>
      </c>
      <c r="P281" s="4">
        <f t="shared" si="51"/>
        <v>6.0689999999999991</v>
      </c>
      <c r="Q281">
        <f t="shared" si="55"/>
        <v>29.246168636839741</v>
      </c>
      <c r="R281" s="4">
        <f t="shared" si="56"/>
        <v>228.43238291186594</v>
      </c>
      <c r="S281">
        <f>R281/D277</f>
        <v>0.15832025706890249</v>
      </c>
    </row>
    <row r="282" spans="1:19" x14ac:dyDescent="0.35">
      <c r="A282" t="s">
        <v>27</v>
      </c>
      <c r="B282" t="s">
        <v>32</v>
      </c>
      <c r="C282">
        <v>1</v>
      </c>
      <c r="D282">
        <v>0</v>
      </c>
      <c r="E282">
        <v>1.8</v>
      </c>
      <c r="F282" s="3">
        <v>4.8499999999999996</v>
      </c>
      <c r="G282" t="s">
        <v>33</v>
      </c>
      <c r="H282" t="s">
        <v>33</v>
      </c>
      <c r="I282" t="s">
        <v>33</v>
      </c>
      <c r="J282" t="s">
        <v>33</v>
      </c>
      <c r="K282" t="s">
        <v>33</v>
      </c>
      <c r="L282" t="s">
        <v>33</v>
      </c>
      <c r="M282" t="s">
        <v>33</v>
      </c>
      <c r="N282" t="s">
        <v>33</v>
      </c>
      <c r="O282" t="s">
        <v>33</v>
      </c>
      <c r="P282" t="s">
        <v>33</v>
      </c>
      <c r="Q282" t="s">
        <v>33</v>
      </c>
      <c r="R282" t="s">
        <v>33</v>
      </c>
      <c r="S282" t="s">
        <v>33</v>
      </c>
    </row>
    <row r="283" spans="1:19" x14ac:dyDescent="0.35">
      <c r="A283" t="s">
        <v>27</v>
      </c>
      <c r="B283" t="s">
        <v>32</v>
      </c>
      <c r="C283">
        <v>2</v>
      </c>
      <c r="D283">
        <v>0</v>
      </c>
      <c r="E283">
        <v>1.8</v>
      </c>
      <c r="F283" s="3">
        <v>4.8499999999999996</v>
      </c>
      <c r="G283" t="s">
        <v>33</v>
      </c>
      <c r="H283" t="s">
        <v>33</v>
      </c>
      <c r="I283" t="s">
        <v>33</v>
      </c>
      <c r="J283" t="s">
        <v>33</v>
      </c>
      <c r="K283" t="s">
        <v>33</v>
      </c>
      <c r="L283" t="s">
        <v>33</v>
      </c>
      <c r="M283" t="s">
        <v>33</v>
      </c>
      <c r="N283" t="s">
        <v>33</v>
      </c>
      <c r="O283" t="s">
        <v>33</v>
      </c>
      <c r="P283" t="s">
        <v>33</v>
      </c>
      <c r="Q283" t="s">
        <v>33</v>
      </c>
      <c r="R283" t="s">
        <v>33</v>
      </c>
      <c r="S283" t="s">
        <v>33</v>
      </c>
    </row>
    <row r="284" spans="1:19" x14ac:dyDescent="0.35">
      <c r="A284" t="s">
        <v>27</v>
      </c>
      <c r="B284" t="s">
        <v>32</v>
      </c>
      <c r="C284">
        <v>3</v>
      </c>
      <c r="D284">
        <v>0</v>
      </c>
      <c r="E284">
        <v>1.8</v>
      </c>
      <c r="F284" s="3">
        <v>4.8499999999999996</v>
      </c>
      <c r="G284" t="s">
        <v>33</v>
      </c>
      <c r="H284" t="s">
        <v>33</v>
      </c>
      <c r="I284" t="s">
        <v>33</v>
      </c>
      <c r="J284" t="s">
        <v>33</v>
      </c>
      <c r="K284" t="s">
        <v>33</v>
      </c>
      <c r="L284" t="s">
        <v>33</v>
      </c>
      <c r="M284" t="s">
        <v>33</v>
      </c>
      <c r="N284" t="s">
        <v>33</v>
      </c>
      <c r="O284" t="s">
        <v>33</v>
      </c>
      <c r="P284" t="s">
        <v>33</v>
      </c>
      <c r="Q284" t="s">
        <v>33</v>
      </c>
      <c r="R284" t="s">
        <v>33</v>
      </c>
      <c r="S284" t="s">
        <v>33</v>
      </c>
    </row>
    <row r="285" spans="1:19" x14ac:dyDescent="0.35">
      <c r="A285" t="s">
        <v>27</v>
      </c>
      <c r="B285" t="s">
        <v>32</v>
      </c>
      <c r="C285">
        <v>4</v>
      </c>
      <c r="D285">
        <v>0</v>
      </c>
      <c r="E285">
        <v>1.8</v>
      </c>
      <c r="F285" s="3">
        <v>4.8499999999999996</v>
      </c>
      <c r="G285" t="s">
        <v>33</v>
      </c>
      <c r="H285" t="s">
        <v>33</v>
      </c>
      <c r="I285" t="s">
        <v>33</v>
      </c>
      <c r="J285" t="s">
        <v>33</v>
      </c>
      <c r="K285" t="s">
        <v>33</v>
      </c>
      <c r="L285" t="s">
        <v>33</v>
      </c>
      <c r="M285" t="s">
        <v>33</v>
      </c>
      <c r="N285" t="s">
        <v>33</v>
      </c>
      <c r="O285" t="s">
        <v>33</v>
      </c>
      <c r="P285" t="s">
        <v>33</v>
      </c>
      <c r="Q285" t="s">
        <v>33</v>
      </c>
      <c r="R285" t="s">
        <v>33</v>
      </c>
      <c r="S285" t="s">
        <v>33</v>
      </c>
    </row>
    <row r="286" spans="1:19" x14ac:dyDescent="0.35">
      <c r="A286" t="s">
        <v>27</v>
      </c>
      <c r="B286" t="s">
        <v>10</v>
      </c>
      <c r="C286">
        <v>1</v>
      </c>
      <c r="D286">
        <v>0</v>
      </c>
      <c r="E286">
        <v>1.8</v>
      </c>
      <c r="F286" s="3">
        <v>4.8499999999999996</v>
      </c>
      <c r="G286" t="s">
        <v>33</v>
      </c>
      <c r="H286" t="s">
        <v>33</v>
      </c>
      <c r="I286" t="s">
        <v>33</v>
      </c>
      <c r="J286" t="s">
        <v>33</v>
      </c>
      <c r="K286" t="s">
        <v>33</v>
      </c>
      <c r="L286" t="s">
        <v>33</v>
      </c>
      <c r="M286" t="s">
        <v>33</v>
      </c>
      <c r="N286" t="s">
        <v>33</v>
      </c>
      <c r="O286" t="s">
        <v>33</v>
      </c>
      <c r="P286" t="s">
        <v>33</v>
      </c>
      <c r="Q286" t="s">
        <v>33</v>
      </c>
      <c r="R286" t="s">
        <v>33</v>
      </c>
      <c r="S286" t="s">
        <v>33</v>
      </c>
    </row>
    <row r="287" spans="1:19" x14ac:dyDescent="0.35">
      <c r="A287" t="s">
        <v>27</v>
      </c>
      <c r="B287" t="s">
        <v>10</v>
      </c>
      <c r="C287">
        <v>2</v>
      </c>
      <c r="D287">
        <v>0</v>
      </c>
      <c r="E287">
        <v>1.8</v>
      </c>
      <c r="F287" s="3">
        <v>4.8499999999999996</v>
      </c>
      <c r="G287" t="s">
        <v>33</v>
      </c>
      <c r="H287" t="s">
        <v>33</v>
      </c>
      <c r="I287" t="s">
        <v>33</v>
      </c>
      <c r="J287" t="s">
        <v>33</v>
      </c>
      <c r="K287" t="s">
        <v>33</v>
      </c>
      <c r="L287" t="s">
        <v>33</v>
      </c>
      <c r="M287" t="s">
        <v>33</v>
      </c>
      <c r="N287" t="s">
        <v>33</v>
      </c>
      <c r="O287" t="s">
        <v>33</v>
      </c>
      <c r="P287" t="s">
        <v>33</v>
      </c>
      <c r="Q287" t="s">
        <v>33</v>
      </c>
      <c r="R287" t="s">
        <v>33</v>
      </c>
      <c r="S287" t="s">
        <v>33</v>
      </c>
    </row>
    <row r="288" spans="1:19" x14ac:dyDescent="0.35">
      <c r="A288" t="s">
        <v>27</v>
      </c>
      <c r="B288" t="s">
        <v>10</v>
      </c>
      <c r="C288">
        <v>3</v>
      </c>
      <c r="D288">
        <v>0</v>
      </c>
      <c r="E288">
        <v>1.8</v>
      </c>
      <c r="F288" s="3">
        <v>4.8499999999999996</v>
      </c>
      <c r="G288" t="s">
        <v>33</v>
      </c>
      <c r="H288" t="s">
        <v>33</v>
      </c>
      <c r="I288" t="s">
        <v>33</v>
      </c>
      <c r="J288" t="s">
        <v>33</v>
      </c>
      <c r="K288" t="s">
        <v>33</v>
      </c>
      <c r="L288" t="s">
        <v>33</v>
      </c>
      <c r="M288" t="s">
        <v>33</v>
      </c>
      <c r="N288" t="s">
        <v>33</v>
      </c>
      <c r="O288" t="s">
        <v>33</v>
      </c>
      <c r="P288" t="s">
        <v>33</v>
      </c>
      <c r="Q288" t="s">
        <v>33</v>
      </c>
      <c r="R288" t="s">
        <v>33</v>
      </c>
      <c r="S288" t="s">
        <v>33</v>
      </c>
    </row>
    <row r="289" spans="1:19" x14ac:dyDescent="0.35">
      <c r="A289" t="s">
        <v>27</v>
      </c>
      <c r="B289" t="s">
        <v>10</v>
      </c>
      <c r="C289">
        <v>4</v>
      </c>
      <c r="D289">
        <v>0</v>
      </c>
      <c r="E289">
        <v>1.8</v>
      </c>
      <c r="F289" s="3">
        <v>4.8499999999999996</v>
      </c>
      <c r="G289" t="s">
        <v>33</v>
      </c>
      <c r="H289" t="s">
        <v>33</v>
      </c>
      <c r="I289" t="s">
        <v>33</v>
      </c>
      <c r="J289" t="s">
        <v>33</v>
      </c>
      <c r="K289" t="s">
        <v>33</v>
      </c>
      <c r="L289" t="s">
        <v>33</v>
      </c>
      <c r="M289" t="s">
        <v>33</v>
      </c>
      <c r="N289" t="s">
        <v>33</v>
      </c>
      <c r="O289" t="s">
        <v>33</v>
      </c>
      <c r="P289" t="s">
        <v>33</v>
      </c>
      <c r="Q289" t="s">
        <v>33</v>
      </c>
      <c r="R289" t="s">
        <v>33</v>
      </c>
      <c r="S289" t="s">
        <v>33</v>
      </c>
    </row>
    <row r="290" spans="1:19" x14ac:dyDescent="0.35">
      <c r="A290" t="s">
        <v>28</v>
      </c>
      <c r="B290" t="s">
        <v>9</v>
      </c>
      <c r="C290">
        <v>1</v>
      </c>
      <c r="D290">
        <f>5*25</f>
        <v>125</v>
      </c>
      <c r="E290">
        <v>1.8</v>
      </c>
      <c r="F290" s="3">
        <v>4.8499999999999996</v>
      </c>
      <c r="G290">
        <v>73.069999999999993</v>
      </c>
      <c r="H290" s="4">
        <f t="shared" si="49"/>
        <v>71.27</v>
      </c>
      <c r="I290">
        <v>16.106000000000002</v>
      </c>
      <c r="J290" s="4">
        <f t="shared" si="50"/>
        <v>11.256000000000002</v>
      </c>
      <c r="K290">
        <v>16.12</v>
      </c>
      <c r="L290" s="4">
        <f t="shared" si="52"/>
        <v>11.270000000000001</v>
      </c>
      <c r="M290" s="4">
        <f t="shared" si="53"/>
        <v>-1.2437810945273048E-3</v>
      </c>
      <c r="N290" s="3">
        <v>5.32</v>
      </c>
      <c r="O290">
        <v>7.1769999999999996</v>
      </c>
      <c r="P290" s="4">
        <f t="shared" si="51"/>
        <v>1.8569999999999993</v>
      </c>
      <c r="Q290">
        <f t="shared" si="55"/>
        <v>11.758030383795303</v>
      </c>
      <c r="R290" s="4">
        <f t="shared" si="56"/>
        <v>59.600613894811659</v>
      </c>
      <c r="S290">
        <f t="shared" ref="S290:S315" si="58">R290/D290</f>
        <v>0.47680491115849327</v>
      </c>
    </row>
    <row r="291" spans="1:19" x14ac:dyDescent="0.35">
      <c r="A291" t="s">
        <v>28</v>
      </c>
      <c r="B291" t="s">
        <v>9</v>
      </c>
      <c r="C291">
        <v>2</v>
      </c>
      <c r="D291">
        <f>16.5*25</f>
        <v>412.5</v>
      </c>
      <c r="E291">
        <v>1.8</v>
      </c>
      <c r="F291" s="3">
        <v>4.8499999999999996</v>
      </c>
      <c r="G291">
        <v>53.845999999999997</v>
      </c>
      <c r="H291" s="4">
        <f t="shared" ref="H291:H315" si="59">G291-E291</f>
        <v>52.045999999999999</v>
      </c>
      <c r="I291">
        <v>14.153</v>
      </c>
      <c r="J291" s="4">
        <f t="shared" ref="J291:J315" si="60">I291-F291</f>
        <v>9.3030000000000008</v>
      </c>
      <c r="K291">
        <v>14.12</v>
      </c>
      <c r="L291" s="4">
        <f t="shared" si="52"/>
        <v>9.27</v>
      </c>
      <c r="M291" s="4">
        <f t="shared" si="53"/>
        <v>3.5472428248953291E-3</v>
      </c>
      <c r="N291" s="3">
        <v>5.32</v>
      </c>
      <c r="O291">
        <v>6.6609999999999996</v>
      </c>
      <c r="P291" s="4">
        <f t="shared" ref="P291:P315" si="61">O291-N291</f>
        <v>1.3409999999999993</v>
      </c>
      <c r="Q291">
        <f t="shared" si="55"/>
        <v>7.5022773298935777</v>
      </c>
      <c r="R291" s="4">
        <f t="shared" si="56"/>
        <v>44.359102870041916</v>
      </c>
      <c r="S291">
        <f t="shared" si="58"/>
        <v>0.1075372190788895</v>
      </c>
    </row>
    <row r="292" spans="1:19" x14ac:dyDescent="0.35">
      <c r="A292" t="s">
        <v>28</v>
      </c>
      <c r="B292" t="s">
        <v>9</v>
      </c>
      <c r="C292">
        <v>3</v>
      </c>
      <c r="D292">
        <f>75</f>
        <v>75</v>
      </c>
      <c r="E292">
        <v>1.8</v>
      </c>
      <c r="F292" s="3">
        <v>4.8499999999999996</v>
      </c>
      <c r="G292">
        <v>48.738999999999997</v>
      </c>
      <c r="H292" s="4">
        <f t="shared" si="59"/>
        <v>46.939</v>
      </c>
      <c r="I292">
        <v>11.465</v>
      </c>
      <c r="J292" s="4">
        <f t="shared" si="60"/>
        <v>6.6150000000000002</v>
      </c>
      <c r="K292">
        <v>11.474</v>
      </c>
      <c r="L292" s="4">
        <f t="shared" si="52"/>
        <v>6.6240000000000006</v>
      </c>
      <c r="M292" s="4">
        <f t="shared" si="53"/>
        <v>-1.3605442176871263E-3</v>
      </c>
      <c r="N292" s="3">
        <v>5.32</v>
      </c>
      <c r="O292">
        <v>5.7869999999999999</v>
      </c>
      <c r="P292" s="4">
        <f t="shared" si="61"/>
        <v>0.46699999999999964</v>
      </c>
      <c r="Q292">
        <f t="shared" si="55"/>
        <v>3.313758578987148</v>
      </c>
      <c r="R292" s="4">
        <f t="shared" si="56"/>
        <v>43.689104006046868</v>
      </c>
      <c r="S292">
        <f t="shared" si="58"/>
        <v>0.58252138674729159</v>
      </c>
    </row>
    <row r="293" spans="1:19" x14ac:dyDescent="0.35">
      <c r="A293" t="s">
        <v>28</v>
      </c>
      <c r="B293" t="s">
        <v>9</v>
      </c>
      <c r="C293">
        <v>4</v>
      </c>
      <c r="D293">
        <f>5.5*25</f>
        <v>137.5</v>
      </c>
      <c r="E293">
        <v>1.8</v>
      </c>
      <c r="F293" s="3">
        <v>4.8499999999999996</v>
      </c>
      <c r="G293">
        <v>56.14</v>
      </c>
      <c r="H293" s="4">
        <f t="shared" si="59"/>
        <v>54.34</v>
      </c>
      <c r="I293">
        <v>13.879</v>
      </c>
      <c r="J293" s="4">
        <f t="shared" si="60"/>
        <v>9.0289999999999999</v>
      </c>
      <c r="K293">
        <v>13.893000000000001</v>
      </c>
      <c r="L293" s="4">
        <f t="shared" si="52"/>
        <v>9.043000000000001</v>
      </c>
      <c r="M293" s="4">
        <f t="shared" si="53"/>
        <v>-1.5505593088936895E-3</v>
      </c>
      <c r="N293" s="3">
        <v>5.32</v>
      </c>
      <c r="O293">
        <v>10.443</v>
      </c>
      <c r="P293" s="4">
        <f t="shared" si="61"/>
        <v>5.1229999999999993</v>
      </c>
      <c r="Q293">
        <f t="shared" si="55"/>
        <v>30.832187396167903</v>
      </c>
      <c r="R293" s="4">
        <f t="shared" si="56"/>
        <v>23.592069996677381</v>
      </c>
      <c r="S293">
        <f t="shared" si="58"/>
        <v>0.17157869088492642</v>
      </c>
    </row>
    <row r="294" spans="1:19" x14ac:dyDescent="0.35">
      <c r="A294" t="s">
        <v>28</v>
      </c>
      <c r="B294" t="s">
        <v>31</v>
      </c>
      <c r="C294">
        <v>1</v>
      </c>
      <c r="D294">
        <f>(7.5+9+5*25)+(4.3*3*12.5)</f>
        <v>302.75</v>
      </c>
      <c r="E294">
        <v>1.8</v>
      </c>
      <c r="F294" s="3">
        <v>4.8499999999999996</v>
      </c>
      <c r="G294">
        <v>720.8</v>
      </c>
      <c r="H294" s="4">
        <f t="shared" si="59"/>
        <v>719</v>
      </c>
      <c r="I294">
        <v>168.97</v>
      </c>
      <c r="J294" s="4">
        <f t="shared" si="60"/>
        <v>164.12</v>
      </c>
      <c r="K294">
        <v>148.85</v>
      </c>
      <c r="L294" s="4">
        <f t="shared" si="52"/>
        <v>144</v>
      </c>
      <c r="M294" s="4">
        <f t="shared" si="53"/>
        <v>0.12259322446990009</v>
      </c>
      <c r="N294" s="3">
        <v>5.32</v>
      </c>
      <c r="O294">
        <v>44.094000000000001</v>
      </c>
      <c r="P294" s="4">
        <f t="shared" si="61"/>
        <v>38.774000000000001</v>
      </c>
      <c r="Q294">
        <f t="shared" si="55"/>
        <v>169.86659761150381</v>
      </c>
      <c r="R294" s="4">
        <f t="shared" si="56"/>
        <v>460.98887399463797</v>
      </c>
      <c r="S294">
        <f t="shared" si="58"/>
        <v>1.5226717555561948</v>
      </c>
    </row>
    <row r="295" spans="1:19" x14ac:dyDescent="0.35">
      <c r="A295" t="s">
        <v>28</v>
      </c>
      <c r="B295" t="s">
        <v>31</v>
      </c>
      <c r="C295">
        <v>2</v>
      </c>
      <c r="D295">
        <f>35*25</f>
        <v>875</v>
      </c>
      <c r="E295">
        <v>1.8</v>
      </c>
      <c r="F295" s="3">
        <v>4.8499999999999996</v>
      </c>
      <c r="G295">
        <v>741.4</v>
      </c>
      <c r="H295" s="4">
        <f t="shared" si="59"/>
        <v>739.6</v>
      </c>
      <c r="I295">
        <v>132.88999999999999</v>
      </c>
      <c r="J295" s="4">
        <f t="shared" si="60"/>
        <v>128.04</v>
      </c>
      <c r="K295">
        <v>104.36</v>
      </c>
      <c r="L295" s="4">
        <f t="shared" si="52"/>
        <v>99.51</v>
      </c>
      <c r="M295" s="4">
        <f t="shared" si="53"/>
        <v>0.22282099343955006</v>
      </c>
      <c r="N295" s="3">
        <v>5.32</v>
      </c>
      <c r="O295">
        <v>26.236000000000001</v>
      </c>
      <c r="P295" s="4">
        <f t="shared" si="61"/>
        <v>20.916</v>
      </c>
      <c r="Q295">
        <f t="shared" si="55"/>
        <v>120.81750702905344</v>
      </c>
      <c r="R295" s="4">
        <f t="shared" si="56"/>
        <v>453.98408622305533</v>
      </c>
      <c r="S295">
        <f t="shared" si="58"/>
        <v>0.51883895568349181</v>
      </c>
    </row>
    <row r="296" spans="1:19" x14ac:dyDescent="0.35">
      <c r="A296" t="s">
        <v>28</v>
      </c>
      <c r="B296" t="s">
        <v>31</v>
      </c>
      <c r="C296">
        <v>3</v>
      </c>
      <c r="D296">
        <f>37*25</f>
        <v>925</v>
      </c>
      <c r="E296">
        <v>1.8</v>
      </c>
      <c r="F296" s="3">
        <v>4.8499999999999996</v>
      </c>
      <c r="G296">
        <v>903.5</v>
      </c>
      <c r="H296" s="4">
        <f t="shared" si="59"/>
        <v>901.7</v>
      </c>
      <c r="I296">
        <v>240.27</v>
      </c>
      <c r="J296" s="4">
        <f t="shared" si="60"/>
        <v>235.42000000000002</v>
      </c>
      <c r="K296">
        <v>214.95</v>
      </c>
      <c r="L296" s="4">
        <f t="shared" si="52"/>
        <v>210.1</v>
      </c>
      <c r="M296" s="4">
        <f t="shared" si="53"/>
        <v>0.10755245943420279</v>
      </c>
      <c r="N296" s="3">
        <v>5.32</v>
      </c>
      <c r="O296">
        <v>52.386000000000003</v>
      </c>
      <c r="P296" s="4">
        <f t="shared" si="61"/>
        <v>47.066000000000003</v>
      </c>
      <c r="Q296">
        <f t="shared" si="55"/>
        <v>180.27105683459351</v>
      </c>
      <c r="R296" s="4">
        <f t="shared" si="56"/>
        <v>624.44889049358585</v>
      </c>
      <c r="S296">
        <f t="shared" si="58"/>
        <v>0.67507988161468746</v>
      </c>
    </row>
    <row r="297" spans="1:19" x14ac:dyDescent="0.35">
      <c r="A297" t="s">
        <v>28</v>
      </c>
      <c r="B297" t="s">
        <v>31</v>
      </c>
      <c r="C297">
        <v>4</v>
      </c>
      <c r="D297">
        <f>(24.5*25)+(9*12.5)</f>
        <v>725</v>
      </c>
      <c r="E297">
        <v>1.8</v>
      </c>
      <c r="F297" s="3">
        <v>4.8499999999999996</v>
      </c>
      <c r="G297">
        <v>722.2</v>
      </c>
      <c r="H297" s="4">
        <f t="shared" si="59"/>
        <v>720.40000000000009</v>
      </c>
      <c r="I297">
        <v>130.88999999999999</v>
      </c>
      <c r="J297" s="4">
        <f t="shared" si="60"/>
        <v>126.03999999999999</v>
      </c>
      <c r="K297">
        <v>109.71</v>
      </c>
      <c r="L297" s="4">
        <f t="shared" si="52"/>
        <v>104.86</v>
      </c>
      <c r="M297" s="4">
        <f t="shared" si="53"/>
        <v>0.16804189146302756</v>
      </c>
      <c r="N297" s="3">
        <v>5.32</v>
      </c>
      <c r="O297">
        <v>45.261000000000003</v>
      </c>
      <c r="P297" s="4">
        <f t="shared" si="61"/>
        <v>39.941000000000003</v>
      </c>
      <c r="Q297">
        <f t="shared" si="55"/>
        <v>228.2886099650905</v>
      </c>
      <c r="R297" s="4">
        <f t="shared" si="56"/>
        <v>371.05401142494463</v>
      </c>
      <c r="S297">
        <f t="shared" si="58"/>
        <v>0.51179863644819945</v>
      </c>
    </row>
    <row r="298" spans="1:19" x14ac:dyDescent="0.35">
      <c r="A298" t="s">
        <v>28</v>
      </c>
      <c r="B298" t="s">
        <v>32</v>
      </c>
      <c r="C298">
        <v>1</v>
      </c>
      <c r="D298" t="s">
        <v>33</v>
      </c>
      <c r="E298" t="s">
        <v>33</v>
      </c>
      <c r="F298" t="s">
        <v>33</v>
      </c>
      <c r="G298" t="s">
        <v>33</v>
      </c>
      <c r="H298" t="s">
        <v>33</v>
      </c>
      <c r="I298" t="s">
        <v>33</v>
      </c>
      <c r="J298" t="s">
        <v>33</v>
      </c>
      <c r="K298" t="s">
        <v>33</v>
      </c>
      <c r="L298" t="s">
        <v>33</v>
      </c>
      <c r="M298" t="s">
        <v>33</v>
      </c>
      <c r="N298" t="s">
        <v>33</v>
      </c>
      <c r="O298" t="s">
        <v>33</v>
      </c>
      <c r="P298" t="s">
        <v>33</v>
      </c>
      <c r="Q298" t="s">
        <v>33</v>
      </c>
      <c r="R298" t="s">
        <v>33</v>
      </c>
      <c r="S298" t="s">
        <v>33</v>
      </c>
    </row>
    <row r="299" spans="1:19" x14ac:dyDescent="0.35">
      <c r="A299" t="s">
        <v>28</v>
      </c>
      <c r="B299" t="s">
        <v>32</v>
      </c>
      <c r="C299">
        <v>2</v>
      </c>
      <c r="D299" t="s">
        <v>33</v>
      </c>
      <c r="E299" t="s">
        <v>33</v>
      </c>
      <c r="F299" t="s">
        <v>33</v>
      </c>
      <c r="G299" t="s">
        <v>33</v>
      </c>
      <c r="H299" t="s">
        <v>33</v>
      </c>
      <c r="I299" t="s">
        <v>33</v>
      </c>
      <c r="J299" t="s">
        <v>33</v>
      </c>
      <c r="K299" t="s">
        <v>33</v>
      </c>
      <c r="L299" t="s">
        <v>33</v>
      </c>
      <c r="M299" t="s">
        <v>33</v>
      </c>
      <c r="N299" t="s">
        <v>33</v>
      </c>
      <c r="O299" t="s">
        <v>33</v>
      </c>
      <c r="P299" t="s">
        <v>33</v>
      </c>
      <c r="Q299" t="s">
        <v>33</v>
      </c>
      <c r="R299" t="s">
        <v>33</v>
      </c>
      <c r="S299" t="s">
        <v>33</v>
      </c>
    </row>
    <row r="300" spans="1:19" x14ac:dyDescent="0.35">
      <c r="A300" t="s">
        <v>28</v>
      </c>
      <c r="B300" t="s">
        <v>32</v>
      </c>
      <c r="C300">
        <v>3</v>
      </c>
      <c r="D300" t="s">
        <v>33</v>
      </c>
      <c r="E300" t="s">
        <v>33</v>
      </c>
      <c r="F300" t="s">
        <v>33</v>
      </c>
      <c r="G300" t="s">
        <v>33</v>
      </c>
      <c r="H300" t="s">
        <v>33</v>
      </c>
      <c r="I300" t="s">
        <v>33</v>
      </c>
      <c r="J300" t="s">
        <v>33</v>
      </c>
      <c r="K300" t="s">
        <v>33</v>
      </c>
      <c r="L300" t="s">
        <v>33</v>
      </c>
      <c r="M300" t="s">
        <v>33</v>
      </c>
      <c r="N300" t="s">
        <v>33</v>
      </c>
      <c r="O300" t="s">
        <v>33</v>
      </c>
      <c r="P300" t="s">
        <v>33</v>
      </c>
      <c r="Q300" t="s">
        <v>33</v>
      </c>
      <c r="R300" t="s">
        <v>33</v>
      </c>
      <c r="S300" t="s">
        <v>33</v>
      </c>
    </row>
    <row r="301" spans="1:19" x14ac:dyDescent="0.35">
      <c r="A301" t="s">
        <v>28</v>
      </c>
      <c r="B301" t="s">
        <v>32</v>
      </c>
      <c r="C301">
        <v>4</v>
      </c>
      <c r="D301" t="s">
        <v>33</v>
      </c>
      <c r="E301" t="s">
        <v>33</v>
      </c>
      <c r="F301" t="s">
        <v>33</v>
      </c>
      <c r="G301" t="s">
        <v>33</v>
      </c>
      <c r="H301" t="s">
        <v>33</v>
      </c>
      <c r="I301" t="s">
        <v>33</v>
      </c>
      <c r="J301" t="s">
        <v>33</v>
      </c>
      <c r="K301" t="s">
        <v>33</v>
      </c>
      <c r="L301" t="s">
        <v>33</v>
      </c>
      <c r="M301" t="s">
        <v>33</v>
      </c>
      <c r="N301" t="s">
        <v>33</v>
      </c>
      <c r="O301" t="s">
        <v>33</v>
      </c>
      <c r="P301" t="s">
        <v>33</v>
      </c>
      <c r="Q301" t="s">
        <v>33</v>
      </c>
      <c r="R301" t="s">
        <v>33</v>
      </c>
      <c r="S301" t="s">
        <v>33</v>
      </c>
    </row>
    <row r="302" spans="1:19" x14ac:dyDescent="0.35">
      <c r="A302" t="s">
        <v>28</v>
      </c>
      <c r="B302" t="s">
        <v>10</v>
      </c>
      <c r="C302">
        <v>1</v>
      </c>
      <c r="D302" t="s">
        <v>33</v>
      </c>
      <c r="E302" t="s">
        <v>33</v>
      </c>
      <c r="F302" t="s">
        <v>33</v>
      </c>
      <c r="G302" t="s">
        <v>33</v>
      </c>
      <c r="H302" t="s">
        <v>33</v>
      </c>
      <c r="I302" t="s">
        <v>33</v>
      </c>
      <c r="J302" t="s">
        <v>33</v>
      </c>
      <c r="K302" t="s">
        <v>33</v>
      </c>
      <c r="L302" t="s">
        <v>33</v>
      </c>
      <c r="M302" t="s">
        <v>33</v>
      </c>
      <c r="N302" t="s">
        <v>33</v>
      </c>
      <c r="O302" t="s">
        <v>33</v>
      </c>
      <c r="P302" t="s">
        <v>33</v>
      </c>
      <c r="Q302" t="s">
        <v>33</v>
      </c>
      <c r="R302" t="s">
        <v>33</v>
      </c>
      <c r="S302" t="s">
        <v>33</v>
      </c>
    </row>
    <row r="303" spans="1:19" x14ac:dyDescent="0.35">
      <c r="A303" t="s">
        <v>28</v>
      </c>
      <c r="B303" t="s">
        <v>10</v>
      </c>
      <c r="C303">
        <v>2</v>
      </c>
      <c r="D303" t="s">
        <v>33</v>
      </c>
      <c r="E303" t="s">
        <v>33</v>
      </c>
      <c r="F303" t="s">
        <v>33</v>
      </c>
      <c r="G303" t="s">
        <v>33</v>
      </c>
      <c r="H303" t="s">
        <v>33</v>
      </c>
      <c r="I303" t="s">
        <v>33</v>
      </c>
      <c r="J303" t="s">
        <v>33</v>
      </c>
      <c r="K303" t="s">
        <v>33</v>
      </c>
      <c r="L303" t="s">
        <v>33</v>
      </c>
      <c r="M303" t="s">
        <v>33</v>
      </c>
      <c r="N303" t="s">
        <v>33</v>
      </c>
      <c r="O303" t="s">
        <v>33</v>
      </c>
      <c r="P303" t="s">
        <v>33</v>
      </c>
      <c r="Q303" t="s">
        <v>33</v>
      </c>
      <c r="R303" t="s">
        <v>33</v>
      </c>
      <c r="S303" t="s">
        <v>33</v>
      </c>
    </row>
    <row r="304" spans="1:19" x14ac:dyDescent="0.35">
      <c r="A304" t="s">
        <v>28</v>
      </c>
      <c r="B304" t="s">
        <v>10</v>
      </c>
      <c r="C304">
        <v>3</v>
      </c>
      <c r="D304" t="s">
        <v>33</v>
      </c>
      <c r="E304" t="s">
        <v>33</v>
      </c>
      <c r="F304" t="s">
        <v>33</v>
      </c>
      <c r="G304" t="s">
        <v>33</v>
      </c>
      <c r="H304" t="s">
        <v>33</v>
      </c>
      <c r="I304" t="s">
        <v>33</v>
      </c>
      <c r="J304" t="s">
        <v>33</v>
      </c>
      <c r="K304" t="s">
        <v>33</v>
      </c>
      <c r="L304" t="s">
        <v>33</v>
      </c>
      <c r="M304" t="s">
        <v>33</v>
      </c>
      <c r="N304" t="s">
        <v>33</v>
      </c>
      <c r="O304" t="s">
        <v>33</v>
      </c>
      <c r="P304" t="s">
        <v>33</v>
      </c>
      <c r="Q304" t="s">
        <v>33</v>
      </c>
      <c r="R304" t="s">
        <v>33</v>
      </c>
      <c r="S304" t="s">
        <v>33</v>
      </c>
    </row>
    <row r="305" spans="1:19" x14ac:dyDescent="0.35">
      <c r="A305" t="s">
        <v>28</v>
      </c>
      <c r="B305" t="s">
        <v>10</v>
      </c>
      <c r="C305">
        <v>4</v>
      </c>
      <c r="D305" t="s">
        <v>33</v>
      </c>
      <c r="E305" t="s">
        <v>33</v>
      </c>
      <c r="F305" t="s">
        <v>33</v>
      </c>
      <c r="G305" t="s">
        <v>33</v>
      </c>
      <c r="H305" t="s">
        <v>33</v>
      </c>
      <c r="I305" t="s">
        <v>33</v>
      </c>
      <c r="J305" t="s">
        <v>33</v>
      </c>
      <c r="K305" t="s">
        <v>33</v>
      </c>
      <c r="L305" t="s">
        <v>33</v>
      </c>
      <c r="M305" t="s">
        <v>33</v>
      </c>
      <c r="N305" t="s">
        <v>33</v>
      </c>
      <c r="O305" t="s">
        <v>33</v>
      </c>
      <c r="P305" t="s">
        <v>33</v>
      </c>
      <c r="Q305" t="s">
        <v>33</v>
      </c>
      <c r="R305" t="s">
        <v>33</v>
      </c>
      <c r="S305" t="s">
        <v>33</v>
      </c>
    </row>
    <row r="306" spans="1:19" x14ac:dyDescent="0.35">
      <c r="A306" t="s">
        <v>29</v>
      </c>
      <c r="B306" t="s">
        <v>9</v>
      </c>
      <c r="C306">
        <v>1</v>
      </c>
      <c r="D306">
        <f>3.5*25</f>
        <v>87.5</v>
      </c>
      <c r="E306">
        <v>1.8</v>
      </c>
      <c r="F306" s="3">
        <v>4.8499999999999996</v>
      </c>
      <c r="G306">
        <v>62.51</v>
      </c>
      <c r="H306" s="4">
        <f t="shared" si="59"/>
        <v>60.71</v>
      </c>
      <c r="I306">
        <v>20.841000000000001</v>
      </c>
      <c r="J306" s="4">
        <f t="shared" si="60"/>
        <v>15.991000000000001</v>
      </c>
      <c r="K306">
        <v>20.856999999999999</v>
      </c>
      <c r="L306" s="4">
        <f t="shared" si="52"/>
        <v>16.006999999999998</v>
      </c>
      <c r="M306" s="4">
        <f t="shared" si="53"/>
        <v>-1.0005628165841074E-3</v>
      </c>
      <c r="N306" s="3">
        <v>5.32</v>
      </c>
      <c r="O306">
        <v>17.940999999999999</v>
      </c>
      <c r="P306" s="4">
        <f t="shared" si="61"/>
        <v>12.620999999999999</v>
      </c>
      <c r="Q306">
        <f t="shared" si="55"/>
        <v>47.915759489712954</v>
      </c>
      <c r="R306" s="4">
        <f t="shared" si="56"/>
        <v>12.85498467888187</v>
      </c>
      <c r="S306">
        <f t="shared" si="58"/>
        <v>0.14691411061579279</v>
      </c>
    </row>
    <row r="307" spans="1:19" x14ac:dyDescent="0.35">
      <c r="A307" t="s">
        <v>29</v>
      </c>
      <c r="B307" t="s">
        <v>9</v>
      </c>
      <c r="C307">
        <v>2</v>
      </c>
      <c r="D307">
        <f>5.5*25</f>
        <v>137.5</v>
      </c>
      <c r="E307">
        <v>1.8</v>
      </c>
      <c r="F307" s="3">
        <v>4.8499999999999996</v>
      </c>
      <c r="G307">
        <v>58.707999999999998</v>
      </c>
      <c r="H307" s="4">
        <f t="shared" si="59"/>
        <v>56.908000000000001</v>
      </c>
      <c r="I307">
        <v>18.483000000000001</v>
      </c>
      <c r="J307" s="4">
        <f t="shared" si="60"/>
        <v>13.633000000000001</v>
      </c>
      <c r="K307">
        <v>18.504000000000001</v>
      </c>
      <c r="L307" s="4">
        <f t="shared" si="52"/>
        <v>13.654000000000002</v>
      </c>
      <c r="M307" s="4">
        <f t="shared" si="53"/>
        <v>-1.5403799603902878E-3</v>
      </c>
      <c r="N307" s="3">
        <v>5.32</v>
      </c>
      <c r="O307">
        <v>11.48</v>
      </c>
      <c r="P307" s="4">
        <f t="shared" si="61"/>
        <v>6.16</v>
      </c>
      <c r="Q307">
        <f t="shared" si="55"/>
        <v>25.713583217193573</v>
      </c>
      <c r="R307" s="4">
        <f t="shared" si="56"/>
        <v>31.282076725592326</v>
      </c>
      <c r="S307">
        <f t="shared" si="58"/>
        <v>0.22750601254976238</v>
      </c>
    </row>
    <row r="308" spans="1:19" x14ac:dyDescent="0.35">
      <c r="A308" t="s">
        <v>29</v>
      </c>
      <c r="B308" t="s">
        <v>9</v>
      </c>
      <c r="C308">
        <v>3</v>
      </c>
      <c r="D308">
        <v>100</v>
      </c>
      <c r="E308">
        <v>1.8</v>
      </c>
      <c r="F308" s="3">
        <v>4.8499999999999996</v>
      </c>
      <c r="G308">
        <v>46.689</v>
      </c>
      <c r="H308" s="4">
        <f t="shared" si="59"/>
        <v>44.889000000000003</v>
      </c>
      <c r="I308">
        <v>13.016999999999999</v>
      </c>
      <c r="J308" s="4">
        <f t="shared" si="60"/>
        <v>8.1669999999999998</v>
      </c>
      <c r="K308">
        <v>13.026</v>
      </c>
      <c r="L308" s="4">
        <f t="shared" si="52"/>
        <v>8.1760000000000002</v>
      </c>
      <c r="M308" s="4">
        <f t="shared" si="53"/>
        <v>-1.1019958369046579E-3</v>
      </c>
      <c r="N308" s="3">
        <v>5.32</v>
      </c>
      <c r="O308">
        <v>10.646000000000001</v>
      </c>
      <c r="P308" s="4">
        <f t="shared" si="61"/>
        <v>5.3260000000000005</v>
      </c>
      <c r="Q308">
        <f t="shared" si="55"/>
        <v>29.273761968899233</v>
      </c>
      <c r="R308" s="4">
        <f t="shared" si="56"/>
        <v>15.664705522223588</v>
      </c>
      <c r="S308">
        <f t="shared" si="58"/>
        <v>0.15664705522223588</v>
      </c>
    </row>
    <row r="309" spans="1:19" x14ac:dyDescent="0.35">
      <c r="A309" t="s">
        <v>29</v>
      </c>
      <c r="B309" t="s">
        <v>9</v>
      </c>
      <c r="C309">
        <v>4</v>
      </c>
      <c r="D309">
        <f>6.5*25</f>
        <v>162.5</v>
      </c>
      <c r="E309">
        <v>1.8</v>
      </c>
      <c r="F309" s="3">
        <v>4.8499999999999996</v>
      </c>
      <c r="G309">
        <v>458.7</v>
      </c>
      <c r="H309" s="4">
        <f t="shared" si="59"/>
        <v>456.9</v>
      </c>
      <c r="I309">
        <v>121.07</v>
      </c>
      <c r="J309" s="4">
        <f t="shared" si="60"/>
        <v>116.22</v>
      </c>
      <c r="K309">
        <v>110.59</v>
      </c>
      <c r="L309" s="4">
        <f t="shared" si="52"/>
        <v>105.74000000000001</v>
      </c>
      <c r="M309" s="4">
        <f t="shared" si="53"/>
        <v>9.0173808294613578E-2</v>
      </c>
      <c r="N309" s="3">
        <v>5.32</v>
      </c>
      <c r="O309">
        <v>40.746000000000002</v>
      </c>
      <c r="P309" s="4">
        <f t="shared" si="61"/>
        <v>35.426000000000002</v>
      </c>
      <c r="Q309">
        <f t="shared" si="55"/>
        <v>139.27154878678368</v>
      </c>
      <c r="R309" s="4">
        <f t="shared" si="56"/>
        <v>276.42803820340737</v>
      </c>
      <c r="S309">
        <f t="shared" si="58"/>
        <v>1.7010956197132761</v>
      </c>
    </row>
    <row r="310" spans="1:19" x14ac:dyDescent="0.35">
      <c r="A310" t="s">
        <v>29</v>
      </c>
      <c r="B310" t="s">
        <v>31</v>
      </c>
      <c r="C310">
        <v>1</v>
      </c>
      <c r="D310">
        <f>(34*25)+(9*12.5)</f>
        <v>962.5</v>
      </c>
      <c r="E310">
        <v>1.8</v>
      </c>
      <c r="F310" s="3">
        <v>4.8499999999999996</v>
      </c>
      <c r="G310">
        <v>1292.5999999999999</v>
      </c>
      <c r="H310" s="4">
        <f t="shared" si="59"/>
        <v>1290.8</v>
      </c>
      <c r="I310">
        <v>276.08</v>
      </c>
      <c r="J310" s="4">
        <f t="shared" si="60"/>
        <v>271.22999999999996</v>
      </c>
      <c r="K310">
        <v>246.81</v>
      </c>
      <c r="L310" s="4">
        <f t="shared" si="52"/>
        <v>241.96</v>
      </c>
      <c r="M310" s="4">
        <f t="shared" si="53"/>
        <v>0.10791579102606629</v>
      </c>
      <c r="N310" s="3">
        <v>5.32</v>
      </c>
      <c r="O310">
        <v>24.613</v>
      </c>
      <c r="P310" s="4">
        <f t="shared" si="61"/>
        <v>19.292999999999999</v>
      </c>
      <c r="Q310">
        <f t="shared" si="55"/>
        <v>91.816555690742177</v>
      </c>
      <c r="R310" s="4">
        <f t="shared" si="56"/>
        <v>1059.6857412528113</v>
      </c>
      <c r="S310">
        <f t="shared" si="58"/>
        <v>1.1009721987042196</v>
      </c>
    </row>
    <row r="311" spans="1:19" x14ac:dyDescent="0.35">
      <c r="A311" t="s">
        <v>29</v>
      </c>
      <c r="B311" t="s">
        <v>31</v>
      </c>
      <c r="C311">
        <v>2</v>
      </c>
      <c r="D311">
        <f>((12+17+3)*25)+(6*12.5)</f>
        <v>875</v>
      </c>
      <c r="E311">
        <v>1.8</v>
      </c>
      <c r="F311" s="3">
        <v>4.8499999999999996</v>
      </c>
      <c r="G311">
        <v>1096.7</v>
      </c>
      <c r="H311" s="4">
        <f t="shared" si="59"/>
        <v>1094.9000000000001</v>
      </c>
      <c r="I311">
        <v>215.69</v>
      </c>
      <c r="J311" s="4">
        <f t="shared" si="60"/>
        <v>210.84</v>
      </c>
      <c r="K311">
        <v>186.22</v>
      </c>
      <c r="L311" s="4">
        <f t="shared" si="52"/>
        <v>181.37</v>
      </c>
      <c r="M311" s="4">
        <f t="shared" si="53"/>
        <v>0.13977423638778219</v>
      </c>
      <c r="N311" s="3">
        <v>5.32</v>
      </c>
      <c r="O311">
        <v>22.539000000000001</v>
      </c>
      <c r="P311" s="4">
        <f t="shared" si="61"/>
        <v>17.219000000000001</v>
      </c>
      <c r="Q311">
        <f t="shared" si="55"/>
        <v>89.41891054828308</v>
      </c>
      <c r="R311" s="4">
        <f t="shared" si="56"/>
        <v>852.44227803073431</v>
      </c>
      <c r="S311">
        <f t="shared" si="58"/>
        <v>0.97421974632083919</v>
      </c>
    </row>
    <row r="312" spans="1:19" x14ac:dyDescent="0.35">
      <c r="A312" t="s">
        <v>29</v>
      </c>
      <c r="B312" t="s">
        <v>31</v>
      </c>
      <c r="C312">
        <v>3</v>
      </c>
      <c r="D312">
        <f>((9+8+8)*25)+(7*12.5)</f>
        <v>712.5</v>
      </c>
      <c r="E312">
        <v>1.8</v>
      </c>
      <c r="F312" s="3">
        <v>4.8499999999999996</v>
      </c>
      <c r="G312">
        <v>977.6</v>
      </c>
      <c r="H312" s="4">
        <f t="shared" si="59"/>
        <v>975.80000000000007</v>
      </c>
      <c r="I312">
        <v>257.33999999999997</v>
      </c>
      <c r="J312" s="4">
        <f t="shared" si="60"/>
        <v>252.48999999999998</v>
      </c>
      <c r="K312">
        <v>224.43</v>
      </c>
      <c r="L312" s="4">
        <f t="shared" si="52"/>
        <v>219.58</v>
      </c>
      <c r="M312" s="4">
        <f t="shared" si="53"/>
        <v>0.13034179571468166</v>
      </c>
      <c r="N312" s="3">
        <v>5.32</v>
      </c>
      <c r="O312">
        <v>45.162999999999997</v>
      </c>
      <c r="P312" s="4">
        <f t="shared" si="61"/>
        <v>39.842999999999996</v>
      </c>
      <c r="Q312">
        <f t="shared" si="55"/>
        <v>153.98154144718603</v>
      </c>
      <c r="R312" s="4">
        <f t="shared" si="56"/>
        <v>694.63093429442768</v>
      </c>
      <c r="S312">
        <f t="shared" si="58"/>
        <v>0.97492060953603887</v>
      </c>
    </row>
    <row r="313" spans="1:19" x14ac:dyDescent="0.35">
      <c r="A313" t="s">
        <v>29</v>
      </c>
      <c r="B313" t="s">
        <v>31</v>
      </c>
      <c r="C313">
        <v>4</v>
      </c>
      <c r="D313">
        <f>((8.25+6.5+14)*25)+(12*12.5)</f>
        <v>868.75</v>
      </c>
      <c r="E313">
        <v>1.8</v>
      </c>
      <c r="F313" s="3">
        <v>4.8499999999999996</v>
      </c>
      <c r="G313">
        <v>484.9</v>
      </c>
      <c r="H313" s="4">
        <f t="shared" si="59"/>
        <v>483.09999999999997</v>
      </c>
      <c r="I313">
        <v>132.63999999999999</v>
      </c>
      <c r="J313" s="4">
        <f t="shared" si="60"/>
        <v>127.78999999999999</v>
      </c>
      <c r="K313">
        <v>113.53</v>
      </c>
      <c r="L313" s="4">
        <f t="shared" si="52"/>
        <v>108.68</v>
      </c>
      <c r="M313" s="4">
        <f t="shared" si="53"/>
        <v>0.14954221770091547</v>
      </c>
      <c r="N313" s="3">
        <v>5.32</v>
      </c>
      <c r="O313">
        <v>28.882999999999999</v>
      </c>
      <c r="P313" s="4">
        <f t="shared" si="61"/>
        <v>23.562999999999999</v>
      </c>
      <c r="Q313">
        <f t="shared" si="55"/>
        <v>89.078060098599252</v>
      </c>
      <c r="R313" s="4">
        <f t="shared" si="56"/>
        <v>321.77809453008842</v>
      </c>
      <c r="S313">
        <f t="shared" si="58"/>
        <v>0.37039205125765573</v>
      </c>
    </row>
    <row r="314" spans="1:19" x14ac:dyDescent="0.35">
      <c r="A314" t="s">
        <v>29</v>
      </c>
      <c r="B314" t="s">
        <v>32</v>
      </c>
      <c r="C314">
        <v>1</v>
      </c>
      <c r="D314" t="s">
        <v>33</v>
      </c>
      <c r="E314" t="s">
        <v>33</v>
      </c>
      <c r="F314" t="s">
        <v>33</v>
      </c>
      <c r="G314" t="s">
        <v>33</v>
      </c>
      <c r="H314" t="s">
        <v>33</v>
      </c>
      <c r="I314" t="s">
        <v>33</v>
      </c>
      <c r="J314" t="s">
        <v>33</v>
      </c>
      <c r="K314" t="s">
        <v>33</v>
      </c>
      <c r="L314" t="s">
        <v>33</v>
      </c>
      <c r="M314" t="s">
        <v>33</v>
      </c>
      <c r="N314" t="s">
        <v>33</v>
      </c>
      <c r="O314" t="s">
        <v>33</v>
      </c>
      <c r="P314" t="s">
        <v>33</v>
      </c>
      <c r="Q314" t="s">
        <v>33</v>
      </c>
      <c r="R314" t="s">
        <v>33</v>
      </c>
      <c r="S314" t="s">
        <v>33</v>
      </c>
    </row>
    <row r="315" spans="1:19" x14ac:dyDescent="0.35">
      <c r="A315" t="s">
        <v>29</v>
      </c>
      <c r="B315" t="s">
        <v>32</v>
      </c>
      <c r="C315">
        <v>2</v>
      </c>
      <c r="D315">
        <f>8*12.5</f>
        <v>100</v>
      </c>
      <c r="E315">
        <v>1.8</v>
      </c>
      <c r="F315" s="3">
        <v>4.8499999999999996</v>
      </c>
      <c r="G315">
        <v>180.77</v>
      </c>
      <c r="H315" s="4">
        <f t="shared" si="59"/>
        <v>178.97</v>
      </c>
      <c r="I315">
        <v>42.505000000000003</v>
      </c>
      <c r="J315" s="4">
        <f t="shared" si="60"/>
        <v>37.655000000000001</v>
      </c>
      <c r="K315">
        <v>42.534999999999997</v>
      </c>
      <c r="L315" s="4">
        <f t="shared" si="52"/>
        <v>37.684999999999995</v>
      </c>
      <c r="M315" s="4">
        <f t="shared" si="53"/>
        <v>-7.967069446287088E-4</v>
      </c>
      <c r="N315" s="3">
        <v>5.32</v>
      </c>
      <c r="O315">
        <v>9.8949999999999996</v>
      </c>
      <c r="P315" s="4">
        <f t="shared" si="61"/>
        <v>4.5749999999999993</v>
      </c>
      <c r="Q315">
        <f t="shared" si="55"/>
        <v>21.744462886734826</v>
      </c>
      <c r="R315" s="4">
        <f t="shared" si="56"/>
        <v>157.36812375514538</v>
      </c>
      <c r="S315">
        <f t="shared" si="58"/>
        <v>1.5736812375514537</v>
      </c>
    </row>
    <row r="316" spans="1:19" x14ac:dyDescent="0.35">
      <c r="A316" t="s">
        <v>29</v>
      </c>
      <c r="B316" t="s">
        <v>32</v>
      </c>
      <c r="C316">
        <v>3</v>
      </c>
      <c r="D316" t="s">
        <v>33</v>
      </c>
      <c r="E316" t="s">
        <v>33</v>
      </c>
      <c r="F316" t="s">
        <v>33</v>
      </c>
      <c r="G316" t="s">
        <v>33</v>
      </c>
      <c r="H316" t="s">
        <v>33</v>
      </c>
      <c r="I316" t="s">
        <v>33</v>
      </c>
      <c r="J316" t="s">
        <v>33</v>
      </c>
      <c r="K316" t="s">
        <v>33</v>
      </c>
      <c r="L316" t="s">
        <v>33</v>
      </c>
      <c r="M316" t="s">
        <v>33</v>
      </c>
      <c r="N316" t="s">
        <v>33</v>
      </c>
      <c r="O316" t="s">
        <v>33</v>
      </c>
      <c r="P316" t="s">
        <v>33</v>
      </c>
      <c r="Q316" t="s">
        <v>33</v>
      </c>
      <c r="R316" t="s">
        <v>33</v>
      </c>
      <c r="S316" t="s">
        <v>33</v>
      </c>
    </row>
    <row r="317" spans="1:19" x14ac:dyDescent="0.35">
      <c r="A317" t="s">
        <v>29</v>
      </c>
      <c r="B317" t="s">
        <v>32</v>
      </c>
      <c r="C317">
        <v>4</v>
      </c>
      <c r="D317" t="s">
        <v>33</v>
      </c>
      <c r="E317" t="s">
        <v>33</v>
      </c>
      <c r="F317" t="s">
        <v>33</v>
      </c>
      <c r="G317" t="s">
        <v>33</v>
      </c>
      <c r="H317" t="s">
        <v>33</v>
      </c>
      <c r="I317" t="s">
        <v>33</v>
      </c>
      <c r="J317" t="s">
        <v>33</v>
      </c>
      <c r="K317" t="s">
        <v>33</v>
      </c>
      <c r="L317" t="s">
        <v>33</v>
      </c>
      <c r="M317" t="s">
        <v>33</v>
      </c>
      <c r="N317" t="s">
        <v>33</v>
      </c>
      <c r="O317" t="s">
        <v>33</v>
      </c>
      <c r="P317" t="s">
        <v>33</v>
      </c>
      <c r="Q317" t="s">
        <v>33</v>
      </c>
      <c r="R317" t="s">
        <v>33</v>
      </c>
      <c r="S317" t="s">
        <v>33</v>
      </c>
    </row>
    <row r="318" spans="1:19" x14ac:dyDescent="0.35">
      <c r="A318" t="s">
        <v>29</v>
      </c>
      <c r="B318" t="s">
        <v>10</v>
      </c>
      <c r="C318">
        <v>1</v>
      </c>
      <c r="D318" t="s">
        <v>33</v>
      </c>
      <c r="E318" t="s">
        <v>33</v>
      </c>
      <c r="F318" t="s">
        <v>33</v>
      </c>
      <c r="G318" t="s">
        <v>33</v>
      </c>
      <c r="H318" t="s">
        <v>33</v>
      </c>
      <c r="I318" t="s">
        <v>33</v>
      </c>
      <c r="J318" t="s">
        <v>33</v>
      </c>
      <c r="K318" t="s">
        <v>33</v>
      </c>
      <c r="L318" t="s">
        <v>33</v>
      </c>
      <c r="M318" t="s">
        <v>33</v>
      </c>
      <c r="N318" t="s">
        <v>33</v>
      </c>
      <c r="O318" t="s">
        <v>33</v>
      </c>
      <c r="P318" t="s">
        <v>33</v>
      </c>
      <c r="Q318" t="s">
        <v>33</v>
      </c>
      <c r="R318" t="s">
        <v>33</v>
      </c>
      <c r="S318" t="s">
        <v>33</v>
      </c>
    </row>
    <row r="319" spans="1:19" x14ac:dyDescent="0.35">
      <c r="A319" t="s">
        <v>29</v>
      </c>
      <c r="B319" t="s">
        <v>10</v>
      </c>
      <c r="C319">
        <v>2</v>
      </c>
      <c r="D319" t="s">
        <v>33</v>
      </c>
      <c r="E319" t="s">
        <v>33</v>
      </c>
      <c r="F319" t="s">
        <v>33</v>
      </c>
      <c r="G319" t="s">
        <v>33</v>
      </c>
      <c r="H319" t="s">
        <v>33</v>
      </c>
      <c r="I319" t="s">
        <v>33</v>
      </c>
      <c r="J319" t="s">
        <v>33</v>
      </c>
      <c r="K319" t="s">
        <v>33</v>
      </c>
      <c r="L319" t="s">
        <v>33</v>
      </c>
      <c r="M319" t="s">
        <v>33</v>
      </c>
      <c r="N319" t="s">
        <v>33</v>
      </c>
      <c r="O319" t="s">
        <v>33</v>
      </c>
      <c r="P319" t="s">
        <v>33</v>
      </c>
      <c r="Q319" t="s">
        <v>33</v>
      </c>
      <c r="R319" t="s">
        <v>33</v>
      </c>
      <c r="S319" t="s">
        <v>33</v>
      </c>
    </row>
    <row r="320" spans="1:19" x14ac:dyDescent="0.35">
      <c r="A320" t="s">
        <v>29</v>
      </c>
      <c r="B320" t="s">
        <v>10</v>
      </c>
      <c r="C320">
        <v>3</v>
      </c>
      <c r="D320" t="s">
        <v>33</v>
      </c>
      <c r="E320" t="s">
        <v>33</v>
      </c>
      <c r="F320" t="s">
        <v>33</v>
      </c>
      <c r="G320" t="s">
        <v>33</v>
      </c>
      <c r="H320" t="s">
        <v>33</v>
      </c>
      <c r="I320" t="s">
        <v>33</v>
      </c>
      <c r="J320" t="s">
        <v>33</v>
      </c>
      <c r="K320" t="s">
        <v>33</v>
      </c>
      <c r="L320" t="s">
        <v>33</v>
      </c>
      <c r="M320" t="s">
        <v>33</v>
      </c>
      <c r="N320" t="s">
        <v>33</v>
      </c>
      <c r="O320" t="s">
        <v>33</v>
      </c>
      <c r="P320" t="s">
        <v>33</v>
      </c>
      <c r="Q320" t="s">
        <v>33</v>
      </c>
      <c r="R320" t="s">
        <v>33</v>
      </c>
      <c r="S320" t="s">
        <v>33</v>
      </c>
    </row>
    <row r="321" spans="1:19" x14ac:dyDescent="0.35">
      <c r="A321" t="s">
        <v>29</v>
      </c>
      <c r="B321" t="s">
        <v>10</v>
      </c>
      <c r="C321">
        <v>4</v>
      </c>
      <c r="D321" t="s">
        <v>33</v>
      </c>
      <c r="E321" t="s">
        <v>33</v>
      </c>
      <c r="F321" t="s">
        <v>33</v>
      </c>
      <c r="G321" t="s">
        <v>33</v>
      </c>
      <c r="H321" t="s">
        <v>33</v>
      </c>
      <c r="I321" t="s">
        <v>33</v>
      </c>
      <c r="J321" t="s">
        <v>33</v>
      </c>
      <c r="K321" t="s">
        <v>33</v>
      </c>
      <c r="L321" t="s">
        <v>33</v>
      </c>
      <c r="M321" t="s">
        <v>33</v>
      </c>
      <c r="N321" t="s">
        <v>33</v>
      </c>
      <c r="O321" t="s">
        <v>33</v>
      </c>
      <c r="P321" t="s">
        <v>33</v>
      </c>
      <c r="Q321" t="s">
        <v>33</v>
      </c>
      <c r="R321" t="s">
        <v>33</v>
      </c>
      <c r="S321" t="s">
        <v>33</v>
      </c>
    </row>
    <row r="322" spans="1:19" x14ac:dyDescent="0.35">
      <c r="R322" s="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9693-A740-42C6-B555-DDD41325A8DB}">
  <dimension ref="A1:R321"/>
  <sheetViews>
    <sheetView workbookViewId="0">
      <selection activeCell="L2" sqref="L2"/>
    </sheetView>
  </sheetViews>
  <sheetFormatPr defaultRowHeight="14.5" x14ac:dyDescent="0.35"/>
  <cols>
    <col min="1" max="1" width="15.54296875" customWidth="1"/>
    <col min="2" max="2" width="10.453125" bestFit="1" customWidth="1"/>
    <col min="3" max="3" width="10.453125" customWidth="1"/>
    <col min="4" max="4" width="10.7265625" style="7" bestFit="1" customWidth="1"/>
    <col min="5" max="5" width="26.7265625" bestFit="1" customWidth="1"/>
    <col min="6" max="6" width="18.54296875" bestFit="1" customWidth="1"/>
    <col min="7" max="7" width="31.54296875" bestFit="1" customWidth="1"/>
    <col min="8" max="8" width="23.54296875" bestFit="1" customWidth="1"/>
    <col min="9" max="9" width="8" bestFit="1" customWidth="1"/>
    <col min="10" max="10" width="32.453125" bestFit="1" customWidth="1"/>
    <col min="11" max="11" width="23.54296875" bestFit="1" customWidth="1"/>
    <col min="12" max="12" width="4.36328125" bestFit="1" customWidth="1"/>
  </cols>
  <sheetData>
    <row r="1" spans="1:18" x14ac:dyDescent="0.35">
      <c r="A1" s="31" t="s">
        <v>1</v>
      </c>
      <c r="B1" s="1" t="s">
        <v>103</v>
      </c>
      <c r="C1" s="1" t="s">
        <v>102</v>
      </c>
      <c r="D1" s="24" t="s">
        <v>101</v>
      </c>
      <c r="E1" s="5" t="s">
        <v>100</v>
      </c>
      <c r="F1" s="5" t="s">
        <v>99</v>
      </c>
      <c r="G1" s="5" t="s">
        <v>98</v>
      </c>
      <c r="H1" s="5" t="s">
        <v>97</v>
      </c>
      <c r="I1" s="5" t="s">
        <v>81</v>
      </c>
      <c r="J1" s="5" t="s">
        <v>96</v>
      </c>
      <c r="K1" s="5" t="s">
        <v>95</v>
      </c>
      <c r="L1" s="5" t="s">
        <v>94</v>
      </c>
    </row>
    <row r="2" spans="1:18" x14ac:dyDescent="0.35">
      <c r="A2" t="s">
        <v>0</v>
      </c>
      <c r="B2">
        <v>1</v>
      </c>
      <c r="C2" s="9" t="s">
        <v>93</v>
      </c>
      <c r="D2">
        <v>10.55794</v>
      </c>
      <c r="E2" s="11">
        <v>11.21266</v>
      </c>
      <c r="F2" s="11">
        <f t="shared" ref="F2:F33" si="0">E2-D2</f>
        <v>0.6547199999999993</v>
      </c>
      <c r="G2" s="11">
        <v>11.16459</v>
      </c>
      <c r="H2" s="11">
        <f t="shared" ref="H2:H33" si="1">G2-D2</f>
        <v>0.60665000000000013</v>
      </c>
      <c r="I2" s="10">
        <f t="shared" ref="I2:I33" si="2">(F2-H2)/F2</f>
        <v>7.3420698924729993E-2</v>
      </c>
      <c r="J2" s="11">
        <v>10.677210000000001</v>
      </c>
      <c r="K2">
        <f t="shared" ref="K2:K33" si="3">J2-D2</f>
        <v>0.11927000000000021</v>
      </c>
      <c r="L2" s="4">
        <f t="shared" ref="L2:L38" si="4">((H2-K2)/H2)*0.525</f>
        <v>0.42178274128410104</v>
      </c>
      <c r="N2" s="26"/>
      <c r="O2" s="26"/>
      <c r="P2" s="26"/>
      <c r="Q2" s="26"/>
      <c r="R2" s="26"/>
    </row>
    <row r="3" spans="1:18" x14ac:dyDescent="0.35">
      <c r="A3" t="s">
        <v>0</v>
      </c>
      <c r="B3">
        <v>1</v>
      </c>
      <c r="C3" s="8" t="s">
        <v>92</v>
      </c>
      <c r="D3">
        <v>11.64865</v>
      </c>
      <c r="E3" s="11">
        <v>12.03608</v>
      </c>
      <c r="F3" s="11">
        <f t="shared" si="0"/>
        <v>0.38743000000000016</v>
      </c>
      <c r="G3" s="11">
        <v>12.004659999999999</v>
      </c>
      <c r="H3" s="11">
        <f t="shared" si="1"/>
        <v>0.35600999999999949</v>
      </c>
      <c r="I3" s="10">
        <f t="shared" si="2"/>
        <v>8.1098521023154263E-2</v>
      </c>
      <c r="J3" s="11">
        <v>11.68033</v>
      </c>
      <c r="K3">
        <f t="shared" si="3"/>
        <v>3.1679999999999708E-2</v>
      </c>
      <c r="L3" s="4">
        <f t="shared" si="4"/>
        <v>0.47828221117384379</v>
      </c>
      <c r="N3" s="26"/>
      <c r="O3" s="27"/>
      <c r="P3" s="27"/>
      <c r="Q3" s="27"/>
      <c r="R3" s="27"/>
    </row>
    <row r="4" spans="1:18" x14ac:dyDescent="0.35">
      <c r="A4" t="s">
        <v>0</v>
      </c>
      <c r="B4">
        <v>1</v>
      </c>
      <c r="C4" s="8" t="s">
        <v>91</v>
      </c>
      <c r="D4">
        <v>11.43403</v>
      </c>
      <c r="E4" s="11">
        <v>11.91825</v>
      </c>
      <c r="F4" s="11">
        <f t="shared" si="0"/>
        <v>0.48422000000000054</v>
      </c>
      <c r="G4" s="11">
        <v>11.88204</v>
      </c>
      <c r="H4" s="11">
        <f t="shared" si="1"/>
        <v>0.44801000000000002</v>
      </c>
      <c r="I4" s="10">
        <f t="shared" si="2"/>
        <v>7.4780058651027381E-2</v>
      </c>
      <c r="J4" s="11">
        <v>11.50714</v>
      </c>
      <c r="K4">
        <f t="shared" si="3"/>
        <v>7.3109999999999786E-2</v>
      </c>
      <c r="L4" s="4">
        <f t="shared" si="4"/>
        <v>0.43932613111314506</v>
      </c>
      <c r="N4" s="26"/>
      <c r="O4" s="28"/>
      <c r="P4" s="28"/>
      <c r="Q4" s="28"/>
      <c r="R4" s="28"/>
    </row>
    <row r="5" spans="1:18" x14ac:dyDescent="0.35">
      <c r="A5" t="s">
        <v>0</v>
      </c>
      <c r="B5">
        <v>1</v>
      </c>
      <c r="C5" s="8" t="s">
        <v>90</v>
      </c>
      <c r="D5">
        <v>10.35214</v>
      </c>
      <c r="E5" s="11">
        <v>10.711119999999999</v>
      </c>
      <c r="F5" s="11">
        <f t="shared" si="0"/>
        <v>0.35897999999999897</v>
      </c>
      <c r="G5" s="11">
        <v>10.68634</v>
      </c>
      <c r="H5" s="11">
        <f t="shared" si="1"/>
        <v>0.33419999999999916</v>
      </c>
      <c r="I5" s="10">
        <f t="shared" si="2"/>
        <v>6.9028915259902707E-2</v>
      </c>
      <c r="J5" s="11">
        <v>10.399609999999999</v>
      </c>
      <c r="K5">
        <f t="shared" si="3"/>
        <v>4.7469999999998791E-2</v>
      </c>
      <c r="L5" s="4">
        <f t="shared" si="4"/>
        <v>0.45042863554757806</v>
      </c>
      <c r="N5" s="26"/>
      <c r="O5" s="27"/>
      <c r="P5" s="27"/>
      <c r="Q5" s="27"/>
      <c r="R5" s="27"/>
    </row>
    <row r="6" spans="1:18" x14ac:dyDescent="0.35">
      <c r="A6" t="s">
        <v>0</v>
      </c>
      <c r="B6">
        <v>2</v>
      </c>
      <c r="C6" s="9" t="s">
        <v>93</v>
      </c>
      <c r="D6">
        <v>11.91066</v>
      </c>
      <c r="E6" s="11">
        <v>13.324960000000001</v>
      </c>
      <c r="F6" s="11">
        <f t="shared" si="0"/>
        <v>1.4143000000000008</v>
      </c>
      <c r="G6" s="11">
        <v>13.220420000000001</v>
      </c>
      <c r="H6" s="11">
        <f t="shared" si="1"/>
        <v>1.3097600000000007</v>
      </c>
      <c r="I6" s="10">
        <f t="shared" si="2"/>
        <v>7.3916425086615306E-2</v>
      </c>
      <c r="J6" s="11">
        <v>12.171150000000001</v>
      </c>
      <c r="K6">
        <f t="shared" si="3"/>
        <v>0.26049000000000078</v>
      </c>
      <c r="L6" s="4">
        <f t="shared" si="4"/>
        <v>0.42058602339359857</v>
      </c>
      <c r="N6" s="26"/>
      <c r="O6" s="28"/>
      <c r="P6" s="28"/>
      <c r="Q6" s="28"/>
      <c r="R6" s="28"/>
    </row>
    <row r="7" spans="1:18" x14ac:dyDescent="0.35">
      <c r="A7" t="s">
        <v>0</v>
      </c>
      <c r="B7">
        <v>2</v>
      </c>
      <c r="C7" s="8" t="s">
        <v>92</v>
      </c>
      <c r="D7">
        <v>8.1923899999999996</v>
      </c>
      <c r="E7" s="11">
        <v>10.75808</v>
      </c>
      <c r="F7" s="11">
        <f t="shared" si="0"/>
        <v>2.56569</v>
      </c>
      <c r="G7" s="11">
        <v>10.648809999999999</v>
      </c>
      <c r="H7" s="11">
        <f t="shared" si="1"/>
        <v>2.4564199999999996</v>
      </c>
      <c r="I7" s="10">
        <f t="shared" si="2"/>
        <v>4.2588933191461328E-2</v>
      </c>
      <c r="J7" s="11">
        <v>9.6339799999999993</v>
      </c>
      <c r="K7">
        <f t="shared" si="3"/>
        <v>1.4415899999999997</v>
      </c>
      <c r="L7" s="4">
        <f t="shared" si="4"/>
        <v>0.21689521743024404</v>
      </c>
      <c r="N7" s="26"/>
      <c r="O7" s="27"/>
      <c r="P7" s="27"/>
      <c r="Q7" s="27"/>
      <c r="R7" s="27"/>
    </row>
    <row r="8" spans="1:18" x14ac:dyDescent="0.35">
      <c r="A8" t="s">
        <v>0</v>
      </c>
      <c r="B8">
        <v>2</v>
      </c>
      <c r="C8" s="8" t="s">
        <v>91</v>
      </c>
      <c r="D8">
        <v>12.59727</v>
      </c>
      <c r="E8" s="11">
        <v>14.135160000000001</v>
      </c>
      <c r="F8" s="11">
        <f t="shared" si="0"/>
        <v>1.5378900000000009</v>
      </c>
      <c r="G8" s="11">
        <v>14.04255</v>
      </c>
      <c r="H8" s="11">
        <f t="shared" si="1"/>
        <v>1.4452800000000003</v>
      </c>
      <c r="I8" s="10">
        <f t="shared" si="2"/>
        <v>6.0218871310692229E-2</v>
      </c>
      <c r="J8" s="11">
        <v>13.184200000000001</v>
      </c>
      <c r="K8">
        <f t="shared" si="3"/>
        <v>0.58693000000000062</v>
      </c>
      <c r="L8" s="4">
        <f t="shared" si="4"/>
        <v>0.31179684905347049</v>
      </c>
      <c r="N8" s="26"/>
      <c r="O8" s="28"/>
      <c r="P8" s="28"/>
      <c r="Q8" s="28"/>
      <c r="R8" s="28"/>
    </row>
    <row r="9" spans="1:18" x14ac:dyDescent="0.35">
      <c r="A9" t="s">
        <v>0</v>
      </c>
      <c r="B9">
        <v>2</v>
      </c>
      <c r="C9" s="8" t="s">
        <v>90</v>
      </c>
      <c r="D9">
        <v>10.576790000000001</v>
      </c>
      <c r="E9" s="11">
        <v>11.76637</v>
      </c>
      <c r="F9" s="11">
        <f t="shared" si="0"/>
        <v>1.1895799999999994</v>
      </c>
      <c r="G9" s="11">
        <v>11.67428</v>
      </c>
      <c r="H9" s="11">
        <f t="shared" si="1"/>
        <v>1.0974899999999987</v>
      </c>
      <c r="I9" s="10">
        <f t="shared" si="2"/>
        <v>7.7413877166731718E-2</v>
      </c>
      <c r="J9" s="11">
        <v>10.72404</v>
      </c>
      <c r="K9">
        <f t="shared" si="3"/>
        <v>0.14724999999999966</v>
      </c>
      <c r="L9" s="4">
        <f t="shared" si="4"/>
        <v>0.45456086160238368</v>
      </c>
      <c r="N9" s="26"/>
      <c r="O9" s="26"/>
      <c r="P9" s="27"/>
      <c r="Q9" s="27"/>
      <c r="R9" s="27"/>
    </row>
    <row r="10" spans="1:18" x14ac:dyDescent="0.35">
      <c r="A10" t="s">
        <v>0</v>
      </c>
      <c r="B10">
        <v>3</v>
      </c>
      <c r="C10" s="9" t="s">
        <v>93</v>
      </c>
      <c r="D10">
        <v>12.931369999999999</v>
      </c>
      <c r="E10" s="11">
        <v>17.82404</v>
      </c>
      <c r="F10" s="11">
        <f t="shared" si="0"/>
        <v>4.8926700000000007</v>
      </c>
      <c r="G10" s="11">
        <v>17.722169999999998</v>
      </c>
      <c r="H10" s="11">
        <f t="shared" si="1"/>
        <v>4.7907999999999991</v>
      </c>
      <c r="I10" s="10">
        <f t="shared" si="2"/>
        <v>2.0820942348452207E-2</v>
      </c>
      <c r="J10" s="11">
        <v>17.038409999999999</v>
      </c>
      <c r="K10">
        <f t="shared" si="3"/>
        <v>4.1070399999999996</v>
      </c>
      <c r="L10" s="4">
        <f t="shared" si="4"/>
        <v>7.4929865575686691E-2</v>
      </c>
      <c r="N10" s="26"/>
      <c r="O10" s="26"/>
      <c r="P10" s="28"/>
      <c r="Q10" s="28"/>
      <c r="R10" s="28"/>
    </row>
    <row r="11" spans="1:18" x14ac:dyDescent="0.35">
      <c r="A11" t="s">
        <v>0</v>
      </c>
      <c r="B11">
        <v>3</v>
      </c>
      <c r="C11" s="8" t="s">
        <v>92</v>
      </c>
      <c r="D11">
        <v>10.852180000000001</v>
      </c>
      <c r="E11" s="11">
        <v>13.86801</v>
      </c>
      <c r="F11" s="11">
        <f t="shared" si="0"/>
        <v>3.0158299999999993</v>
      </c>
      <c r="G11" s="11">
        <v>13.809290000000001</v>
      </c>
      <c r="H11" s="11">
        <f t="shared" si="1"/>
        <v>2.9571100000000001</v>
      </c>
      <c r="I11" s="10">
        <f t="shared" si="2"/>
        <v>1.9470593501622845E-2</v>
      </c>
      <c r="J11" s="11">
        <v>13.38476</v>
      </c>
      <c r="K11">
        <f t="shared" si="3"/>
        <v>2.5325799999999994</v>
      </c>
      <c r="L11" s="4">
        <f t="shared" si="4"/>
        <v>7.5370293969450025E-2</v>
      </c>
      <c r="N11" s="26"/>
      <c r="O11" s="26"/>
      <c r="P11" s="26"/>
      <c r="Q11" s="26"/>
      <c r="R11" s="26"/>
    </row>
    <row r="12" spans="1:18" x14ac:dyDescent="0.35">
      <c r="A12" t="s">
        <v>0</v>
      </c>
      <c r="B12">
        <v>3</v>
      </c>
      <c r="C12" s="8" t="s">
        <v>91</v>
      </c>
      <c r="D12">
        <v>12.25911</v>
      </c>
      <c r="E12" s="11">
        <v>15.344060000000001</v>
      </c>
      <c r="F12" s="11">
        <f t="shared" si="0"/>
        <v>3.084950000000001</v>
      </c>
      <c r="G12" s="11">
        <v>15.20228</v>
      </c>
      <c r="H12" s="11">
        <f t="shared" si="1"/>
        <v>2.9431700000000003</v>
      </c>
      <c r="I12" s="10">
        <f t="shared" si="2"/>
        <v>4.5958605487933561E-2</v>
      </c>
      <c r="J12" s="11">
        <v>14.779809999999999</v>
      </c>
      <c r="K12">
        <f t="shared" si="3"/>
        <v>2.5206999999999997</v>
      </c>
      <c r="L12" s="4">
        <f t="shared" si="4"/>
        <v>7.5359816116636252E-2</v>
      </c>
      <c r="N12" s="26"/>
      <c r="O12" s="26"/>
      <c r="P12" s="26"/>
      <c r="Q12" s="26"/>
      <c r="R12" s="26"/>
    </row>
    <row r="13" spans="1:18" x14ac:dyDescent="0.35">
      <c r="A13" t="s">
        <v>0</v>
      </c>
      <c r="B13">
        <v>3</v>
      </c>
      <c r="C13" s="8" t="s">
        <v>90</v>
      </c>
      <c r="D13">
        <v>10.569369999999999</v>
      </c>
      <c r="E13" s="11">
        <v>14.09904</v>
      </c>
      <c r="F13" s="11">
        <f t="shared" si="0"/>
        <v>3.5296700000000012</v>
      </c>
      <c r="G13" s="11">
        <v>14.02951</v>
      </c>
      <c r="H13" s="11">
        <f t="shared" si="1"/>
        <v>3.4601400000000009</v>
      </c>
      <c r="I13" s="10">
        <f t="shared" si="2"/>
        <v>1.9698725376593361E-2</v>
      </c>
      <c r="J13" s="11">
        <v>13.53472</v>
      </c>
      <c r="K13">
        <f t="shared" si="3"/>
        <v>2.9653500000000008</v>
      </c>
      <c r="L13" s="4">
        <f t="shared" si="4"/>
        <v>7.5073479685793046E-2</v>
      </c>
      <c r="N13" s="26"/>
      <c r="O13" s="26"/>
      <c r="P13" s="26"/>
      <c r="Q13" s="26"/>
      <c r="R13" s="26"/>
    </row>
    <row r="14" spans="1:18" x14ac:dyDescent="0.35">
      <c r="A14" t="s">
        <v>0</v>
      </c>
      <c r="B14">
        <v>4</v>
      </c>
      <c r="C14" s="9" t="s">
        <v>93</v>
      </c>
      <c r="D14">
        <v>12.517749999999999</v>
      </c>
      <c r="E14" s="11">
        <v>16.895</v>
      </c>
      <c r="F14" s="11">
        <f t="shared" si="0"/>
        <v>4.3772500000000001</v>
      </c>
      <c r="G14" s="11">
        <v>16.835519999999999</v>
      </c>
      <c r="H14" s="11">
        <f t="shared" si="1"/>
        <v>4.3177699999999994</v>
      </c>
      <c r="I14" s="10">
        <f t="shared" si="2"/>
        <v>1.3588440230738625E-2</v>
      </c>
      <c r="J14" s="11">
        <v>16.65089</v>
      </c>
      <c r="K14">
        <f t="shared" si="3"/>
        <v>4.1331400000000009</v>
      </c>
      <c r="L14" s="4">
        <f t="shared" si="4"/>
        <v>2.2449262003302453E-2</v>
      </c>
      <c r="N14" s="26"/>
      <c r="O14" s="27"/>
      <c r="P14" s="27"/>
      <c r="Q14" s="27"/>
      <c r="R14" s="27"/>
    </row>
    <row r="15" spans="1:18" x14ac:dyDescent="0.35">
      <c r="A15" t="s">
        <v>0</v>
      </c>
      <c r="B15">
        <v>4</v>
      </c>
      <c r="C15" s="8" t="s">
        <v>92</v>
      </c>
      <c r="D15" s="12">
        <v>12.8399</v>
      </c>
      <c r="E15" s="11">
        <v>16.205570000000002</v>
      </c>
      <c r="F15" s="11">
        <f t="shared" si="0"/>
        <v>3.3656700000000015</v>
      </c>
      <c r="G15" s="11">
        <v>16.163830000000001</v>
      </c>
      <c r="H15" s="11">
        <f t="shared" si="1"/>
        <v>3.3239300000000007</v>
      </c>
      <c r="I15" s="10">
        <f t="shared" si="2"/>
        <v>1.2401691193729854E-2</v>
      </c>
      <c r="J15" s="11">
        <v>16.06176</v>
      </c>
      <c r="K15">
        <f t="shared" si="3"/>
        <v>3.2218599999999995</v>
      </c>
      <c r="L15" s="4">
        <f t="shared" si="4"/>
        <v>1.6121503762113108E-2</v>
      </c>
      <c r="N15" s="26"/>
      <c r="O15" s="27"/>
      <c r="P15" s="27"/>
      <c r="Q15" s="27"/>
      <c r="R15" s="27"/>
    </row>
    <row r="16" spans="1:18" x14ac:dyDescent="0.35">
      <c r="A16" t="s">
        <v>0</v>
      </c>
      <c r="B16">
        <v>4</v>
      </c>
      <c r="C16" s="8" t="s">
        <v>91</v>
      </c>
      <c r="D16" s="12">
        <v>12.27595</v>
      </c>
      <c r="E16" s="11">
        <v>15.366479999999999</v>
      </c>
      <c r="F16" s="11">
        <f t="shared" si="0"/>
        <v>3.0905299999999993</v>
      </c>
      <c r="G16" s="11">
        <v>15.32061</v>
      </c>
      <c r="H16" s="11">
        <f t="shared" si="1"/>
        <v>3.0446600000000004</v>
      </c>
      <c r="I16" s="10">
        <f t="shared" si="2"/>
        <v>1.4842114459331887E-2</v>
      </c>
      <c r="J16" s="11">
        <v>15.143520000000001</v>
      </c>
      <c r="K16">
        <f t="shared" si="3"/>
        <v>2.8675700000000006</v>
      </c>
      <c r="L16" s="4">
        <f t="shared" si="4"/>
        <v>3.0536168242102521E-2</v>
      </c>
      <c r="N16" s="26"/>
      <c r="O16" s="27"/>
      <c r="P16" s="27"/>
      <c r="Q16" s="27"/>
      <c r="R16" s="27"/>
    </row>
    <row r="17" spans="1:18" x14ac:dyDescent="0.35">
      <c r="A17" t="s">
        <v>0</v>
      </c>
      <c r="B17">
        <v>4</v>
      </c>
      <c r="C17" s="8" t="s">
        <v>90</v>
      </c>
      <c r="D17" s="12">
        <v>13.078060000000001</v>
      </c>
      <c r="E17">
        <v>15.10901</v>
      </c>
      <c r="F17" s="11">
        <f t="shared" si="0"/>
        <v>2.0309499999999989</v>
      </c>
      <c r="G17" s="11">
        <v>15.084479999999999</v>
      </c>
      <c r="H17" s="11">
        <f t="shared" si="1"/>
        <v>2.0064199999999985</v>
      </c>
      <c r="I17" s="10">
        <f t="shared" si="2"/>
        <v>1.2078091533518992E-2</v>
      </c>
      <c r="J17" s="11">
        <v>14.970649999999999</v>
      </c>
      <c r="K17">
        <f t="shared" si="3"/>
        <v>1.8925899999999984</v>
      </c>
      <c r="L17" s="4">
        <f t="shared" si="4"/>
        <v>2.9784765901456373E-2</v>
      </c>
      <c r="N17" s="26"/>
      <c r="O17" s="27"/>
      <c r="P17" s="27"/>
      <c r="Q17" s="27"/>
      <c r="R17" s="27"/>
    </row>
    <row r="18" spans="1:18" x14ac:dyDescent="0.35">
      <c r="A18" t="s">
        <v>11</v>
      </c>
      <c r="B18">
        <v>1</v>
      </c>
      <c r="C18" s="9" t="s">
        <v>93</v>
      </c>
      <c r="D18" s="12">
        <v>11.846159999999999</v>
      </c>
      <c r="E18" s="11">
        <v>12.36598</v>
      </c>
      <c r="F18" s="11">
        <f t="shared" si="0"/>
        <v>0.51982000000000106</v>
      </c>
      <c r="G18" s="11">
        <v>12.323869999999999</v>
      </c>
      <c r="H18" s="11">
        <f t="shared" si="1"/>
        <v>0.47771000000000008</v>
      </c>
      <c r="I18" s="10">
        <f t="shared" si="2"/>
        <v>8.1008810742181706E-2</v>
      </c>
      <c r="J18" s="11">
        <v>11.88579</v>
      </c>
      <c r="K18">
        <f t="shared" si="3"/>
        <v>3.963000000000072E-2</v>
      </c>
      <c r="L18" s="4">
        <f t="shared" si="4"/>
        <v>0.48144690293274084</v>
      </c>
      <c r="N18" s="26"/>
      <c r="O18" s="27"/>
      <c r="P18" s="27"/>
      <c r="Q18" s="27"/>
      <c r="R18" s="27"/>
    </row>
    <row r="19" spans="1:18" x14ac:dyDescent="0.35">
      <c r="A19" t="s">
        <v>11</v>
      </c>
      <c r="B19">
        <v>1</v>
      </c>
      <c r="C19" s="8" t="s">
        <v>92</v>
      </c>
      <c r="D19" s="12">
        <v>11.29461</v>
      </c>
      <c r="E19" s="11">
        <v>14.108930000000001</v>
      </c>
      <c r="F19" s="11">
        <f t="shared" si="0"/>
        <v>2.8143200000000004</v>
      </c>
      <c r="G19" s="11">
        <v>14.062709999999999</v>
      </c>
      <c r="H19" s="11">
        <f t="shared" si="1"/>
        <v>2.7680999999999987</v>
      </c>
      <c r="I19" s="10">
        <f t="shared" si="2"/>
        <v>1.6423150174820808E-2</v>
      </c>
      <c r="J19" s="11">
        <v>13.77323</v>
      </c>
      <c r="K19">
        <f t="shared" si="3"/>
        <v>2.4786199999999994</v>
      </c>
      <c r="L19" s="4">
        <f t="shared" si="4"/>
        <v>5.4903002059174061E-2</v>
      </c>
      <c r="N19" s="26"/>
      <c r="O19" s="27"/>
      <c r="P19" s="27"/>
      <c r="Q19" s="27"/>
      <c r="R19" s="27"/>
    </row>
    <row r="20" spans="1:18" x14ac:dyDescent="0.35">
      <c r="A20" t="s">
        <v>11</v>
      </c>
      <c r="B20">
        <v>1</v>
      </c>
      <c r="C20" s="8" t="s">
        <v>91</v>
      </c>
      <c r="D20" s="12">
        <v>14.163790000000001</v>
      </c>
      <c r="E20" s="11">
        <v>14.643219999999999</v>
      </c>
      <c r="F20" s="11">
        <f t="shared" si="0"/>
        <v>0.47942999999999891</v>
      </c>
      <c r="G20" s="11">
        <v>14.61228</v>
      </c>
      <c r="H20" s="11">
        <f t="shared" si="1"/>
        <v>0.44848999999999961</v>
      </c>
      <c r="I20" s="10">
        <f t="shared" si="2"/>
        <v>6.4534968608554677E-2</v>
      </c>
      <c r="J20" s="11">
        <v>14.27233</v>
      </c>
      <c r="K20">
        <f t="shared" si="3"/>
        <v>0.10853999999999964</v>
      </c>
      <c r="L20" s="4">
        <f t="shared" si="4"/>
        <v>0.39794365537693177</v>
      </c>
      <c r="N20" s="26"/>
      <c r="O20" s="27"/>
      <c r="P20" s="27"/>
      <c r="Q20" s="27"/>
      <c r="R20" s="27"/>
    </row>
    <row r="21" spans="1:18" x14ac:dyDescent="0.35">
      <c r="A21" t="s">
        <v>11</v>
      </c>
      <c r="B21">
        <v>1</v>
      </c>
      <c r="C21" s="8" t="s">
        <v>90</v>
      </c>
      <c r="D21" s="12">
        <v>11.54125</v>
      </c>
      <c r="E21" s="11">
        <v>12.10904</v>
      </c>
      <c r="F21" s="11">
        <f t="shared" si="0"/>
        <v>0.56779000000000046</v>
      </c>
      <c r="G21" s="11">
        <v>12.068009999999999</v>
      </c>
      <c r="H21" s="11">
        <f t="shared" si="1"/>
        <v>0.52675999999999945</v>
      </c>
      <c r="I21" s="10">
        <f t="shared" si="2"/>
        <v>7.2262632311243552E-2</v>
      </c>
      <c r="J21" s="11">
        <v>11.643840000000001</v>
      </c>
      <c r="K21">
        <f t="shared" si="3"/>
        <v>0.10259000000000107</v>
      </c>
      <c r="L21" s="4">
        <f t="shared" si="4"/>
        <v>0.42275277166071717</v>
      </c>
      <c r="N21" s="26"/>
      <c r="O21" s="27"/>
      <c r="P21" s="27"/>
      <c r="Q21" s="27"/>
      <c r="R21" s="27"/>
    </row>
    <row r="22" spans="1:18" x14ac:dyDescent="0.35">
      <c r="A22" t="s">
        <v>11</v>
      </c>
      <c r="B22">
        <v>2</v>
      </c>
      <c r="C22" s="9" t="s">
        <v>93</v>
      </c>
      <c r="D22" s="12">
        <v>12.270519999999999</v>
      </c>
      <c r="E22" s="11">
        <v>12.98915</v>
      </c>
      <c r="F22" s="11">
        <f t="shared" si="0"/>
        <v>0.71863000000000099</v>
      </c>
      <c r="G22" s="11">
        <v>12.93487</v>
      </c>
      <c r="H22" s="11">
        <f t="shared" si="1"/>
        <v>0.66435000000000066</v>
      </c>
      <c r="I22" s="10">
        <f t="shared" si="2"/>
        <v>7.5532610661954352E-2</v>
      </c>
      <c r="J22" s="11">
        <v>12.33192</v>
      </c>
      <c r="K22">
        <f t="shared" si="3"/>
        <v>6.1400000000000787E-2</v>
      </c>
      <c r="L22" s="4">
        <f t="shared" si="4"/>
        <v>0.47647888913976011</v>
      </c>
    </row>
    <row r="23" spans="1:18" x14ac:dyDescent="0.35">
      <c r="A23" t="s">
        <v>11</v>
      </c>
      <c r="B23">
        <v>2</v>
      </c>
      <c r="C23" s="8" t="s">
        <v>92</v>
      </c>
      <c r="D23" s="12">
        <v>12.562889999999999</v>
      </c>
      <c r="E23" s="11">
        <v>14.02678</v>
      </c>
      <c r="F23" s="11">
        <f t="shared" si="0"/>
        <v>1.463890000000001</v>
      </c>
      <c r="G23" s="11">
        <v>13.91878</v>
      </c>
      <c r="H23" s="11">
        <f t="shared" si="1"/>
        <v>1.3558900000000005</v>
      </c>
      <c r="I23" s="10">
        <f t="shared" si="2"/>
        <v>7.3776035084603675E-2</v>
      </c>
      <c r="J23" s="11">
        <v>12.722020000000001</v>
      </c>
      <c r="K23">
        <f t="shared" si="3"/>
        <v>0.1591300000000011</v>
      </c>
      <c r="L23" s="4">
        <f t="shared" si="4"/>
        <v>0.46338493535611258</v>
      </c>
    </row>
    <row r="24" spans="1:18" x14ac:dyDescent="0.35">
      <c r="A24" t="s">
        <v>11</v>
      </c>
      <c r="B24">
        <v>2</v>
      </c>
      <c r="C24" s="8" t="s">
        <v>91</v>
      </c>
      <c r="D24" s="12">
        <v>12.57944</v>
      </c>
      <c r="E24" s="11">
        <v>13.148149999999999</v>
      </c>
      <c r="F24" s="11">
        <f t="shared" si="0"/>
        <v>0.56870999999999938</v>
      </c>
      <c r="G24" s="11">
        <v>13.101509999999999</v>
      </c>
      <c r="H24" s="11">
        <f t="shared" si="1"/>
        <v>0.52206999999999937</v>
      </c>
      <c r="I24" s="10">
        <f t="shared" si="2"/>
        <v>8.2010163352147961E-2</v>
      </c>
      <c r="J24" s="11">
        <v>12.66534</v>
      </c>
      <c r="K24">
        <f t="shared" si="3"/>
        <v>8.5900000000000531E-2</v>
      </c>
      <c r="L24" s="4">
        <f t="shared" si="4"/>
        <v>0.43861790564483627</v>
      </c>
    </row>
    <row r="25" spans="1:18" x14ac:dyDescent="0.35">
      <c r="A25" t="s">
        <v>11</v>
      </c>
      <c r="B25">
        <v>2</v>
      </c>
      <c r="C25" s="8" t="s">
        <v>90</v>
      </c>
      <c r="D25" s="12">
        <v>11.29217</v>
      </c>
      <c r="E25" s="11">
        <v>13.453110000000001</v>
      </c>
      <c r="F25" s="11">
        <f t="shared" si="0"/>
        <v>2.1609400000000001</v>
      </c>
      <c r="G25" s="11">
        <v>13.24643</v>
      </c>
      <c r="H25" s="11">
        <f t="shared" si="1"/>
        <v>1.9542599999999997</v>
      </c>
      <c r="I25" s="10">
        <f t="shared" si="2"/>
        <v>9.5643562523716724E-2</v>
      </c>
      <c r="J25" s="11">
        <v>12.66779</v>
      </c>
      <c r="K25">
        <f t="shared" si="3"/>
        <v>1.3756199999999996</v>
      </c>
      <c r="L25" s="4">
        <f t="shared" si="4"/>
        <v>0.15544809800128953</v>
      </c>
    </row>
    <row r="26" spans="1:18" x14ac:dyDescent="0.35">
      <c r="A26" t="s">
        <v>11</v>
      </c>
      <c r="B26">
        <v>3</v>
      </c>
      <c r="C26" s="9" t="s">
        <v>93</v>
      </c>
      <c r="D26" s="12">
        <v>11.895619999999999</v>
      </c>
      <c r="E26" s="11">
        <v>14.544079999999999</v>
      </c>
      <c r="F26" s="11">
        <f t="shared" si="0"/>
        <v>2.64846</v>
      </c>
      <c r="G26" s="11">
        <v>14.02966</v>
      </c>
      <c r="H26" s="11">
        <f t="shared" si="1"/>
        <v>2.1340400000000006</v>
      </c>
      <c r="I26" s="10">
        <f t="shared" si="2"/>
        <v>0.1942336301095729</v>
      </c>
      <c r="J26" s="11">
        <v>13.023619999999999</v>
      </c>
      <c r="K26">
        <f t="shared" si="3"/>
        <v>1.1280000000000001</v>
      </c>
      <c r="L26" s="4">
        <f t="shared" si="4"/>
        <v>0.24749817248036596</v>
      </c>
    </row>
    <row r="27" spans="1:18" x14ac:dyDescent="0.35">
      <c r="A27" t="s">
        <v>11</v>
      </c>
      <c r="B27">
        <v>3</v>
      </c>
      <c r="C27" s="8" t="s">
        <v>92</v>
      </c>
      <c r="D27" s="12">
        <v>12.82607</v>
      </c>
      <c r="E27" s="11">
        <v>14.86795</v>
      </c>
      <c r="F27" s="11">
        <f t="shared" si="0"/>
        <v>2.0418800000000008</v>
      </c>
      <c r="G27" s="11">
        <v>14.62153</v>
      </c>
      <c r="H27" s="11">
        <f t="shared" si="1"/>
        <v>1.7954600000000003</v>
      </c>
      <c r="I27" s="10">
        <f t="shared" si="2"/>
        <v>0.12068290007248243</v>
      </c>
      <c r="J27" s="11">
        <v>13.44786</v>
      </c>
      <c r="K27">
        <f t="shared" si="3"/>
        <v>0.62179000000000073</v>
      </c>
      <c r="L27" s="4">
        <f t="shared" si="4"/>
        <v>0.34318600804250704</v>
      </c>
    </row>
    <row r="28" spans="1:18" x14ac:dyDescent="0.35">
      <c r="A28" t="s">
        <v>11</v>
      </c>
      <c r="B28">
        <v>3</v>
      </c>
      <c r="C28" s="8" t="s">
        <v>91</v>
      </c>
      <c r="D28" s="12">
        <v>11.60299</v>
      </c>
      <c r="E28" s="11">
        <v>14.054539999999999</v>
      </c>
      <c r="F28" s="11">
        <f t="shared" si="0"/>
        <v>2.4515499999999992</v>
      </c>
      <c r="G28" s="11">
        <v>13.71449</v>
      </c>
      <c r="H28" s="11">
        <f t="shared" si="1"/>
        <v>2.1114999999999995</v>
      </c>
      <c r="I28" s="10">
        <f t="shared" si="2"/>
        <v>0.1387081642226346</v>
      </c>
      <c r="J28" s="11">
        <v>12.548389999999999</v>
      </c>
      <c r="K28">
        <f t="shared" si="3"/>
        <v>0.94539999999999935</v>
      </c>
      <c r="L28" s="4">
        <f t="shared" si="4"/>
        <v>0.28993724840161034</v>
      </c>
    </row>
    <row r="29" spans="1:18" x14ac:dyDescent="0.35">
      <c r="A29" t="s">
        <v>11</v>
      </c>
      <c r="B29">
        <v>3</v>
      </c>
      <c r="C29" s="8" t="s">
        <v>90</v>
      </c>
      <c r="D29" s="12">
        <v>12.52439</v>
      </c>
      <c r="E29" s="11">
        <v>16.24418</v>
      </c>
      <c r="F29" s="11">
        <f t="shared" si="0"/>
        <v>3.7197899999999997</v>
      </c>
      <c r="G29" s="11">
        <v>15.99471</v>
      </c>
      <c r="H29" s="11">
        <f t="shared" si="1"/>
        <v>3.4703199999999992</v>
      </c>
      <c r="I29" s="10">
        <f t="shared" si="2"/>
        <v>6.7065613919065473E-2</v>
      </c>
      <c r="J29" s="11">
        <v>15.79128</v>
      </c>
      <c r="K29">
        <f t="shared" si="3"/>
        <v>3.2668900000000001</v>
      </c>
      <c r="L29" s="4">
        <f t="shared" si="4"/>
        <v>3.0775476036791871E-2</v>
      </c>
    </row>
    <row r="30" spans="1:18" x14ac:dyDescent="0.35">
      <c r="A30" t="s">
        <v>11</v>
      </c>
      <c r="B30">
        <v>4</v>
      </c>
      <c r="C30" s="9" t="s">
        <v>93</v>
      </c>
      <c r="D30" s="12">
        <v>11.45524</v>
      </c>
      <c r="E30" s="11">
        <v>15.3409</v>
      </c>
      <c r="F30" s="11">
        <f t="shared" si="0"/>
        <v>3.8856599999999997</v>
      </c>
      <c r="G30" s="11">
        <v>15.27913</v>
      </c>
      <c r="H30" s="11">
        <f t="shared" si="1"/>
        <v>3.8238900000000005</v>
      </c>
      <c r="I30" s="10">
        <f t="shared" si="2"/>
        <v>1.5896913265699836E-2</v>
      </c>
      <c r="J30" s="11">
        <v>14.97193</v>
      </c>
      <c r="K30">
        <f t="shared" si="3"/>
        <v>3.5166900000000005</v>
      </c>
      <c r="L30" s="4">
        <f t="shared" si="4"/>
        <v>4.2176945466527525E-2</v>
      </c>
    </row>
    <row r="31" spans="1:18" x14ac:dyDescent="0.35">
      <c r="A31" t="s">
        <v>11</v>
      </c>
      <c r="B31">
        <v>4</v>
      </c>
      <c r="C31" s="8" t="s">
        <v>92</v>
      </c>
      <c r="D31" s="12">
        <v>11.854469999999999</v>
      </c>
      <c r="E31" s="11">
        <v>15.261049999999999</v>
      </c>
      <c r="F31" s="11">
        <f t="shared" si="0"/>
        <v>3.4065799999999999</v>
      </c>
      <c r="G31" s="11">
        <v>15.192159999999999</v>
      </c>
      <c r="H31" s="11">
        <f t="shared" si="1"/>
        <v>3.3376900000000003</v>
      </c>
      <c r="I31" s="10">
        <f t="shared" si="2"/>
        <v>2.0222627972922895E-2</v>
      </c>
      <c r="J31" s="11">
        <v>14.832269999999999</v>
      </c>
      <c r="K31">
        <f t="shared" si="3"/>
        <v>2.9778000000000002</v>
      </c>
      <c r="L31" s="4">
        <f t="shared" si="4"/>
        <v>5.6608687445508725E-2</v>
      </c>
    </row>
    <row r="32" spans="1:18" x14ac:dyDescent="0.35">
      <c r="A32" t="s">
        <v>11</v>
      </c>
      <c r="B32">
        <v>4</v>
      </c>
      <c r="C32" s="8" t="s">
        <v>91</v>
      </c>
      <c r="D32" s="12">
        <v>12.90146</v>
      </c>
      <c r="E32" s="11">
        <v>17.42435</v>
      </c>
      <c r="F32" s="11">
        <f t="shared" si="0"/>
        <v>4.5228900000000003</v>
      </c>
      <c r="G32" s="11">
        <v>17.356480000000001</v>
      </c>
      <c r="H32" s="11">
        <f t="shared" si="1"/>
        <v>4.4550200000000011</v>
      </c>
      <c r="I32" s="10">
        <f t="shared" si="2"/>
        <v>1.5005892250308808E-2</v>
      </c>
      <c r="J32" s="11">
        <v>17.12764</v>
      </c>
      <c r="K32">
        <f t="shared" si="3"/>
        <v>4.2261799999999994</v>
      </c>
      <c r="L32" s="4">
        <f t="shared" si="4"/>
        <v>2.6967555701209168E-2</v>
      </c>
    </row>
    <row r="33" spans="1:12" x14ac:dyDescent="0.35">
      <c r="A33" t="s">
        <v>11</v>
      </c>
      <c r="B33">
        <v>4</v>
      </c>
      <c r="C33" s="8" t="s">
        <v>90</v>
      </c>
      <c r="D33" s="12">
        <v>12.21068</v>
      </c>
      <c r="E33" s="11">
        <v>15.634819999999999</v>
      </c>
      <c r="F33" s="11">
        <f t="shared" si="0"/>
        <v>3.4241399999999995</v>
      </c>
      <c r="G33" s="11">
        <v>15.586499999999999</v>
      </c>
      <c r="H33" s="11">
        <f t="shared" si="1"/>
        <v>3.3758199999999992</v>
      </c>
      <c r="I33" s="10">
        <f t="shared" si="2"/>
        <v>1.4111572540842479E-2</v>
      </c>
      <c r="J33" s="11">
        <v>15.514379999999999</v>
      </c>
      <c r="K33">
        <f t="shared" si="3"/>
        <v>3.3036999999999992</v>
      </c>
      <c r="L33" s="4">
        <f t="shared" si="4"/>
        <v>1.1215941608261101E-2</v>
      </c>
    </row>
    <row r="34" spans="1:12" x14ac:dyDescent="0.35">
      <c r="A34" t="s">
        <v>12</v>
      </c>
      <c r="B34">
        <v>1</v>
      </c>
      <c r="C34" s="9" t="s">
        <v>93</v>
      </c>
      <c r="D34" s="12">
        <v>12.027990000000001</v>
      </c>
      <c r="E34" s="11">
        <v>12.639810000000001</v>
      </c>
      <c r="F34" s="11">
        <f t="shared" ref="F34:F65" si="5">E34-D34</f>
        <v>0.61181999999999981</v>
      </c>
      <c r="G34" s="11">
        <v>12.50625</v>
      </c>
      <c r="H34" s="11">
        <f t="shared" ref="H34:H65" si="6">G34-D34</f>
        <v>0.4782599999999988</v>
      </c>
      <c r="I34" s="10">
        <f t="shared" ref="I34:I65" si="7">(F34-H34)/F34</f>
        <v>0.21829949985289962</v>
      </c>
      <c r="J34" s="11">
        <v>12.148569999999999</v>
      </c>
      <c r="K34">
        <f t="shared" ref="K34:K65" si="8">J34-D34</f>
        <v>0.12057999999999858</v>
      </c>
      <c r="L34" s="4">
        <f t="shared" si="4"/>
        <v>0.39263580479237359</v>
      </c>
    </row>
    <row r="35" spans="1:12" x14ac:dyDescent="0.35">
      <c r="A35" t="s">
        <v>12</v>
      </c>
      <c r="B35">
        <v>1</v>
      </c>
      <c r="C35" s="8" t="s">
        <v>92</v>
      </c>
      <c r="D35" s="12">
        <v>12.70116</v>
      </c>
      <c r="E35" s="11">
        <v>13.400309999999999</v>
      </c>
      <c r="F35" s="11">
        <f t="shared" si="5"/>
        <v>0.69914999999999949</v>
      </c>
      <c r="G35" s="11">
        <v>13.339510000000001</v>
      </c>
      <c r="H35" s="11">
        <f t="shared" si="6"/>
        <v>0.63835000000000086</v>
      </c>
      <c r="I35" s="10">
        <f t="shared" si="7"/>
        <v>8.6962740470569511E-2</v>
      </c>
      <c r="J35" s="11">
        <v>12.874969999999999</v>
      </c>
      <c r="K35">
        <f t="shared" si="8"/>
        <v>0.17380999999999958</v>
      </c>
      <c r="L35" s="4">
        <f t="shared" si="4"/>
        <v>0.38205294900916481</v>
      </c>
    </row>
    <row r="36" spans="1:12" x14ac:dyDescent="0.35">
      <c r="A36" t="s">
        <v>12</v>
      </c>
      <c r="B36">
        <v>1</v>
      </c>
      <c r="C36" s="8" t="s">
        <v>91</v>
      </c>
      <c r="D36" s="12">
        <v>11.052849999999999</v>
      </c>
      <c r="E36" s="11">
        <v>11.796709999999999</v>
      </c>
      <c r="F36" s="11">
        <f t="shared" si="5"/>
        <v>0.74385999999999974</v>
      </c>
      <c r="G36" s="11">
        <v>11.43178</v>
      </c>
      <c r="H36" s="11">
        <f t="shared" si="6"/>
        <v>0.37893000000000043</v>
      </c>
      <c r="I36" s="10">
        <f t="shared" si="7"/>
        <v>0.4905896270803638</v>
      </c>
      <c r="J36" s="11">
        <v>11.160220000000001</v>
      </c>
      <c r="K36">
        <f t="shared" si="8"/>
        <v>0.1073700000000013</v>
      </c>
      <c r="L36" s="4">
        <f t="shared" si="4"/>
        <v>0.3762409943789074</v>
      </c>
    </row>
    <row r="37" spans="1:12" x14ac:dyDescent="0.35">
      <c r="A37" t="s">
        <v>12</v>
      </c>
      <c r="B37">
        <v>1</v>
      </c>
      <c r="C37" s="8" t="s">
        <v>90</v>
      </c>
      <c r="D37">
        <v>9.7409400000000002</v>
      </c>
      <c r="E37" s="11">
        <v>9.8850599999999993</v>
      </c>
      <c r="F37" s="11">
        <f t="shared" si="5"/>
        <v>0.14411999999999914</v>
      </c>
      <c r="G37" s="11">
        <v>9.86754</v>
      </c>
      <c r="H37" s="11">
        <f t="shared" si="6"/>
        <v>0.12659999999999982</v>
      </c>
      <c r="I37" s="10">
        <f t="shared" si="7"/>
        <v>0.12156536219816416</v>
      </c>
      <c r="J37" s="11">
        <v>9.7731200000000005</v>
      </c>
      <c r="K37">
        <f t="shared" si="8"/>
        <v>3.2180000000000319E-2</v>
      </c>
      <c r="L37" s="4">
        <f t="shared" si="4"/>
        <v>0.39155213270142031</v>
      </c>
    </row>
    <row r="38" spans="1:12" x14ac:dyDescent="0.35">
      <c r="A38" t="s">
        <v>12</v>
      </c>
      <c r="B38">
        <v>2</v>
      </c>
      <c r="C38" s="9" t="s">
        <v>93</v>
      </c>
      <c r="D38" s="12">
        <v>10.19171</v>
      </c>
      <c r="E38" s="11">
        <v>10.89864</v>
      </c>
      <c r="F38" s="11">
        <f t="shared" si="5"/>
        <v>0.70692999999999984</v>
      </c>
      <c r="G38" s="11">
        <v>10.84441</v>
      </c>
      <c r="H38" s="11">
        <f t="shared" si="6"/>
        <v>0.65269999999999939</v>
      </c>
      <c r="I38" s="10">
        <f t="shared" si="7"/>
        <v>7.6711979969728908E-2</v>
      </c>
      <c r="J38" s="11">
        <v>10.400460000000001</v>
      </c>
      <c r="K38">
        <f t="shared" si="8"/>
        <v>0.20875000000000021</v>
      </c>
      <c r="L38" s="4">
        <f t="shared" si="4"/>
        <v>0.3570916960318673</v>
      </c>
    </row>
    <row r="39" spans="1:12" x14ac:dyDescent="0.35">
      <c r="A39" s="14" t="s">
        <v>12</v>
      </c>
      <c r="B39" s="14">
        <v>2</v>
      </c>
      <c r="C39" s="18" t="s">
        <v>92</v>
      </c>
      <c r="D39" s="17">
        <v>14.079140000000001</v>
      </c>
      <c r="E39" s="16">
        <v>15.25385</v>
      </c>
      <c r="F39" s="16">
        <f t="shared" si="5"/>
        <v>1.1747099999999993</v>
      </c>
      <c r="G39" s="16">
        <v>15.132849999999999</v>
      </c>
      <c r="H39" s="16">
        <f t="shared" si="6"/>
        <v>1.0537099999999988</v>
      </c>
      <c r="I39" s="15">
        <f t="shared" si="7"/>
        <v>0.10300414570404655</v>
      </c>
      <c r="J39" s="16">
        <v>11.327450000000001</v>
      </c>
      <c r="K39" s="14">
        <f t="shared" si="8"/>
        <v>-2.75169</v>
      </c>
      <c r="L39" s="13"/>
    </row>
    <row r="40" spans="1:12" x14ac:dyDescent="0.35">
      <c r="A40" t="s">
        <v>12</v>
      </c>
      <c r="B40">
        <v>2</v>
      </c>
      <c r="C40" s="8" t="s">
        <v>91</v>
      </c>
      <c r="D40" s="12">
        <v>10.230980000000001</v>
      </c>
      <c r="E40" s="11">
        <v>10.72627</v>
      </c>
      <c r="F40" s="11">
        <f t="shared" si="5"/>
        <v>0.4952899999999989</v>
      </c>
      <c r="G40" s="11">
        <v>10.6807</v>
      </c>
      <c r="H40" s="11">
        <f t="shared" si="6"/>
        <v>0.44971999999999923</v>
      </c>
      <c r="I40" s="10">
        <f t="shared" si="7"/>
        <v>9.2006703143612367E-2</v>
      </c>
      <c r="J40" s="11">
        <v>10.30287</v>
      </c>
      <c r="K40">
        <f t="shared" si="8"/>
        <v>7.1889999999999787E-2</v>
      </c>
      <c r="L40" s="4">
        <f t="shared" ref="L40:L71" si="9">((H40-K40)/H40)*0.525</f>
        <v>0.44107611402650554</v>
      </c>
    </row>
    <row r="41" spans="1:12" x14ac:dyDescent="0.35">
      <c r="A41" t="s">
        <v>12</v>
      </c>
      <c r="B41">
        <v>2</v>
      </c>
      <c r="C41" s="8" t="s">
        <v>90</v>
      </c>
      <c r="D41" s="12">
        <v>15.32212</v>
      </c>
      <c r="E41" s="11">
        <v>15.595039999999999</v>
      </c>
      <c r="F41" s="11">
        <f t="shared" si="5"/>
        <v>0.27291999999999916</v>
      </c>
      <c r="G41" s="11">
        <v>15.57052</v>
      </c>
      <c r="H41" s="11">
        <f t="shared" si="6"/>
        <v>0.24840000000000018</v>
      </c>
      <c r="I41" s="10">
        <f t="shared" si="7"/>
        <v>8.9843177487905115E-2</v>
      </c>
      <c r="J41" s="11">
        <v>15.36726</v>
      </c>
      <c r="K41">
        <f t="shared" si="8"/>
        <v>4.5139999999999958E-2</v>
      </c>
      <c r="L41" s="4">
        <f t="shared" si="9"/>
        <v>0.42959541062801954</v>
      </c>
    </row>
    <row r="42" spans="1:12" x14ac:dyDescent="0.35">
      <c r="A42" t="s">
        <v>12</v>
      </c>
      <c r="B42">
        <v>3</v>
      </c>
      <c r="C42" s="9" t="s">
        <v>93</v>
      </c>
      <c r="D42" s="12">
        <v>10.5877</v>
      </c>
      <c r="E42" s="11">
        <v>12.634370000000001</v>
      </c>
      <c r="F42" s="11">
        <f t="shared" si="5"/>
        <v>2.0466700000000007</v>
      </c>
      <c r="G42" s="11">
        <v>12.572559999999999</v>
      </c>
      <c r="H42" s="11">
        <f t="shared" si="6"/>
        <v>1.9848599999999994</v>
      </c>
      <c r="I42" s="10">
        <f t="shared" si="7"/>
        <v>3.0200276546781472E-2</v>
      </c>
      <c r="J42" s="11">
        <v>12.252840000000001</v>
      </c>
      <c r="K42">
        <f t="shared" si="8"/>
        <v>1.665140000000001</v>
      </c>
      <c r="L42" s="4">
        <f t="shared" si="9"/>
        <v>8.4566669689549512E-2</v>
      </c>
    </row>
    <row r="43" spans="1:12" x14ac:dyDescent="0.35">
      <c r="A43" t="s">
        <v>12</v>
      </c>
      <c r="B43">
        <v>3</v>
      </c>
      <c r="C43" s="8" t="s">
        <v>92</v>
      </c>
      <c r="D43" s="12">
        <v>11.652659999999999</v>
      </c>
      <c r="E43" s="11">
        <v>14.37527</v>
      </c>
      <c r="F43" s="11">
        <f t="shared" si="5"/>
        <v>2.7226100000000013</v>
      </c>
      <c r="G43" s="11">
        <v>14.292009999999999</v>
      </c>
      <c r="H43" s="11">
        <f t="shared" si="6"/>
        <v>2.6393500000000003</v>
      </c>
      <c r="I43" s="10">
        <f t="shared" si="7"/>
        <v>3.0580949897341506E-2</v>
      </c>
      <c r="J43" s="11">
        <v>13.897539999999999</v>
      </c>
      <c r="K43">
        <f t="shared" si="8"/>
        <v>2.2448800000000002</v>
      </c>
      <c r="L43" s="4">
        <f t="shared" si="9"/>
        <v>7.8465057684657211E-2</v>
      </c>
    </row>
    <row r="44" spans="1:12" x14ac:dyDescent="0.35">
      <c r="A44" t="s">
        <v>12</v>
      </c>
      <c r="B44">
        <v>3</v>
      </c>
      <c r="C44" s="8" t="s">
        <v>91</v>
      </c>
      <c r="D44" s="12">
        <v>9.24282</v>
      </c>
      <c r="E44" s="11">
        <v>11.50159</v>
      </c>
      <c r="F44" s="11">
        <f t="shared" si="5"/>
        <v>2.2587700000000002</v>
      </c>
      <c r="G44" s="11">
        <v>11.43821</v>
      </c>
      <c r="H44" s="11">
        <f t="shared" si="6"/>
        <v>2.1953899999999997</v>
      </c>
      <c r="I44" s="10">
        <f t="shared" si="7"/>
        <v>2.8059519118812642E-2</v>
      </c>
      <c r="J44" s="11">
        <v>11.139860000000001</v>
      </c>
      <c r="K44">
        <f t="shared" si="8"/>
        <v>1.8970400000000005</v>
      </c>
      <c r="L44" s="4">
        <f t="shared" si="9"/>
        <v>7.1346662779733727E-2</v>
      </c>
    </row>
    <row r="45" spans="1:12" x14ac:dyDescent="0.35">
      <c r="A45" t="s">
        <v>12</v>
      </c>
      <c r="B45">
        <v>3</v>
      </c>
      <c r="C45" s="8" t="s">
        <v>90</v>
      </c>
      <c r="D45" s="12">
        <v>14.917439999999999</v>
      </c>
      <c r="E45" s="11">
        <v>17.09112</v>
      </c>
      <c r="F45" s="11">
        <f t="shared" si="5"/>
        <v>2.1736800000000009</v>
      </c>
      <c r="G45" s="11">
        <v>17.041239999999998</v>
      </c>
      <c r="H45" s="11">
        <f t="shared" si="6"/>
        <v>2.1237999999999992</v>
      </c>
      <c r="I45" s="10">
        <f t="shared" si="7"/>
        <v>2.2947259946267014E-2</v>
      </c>
      <c r="J45" s="11">
        <v>16.816700000000001</v>
      </c>
      <c r="K45">
        <f t="shared" si="8"/>
        <v>1.8992600000000017</v>
      </c>
      <c r="L45" s="4">
        <f t="shared" si="9"/>
        <v>5.5505932762029732E-2</v>
      </c>
    </row>
    <row r="46" spans="1:12" x14ac:dyDescent="0.35">
      <c r="A46" t="s">
        <v>12</v>
      </c>
      <c r="B46">
        <v>4</v>
      </c>
      <c r="C46" s="9" t="s">
        <v>93</v>
      </c>
      <c r="D46" s="12">
        <v>10.554779999999999</v>
      </c>
      <c r="E46" s="11">
        <v>14.015639999999999</v>
      </c>
      <c r="F46" s="11">
        <f t="shared" si="5"/>
        <v>3.4608600000000003</v>
      </c>
      <c r="G46" s="11">
        <v>13.96374</v>
      </c>
      <c r="H46" s="11">
        <f t="shared" si="6"/>
        <v>3.4089600000000004</v>
      </c>
      <c r="I46" s="10">
        <f t="shared" si="7"/>
        <v>1.4996272602763426E-2</v>
      </c>
      <c r="J46" s="11">
        <v>13.86323</v>
      </c>
      <c r="K46">
        <f t="shared" si="8"/>
        <v>3.3084500000000006</v>
      </c>
      <c r="L46" s="4">
        <f t="shared" si="9"/>
        <v>1.5479134398760893E-2</v>
      </c>
    </row>
    <row r="47" spans="1:12" x14ac:dyDescent="0.35">
      <c r="A47" t="s">
        <v>12</v>
      </c>
      <c r="B47">
        <v>4</v>
      </c>
      <c r="C47" s="8" t="s">
        <v>92</v>
      </c>
      <c r="D47" s="12">
        <v>13.1326</v>
      </c>
      <c r="E47" s="11">
        <v>15.89209</v>
      </c>
      <c r="F47" s="11">
        <f t="shared" si="5"/>
        <v>2.7594899999999996</v>
      </c>
      <c r="G47" s="11">
        <v>15.83784</v>
      </c>
      <c r="H47" s="11">
        <f t="shared" si="6"/>
        <v>2.7052399999999999</v>
      </c>
      <c r="I47" s="10">
        <f t="shared" si="7"/>
        <v>1.9659429822177176E-2</v>
      </c>
      <c r="J47" s="11">
        <v>15.65666</v>
      </c>
      <c r="K47">
        <f t="shared" si="8"/>
        <v>2.5240600000000004</v>
      </c>
      <c r="L47" s="4">
        <f t="shared" si="9"/>
        <v>3.516120566012617E-2</v>
      </c>
    </row>
    <row r="48" spans="1:12" x14ac:dyDescent="0.35">
      <c r="A48" t="s">
        <v>12</v>
      </c>
      <c r="B48">
        <v>4</v>
      </c>
      <c r="C48" s="8" t="s">
        <v>91</v>
      </c>
      <c r="D48" s="12">
        <v>12.010009999999999</v>
      </c>
      <c r="E48" s="11">
        <v>15.09821</v>
      </c>
      <c r="F48" s="11">
        <f t="shared" si="5"/>
        <v>3.0882000000000005</v>
      </c>
      <c r="G48" s="11">
        <v>15.03375</v>
      </c>
      <c r="H48" s="11">
        <f t="shared" si="6"/>
        <v>3.0237400000000001</v>
      </c>
      <c r="I48" s="10">
        <f t="shared" si="7"/>
        <v>2.0873000453338644E-2</v>
      </c>
      <c r="J48" s="11">
        <v>14.90546</v>
      </c>
      <c r="K48">
        <f t="shared" si="8"/>
        <v>2.8954500000000003</v>
      </c>
      <c r="L48" s="4">
        <f t="shared" si="9"/>
        <v>2.2274484578700515E-2</v>
      </c>
    </row>
    <row r="49" spans="1:12" x14ac:dyDescent="0.35">
      <c r="A49" t="s">
        <v>12</v>
      </c>
      <c r="B49">
        <v>4</v>
      </c>
      <c r="C49" s="8" t="s">
        <v>90</v>
      </c>
      <c r="D49" s="12">
        <v>11.88687</v>
      </c>
      <c r="E49" s="11">
        <v>14.48058</v>
      </c>
      <c r="F49" s="11">
        <f t="shared" si="5"/>
        <v>2.5937099999999997</v>
      </c>
      <c r="G49" s="11">
        <v>14.40855</v>
      </c>
      <c r="H49" s="11">
        <f t="shared" si="6"/>
        <v>2.5216799999999999</v>
      </c>
      <c r="I49" s="10">
        <f t="shared" si="7"/>
        <v>2.7771030685774363E-2</v>
      </c>
      <c r="J49" s="11">
        <v>14.217790000000001</v>
      </c>
      <c r="K49">
        <f t="shared" si="8"/>
        <v>2.3309200000000008</v>
      </c>
      <c r="L49" s="4">
        <f t="shared" si="9"/>
        <v>3.9715189873417552E-2</v>
      </c>
    </row>
    <row r="50" spans="1:12" x14ac:dyDescent="0.35">
      <c r="A50" t="s">
        <v>13</v>
      </c>
      <c r="B50">
        <v>1</v>
      </c>
      <c r="C50" s="9" t="s">
        <v>93</v>
      </c>
      <c r="D50" s="12">
        <v>5.0771800000000002</v>
      </c>
      <c r="E50" s="11">
        <v>5.6131700000000002</v>
      </c>
      <c r="F50" s="11">
        <f t="shared" si="5"/>
        <v>0.53598999999999997</v>
      </c>
      <c r="G50" s="11">
        <v>5.58507</v>
      </c>
      <c r="H50" s="11">
        <f t="shared" si="6"/>
        <v>0.50788999999999973</v>
      </c>
      <c r="I50" s="10">
        <f t="shared" si="7"/>
        <v>5.2426351237896671E-2</v>
      </c>
      <c r="J50" s="11">
        <v>5.1328100000000001</v>
      </c>
      <c r="K50">
        <f t="shared" si="8"/>
        <v>5.5629999999999846E-2</v>
      </c>
      <c r="L50" s="4">
        <f t="shared" si="9"/>
        <v>0.46749591446966882</v>
      </c>
    </row>
    <row r="51" spans="1:12" x14ac:dyDescent="0.35">
      <c r="A51" t="s">
        <v>13</v>
      </c>
      <c r="B51">
        <v>1</v>
      </c>
      <c r="C51" s="8" t="s">
        <v>92</v>
      </c>
      <c r="D51" s="12">
        <v>5.09192</v>
      </c>
      <c r="E51" s="11">
        <v>5.3803900000000002</v>
      </c>
      <c r="F51" s="11">
        <f t="shared" si="5"/>
        <v>0.28847000000000023</v>
      </c>
      <c r="G51" s="11">
        <v>5.36571</v>
      </c>
      <c r="H51" s="11">
        <f t="shared" si="6"/>
        <v>0.27378999999999998</v>
      </c>
      <c r="I51" s="10">
        <f t="shared" si="7"/>
        <v>5.0889173917565908E-2</v>
      </c>
      <c r="J51" s="11">
        <v>5.1098999999999997</v>
      </c>
      <c r="K51">
        <f t="shared" si="8"/>
        <v>1.7979999999999663E-2</v>
      </c>
      <c r="L51" s="4">
        <f t="shared" si="9"/>
        <v>0.4905228459768442</v>
      </c>
    </row>
    <row r="52" spans="1:12" x14ac:dyDescent="0.35">
      <c r="A52" t="s">
        <v>13</v>
      </c>
      <c r="B52">
        <v>1</v>
      </c>
      <c r="C52" s="8" t="s">
        <v>91</v>
      </c>
      <c r="D52" s="12">
        <v>6.0380500000000001</v>
      </c>
      <c r="E52" s="11">
        <v>6.4119700000000002</v>
      </c>
      <c r="F52" s="11">
        <f t="shared" si="5"/>
        <v>0.37392000000000003</v>
      </c>
      <c r="G52" s="11">
        <v>6.3898000000000001</v>
      </c>
      <c r="H52" s="11">
        <f t="shared" si="6"/>
        <v>0.35175000000000001</v>
      </c>
      <c r="I52" s="10">
        <f t="shared" si="7"/>
        <v>5.929075738125808E-2</v>
      </c>
      <c r="J52" s="11">
        <v>6.0670599999999997</v>
      </c>
      <c r="K52">
        <f t="shared" si="8"/>
        <v>2.9009999999999536E-2</v>
      </c>
      <c r="L52" s="4">
        <f t="shared" si="9"/>
        <v>0.48170149253731415</v>
      </c>
    </row>
    <row r="53" spans="1:12" x14ac:dyDescent="0.35">
      <c r="A53" t="s">
        <v>13</v>
      </c>
      <c r="B53">
        <v>1</v>
      </c>
      <c r="C53" s="8" t="s">
        <v>90</v>
      </c>
      <c r="D53" s="12">
        <v>5.8413500000000003</v>
      </c>
      <c r="E53" s="11">
        <v>6.3175699999999999</v>
      </c>
      <c r="F53" s="11">
        <f t="shared" si="5"/>
        <v>0.47621999999999964</v>
      </c>
      <c r="G53" s="11">
        <v>6.3898000000000001</v>
      </c>
      <c r="H53" s="11">
        <f t="shared" si="6"/>
        <v>0.54844999999999988</v>
      </c>
      <c r="I53" s="10">
        <f t="shared" si="7"/>
        <v>-0.15167359623703391</v>
      </c>
      <c r="J53" s="11">
        <v>5.88049</v>
      </c>
      <c r="K53">
        <f t="shared" si="8"/>
        <v>3.9139999999999731E-2</v>
      </c>
      <c r="L53" s="4">
        <f t="shared" si="9"/>
        <v>0.48753350350989177</v>
      </c>
    </row>
    <row r="54" spans="1:12" x14ac:dyDescent="0.35">
      <c r="A54" t="s">
        <v>13</v>
      </c>
      <c r="B54">
        <v>2</v>
      </c>
      <c r="C54" s="9" t="s">
        <v>93</v>
      </c>
      <c r="D54" s="12">
        <v>5.4845600000000001</v>
      </c>
      <c r="E54" s="11">
        <v>6.9490100000000004</v>
      </c>
      <c r="F54" s="11">
        <f t="shared" si="5"/>
        <v>1.4644500000000003</v>
      </c>
      <c r="G54" s="11">
        <v>6.8745599999999998</v>
      </c>
      <c r="H54" s="11">
        <f t="shared" si="6"/>
        <v>1.3899999999999997</v>
      </c>
      <c r="I54" s="10">
        <f t="shared" si="7"/>
        <v>5.083819864112845E-2</v>
      </c>
      <c r="J54" s="11">
        <v>5.7382099999999996</v>
      </c>
      <c r="K54">
        <f t="shared" si="8"/>
        <v>0.25364999999999949</v>
      </c>
      <c r="L54" s="4">
        <f t="shared" si="9"/>
        <v>0.42919694244604334</v>
      </c>
    </row>
    <row r="55" spans="1:12" x14ac:dyDescent="0.35">
      <c r="A55" t="s">
        <v>13</v>
      </c>
      <c r="B55">
        <v>2</v>
      </c>
      <c r="C55" s="8" t="s">
        <v>92</v>
      </c>
      <c r="D55" s="12">
        <v>4.94876</v>
      </c>
      <c r="E55" s="11">
        <v>6.2738500000000004</v>
      </c>
      <c r="F55" s="11">
        <f t="shared" si="5"/>
        <v>1.3250900000000003</v>
      </c>
      <c r="G55" s="11">
        <v>6.2279400000000003</v>
      </c>
      <c r="H55" s="11">
        <f t="shared" si="6"/>
        <v>1.2791800000000002</v>
      </c>
      <c r="I55" s="10">
        <f t="shared" si="7"/>
        <v>3.4646703242798685E-2</v>
      </c>
      <c r="J55" s="11">
        <v>5.4606000000000003</v>
      </c>
      <c r="K55">
        <f t="shared" si="8"/>
        <v>0.51184000000000029</v>
      </c>
      <c r="L55" s="4">
        <f t="shared" si="9"/>
        <v>0.31493104957863621</v>
      </c>
    </row>
    <row r="56" spans="1:12" x14ac:dyDescent="0.35">
      <c r="A56" t="s">
        <v>13</v>
      </c>
      <c r="B56">
        <v>2</v>
      </c>
      <c r="C56" s="8" t="s">
        <v>91</v>
      </c>
      <c r="D56" s="12">
        <v>4.9439599999999997</v>
      </c>
      <c r="E56" s="11">
        <v>5.6265099999999997</v>
      </c>
      <c r="F56" s="11">
        <f t="shared" si="5"/>
        <v>0.68254999999999999</v>
      </c>
      <c r="G56" s="11">
        <v>5.5950100000000003</v>
      </c>
      <c r="H56" s="11">
        <f t="shared" si="6"/>
        <v>0.65105000000000057</v>
      </c>
      <c r="I56" s="10">
        <f t="shared" si="7"/>
        <v>4.6150465167386148E-2</v>
      </c>
      <c r="J56" s="11">
        <v>5.0701700000000001</v>
      </c>
      <c r="K56">
        <f t="shared" si="8"/>
        <v>0.12621000000000038</v>
      </c>
      <c r="L56" s="4">
        <f t="shared" si="9"/>
        <v>0.42322555871284828</v>
      </c>
    </row>
    <row r="57" spans="1:12" x14ac:dyDescent="0.35">
      <c r="A57" t="s">
        <v>13</v>
      </c>
      <c r="B57">
        <v>2</v>
      </c>
      <c r="C57" s="8" t="s">
        <v>90</v>
      </c>
      <c r="D57" s="12">
        <v>4.9748000000000001</v>
      </c>
      <c r="E57" s="11">
        <v>5.7260900000000001</v>
      </c>
      <c r="F57" s="11">
        <f t="shared" si="5"/>
        <v>0.75129000000000001</v>
      </c>
      <c r="G57" s="11">
        <v>5.68459</v>
      </c>
      <c r="H57" s="11">
        <f t="shared" si="6"/>
        <v>0.70978999999999992</v>
      </c>
      <c r="I57" s="10">
        <f t="shared" si="7"/>
        <v>5.5238323417056118E-2</v>
      </c>
      <c r="J57" s="11">
        <v>5.04739</v>
      </c>
      <c r="K57">
        <f t="shared" si="8"/>
        <v>7.2589999999999932E-2</v>
      </c>
      <c r="L57" s="4">
        <f t="shared" si="9"/>
        <v>0.4713084151650489</v>
      </c>
    </row>
    <row r="58" spans="1:12" x14ac:dyDescent="0.35">
      <c r="A58" t="s">
        <v>13</v>
      </c>
      <c r="B58">
        <v>3</v>
      </c>
      <c r="C58" s="9" t="s">
        <v>93</v>
      </c>
      <c r="D58" s="12">
        <v>6.2797299999999998</v>
      </c>
      <c r="E58" s="11">
        <v>8.0586099999999998</v>
      </c>
      <c r="F58" s="11">
        <f t="shared" si="5"/>
        <v>1.77888</v>
      </c>
      <c r="G58" s="11">
        <v>7.4385500000000002</v>
      </c>
      <c r="H58" s="11">
        <f t="shared" si="6"/>
        <v>1.1588200000000004</v>
      </c>
      <c r="I58" s="10">
        <f t="shared" si="7"/>
        <v>0.34856763806439983</v>
      </c>
      <c r="J58" s="11">
        <v>6.88673</v>
      </c>
      <c r="K58">
        <f t="shared" si="8"/>
        <v>0.60700000000000021</v>
      </c>
      <c r="L58" s="4">
        <f t="shared" si="9"/>
        <v>0.25000043147339535</v>
      </c>
    </row>
    <row r="59" spans="1:12" x14ac:dyDescent="0.35">
      <c r="A59" t="s">
        <v>13</v>
      </c>
      <c r="B59">
        <v>3</v>
      </c>
      <c r="C59" s="8" t="s">
        <v>92</v>
      </c>
      <c r="D59" s="12">
        <v>6.7944699999999996</v>
      </c>
      <c r="E59" s="11">
        <v>10.715820000000001</v>
      </c>
      <c r="F59" s="11">
        <f t="shared" si="5"/>
        <v>3.9213500000000012</v>
      </c>
      <c r="G59" s="11">
        <v>9.8963199999999993</v>
      </c>
      <c r="H59" s="11">
        <f t="shared" si="6"/>
        <v>3.1018499999999998</v>
      </c>
      <c r="I59" s="10">
        <f t="shared" si="7"/>
        <v>0.20898415086641112</v>
      </c>
      <c r="J59" s="11">
        <v>9.6563099999999995</v>
      </c>
      <c r="K59">
        <f t="shared" si="8"/>
        <v>2.8618399999999999</v>
      </c>
      <c r="L59" s="4">
        <f t="shared" si="9"/>
        <v>4.0622612312007325E-2</v>
      </c>
    </row>
    <row r="60" spans="1:12" x14ac:dyDescent="0.35">
      <c r="A60" t="s">
        <v>13</v>
      </c>
      <c r="B60">
        <v>3</v>
      </c>
      <c r="C60" s="8" t="s">
        <v>91</v>
      </c>
      <c r="D60" s="12">
        <v>5.0666399999999996</v>
      </c>
      <c r="E60" s="11">
        <v>6.4268900000000002</v>
      </c>
      <c r="F60" s="11">
        <f t="shared" si="5"/>
        <v>1.3602500000000006</v>
      </c>
      <c r="G60" s="11">
        <v>6.3718399999999997</v>
      </c>
      <c r="H60" s="11">
        <f t="shared" si="6"/>
        <v>1.3052000000000001</v>
      </c>
      <c r="I60" s="10">
        <f t="shared" si="7"/>
        <v>4.0470501746002911E-2</v>
      </c>
      <c r="J60" s="11">
        <v>5.9868199999999998</v>
      </c>
      <c r="K60">
        <f t="shared" si="8"/>
        <v>0.92018000000000022</v>
      </c>
      <c r="L60" s="4">
        <f t="shared" si="9"/>
        <v>0.15486936867912959</v>
      </c>
    </row>
    <row r="61" spans="1:12" x14ac:dyDescent="0.35">
      <c r="A61" t="s">
        <v>13</v>
      </c>
      <c r="B61">
        <v>3</v>
      </c>
      <c r="C61" s="8" t="s">
        <v>90</v>
      </c>
      <c r="D61" s="12">
        <v>5.0650399999999998</v>
      </c>
      <c r="E61" s="11">
        <v>6.1853899999999999</v>
      </c>
      <c r="F61" s="11">
        <f t="shared" si="5"/>
        <v>1.1203500000000002</v>
      </c>
      <c r="G61" s="11">
        <v>6.1565000000000003</v>
      </c>
      <c r="H61" s="11">
        <f t="shared" si="6"/>
        <v>1.0914600000000005</v>
      </c>
      <c r="I61" s="10">
        <f t="shared" si="7"/>
        <v>2.5786584549470821E-2</v>
      </c>
      <c r="J61" s="11">
        <v>5.6368499999999999</v>
      </c>
      <c r="K61">
        <f t="shared" si="8"/>
        <v>0.57181000000000015</v>
      </c>
      <c r="L61" s="4">
        <f t="shared" si="9"/>
        <v>0.2499553350557969</v>
      </c>
    </row>
    <row r="62" spans="1:12" x14ac:dyDescent="0.35">
      <c r="A62" t="s">
        <v>13</v>
      </c>
      <c r="B62">
        <v>4</v>
      </c>
      <c r="C62" s="9" t="s">
        <v>93</v>
      </c>
      <c r="D62" s="12">
        <v>5.2278599999999997</v>
      </c>
      <c r="E62" s="11">
        <v>6.9307400000000001</v>
      </c>
      <c r="F62" s="11">
        <f t="shared" si="5"/>
        <v>1.7028800000000004</v>
      </c>
      <c r="G62" s="11">
        <v>6.8811200000000001</v>
      </c>
      <c r="H62" s="11">
        <f t="shared" si="6"/>
        <v>1.6532600000000004</v>
      </c>
      <c r="I62" s="10">
        <f t="shared" si="7"/>
        <v>2.9138870619186311E-2</v>
      </c>
      <c r="J62" s="11">
        <v>6.7301200000000003</v>
      </c>
      <c r="K62">
        <f t="shared" si="8"/>
        <v>1.5022600000000006</v>
      </c>
      <c r="L62" s="4">
        <f t="shared" si="9"/>
        <v>4.7950715555931847E-2</v>
      </c>
    </row>
    <row r="63" spans="1:12" x14ac:dyDescent="0.35">
      <c r="A63" t="s">
        <v>13</v>
      </c>
      <c r="B63">
        <v>4</v>
      </c>
      <c r="C63" s="8" t="s">
        <v>92</v>
      </c>
      <c r="D63" s="12">
        <v>4.9220300000000003</v>
      </c>
      <c r="E63" s="11">
        <v>5.6970099999999997</v>
      </c>
      <c r="F63" s="11">
        <f t="shared" si="5"/>
        <v>0.77497999999999934</v>
      </c>
      <c r="G63" s="11">
        <v>5.6516900000000003</v>
      </c>
      <c r="H63" s="11">
        <f t="shared" si="6"/>
        <v>0.72965999999999998</v>
      </c>
      <c r="I63" s="10">
        <f t="shared" si="7"/>
        <v>5.8478928488476349E-2</v>
      </c>
      <c r="J63" s="11">
        <v>4.9986800000000002</v>
      </c>
      <c r="K63">
        <f t="shared" si="8"/>
        <v>7.6649999999999885E-2</v>
      </c>
      <c r="L63" s="4">
        <f t="shared" si="9"/>
        <v>0.46984931337883407</v>
      </c>
    </row>
    <row r="64" spans="1:12" x14ac:dyDescent="0.35">
      <c r="A64" t="s">
        <v>13</v>
      </c>
      <c r="B64">
        <v>4</v>
      </c>
      <c r="C64" s="8" t="s">
        <v>91</v>
      </c>
      <c r="D64" s="12">
        <v>11.077529999999999</v>
      </c>
      <c r="E64" s="11">
        <v>13.420680000000001</v>
      </c>
      <c r="F64" s="11">
        <f t="shared" si="5"/>
        <v>2.3431500000000014</v>
      </c>
      <c r="G64" s="11">
        <v>13.343540000000001</v>
      </c>
      <c r="H64" s="11">
        <f t="shared" si="6"/>
        <v>2.2660100000000014</v>
      </c>
      <c r="I64" s="10">
        <f t="shared" si="7"/>
        <v>3.2921494569276379E-2</v>
      </c>
      <c r="J64" s="11">
        <v>12.667160000000001</v>
      </c>
      <c r="K64">
        <f t="shared" si="8"/>
        <v>1.5896300000000014</v>
      </c>
      <c r="L64" s="4">
        <f t="shared" si="9"/>
        <v>0.15670694304085145</v>
      </c>
    </row>
    <row r="65" spans="1:12" x14ac:dyDescent="0.35">
      <c r="A65" t="s">
        <v>13</v>
      </c>
      <c r="B65">
        <v>4</v>
      </c>
      <c r="C65" s="8" t="s">
        <v>90</v>
      </c>
      <c r="D65" s="12">
        <v>11.027049999999999</v>
      </c>
      <c r="E65" s="11">
        <v>14.29462</v>
      </c>
      <c r="F65" s="11">
        <f t="shared" si="5"/>
        <v>3.267570000000001</v>
      </c>
      <c r="G65" s="11">
        <v>14.17891</v>
      </c>
      <c r="H65" s="11">
        <f t="shared" si="6"/>
        <v>3.151860000000001</v>
      </c>
      <c r="I65" s="10">
        <f t="shared" si="7"/>
        <v>3.5411636169997873E-2</v>
      </c>
      <c r="J65" s="11">
        <v>13.78365</v>
      </c>
      <c r="K65">
        <f t="shared" si="8"/>
        <v>2.7566000000000006</v>
      </c>
      <c r="L65" s="4">
        <f t="shared" si="9"/>
        <v>6.5837791018636668E-2</v>
      </c>
    </row>
    <row r="66" spans="1:12" x14ac:dyDescent="0.35">
      <c r="A66" t="s">
        <v>14</v>
      </c>
      <c r="B66">
        <v>1</v>
      </c>
      <c r="C66" s="9" t="s">
        <v>93</v>
      </c>
      <c r="D66" s="12">
        <v>10.55852</v>
      </c>
      <c r="E66" s="11">
        <v>10.878909999999999</v>
      </c>
      <c r="F66" s="11">
        <f t="shared" ref="F66:F97" si="10">E66-D66</f>
        <v>0.32038999999999973</v>
      </c>
      <c r="G66" s="11">
        <v>10.85886</v>
      </c>
      <c r="H66" s="11">
        <f t="shared" ref="H66:H97" si="11">G66-D66</f>
        <v>0.30034000000000027</v>
      </c>
      <c r="I66" s="10">
        <f t="shared" ref="I66:I97" si="12">(F66-H66)/F66</f>
        <v>6.2579980648582889E-2</v>
      </c>
      <c r="J66" s="11">
        <v>10.580640000000001</v>
      </c>
      <c r="K66">
        <f t="shared" ref="K66:K97" si="13">J66-D66</f>
        <v>2.2120000000001028E-2</v>
      </c>
      <c r="L66" s="4">
        <f t="shared" si="9"/>
        <v>0.48633382166877365</v>
      </c>
    </row>
    <row r="67" spans="1:12" x14ac:dyDescent="0.35">
      <c r="A67" t="s">
        <v>14</v>
      </c>
      <c r="B67">
        <v>1</v>
      </c>
      <c r="C67" s="8" t="s">
        <v>92</v>
      </c>
      <c r="D67" s="12">
        <v>10.9747</v>
      </c>
      <c r="E67" s="11">
        <v>11.261609999999999</v>
      </c>
      <c r="F67" s="11">
        <f t="shared" si="10"/>
        <v>0.28690999999999889</v>
      </c>
      <c r="G67" s="11">
        <v>11.24072</v>
      </c>
      <c r="H67" s="11">
        <f t="shared" si="11"/>
        <v>0.26601999999999926</v>
      </c>
      <c r="I67" s="10">
        <f t="shared" si="12"/>
        <v>7.2810288940781814E-2</v>
      </c>
      <c r="J67" s="11">
        <v>10.99554</v>
      </c>
      <c r="K67">
        <f t="shared" si="13"/>
        <v>2.0839999999999748E-2</v>
      </c>
      <c r="L67" s="4">
        <f t="shared" si="9"/>
        <v>0.48387151342004403</v>
      </c>
    </row>
    <row r="68" spans="1:12" x14ac:dyDescent="0.35">
      <c r="A68" t="s">
        <v>14</v>
      </c>
      <c r="B68">
        <v>1</v>
      </c>
      <c r="C68" s="8" t="s">
        <v>91</v>
      </c>
      <c r="D68" s="12">
        <v>10.743499999999999</v>
      </c>
      <c r="E68" s="11">
        <v>11.42733</v>
      </c>
      <c r="F68" s="11">
        <f t="shared" si="10"/>
        <v>0.68383000000000038</v>
      </c>
      <c r="G68" s="11">
        <v>11.374510000000001</v>
      </c>
      <c r="H68" s="11">
        <f t="shared" si="11"/>
        <v>0.63101000000000163</v>
      </c>
      <c r="I68" s="10">
        <f t="shared" si="12"/>
        <v>7.7241419651081014E-2</v>
      </c>
      <c r="J68" s="11">
        <v>10.80761</v>
      </c>
      <c r="K68">
        <f t="shared" si="13"/>
        <v>6.4110000000001222E-2</v>
      </c>
      <c r="L68" s="4">
        <f t="shared" si="9"/>
        <v>0.47166051251168672</v>
      </c>
    </row>
    <row r="69" spans="1:12" x14ac:dyDescent="0.35">
      <c r="A69" t="s">
        <v>14</v>
      </c>
      <c r="B69">
        <v>1</v>
      </c>
      <c r="C69" s="8" t="s">
        <v>90</v>
      </c>
      <c r="D69" s="12">
        <v>10.40924</v>
      </c>
      <c r="E69" s="11">
        <v>11.035069999999999</v>
      </c>
      <c r="F69" s="11">
        <f t="shared" si="10"/>
        <v>0.62582999999999878</v>
      </c>
      <c r="G69" s="11">
        <v>10.99361</v>
      </c>
      <c r="H69" s="11">
        <f t="shared" si="11"/>
        <v>0.58436999999999983</v>
      </c>
      <c r="I69" s="10">
        <f t="shared" si="12"/>
        <v>6.624802262595117E-2</v>
      </c>
      <c r="J69" s="11">
        <v>10.469010000000001</v>
      </c>
      <c r="K69">
        <f t="shared" si="13"/>
        <v>5.9770000000000323E-2</v>
      </c>
      <c r="L69" s="4">
        <f t="shared" si="9"/>
        <v>0.47130242825607038</v>
      </c>
    </row>
    <row r="70" spans="1:12" x14ac:dyDescent="0.35">
      <c r="A70" t="s">
        <v>14</v>
      </c>
      <c r="B70">
        <v>2</v>
      </c>
      <c r="C70" s="9" t="s">
        <v>93</v>
      </c>
      <c r="D70" s="12">
        <v>10.70107</v>
      </c>
      <c r="E70" s="11">
        <v>11.397640000000001</v>
      </c>
      <c r="F70" s="11">
        <f t="shared" si="10"/>
        <v>0.69657000000000124</v>
      </c>
      <c r="G70" s="11">
        <v>11.35167</v>
      </c>
      <c r="H70" s="11">
        <f t="shared" si="11"/>
        <v>0.65060000000000073</v>
      </c>
      <c r="I70" s="10">
        <f t="shared" si="12"/>
        <v>6.5994803106651775E-2</v>
      </c>
      <c r="J70" s="11">
        <v>10.78369</v>
      </c>
      <c r="K70">
        <f t="shared" si="13"/>
        <v>8.262000000000036E-2</v>
      </c>
      <c r="L70" s="4">
        <f t="shared" si="9"/>
        <v>0.45833000307408528</v>
      </c>
    </row>
    <row r="71" spans="1:12" x14ac:dyDescent="0.35">
      <c r="A71" t="s">
        <v>14</v>
      </c>
      <c r="B71">
        <v>2</v>
      </c>
      <c r="C71" s="8" t="s">
        <v>92</v>
      </c>
      <c r="D71" s="12">
        <v>10.192019999999999</v>
      </c>
      <c r="E71" s="11">
        <v>11.77459</v>
      </c>
      <c r="F71" s="11">
        <f t="shared" si="10"/>
        <v>1.5825700000000005</v>
      </c>
      <c r="G71" s="11">
        <v>11.703250000000001</v>
      </c>
      <c r="H71" s="11">
        <f t="shared" si="11"/>
        <v>1.5112300000000012</v>
      </c>
      <c r="I71" s="10">
        <f t="shared" si="12"/>
        <v>4.5078574723392502E-2</v>
      </c>
      <c r="J71" s="11">
        <v>10.894170000000001</v>
      </c>
      <c r="K71">
        <f t="shared" si="13"/>
        <v>0.70215000000000138</v>
      </c>
      <c r="L71" s="4">
        <f t="shared" si="9"/>
        <v>0.28107369493723627</v>
      </c>
    </row>
    <row r="72" spans="1:12" x14ac:dyDescent="0.35">
      <c r="A72" t="s">
        <v>14</v>
      </c>
      <c r="B72">
        <v>2</v>
      </c>
      <c r="C72" s="8" t="s">
        <v>91</v>
      </c>
      <c r="D72" s="12">
        <v>10.54148</v>
      </c>
      <c r="E72" s="11">
        <v>12.522320000000001</v>
      </c>
      <c r="F72" s="11">
        <f t="shared" si="10"/>
        <v>1.9808400000000006</v>
      </c>
      <c r="G72" s="11">
        <v>12.414949999999999</v>
      </c>
      <c r="H72" s="11">
        <f t="shared" si="11"/>
        <v>1.8734699999999993</v>
      </c>
      <c r="I72" s="10">
        <f t="shared" si="12"/>
        <v>5.4204276973405859E-2</v>
      </c>
      <c r="J72" s="11">
        <v>11.390510000000001</v>
      </c>
      <c r="K72">
        <f t="shared" si="13"/>
        <v>0.84903000000000084</v>
      </c>
      <c r="L72" s="4">
        <f t="shared" ref="L72:L103" si="14">((H72-K72)/H72)*0.525</f>
        <v>0.28707745520344569</v>
      </c>
    </row>
    <row r="73" spans="1:12" x14ac:dyDescent="0.35">
      <c r="A73" t="s">
        <v>14</v>
      </c>
      <c r="B73">
        <v>2</v>
      </c>
      <c r="C73" s="8" t="s">
        <v>90</v>
      </c>
      <c r="D73" s="12">
        <v>10.58399</v>
      </c>
      <c r="E73" s="11">
        <v>12.07122</v>
      </c>
      <c r="F73" s="11">
        <f t="shared" si="10"/>
        <v>1.4872300000000003</v>
      </c>
      <c r="G73" s="11">
        <v>12.011380000000001</v>
      </c>
      <c r="H73" s="11">
        <f t="shared" si="11"/>
        <v>1.4273900000000008</v>
      </c>
      <c r="I73" s="10">
        <f t="shared" si="12"/>
        <v>4.0235874747012526E-2</v>
      </c>
      <c r="J73" s="11">
        <v>11.270849999999999</v>
      </c>
      <c r="K73">
        <f t="shared" si="13"/>
        <v>0.68685999999999936</v>
      </c>
      <c r="L73" s="4">
        <f t="shared" si="14"/>
        <v>0.27237002501068419</v>
      </c>
    </row>
    <row r="74" spans="1:12" s="14" customFormat="1" x14ac:dyDescent="0.35">
      <c r="A74" s="14" t="s">
        <v>14</v>
      </c>
      <c r="B74" s="14">
        <v>3</v>
      </c>
      <c r="C74" s="23" t="s">
        <v>93</v>
      </c>
      <c r="D74" s="17">
        <v>10.96988</v>
      </c>
      <c r="E74" s="16">
        <v>5.5578399999999997</v>
      </c>
      <c r="F74" s="16">
        <f t="shared" si="10"/>
        <v>-5.4120400000000002</v>
      </c>
      <c r="G74" s="16">
        <v>5.52644</v>
      </c>
      <c r="H74" s="16">
        <f t="shared" si="11"/>
        <v>-5.4434399999999998</v>
      </c>
      <c r="I74" s="15">
        <f t="shared" si="12"/>
        <v>-5.8018787739927361E-3</v>
      </c>
      <c r="J74" s="16">
        <v>5.25847</v>
      </c>
      <c r="K74" s="14">
        <f t="shared" si="13"/>
        <v>-5.7114099999999999</v>
      </c>
      <c r="L74" s="13">
        <f t="shared" si="14"/>
        <v>-2.5844732375115743E-2</v>
      </c>
    </row>
    <row r="75" spans="1:12" x14ac:dyDescent="0.35">
      <c r="A75" t="s">
        <v>14</v>
      </c>
      <c r="B75">
        <v>3</v>
      </c>
      <c r="C75" s="8" t="s">
        <v>92</v>
      </c>
      <c r="D75" s="12">
        <v>10.648870000000001</v>
      </c>
      <c r="E75" s="11">
        <v>12.606120000000001</v>
      </c>
      <c r="F75" s="11">
        <f t="shared" si="10"/>
        <v>1.9572500000000002</v>
      </c>
      <c r="G75" s="11">
        <v>12.57694</v>
      </c>
      <c r="H75" s="11">
        <f t="shared" si="11"/>
        <v>1.92807</v>
      </c>
      <c r="I75" s="10">
        <f t="shared" si="12"/>
        <v>1.490867288287148E-2</v>
      </c>
      <c r="J75" s="11">
        <v>12.33366</v>
      </c>
      <c r="K75">
        <f t="shared" si="13"/>
        <v>1.6847899999999996</v>
      </c>
      <c r="L75" s="4">
        <f t="shared" si="14"/>
        <v>6.6243445518057026E-2</v>
      </c>
    </row>
    <row r="76" spans="1:12" x14ac:dyDescent="0.35">
      <c r="A76" t="s">
        <v>14</v>
      </c>
      <c r="B76">
        <v>3</v>
      </c>
      <c r="C76" s="8" t="s">
        <v>91</v>
      </c>
      <c r="D76" s="12">
        <v>10.6974</v>
      </c>
      <c r="E76" s="11">
        <v>13.77739</v>
      </c>
      <c r="F76" s="11">
        <f t="shared" si="10"/>
        <v>3.0799900000000004</v>
      </c>
      <c r="G76" s="11">
        <v>13.73757</v>
      </c>
      <c r="H76" s="11">
        <f t="shared" si="11"/>
        <v>3.0401699999999998</v>
      </c>
      <c r="I76" s="10">
        <f t="shared" si="12"/>
        <v>1.292861340458918E-2</v>
      </c>
      <c r="J76" s="11">
        <v>13.47865</v>
      </c>
      <c r="K76">
        <f t="shared" si="13"/>
        <v>2.78125</v>
      </c>
      <c r="L76" s="4">
        <f t="shared" si="14"/>
        <v>4.471230227257026E-2</v>
      </c>
    </row>
    <row r="77" spans="1:12" x14ac:dyDescent="0.35">
      <c r="A77" t="s">
        <v>14</v>
      </c>
      <c r="B77">
        <v>3</v>
      </c>
      <c r="C77" s="8" t="s">
        <v>90</v>
      </c>
      <c r="D77" s="12">
        <v>11.132289999999999</v>
      </c>
      <c r="E77" s="11">
        <v>13.24103</v>
      </c>
      <c r="F77" s="11">
        <f t="shared" si="10"/>
        <v>2.1087400000000009</v>
      </c>
      <c r="G77" s="11">
        <v>13.21354</v>
      </c>
      <c r="H77" s="11">
        <f t="shared" si="11"/>
        <v>2.0812500000000007</v>
      </c>
      <c r="I77" s="10">
        <f t="shared" si="12"/>
        <v>1.3036220681544535E-2</v>
      </c>
      <c r="J77" s="11">
        <v>13.011139999999999</v>
      </c>
      <c r="K77">
        <f t="shared" si="13"/>
        <v>1.8788499999999999</v>
      </c>
      <c r="L77" s="4">
        <f t="shared" si="14"/>
        <v>5.1055855855856043E-2</v>
      </c>
    </row>
    <row r="78" spans="1:12" x14ac:dyDescent="0.35">
      <c r="A78" t="s">
        <v>14</v>
      </c>
      <c r="B78">
        <v>4</v>
      </c>
      <c r="C78" s="9" t="s">
        <v>93</v>
      </c>
      <c r="D78" s="12">
        <v>11.327260000000001</v>
      </c>
      <c r="E78" s="11">
        <v>14.12154</v>
      </c>
      <c r="F78" s="11">
        <f t="shared" si="10"/>
        <v>2.7942799999999988</v>
      </c>
      <c r="G78" s="11">
        <v>13.669079999999999</v>
      </c>
      <c r="H78" s="11">
        <f t="shared" si="11"/>
        <v>2.3418199999999985</v>
      </c>
      <c r="I78" s="10">
        <f t="shared" si="12"/>
        <v>0.16192364401563211</v>
      </c>
      <c r="J78" s="11">
        <v>13.497210000000001</v>
      </c>
      <c r="K78">
        <f t="shared" si="13"/>
        <v>2.16995</v>
      </c>
      <c r="L78" s="4">
        <f t="shared" si="14"/>
        <v>3.8530608671887352E-2</v>
      </c>
    </row>
    <row r="79" spans="1:12" x14ac:dyDescent="0.35">
      <c r="A79" t="s">
        <v>14</v>
      </c>
      <c r="B79">
        <v>4</v>
      </c>
      <c r="C79" s="8" t="s">
        <v>92</v>
      </c>
      <c r="D79" s="12">
        <v>10.4076</v>
      </c>
      <c r="E79" s="11">
        <v>12.137729999999999</v>
      </c>
      <c r="F79" s="11">
        <f t="shared" si="10"/>
        <v>1.7301299999999991</v>
      </c>
      <c r="G79" s="11">
        <v>12.06617</v>
      </c>
      <c r="H79" s="11">
        <f t="shared" si="11"/>
        <v>1.6585699999999992</v>
      </c>
      <c r="I79" s="10">
        <f t="shared" si="12"/>
        <v>4.1361053793645498E-2</v>
      </c>
      <c r="J79" s="11">
        <v>11.94603</v>
      </c>
      <c r="K79">
        <f t="shared" si="13"/>
        <v>1.53843</v>
      </c>
      <c r="L79" s="4">
        <f t="shared" si="14"/>
        <v>3.8028844124757856E-2</v>
      </c>
    </row>
    <row r="80" spans="1:12" x14ac:dyDescent="0.35">
      <c r="A80" t="s">
        <v>14</v>
      </c>
      <c r="B80">
        <v>4</v>
      </c>
      <c r="C80" s="8" t="s">
        <v>91</v>
      </c>
      <c r="D80" s="12">
        <v>10.428610000000001</v>
      </c>
      <c r="E80" s="11">
        <v>12.03491</v>
      </c>
      <c r="F80" s="11">
        <f t="shared" si="10"/>
        <v>1.6062999999999992</v>
      </c>
      <c r="G80" s="11">
        <v>12.018079999999999</v>
      </c>
      <c r="H80" s="11">
        <f t="shared" si="11"/>
        <v>1.5894699999999986</v>
      </c>
      <c r="I80" s="10">
        <f t="shared" si="12"/>
        <v>1.0477494863973464E-2</v>
      </c>
      <c r="J80" s="11">
        <v>11.966340000000001</v>
      </c>
      <c r="K80">
        <f t="shared" si="13"/>
        <v>1.5377299999999998</v>
      </c>
      <c r="L80" s="4">
        <f t="shared" si="14"/>
        <v>1.7089658817089588E-2</v>
      </c>
    </row>
    <row r="81" spans="1:12" x14ac:dyDescent="0.35">
      <c r="A81" t="s">
        <v>14</v>
      </c>
      <c r="B81">
        <v>4</v>
      </c>
      <c r="C81" s="8" t="s">
        <v>90</v>
      </c>
      <c r="D81" s="12">
        <v>11.820639999999999</v>
      </c>
      <c r="E81" s="11">
        <v>15.21283</v>
      </c>
      <c r="F81" s="11">
        <f t="shared" si="10"/>
        <v>3.3921900000000011</v>
      </c>
      <c r="G81" s="11">
        <v>15.076739999999999</v>
      </c>
      <c r="H81" s="11">
        <f t="shared" si="11"/>
        <v>3.2561</v>
      </c>
      <c r="I81" s="10">
        <f t="shared" si="12"/>
        <v>4.0118625430769238E-2</v>
      </c>
      <c r="J81" s="11">
        <v>14.964790000000001</v>
      </c>
      <c r="K81">
        <f t="shared" si="13"/>
        <v>3.1441500000000016</v>
      </c>
      <c r="L81" s="4">
        <f t="shared" si="14"/>
        <v>1.8050351647676415E-2</v>
      </c>
    </row>
    <row r="82" spans="1:12" x14ac:dyDescent="0.35">
      <c r="A82" t="s">
        <v>15</v>
      </c>
      <c r="B82">
        <v>1</v>
      </c>
      <c r="C82" s="9" t="s">
        <v>93</v>
      </c>
      <c r="D82">
        <v>10.55794</v>
      </c>
      <c r="E82" s="11">
        <v>10.989599999999999</v>
      </c>
      <c r="F82" s="11">
        <f t="shared" si="10"/>
        <v>0.43165999999999904</v>
      </c>
      <c r="G82" s="11">
        <v>10.95655</v>
      </c>
      <c r="H82" s="11">
        <f t="shared" si="11"/>
        <v>0.39860999999999969</v>
      </c>
      <c r="I82" s="10">
        <f t="shared" si="12"/>
        <v>7.6564889033033934E-2</v>
      </c>
      <c r="J82" s="11">
        <v>10.60233</v>
      </c>
      <c r="K82">
        <f t="shared" si="13"/>
        <v>4.438999999999993E-2</v>
      </c>
      <c r="L82" s="4">
        <f t="shared" si="14"/>
        <v>0.46653495898246411</v>
      </c>
    </row>
    <row r="83" spans="1:12" x14ac:dyDescent="0.35">
      <c r="A83" t="s">
        <v>15</v>
      </c>
      <c r="B83">
        <v>1</v>
      </c>
      <c r="C83" s="8" t="s">
        <v>92</v>
      </c>
      <c r="D83">
        <v>11.64865</v>
      </c>
      <c r="E83" s="11">
        <v>11.87585</v>
      </c>
      <c r="F83" s="11">
        <f t="shared" si="10"/>
        <v>0.22719999999999985</v>
      </c>
      <c r="G83" s="11">
        <v>11.85854</v>
      </c>
      <c r="H83" s="11">
        <f t="shared" si="11"/>
        <v>0.20988999999999969</v>
      </c>
      <c r="I83" s="10">
        <f t="shared" si="12"/>
        <v>7.6188380281690893E-2</v>
      </c>
      <c r="J83" s="11">
        <v>11.667490000000001</v>
      </c>
      <c r="K83">
        <f t="shared" si="13"/>
        <v>1.8840000000000856E-2</v>
      </c>
      <c r="L83" s="4">
        <f t="shared" si="14"/>
        <v>0.4778753156415243</v>
      </c>
    </row>
    <row r="84" spans="1:12" x14ac:dyDescent="0.35">
      <c r="A84" t="s">
        <v>15</v>
      </c>
      <c r="B84">
        <v>1</v>
      </c>
      <c r="C84" s="8" t="s">
        <v>91</v>
      </c>
      <c r="D84">
        <v>11.43403</v>
      </c>
      <c r="E84" s="11">
        <v>11.763450000000001</v>
      </c>
      <c r="F84" s="11">
        <f t="shared" si="10"/>
        <v>0.32942000000000071</v>
      </c>
      <c r="G84" s="11">
        <v>11.738020000000001</v>
      </c>
      <c r="H84" s="11">
        <f t="shared" si="11"/>
        <v>0.30399000000000065</v>
      </c>
      <c r="I84" s="10">
        <f t="shared" si="12"/>
        <v>7.7196284378604846E-2</v>
      </c>
      <c r="J84" s="11">
        <v>11.469659999999999</v>
      </c>
      <c r="K84">
        <f t="shared" si="13"/>
        <v>3.5629999999999384E-2</v>
      </c>
      <c r="L84" s="4">
        <f t="shared" si="14"/>
        <v>0.46346590348366845</v>
      </c>
    </row>
    <row r="85" spans="1:12" x14ac:dyDescent="0.35">
      <c r="A85" t="s">
        <v>15</v>
      </c>
      <c r="B85">
        <v>1</v>
      </c>
      <c r="C85" s="8" t="s">
        <v>90</v>
      </c>
      <c r="D85">
        <v>10.35214</v>
      </c>
      <c r="E85" s="11">
        <v>10.77186</v>
      </c>
      <c r="F85" s="11">
        <f t="shared" si="10"/>
        <v>0.41971999999999987</v>
      </c>
      <c r="G85" s="11">
        <v>10.737410000000001</v>
      </c>
      <c r="H85" s="11">
        <f t="shared" si="11"/>
        <v>0.38527000000000022</v>
      </c>
      <c r="I85" s="10">
        <f t="shared" si="12"/>
        <v>8.2078528542837273E-2</v>
      </c>
      <c r="J85" s="11">
        <v>10.391830000000001</v>
      </c>
      <c r="K85">
        <f t="shared" si="13"/>
        <v>3.9690000000000225E-2</v>
      </c>
      <c r="L85" s="4">
        <f t="shared" si="14"/>
        <v>0.47091520232564149</v>
      </c>
    </row>
    <row r="86" spans="1:12" x14ac:dyDescent="0.35">
      <c r="A86" t="s">
        <v>15</v>
      </c>
      <c r="B86">
        <v>2</v>
      </c>
      <c r="C86" s="9" t="s">
        <v>93</v>
      </c>
      <c r="D86">
        <v>11.91066</v>
      </c>
      <c r="E86" s="11">
        <v>12.74663</v>
      </c>
      <c r="F86" s="11">
        <f t="shared" si="10"/>
        <v>0.83596999999999966</v>
      </c>
      <c r="G86" s="11">
        <v>12.70492</v>
      </c>
      <c r="H86" s="11">
        <f t="shared" si="11"/>
        <v>0.79425999999999952</v>
      </c>
      <c r="I86" s="10">
        <f t="shared" si="12"/>
        <v>4.9894134956996246E-2</v>
      </c>
      <c r="J86" s="11">
        <v>12.029489999999999</v>
      </c>
      <c r="K86">
        <f t="shared" si="13"/>
        <v>0.1188299999999991</v>
      </c>
      <c r="L86" s="4">
        <f t="shared" si="14"/>
        <v>0.44645424672021811</v>
      </c>
    </row>
    <row r="87" spans="1:12" x14ac:dyDescent="0.35">
      <c r="A87" t="s">
        <v>15</v>
      </c>
      <c r="B87">
        <v>2</v>
      </c>
      <c r="C87" s="8" t="s">
        <v>92</v>
      </c>
      <c r="D87">
        <v>8.1923899999999996</v>
      </c>
      <c r="E87" s="11">
        <v>8.8881599999999992</v>
      </c>
      <c r="F87" s="11">
        <f t="shared" si="10"/>
        <v>0.69576999999999956</v>
      </c>
      <c r="G87" s="11">
        <v>8.8651099999999996</v>
      </c>
      <c r="H87" s="11">
        <f t="shared" si="11"/>
        <v>0.67271999999999998</v>
      </c>
      <c r="I87" s="10">
        <f t="shared" si="12"/>
        <v>3.3128763815628133E-2</v>
      </c>
      <c r="J87" s="11">
        <v>8.48095</v>
      </c>
      <c r="K87">
        <f t="shared" si="13"/>
        <v>0.28856000000000037</v>
      </c>
      <c r="L87" s="4">
        <f t="shared" si="14"/>
        <v>0.29980378166250415</v>
      </c>
    </row>
    <row r="88" spans="1:12" x14ac:dyDescent="0.35">
      <c r="A88" t="s">
        <v>15</v>
      </c>
      <c r="B88">
        <v>2</v>
      </c>
      <c r="C88" s="8" t="s">
        <v>91</v>
      </c>
      <c r="D88">
        <v>12.59727</v>
      </c>
      <c r="E88" s="11">
        <v>14.068160000000001</v>
      </c>
      <c r="F88" s="11">
        <f t="shared" si="10"/>
        <v>1.4708900000000007</v>
      </c>
      <c r="G88" s="11">
        <v>13.989549999999999</v>
      </c>
      <c r="H88" s="11">
        <f t="shared" si="11"/>
        <v>1.3922799999999995</v>
      </c>
      <c r="I88" s="10">
        <f t="shared" si="12"/>
        <v>5.3443833325402403E-2</v>
      </c>
      <c r="J88" s="11">
        <v>12.87776</v>
      </c>
      <c r="K88">
        <f t="shared" si="13"/>
        <v>0.28049000000000035</v>
      </c>
      <c r="L88" s="4">
        <f t="shared" si="14"/>
        <v>0.41923302065676432</v>
      </c>
    </row>
    <row r="89" spans="1:12" x14ac:dyDescent="0.35">
      <c r="A89" t="s">
        <v>15</v>
      </c>
      <c r="B89">
        <v>2</v>
      </c>
      <c r="C89" s="8" t="s">
        <v>90</v>
      </c>
      <c r="D89">
        <v>10.576790000000001</v>
      </c>
      <c r="E89" s="11">
        <v>11.79077</v>
      </c>
      <c r="F89" s="11">
        <f t="shared" si="10"/>
        <v>1.2139799999999994</v>
      </c>
      <c r="G89" s="11">
        <v>11.72461</v>
      </c>
      <c r="H89" s="11">
        <f t="shared" si="11"/>
        <v>1.1478199999999994</v>
      </c>
      <c r="I89" s="10">
        <f t="shared" si="12"/>
        <v>5.4498426662712755E-2</v>
      </c>
      <c r="J89" s="11">
        <v>10.75789</v>
      </c>
      <c r="K89">
        <f t="shared" si="13"/>
        <v>0.18109999999999893</v>
      </c>
      <c r="L89" s="4">
        <f t="shared" si="14"/>
        <v>0.44216689027896405</v>
      </c>
    </row>
    <row r="90" spans="1:12" x14ac:dyDescent="0.35">
      <c r="A90" t="s">
        <v>15</v>
      </c>
      <c r="B90">
        <v>3</v>
      </c>
      <c r="C90" s="9" t="s">
        <v>93</v>
      </c>
      <c r="D90">
        <v>12.931369999999999</v>
      </c>
      <c r="E90" s="11">
        <v>16.617519999999999</v>
      </c>
      <c r="F90" s="11">
        <f t="shared" si="10"/>
        <v>3.6861499999999996</v>
      </c>
      <c r="G90" s="11">
        <v>16.544879999999999</v>
      </c>
      <c r="H90" s="11">
        <f t="shared" si="11"/>
        <v>3.6135099999999998</v>
      </c>
      <c r="I90" s="10">
        <f t="shared" si="12"/>
        <v>1.9706197523160975E-2</v>
      </c>
      <c r="J90" s="11">
        <v>15.705959999999999</v>
      </c>
      <c r="K90">
        <f t="shared" si="13"/>
        <v>2.7745899999999999</v>
      </c>
      <c r="L90" s="4">
        <f t="shared" si="14"/>
        <v>0.12188509233404639</v>
      </c>
    </row>
    <row r="91" spans="1:12" x14ac:dyDescent="0.35">
      <c r="A91" t="s">
        <v>15</v>
      </c>
      <c r="B91">
        <v>3</v>
      </c>
      <c r="C91" s="8" t="s">
        <v>92</v>
      </c>
      <c r="D91">
        <v>10.852180000000001</v>
      </c>
      <c r="E91" s="11">
        <v>14.765370000000001</v>
      </c>
      <c r="F91" s="11">
        <f t="shared" si="10"/>
        <v>3.9131900000000002</v>
      </c>
      <c r="G91" s="11">
        <v>14.69716</v>
      </c>
      <c r="H91" s="11">
        <f t="shared" si="11"/>
        <v>3.8449799999999996</v>
      </c>
      <c r="I91" s="10">
        <f t="shared" si="12"/>
        <v>1.7430791758130972E-2</v>
      </c>
      <c r="J91" s="11">
        <v>14.19603</v>
      </c>
      <c r="K91">
        <f t="shared" si="13"/>
        <v>3.3438499999999998</v>
      </c>
      <c r="L91" s="4">
        <f t="shared" si="14"/>
        <v>6.8425128349172165E-2</v>
      </c>
    </row>
    <row r="92" spans="1:12" x14ac:dyDescent="0.35">
      <c r="A92" t="s">
        <v>15</v>
      </c>
      <c r="B92">
        <v>3</v>
      </c>
      <c r="C92" s="8" t="s">
        <v>91</v>
      </c>
      <c r="D92">
        <v>12.25911</v>
      </c>
      <c r="E92" s="11">
        <v>15.41489</v>
      </c>
      <c r="F92" s="11">
        <f t="shared" si="10"/>
        <v>3.15578</v>
      </c>
      <c r="G92" s="11">
        <v>15.35243</v>
      </c>
      <c r="H92" s="11">
        <f t="shared" si="11"/>
        <v>3.0933200000000003</v>
      </c>
      <c r="I92" s="10">
        <f t="shared" si="12"/>
        <v>1.9792254212904491E-2</v>
      </c>
      <c r="J92" s="11">
        <v>14.77609</v>
      </c>
      <c r="K92">
        <f t="shared" si="13"/>
        <v>2.5169800000000002</v>
      </c>
      <c r="L92" s="4">
        <f t="shared" si="14"/>
        <v>9.7816747054944211E-2</v>
      </c>
    </row>
    <row r="93" spans="1:12" x14ac:dyDescent="0.35">
      <c r="A93" t="s">
        <v>15</v>
      </c>
      <c r="B93">
        <v>3</v>
      </c>
      <c r="C93" s="8" t="s">
        <v>90</v>
      </c>
      <c r="D93">
        <v>10.569369999999999</v>
      </c>
      <c r="E93" s="11">
        <v>13.340920000000001</v>
      </c>
      <c r="F93" s="11">
        <f t="shared" si="10"/>
        <v>2.7715500000000013</v>
      </c>
      <c r="G93" s="11">
        <v>13.27145</v>
      </c>
      <c r="H93" s="11">
        <f t="shared" si="11"/>
        <v>2.7020800000000005</v>
      </c>
      <c r="I93" s="10">
        <f t="shared" si="12"/>
        <v>2.5065396619220571E-2</v>
      </c>
      <c r="J93" s="11">
        <v>12.527139999999999</v>
      </c>
      <c r="K93">
        <f t="shared" si="13"/>
        <v>1.95777</v>
      </c>
      <c r="L93" s="4">
        <f t="shared" si="14"/>
        <v>0.14461553691970636</v>
      </c>
    </row>
    <row r="94" spans="1:12" x14ac:dyDescent="0.35">
      <c r="A94" t="s">
        <v>15</v>
      </c>
      <c r="B94">
        <v>4</v>
      </c>
      <c r="C94" s="9" t="s">
        <v>93</v>
      </c>
      <c r="D94">
        <v>12.517749999999999</v>
      </c>
      <c r="E94" s="11">
        <v>15.96129</v>
      </c>
      <c r="F94" s="11">
        <f t="shared" si="10"/>
        <v>3.4435400000000005</v>
      </c>
      <c r="G94" s="11">
        <v>15.842930000000001</v>
      </c>
      <c r="H94" s="11">
        <f t="shared" si="11"/>
        <v>3.3251800000000014</v>
      </c>
      <c r="I94" s="10">
        <f t="shared" si="12"/>
        <v>3.4371605963630196E-2</v>
      </c>
      <c r="J94" s="11">
        <v>15.611359999999999</v>
      </c>
      <c r="K94">
        <f t="shared" si="13"/>
        <v>3.09361</v>
      </c>
      <c r="L94" s="4">
        <f t="shared" si="14"/>
        <v>3.656170493025962E-2</v>
      </c>
    </row>
    <row r="95" spans="1:12" x14ac:dyDescent="0.35">
      <c r="A95" t="s">
        <v>15</v>
      </c>
      <c r="B95">
        <v>4</v>
      </c>
      <c r="C95" s="8" t="s">
        <v>92</v>
      </c>
      <c r="D95" s="12">
        <v>12.8399</v>
      </c>
      <c r="E95" s="11">
        <v>16.459230000000002</v>
      </c>
      <c r="F95" s="11">
        <f t="shared" si="10"/>
        <v>3.6193300000000015</v>
      </c>
      <c r="G95" s="11">
        <v>16.391279999999998</v>
      </c>
      <c r="H95" s="11">
        <f t="shared" si="11"/>
        <v>3.5513799999999982</v>
      </c>
      <c r="I95" s="10">
        <f t="shared" si="12"/>
        <v>1.8774193013624967E-2</v>
      </c>
      <c r="J95" s="11">
        <v>16.15062</v>
      </c>
      <c r="K95">
        <f t="shared" si="13"/>
        <v>3.3107199999999999</v>
      </c>
      <c r="L95" s="4">
        <f t="shared" si="14"/>
        <v>3.5576733551464269E-2</v>
      </c>
    </row>
    <row r="96" spans="1:12" x14ac:dyDescent="0.35">
      <c r="A96" t="s">
        <v>15</v>
      </c>
      <c r="B96">
        <v>4</v>
      </c>
      <c r="C96" s="8" t="s">
        <v>91</v>
      </c>
      <c r="D96" s="12">
        <v>12.27595</v>
      </c>
      <c r="E96" s="11">
        <v>16.084320000000002</v>
      </c>
      <c r="F96" s="11">
        <f t="shared" si="10"/>
        <v>3.8083700000000018</v>
      </c>
      <c r="G96" s="11">
        <v>16.734929999999999</v>
      </c>
      <c r="H96" s="11">
        <f t="shared" si="11"/>
        <v>4.4589799999999986</v>
      </c>
      <c r="I96" s="10">
        <f t="shared" si="12"/>
        <v>-0.17083686721615718</v>
      </c>
      <c r="J96" s="11">
        <v>15.490080000000001</v>
      </c>
      <c r="K96">
        <f t="shared" si="13"/>
        <v>3.2141300000000008</v>
      </c>
      <c r="L96" s="4">
        <f t="shared" si="14"/>
        <v>0.14656855379481384</v>
      </c>
    </row>
    <row r="97" spans="1:12" x14ac:dyDescent="0.35">
      <c r="A97" t="s">
        <v>15</v>
      </c>
      <c r="B97">
        <v>4</v>
      </c>
      <c r="C97" s="8" t="s">
        <v>90</v>
      </c>
      <c r="D97" s="12">
        <v>13.078060000000001</v>
      </c>
      <c r="E97" s="11">
        <v>16.218699999999998</v>
      </c>
      <c r="F97" s="11">
        <f t="shared" si="10"/>
        <v>3.1406399999999977</v>
      </c>
      <c r="G97" s="11">
        <v>16.08379</v>
      </c>
      <c r="H97" s="11">
        <f t="shared" si="11"/>
        <v>3.0057299999999998</v>
      </c>
      <c r="I97" s="10">
        <f t="shared" si="12"/>
        <v>4.2956212746445933E-2</v>
      </c>
      <c r="J97" s="11">
        <v>15.894579999999999</v>
      </c>
      <c r="K97">
        <f t="shared" si="13"/>
        <v>2.8165199999999988</v>
      </c>
      <c r="L97" s="4">
        <f t="shared" si="14"/>
        <v>3.3048627122196778E-2</v>
      </c>
    </row>
    <row r="98" spans="1:12" x14ac:dyDescent="0.35">
      <c r="A98" t="s">
        <v>16</v>
      </c>
      <c r="B98">
        <v>1</v>
      </c>
      <c r="C98" s="9" t="s">
        <v>93</v>
      </c>
      <c r="D98" s="12">
        <v>11.846159999999999</v>
      </c>
      <c r="E98" s="11">
        <v>12.20961</v>
      </c>
      <c r="F98" s="11">
        <f t="shared" ref="F98:F125" si="15">E98-D98</f>
        <v>0.36345000000000027</v>
      </c>
      <c r="G98">
        <v>12.18576</v>
      </c>
      <c r="H98" s="11">
        <f t="shared" ref="H98:H125" si="16">G98-D98</f>
        <v>0.33960000000000079</v>
      </c>
      <c r="I98" s="10">
        <f t="shared" ref="I98:I125" si="17">(F98-H98)/F98</f>
        <v>6.5621130829548666E-2</v>
      </c>
      <c r="J98">
        <v>11.872529999999999</v>
      </c>
      <c r="K98">
        <f t="shared" ref="K98:K125" si="18">J98-D98</f>
        <v>2.6370000000000005E-2</v>
      </c>
      <c r="L98" s="4">
        <f t="shared" si="14"/>
        <v>0.48423365724381634</v>
      </c>
    </row>
    <row r="99" spans="1:12" x14ac:dyDescent="0.35">
      <c r="A99" t="s">
        <v>16</v>
      </c>
      <c r="B99">
        <v>1</v>
      </c>
      <c r="C99" s="8" t="s">
        <v>92</v>
      </c>
      <c r="D99" s="12">
        <v>11.29461</v>
      </c>
      <c r="E99" s="11">
        <v>11.69506</v>
      </c>
      <c r="F99" s="11">
        <f t="shared" si="15"/>
        <v>0.40044999999999931</v>
      </c>
      <c r="G99">
        <v>11.66724</v>
      </c>
      <c r="H99" s="11">
        <f t="shared" si="16"/>
        <v>0.37262999999999913</v>
      </c>
      <c r="I99" s="10">
        <f t="shared" si="17"/>
        <v>6.9471844175303346E-2</v>
      </c>
      <c r="J99">
        <v>11.318669999999999</v>
      </c>
      <c r="K99">
        <f t="shared" si="18"/>
        <v>2.4059999999998638E-2</v>
      </c>
      <c r="L99" s="4">
        <f t="shared" si="14"/>
        <v>0.49110176314306603</v>
      </c>
    </row>
    <row r="100" spans="1:12" x14ac:dyDescent="0.35">
      <c r="A100" t="s">
        <v>16</v>
      </c>
      <c r="B100">
        <v>1</v>
      </c>
      <c r="C100" s="8" t="s">
        <v>91</v>
      </c>
      <c r="D100" s="12">
        <v>14.163790000000001</v>
      </c>
      <c r="E100" s="11">
        <v>14.778219999999999</v>
      </c>
      <c r="F100" s="11">
        <f t="shared" si="15"/>
        <v>0.6144299999999987</v>
      </c>
      <c r="G100">
        <v>14.73166</v>
      </c>
      <c r="H100" s="11">
        <f t="shared" si="16"/>
        <v>0.56786999999999921</v>
      </c>
      <c r="I100" s="10">
        <f t="shared" si="17"/>
        <v>7.5777549924319426E-2</v>
      </c>
      <c r="J100">
        <v>14.203670000000001</v>
      </c>
      <c r="K100">
        <f t="shared" si="18"/>
        <v>3.9880000000000138E-2</v>
      </c>
      <c r="L100" s="4">
        <f t="shared" si="14"/>
        <v>0.4881306460985787</v>
      </c>
    </row>
    <row r="101" spans="1:12" x14ac:dyDescent="0.35">
      <c r="A101" t="s">
        <v>16</v>
      </c>
      <c r="B101">
        <v>1</v>
      </c>
      <c r="C101" s="8" t="s">
        <v>90</v>
      </c>
      <c r="D101" s="12">
        <v>11.54125</v>
      </c>
      <c r="E101" s="11">
        <v>12.08409</v>
      </c>
      <c r="F101" s="11">
        <f t="shared" si="15"/>
        <v>0.54283999999999999</v>
      </c>
      <c r="G101">
        <v>12.029159999999999</v>
      </c>
      <c r="H101" s="11">
        <f t="shared" si="16"/>
        <v>0.4879099999999994</v>
      </c>
      <c r="I101" s="10">
        <f t="shared" si="17"/>
        <v>0.1011900375801352</v>
      </c>
      <c r="J101">
        <v>11.60502</v>
      </c>
      <c r="K101">
        <f t="shared" si="18"/>
        <v>6.3769999999999882E-2</v>
      </c>
      <c r="L101" s="4">
        <f t="shared" si="14"/>
        <v>0.45638232460904682</v>
      </c>
    </row>
    <row r="102" spans="1:12" x14ac:dyDescent="0.35">
      <c r="A102" t="s">
        <v>16</v>
      </c>
      <c r="B102">
        <v>2</v>
      </c>
      <c r="C102" s="9" t="s">
        <v>93</v>
      </c>
      <c r="D102" s="12">
        <v>12.270519999999999</v>
      </c>
      <c r="E102" s="11">
        <v>13.562569999999999</v>
      </c>
      <c r="F102" s="11">
        <f t="shared" si="15"/>
        <v>1.2920499999999997</v>
      </c>
      <c r="G102">
        <v>13.49506</v>
      </c>
      <c r="H102" s="11">
        <f t="shared" si="16"/>
        <v>1.2245400000000011</v>
      </c>
      <c r="I102" s="10">
        <f t="shared" si="17"/>
        <v>5.2250299910993107E-2</v>
      </c>
      <c r="J102">
        <v>12.472519999999999</v>
      </c>
      <c r="K102">
        <f t="shared" si="18"/>
        <v>0.20199999999999996</v>
      </c>
      <c r="L102" s="4">
        <f t="shared" si="14"/>
        <v>0.4383960507619189</v>
      </c>
    </row>
    <row r="103" spans="1:12" x14ac:dyDescent="0.35">
      <c r="A103" t="s">
        <v>16</v>
      </c>
      <c r="B103">
        <v>2</v>
      </c>
      <c r="C103" s="8" t="s">
        <v>92</v>
      </c>
      <c r="D103" s="12">
        <v>12.562889999999999</v>
      </c>
      <c r="E103" s="11">
        <v>13.83358</v>
      </c>
      <c r="F103" s="11">
        <f t="shared" si="15"/>
        <v>1.2706900000000001</v>
      </c>
      <c r="G103">
        <v>13.755559999999999</v>
      </c>
      <c r="H103" s="11">
        <f t="shared" si="16"/>
        <v>1.1926699999999997</v>
      </c>
      <c r="I103" s="10">
        <f t="shared" si="17"/>
        <v>6.1399711967514044E-2</v>
      </c>
      <c r="J103">
        <v>12.69614</v>
      </c>
      <c r="K103">
        <f t="shared" si="18"/>
        <v>0.13325000000000031</v>
      </c>
      <c r="L103" s="4">
        <f t="shared" si="14"/>
        <v>0.46634483972934665</v>
      </c>
    </row>
    <row r="104" spans="1:12" x14ac:dyDescent="0.35">
      <c r="A104" t="s">
        <v>16</v>
      </c>
      <c r="B104">
        <v>2</v>
      </c>
      <c r="C104" s="8" t="s">
        <v>91</v>
      </c>
      <c r="D104" s="12">
        <v>12.57944</v>
      </c>
      <c r="E104" s="11">
        <v>13.87341</v>
      </c>
      <c r="F104" s="11">
        <f t="shared" si="15"/>
        <v>1.2939699999999998</v>
      </c>
      <c r="G104">
        <v>13.80904</v>
      </c>
      <c r="H104" s="11">
        <f t="shared" si="16"/>
        <v>1.2295999999999996</v>
      </c>
      <c r="I104" s="10">
        <f t="shared" si="17"/>
        <v>4.9746130126664657E-2</v>
      </c>
      <c r="J104">
        <v>12.891640000000001</v>
      </c>
      <c r="K104">
        <f t="shared" si="18"/>
        <v>0.3122000000000007</v>
      </c>
      <c r="L104" s="4">
        <f t="shared" ref="L104:L125" si="19">((H104-K104)/H104)*0.525</f>
        <v>0.39170055302537377</v>
      </c>
    </row>
    <row r="105" spans="1:12" x14ac:dyDescent="0.35">
      <c r="A105" t="s">
        <v>16</v>
      </c>
      <c r="B105">
        <v>2</v>
      </c>
      <c r="C105" s="8" t="s">
        <v>90</v>
      </c>
      <c r="D105" s="12">
        <v>11.29217</v>
      </c>
      <c r="E105" s="11">
        <v>12.66694</v>
      </c>
      <c r="F105" s="11">
        <f t="shared" si="15"/>
        <v>1.3747699999999998</v>
      </c>
      <c r="G105">
        <v>12.60013</v>
      </c>
      <c r="H105" s="11">
        <f t="shared" si="16"/>
        <v>1.3079599999999996</v>
      </c>
      <c r="I105" s="10">
        <f t="shared" si="17"/>
        <v>4.8597219898601413E-2</v>
      </c>
      <c r="J105">
        <v>11.75841</v>
      </c>
      <c r="K105">
        <f t="shared" si="18"/>
        <v>0.4662399999999991</v>
      </c>
      <c r="L105" s="4">
        <f t="shared" si="19"/>
        <v>0.33785666228325056</v>
      </c>
    </row>
    <row r="106" spans="1:12" x14ac:dyDescent="0.35">
      <c r="A106" t="s">
        <v>16</v>
      </c>
      <c r="B106">
        <v>3</v>
      </c>
      <c r="C106" s="9" t="s">
        <v>93</v>
      </c>
      <c r="D106" s="12">
        <v>11.895619999999999</v>
      </c>
      <c r="E106" s="11">
        <v>14.30763</v>
      </c>
      <c r="F106" s="11">
        <f t="shared" si="15"/>
        <v>2.4120100000000004</v>
      </c>
      <c r="G106">
        <v>14.264480000000001</v>
      </c>
      <c r="H106" s="11">
        <f t="shared" si="16"/>
        <v>2.3688600000000015</v>
      </c>
      <c r="I106" s="10">
        <f t="shared" si="17"/>
        <v>1.788964390694852E-2</v>
      </c>
      <c r="J106">
        <v>13.640330000000001</v>
      </c>
      <c r="K106">
        <f t="shared" si="18"/>
        <v>1.7447100000000013</v>
      </c>
      <c r="L106" s="4">
        <f t="shared" si="19"/>
        <v>0.13832761328233831</v>
      </c>
    </row>
    <row r="107" spans="1:12" x14ac:dyDescent="0.35">
      <c r="A107" t="s">
        <v>16</v>
      </c>
      <c r="B107">
        <v>3</v>
      </c>
      <c r="C107" s="8" t="s">
        <v>92</v>
      </c>
      <c r="D107" s="12">
        <v>12.82607</v>
      </c>
      <c r="E107" s="11">
        <v>15.55911</v>
      </c>
      <c r="F107" s="11">
        <f t="shared" si="15"/>
        <v>2.7330400000000008</v>
      </c>
      <c r="G107">
        <v>15.51385</v>
      </c>
      <c r="H107" s="11">
        <f t="shared" si="16"/>
        <v>2.6877800000000001</v>
      </c>
      <c r="I107" s="10">
        <f t="shared" si="17"/>
        <v>1.6560313789772827E-2</v>
      </c>
      <c r="J107">
        <v>14.89526</v>
      </c>
      <c r="K107">
        <f t="shared" si="18"/>
        <v>2.0691900000000008</v>
      </c>
      <c r="L107" s="4">
        <f t="shared" si="19"/>
        <v>0.12082824859177449</v>
      </c>
    </row>
    <row r="108" spans="1:12" x14ac:dyDescent="0.35">
      <c r="A108" t="s">
        <v>16</v>
      </c>
      <c r="B108">
        <v>3</v>
      </c>
      <c r="C108" s="8" t="s">
        <v>91</v>
      </c>
      <c r="D108" s="12">
        <v>11.60299</v>
      </c>
      <c r="E108" s="11">
        <v>14.71223</v>
      </c>
      <c r="F108" s="11">
        <f t="shared" si="15"/>
        <v>3.1092399999999998</v>
      </c>
      <c r="G108">
        <v>14.52375</v>
      </c>
      <c r="H108" s="11">
        <f t="shared" si="16"/>
        <v>2.9207599999999996</v>
      </c>
      <c r="I108" s="10">
        <f t="shared" si="17"/>
        <v>6.0619315331077762E-2</v>
      </c>
      <c r="J108">
        <v>14.15513</v>
      </c>
      <c r="K108">
        <f t="shared" si="18"/>
        <v>2.5521399999999996</v>
      </c>
      <c r="L108" s="4">
        <f t="shared" si="19"/>
        <v>6.6258610772538654E-2</v>
      </c>
    </row>
    <row r="109" spans="1:12" x14ac:dyDescent="0.35">
      <c r="A109" t="s">
        <v>16</v>
      </c>
      <c r="B109">
        <v>3</v>
      </c>
      <c r="C109" s="8" t="s">
        <v>90</v>
      </c>
      <c r="D109" s="12">
        <v>12.52439</v>
      </c>
      <c r="E109" s="11">
        <v>14.84737</v>
      </c>
      <c r="F109" s="11">
        <f t="shared" si="15"/>
        <v>2.3229799999999994</v>
      </c>
      <c r="G109">
        <v>14.792920000000001</v>
      </c>
      <c r="H109" s="11">
        <f t="shared" si="16"/>
        <v>2.2685300000000002</v>
      </c>
      <c r="I109" s="10">
        <f t="shared" si="17"/>
        <v>2.3439719670423007E-2</v>
      </c>
      <c r="J109">
        <v>14.20327</v>
      </c>
      <c r="K109">
        <f t="shared" si="18"/>
        <v>1.6788799999999995</v>
      </c>
      <c r="L109" s="4">
        <f t="shared" si="19"/>
        <v>0.13646116648225959</v>
      </c>
    </row>
    <row r="110" spans="1:12" x14ac:dyDescent="0.35">
      <c r="A110" t="s">
        <v>16</v>
      </c>
      <c r="B110">
        <v>4</v>
      </c>
      <c r="C110" s="9" t="s">
        <v>93</v>
      </c>
      <c r="D110" s="12">
        <v>11.45524</v>
      </c>
      <c r="E110" s="11">
        <v>14.74269</v>
      </c>
      <c r="F110" s="11">
        <f t="shared" si="15"/>
        <v>3.2874499999999998</v>
      </c>
      <c r="G110">
        <v>14.671989999999999</v>
      </c>
      <c r="H110" s="11">
        <f t="shared" si="16"/>
        <v>3.2167499999999993</v>
      </c>
      <c r="I110" s="10">
        <f t="shared" si="17"/>
        <v>2.1506030509969864E-2</v>
      </c>
      <c r="J110">
        <v>14.46218</v>
      </c>
      <c r="K110">
        <f t="shared" si="18"/>
        <v>3.0069400000000002</v>
      </c>
      <c r="L110" s="4">
        <f t="shared" si="19"/>
        <v>3.4242713919328385E-2</v>
      </c>
    </row>
    <row r="111" spans="1:12" x14ac:dyDescent="0.35">
      <c r="A111" t="s">
        <v>16</v>
      </c>
      <c r="B111">
        <v>4</v>
      </c>
      <c r="C111" s="8" t="s">
        <v>92</v>
      </c>
      <c r="D111" s="12">
        <v>11.854469999999999</v>
      </c>
      <c r="E111" s="11">
        <v>15.22034</v>
      </c>
      <c r="F111" s="11">
        <f t="shared" si="15"/>
        <v>3.365870000000001</v>
      </c>
      <c r="G111">
        <v>15.16742</v>
      </c>
      <c r="H111" s="11">
        <f t="shared" si="16"/>
        <v>3.3129500000000007</v>
      </c>
      <c r="I111" s="10">
        <f t="shared" si="17"/>
        <v>1.572253236161833E-2</v>
      </c>
      <c r="J111">
        <v>15.030849999999999</v>
      </c>
      <c r="K111">
        <f t="shared" si="18"/>
        <v>3.17638</v>
      </c>
      <c r="L111" s="4">
        <f t="shared" si="19"/>
        <v>2.164211654265847E-2</v>
      </c>
    </row>
    <row r="112" spans="1:12" x14ac:dyDescent="0.35">
      <c r="A112" t="s">
        <v>16</v>
      </c>
      <c r="B112">
        <v>4</v>
      </c>
      <c r="C112" s="8" t="s">
        <v>91</v>
      </c>
      <c r="D112" s="12">
        <v>12.90146</v>
      </c>
      <c r="E112" s="11">
        <v>16.012899999999998</v>
      </c>
      <c r="F112" s="11">
        <f t="shared" si="15"/>
        <v>3.1114399999999982</v>
      </c>
      <c r="G112">
        <v>15.963850000000001</v>
      </c>
      <c r="H112" s="11">
        <f t="shared" si="16"/>
        <v>3.0623900000000006</v>
      </c>
      <c r="I112" s="10">
        <f t="shared" si="17"/>
        <v>1.576440490576634E-2</v>
      </c>
      <c r="J112">
        <v>15.848039999999999</v>
      </c>
      <c r="K112">
        <f t="shared" si="18"/>
        <v>2.9465799999999991</v>
      </c>
      <c r="L112" s="4">
        <f t="shared" si="19"/>
        <v>1.9853855975235288E-2</v>
      </c>
    </row>
    <row r="113" spans="1:12" x14ac:dyDescent="0.35">
      <c r="A113" t="s">
        <v>16</v>
      </c>
      <c r="B113">
        <v>4</v>
      </c>
      <c r="C113" s="8" t="s">
        <v>90</v>
      </c>
      <c r="D113" s="12">
        <v>12.21068</v>
      </c>
      <c r="E113" s="11">
        <v>16.32639</v>
      </c>
      <c r="F113" s="11">
        <f t="shared" si="15"/>
        <v>4.11571</v>
      </c>
      <c r="G113">
        <v>16.253270000000001</v>
      </c>
      <c r="H113" s="11">
        <f t="shared" si="16"/>
        <v>4.0425900000000006</v>
      </c>
      <c r="I113" s="10">
        <f t="shared" si="17"/>
        <v>1.7766071953563153E-2</v>
      </c>
      <c r="J113">
        <v>16.084340000000001</v>
      </c>
      <c r="K113">
        <f t="shared" si="18"/>
        <v>3.873660000000001</v>
      </c>
      <c r="L113" s="4">
        <f t="shared" si="19"/>
        <v>2.1938472612854573E-2</v>
      </c>
    </row>
    <row r="114" spans="1:12" x14ac:dyDescent="0.35">
      <c r="A114" t="s">
        <v>17</v>
      </c>
      <c r="B114">
        <v>1</v>
      </c>
      <c r="C114" s="9" t="s">
        <v>93</v>
      </c>
      <c r="D114" s="12">
        <v>12.027990000000001</v>
      </c>
      <c r="E114">
        <v>12.91173</v>
      </c>
      <c r="F114" s="11">
        <f t="shared" si="15"/>
        <v>0.88373999999999953</v>
      </c>
      <c r="G114">
        <v>12.86186</v>
      </c>
      <c r="H114" s="11">
        <f t="shared" si="16"/>
        <v>0.83386999999999922</v>
      </c>
      <c r="I114" s="10">
        <f t="shared" si="17"/>
        <v>5.6430624391789815E-2</v>
      </c>
      <c r="J114">
        <v>12.14527</v>
      </c>
      <c r="K114">
        <f t="shared" si="18"/>
        <v>0.11727999999999916</v>
      </c>
      <c r="L114" s="4">
        <f t="shared" si="19"/>
        <v>0.45116115221797209</v>
      </c>
    </row>
    <row r="115" spans="1:12" x14ac:dyDescent="0.35">
      <c r="A115" t="s">
        <v>17</v>
      </c>
      <c r="B115">
        <v>1</v>
      </c>
      <c r="C115" s="8" t="s">
        <v>92</v>
      </c>
      <c r="D115" s="12">
        <v>12.70116</v>
      </c>
      <c r="E115">
        <v>13.59825</v>
      </c>
      <c r="F115" s="11">
        <f t="shared" si="15"/>
        <v>0.89709000000000039</v>
      </c>
      <c r="G115">
        <v>13.54982</v>
      </c>
      <c r="H115" s="11">
        <f t="shared" si="16"/>
        <v>0.84866000000000064</v>
      </c>
      <c r="I115" s="10">
        <f t="shared" si="17"/>
        <v>5.3985664760503108E-2</v>
      </c>
      <c r="J115">
        <v>12.82198</v>
      </c>
      <c r="K115">
        <f t="shared" si="18"/>
        <v>0.12082000000000015</v>
      </c>
      <c r="L115" s="4">
        <f t="shared" si="19"/>
        <v>0.4502580538731647</v>
      </c>
    </row>
    <row r="116" spans="1:12" x14ac:dyDescent="0.35">
      <c r="A116" t="s">
        <v>17</v>
      </c>
      <c r="B116">
        <v>1</v>
      </c>
      <c r="C116" s="8" t="s">
        <v>91</v>
      </c>
      <c r="D116" s="12">
        <v>11.052849999999999</v>
      </c>
      <c r="E116">
        <v>11.911060000000001</v>
      </c>
      <c r="F116" s="11">
        <f t="shared" si="15"/>
        <v>0.85821000000000147</v>
      </c>
      <c r="G116">
        <v>11.86049</v>
      </c>
      <c r="H116" s="11">
        <f t="shared" si="16"/>
        <v>0.80764000000000102</v>
      </c>
      <c r="I116" s="10">
        <f t="shared" si="17"/>
        <v>5.8924971743513084E-2</v>
      </c>
      <c r="J116">
        <v>11.12562</v>
      </c>
      <c r="K116">
        <f t="shared" si="18"/>
        <v>7.2770000000000223E-2</v>
      </c>
      <c r="L116" s="4">
        <f t="shared" si="19"/>
        <v>0.4776964365311277</v>
      </c>
    </row>
    <row r="117" spans="1:12" x14ac:dyDescent="0.35">
      <c r="A117" t="s">
        <v>17</v>
      </c>
      <c r="B117">
        <v>1</v>
      </c>
      <c r="C117" s="8" t="s">
        <v>90</v>
      </c>
      <c r="D117">
        <v>9.7409400000000002</v>
      </c>
      <c r="E117">
        <v>11.36327</v>
      </c>
      <c r="F117" s="11">
        <f t="shared" si="15"/>
        <v>1.6223299999999998</v>
      </c>
      <c r="G117">
        <v>11.293519999999999</v>
      </c>
      <c r="H117" s="11">
        <f t="shared" si="16"/>
        <v>1.552579999999999</v>
      </c>
      <c r="I117" s="10">
        <f t="shared" si="17"/>
        <v>4.2993718910456488E-2</v>
      </c>
      <c r="J117">
        <v>10.15277</v>
      </c>
      <c r="K117">
        <f t="shared" si="18"/>
        <v>0.41183000000000014</v>
      </c>
      <c r="L117" s="4">
        <f t="shared" si="19"/>
        <v>0.38574099241262916</v>
      </c>
    </row>
    <row r="118" spans="1:12" x14ac:dyDescent="0.35">
      <c r="A118" t="s">
        <v>17</v>
      </c>
      <c r="B118">
        <v>2</v>
      </c>
      <c r="C118" s="9" t="s">
        <v>93</v>
      </c>
      <c r="D118" s="12">
        <v>10.19171</v>
      </c>
      <c r="E118">
        <v>11.327070000000001</v>
      </c>
      <c r="F118" s="11">
        <f t="shared" si="15"/>
        <v>1.1353600000000004</v>
      </c>
      <c r="G118">
        <v>11.27468</v>
      </c>
      <c r="H118" s="11">
        <f t="shared" si="16"/>
        <v>1.0829699999999995</v>
      </c>
      <c r="I118" s="10">
        <f t="shared" si="17"/>
        <v>4.6143954340474219E-2</v>
      </c>
      <c r="J118">
        <v>10.34029</v>
      </c>
      <c r="K118">
        <f t="shared" si="18"/>
        <v>0.14857999999999905</v>
      </c>
      <c r="L118" s="4">
        <f t="shared" si="19"/>
        <v>0.45297168896645379</v>
      </c>
    </row>
    <row r="119" spans="1:12" x14ac:dyDescent="0.35">
      <c r="A119" t="s">
        <v>17</v>
      </c>
      <c r="B119">
        <v>2</v>
      </c>
      <c r="C119" s="8" t="s">
        <v>92</v>
      </c>
      <c r="D119" s="12">
        <v>14.079140000000001</v>
      </c>
      <c r="E119">
        <v>15.432090000000001</v>
      </c>
      <c r="F119" s="11">
        <f t="shared" si="15"/>
        <v>1.3529499999999999</v>
      </c>
      <c r="G119">
        <v>15.370200000000001</v>
      </c>
      <c r="H119" s="11">
        <f t="shared" si="16"/>
        <v>1.2910599999999999</v>
      </c>
      <c r="I119" s="10">
        <f t="shared" si="17"/>
        <v>4.5744484275102561E-2</v>
      </c>
      <c r="J119">
        <v>14.37416</v>
      </c>
      <c r="K119">
        <f t="shared" si="18"/>
        <v>0.29501999999999917</v>
      </c>
      <c r="L119" s="4">
        <f t="shared" si="19"/>
        <v>0.40503229904109839</v>
      </c>
    </row>
    <row r="120" spans="1:12" x14ac:dyDescent="0.35">
      <c r="A120" t="s">
        <v>17</v>
      </c>
      <c r="B120">
        <v>2</v>
      </c>
      <c r="C120" s="8" t="s">
        <v>91</v>
      </c>
      <c r="D120" s="12">
        <v>10.230980000000001</v>
      </c>
      <c r="E120">
        <v>11.93224</v>
      </c>
      <c r="F120" s="11">
        <f t="shared" si="15"/>
        <v>1.7012599999999996</v>
      </c>
      <c r="G120">
        <v>11.35463</v>
      </c>
      <c r="H120" s="11">
        <f t="shared" si="16"/>
        <v>1.1236499999999996</v>
      </c>
      <c r="I120" s="10">
        <f t="shared" si="17"/>
        <v>0.33951894478210276</v>
      </c>
      <c r="J120">
        <v>10.72892</v>
      </c>
      <c r="K120">
        <f t="shared" si="18"/>
        <v>0.49793999999999983</v>
      </c>
      <c r="L120" s="4">
        <f t="shared" si="19"/>
        <v>0.29234881858229878</v>
      </c>
    </row>
    <row r="121" spans="1:12" x14ac:dyDescent="0.35">
      <c r="A121" t="s">
        <v>17</v>
      </c>
      <c r="B121">
        <v>2</v>
      </c>
      <c r="C121" s="8" t="s">
        <v>90</v>
      </c>
      <c r="D121" s="12">
        <v>15.32212</v>
      </c>
      <c r="E121">
        <v>17.027429999999999</v>
      </c>
      <c r="F121" s="11">
        <f t="shared" si="15"/>
        <v>1.705309999999999</v>
      </c>
      <c r="G121">
        <v>16.386389999999999</v>
      </c>
      <c r="H121" s="11">
        <f t="shared" si="16"/>
        <v>1.0642699999999987</v>
      </c>
      <c r="I121" s="10">
        <f t="shared" si="17"/>
        <v>0.37590819264532588</v>
      </c>
      <c r="J121">
        <v>15.52595</v>
      </c>
      <c r="K121">
        <f t="shared" si="18"/>
        <v>0.20382999999999996</v>
      </c>
      <c r="L121" s="4">
        <f t="shared" si="19"/>
        <v>0.42445150196848536</v>
      </c>
    </row>
    <row r="122" spans="1:12" x14ac:dyDescent="0.35">
      <c r="A122" t="s">
        <v>17</v>
      </c>
      <c r="B122">
        <v>3</v>
      </c>
      <c r="C122" s="9" t="s">
        <v>93</v>
      </c>
      <c r="D122" s="12">
        <v>10.5877</v>
      </c>
      <c r="E122">
        <v>13.486980000000001</v>
      </c>
      <c r="F122" s="11">
        <f t="shared" si="15"/>
        <v>2.899280000000001</v>
      </c>
      <c r="G122">
        <v>13.38616</v>
      </c>
      <c r="H122" s="11">
        <f t="shared" si="16"/>
        <v>2.7984600000000004</v>
      </c>
      <c r="I122" s="10">
        <f t="shared" si="17"/>
        <v>3.4774150823652955E-2</v>
      </c>
      <c r="J122">
        <v>12.82846</v>
      </c>
      <c r="K122">
        <f t="shared" si="18"/>
        <v>2.2407599999999999</v>
      </c>
      <c r="L122" s="4">
        <f t="shared" si="19"/>
        <v>0.10462629446195416</v>
      </c>
    </row>
    <row r="123" spans="1:12" x14ac:dyDescent="0.35">
      <c r="A123" t="s">
        <v>17</v>
      </c>
      <c r="B123">
        <v>3</v>
      </c>
      <c r="C123" s="8" t="s">
        <v>92</v>
      </c>
      <c r="D123" s="12">
        <v>11.652659999999999</v>
      </c>
      <c r="E123">
        <v>13.51614</v>
      </c>
      <c r="F123" s="11">
        <f t="shared" si="15"/>
        <v>1.8634800000000009</v>
      </c>
      <c r="G123">
        <v>13.389570000000001</v>
      </c>
      <c r="H123" s="11">
        <f t="shared" si="16"/>
        <v>1.7369100000000017</v>
      </c>
      <c r="I123" s="10">
        <f t="shared" si="17"/>
        <v>6.7921308519543602E-2</v>
      </c>
      <c r="J123">
        <v>12.92398</v>
      </c>
      <c r="K123">
        <f t="shared" si="18"/>
        <v>1.2713200000000011</v>
      </c>
      <c r="L123" s="4">
        <f t="shared" si="19"/>
        <v>0.14072965784064809</v>
      </c>
    </row>
    <row r="124" spans="1:12" x14ac:dyDescent="0.35">
      <c r="A124" t="s">
        <v>17</v>
      </c>
      <c r="B124">
        <v>3</v>
      </c>
      <c r="C124" s="8" t="s">
        <v>91</v>
      </c>
      <c r="D124" s="12">
        <v>9.24282</v>
      </c>
      <c r="E124">
        <v>10.999969999999999</v>
      </c>
      <c r="F124" s="11">
        <f t="shared" si="15"/>
        <v>1.7571499999999993</v>
      </c>
      <c r="G124">
        <v>10.94633</v>
      </c>
      <c r="H124" s="11">
        <f t="shared" si="16"/>
        <v>1.7035099999999996</v>
      </c>
      <c r="I124" s="10">
        <f t="shared" si="17"/>
        <v>3.0526705175995053E-2</v>
      </c>
      <c r="J124">
        <v>10.451449999999999</v>
      </c>
      <c r="K124">
        <f t="shared" si="18"/>
        <v>1.2086299999999994</v>
      </c>
      <c r="L124" s="4">
        <f t="shared" si="19"/>
        <v>0.15251568819672334</v>
      </c>
    </row>
    <row r="125" spans="1:12" x14ac:dyDescent="0.35">
      <c r="A125" t="s">
        <v>17</v>
      </c>
      <c r="B125">
        <v>3</v>
      </c>
      <c r="C125" s="8" t="s">
        <v>90</v>
      </c>
      <c r="D125" s="12">
        <v>14.917439999999999</v>
      </c>
      <c r="E125">
        <v>17.315480000000001</v>
      </c>
      <c r="F125" s="11">
        <f t="shared" si="15"/>
        <v>2.3980400000000017</v>
      </c>
      <c r="G125">
        <v>17.247820000000001</v>
      </c>
      <c r="H125" s="11">
        <f t="shared" si="16"/>
        <v>2.3303800000000017</v>
      </c>
      <c r="I125" s="10">
        <f t="shared" si="17"/>
        <v>2.8214708678754318E-2</v>
      </c>
      <c r="J125">
        <v>16.80077</v>
      </c>
      <c r="K125">
        <f t="shared" si="18"/>
        <v>1.8833300000000008</v>
      </c>
      <c r="L125" s="4">
        <f t="shared" si="19"/>
        <v>0.10071372480024729</v>
      </c>
    </row>
    <row r="126" spans="1:12" x14ac:dyDescent="0.35">
      <c r="A126" t="s">
        <v>17</v>
      </c>
      <c r="B126">
        <v>4</v>
      </c>
      <c r="C126" s="9" t="s">
        <v>93</v>
      </c>
      <c r="D126" s="12" t="s">
        <v>88</v>
      </c>
      <c r="E126" s="12" t="s">
        <v>88</v>
      </c>
      <c r="F126" s="12" t="s">
        <v>88</v>
      </c>
      <c r="G126" s="12" t="s">
        <v>88</v>
      </c>
      <c r="H126" s="12" t="s">
        <v>88</v>
      </c>
      <c r="I126" s="12" t="s">
        <v>88</v>
      </c>
      <c r="J126" s="12" t="s">
        <v>88</v>
      </c>
      <c r="K126" s="12" t="s">
        <v>88</v>
      </c>
      <c r="L126" s="12" t="s">
        <v>88</v>
      </c>
    </row>
    <row r="127" spans="1:12" x14ac:dyDescent="0.35">
      <c r="A127" t="s">
        <v>17</v>
      </c>
      <c r="B127">
        <v>4</v>
      </c>
      <c r="C127" s="8" t="s">
        <v>92</v>
      </c>
      <c r="D127" s="12">
        <v>13.1326</v>
      </c>
      <c r="E127">
        <v>15.23184</v>
      </c>
      <c r="F127" s="11">
        <f t="shared" ref="F127:F169" si="20">E127-D127</f>
        <v>2.09924</v>
      </c>
      <c r="G127">
        <v>15.028230000000001</v>
      </c>
      <c r="H127" s="11">
        <f t="shared" ref="H127:H169" si="21">G127-D127</f>
        <v>1.8956300000000006</v>
      </c>
      <c r="I127" s="10">
        <f t="shared" ref="I127:I169" si="22">(F127-H127)/F127</f>
        <v>9.6992244812408021E-2</v>
      </c>
      <c r="J127">
        <v>14.833550000000001</v>
      </c>
      <c r="K127">
        <f t="shared" ref="K127:K169" si="23">J127-D127</f>
        <v>1.7009500000000006</v>
      </c>
      <c r="L127" s="4">
        <f t="shared" ref="L127:L153" si="24">((H127-K127)/H127)*0.525</f>
        <v>5.3917167379710154E-2</v>
      </c>
    </row>
    <row r="128" spans="1:12" x14ac:dyDescent="0.35">
      <c r="A128" t="s">
        <v>17</v>
      </c>
      <c r="B128">
        <v>4</v>
      </c>
      <c r="C128" s="8" t="s">
        <v>91</v>
      </c>
      <c r="D128" s="12">
        <v>12.010009999999999</v>
      </c>
      <c r="E128">
        <v>14.16323</v>
      </c>
      <c r="F128" s="11">
        <f t="shared" si="20"/>
        <v>2.153220000000001</v>
      </c>
      <c r="G128">
        <v>14.099019999999999</v>
      </c>
      <c r="H128" s="11">
        <f t="shared" si="21"/>
        <v>2.08901</v>
      </c>
      <c r="I128" s="10">
        <f t="shared" si="22"/>
        <v>2.9820454946545619E-2</v>
      </c>
      <c r="J128">
        <v>13.784689999999999</v>
      </c>
      <c r="K128">
        <f t="shared" si="23"/>
        <v>1.77468</v>
      </c>
      <c r="L128" s="4">
        <f t="shared" si="24"/>
        <v>7.899591193914822E-2</v>
      </c>
    </row>
    <row r="129" spans="1:12" x14ac:dyDescent="0.35">
      <c r="A129" t="s">
        <v>17</v>
      </c>
      <c r="B129">
        <v>4</v>
      </c>
      <c r="C129" s="8" t="s">
        <v>90</v>
      </c>
      <c r="D129" s="12">
        <v>11.88687</v>
      </c>
      <c r="E129">
        <v>15.38486</v>
      </c>
      <c r="F129" s="11">
        <f t="shared" si="20"/>
        <v>3.4979899999999997</v>
      </c>
      <c r="G129">
        <v>15.29438</v>
      </c>
      <c r="H129" s="11">
        <f t="shared" si="21"/>
        <v>3.4075100000000003</v>
      </c>
      <c r="I129" s="10">
        <f t="shared" si="22"/>
        <v>2.5866283208356645E-2</v>
      </c>
      <c r="J129">
        <v>14.98851</v>
      </c>
      <c r="K129">
        <f t="shared" si="23"/>
        <v>3.1016399999999997</v>
      </c>
      <c r="L129" s="4">
        <f t="shared" si="24"/>
        <v>4.7125833820003543E-2</v>
      </c>
    </row>
    <row r="130" spans="1:12" x14ac:dyDescent="0.35">
      <c r="A130" t="s">
        <v>18</v>
      </c>
      <c r="B130">
        <v>1</v>
      </c>
      <c r="C130" s="9" t="s">
        <v>93</v>
      </c>
      <c r="D130" s="12">
        <v>5.0771800000000002</v>
      </c>
      <c r="E130">
        <v>5.24857</v>
      </c>
      <c r="F130" s="11">
        <f t="shared" si="20"/>
        <v>0.17138999999999971</v>
      </c>
      <c r="G130">
        <v>5.2415500000000002</v>
      </c>
      <c r="H130" s="11">
        <f t="shared" si="21"/>
        <v>0.16436999999999991</v>
      </c>
      <c r="I130" s="10">
        <f t="shared" si="22"/>
        <v>4.0959215823559228E-2</v>
      </c>
      <c r="J130">
        <v>5.0849900000000003</v>
      </c>
      <c r="K130">
        <f t="shared" si="23"/>
        <v>7.8100000000000946E-3</v>
      </c>
      <c r="L130" s="4">
        <f t="shared" si="24"/>
        <v>0.50005475451724735</v>
      </c>
    </row>
    <row r="131" spans="1:12" x14ac:dyDescent="0.35">
      <c r="A131" t="s">
        <v>18</v>
      </c>
      <c r="B131">
        <v>1</v>
      </c>
      <c r="C131" s="8" t="s">
        <v>92</v>
      </c>
      <c r="D131" s="12">
        <v>5.09192</v>
      </c>
      <c r="E131">
        <v>5.4098100000000002</v>
      </c>
      <c r="F131" s="11">
        <f t="shared" si="20"/>
        <v>0.31789000000000023</v>
      </c>
      <c r="G131">
        <v>5.3956799999999996</v>
      </c>
      <c r="H131" s="11">
        <f t="shared" si="21"/>
        <v>0.30375999999999959</v>
      </c>
      <c r="I131" s="10">
        <f t="shared" si="22"/>
        <v>4.4449337821260912E-2</v>
      </c>
      <c r="J131">
        <v>5.1178499999999998</v>
      </c>
      <c r="K131">
        <f t="shared" si="23"/>
        <v>2.5929999999999787E-2</v>
      </c>
      <c r="L131" s="4">
        <f t="shared" si="24"/>
        <v>0.48018419146694791</v>
      </c>
    </row>
    <row r="132" spans="1:12" x14ac:dyDescent="0.35">
      <c r="A132" t="s">
        <v>18</v>
      </c>
      <c r="B132">
        <v>1</v>
      </c>
      <c r="C132" s="8" t="s">
        <v>91</v>
      </c>
      <c r="D132" s="12">
        <v>6.0380500000000001</v>
      </c>
      <c r="E132">
        <v>6.3263499999999997</v>
      </c>
      <c r="F132" s="11">
        <f t="shared" si="20"/>
        <v>0.28829999999999956</v>
      </c>
      <c r="G132">
        <v>6.3085599999999999</v>
      </c>
      <c r="H132" s="11">
        <f t="shared" si="21"/>
        <v>0.27050999999999981</v>
      </c>
      <c r="I132" s="10">
        <f t="shared" si="22"/>
        <v>6.1706555671175091E-2</v>
      </c>
      <c r="J132">
        <v>6.0644099999999996</v>
      </c>
      <c r="K132">
        <f t="shared" si="23"/>
        <v>2.6359999999999495E-2</v>
      </c>
      <c r="L132" s="4">
        <f t="shared" si="24"/>
        <v>0.473841077963847</v>
      </c>
    </row>
    <row r="133" spans="1:12" x14ac:dyDescent="0.35">
      <c r="A133" t="s">
        <v>18</v>
      </c>
      <c r="B133">
        <v>1</v>
      </c>
      <c r="C133" s="8" t="s">
        <v>90</v>
      </c>
      <c r="D133" s="12">
        <v>5.8413500000000003</v>
      </c>
      <c r="E133">
        <v>6.1606699999999996</v>
      </c>
      <c r="F133" s="11">
        <f t="shared" si="20"/>
        <v>0.31931999999999938</v>
      </c>
      <c r="G133">
        <v>6.1429200000000002</v>
      </c>
      <c r="H133" s="11">
        <f t="shared" si="21"/>
        <v>0.30156999999999989</v>
      </c>
      <c r="I133" s="10">
        <f t="shared" si="22"/>
        <v>5.5586872103217846E-2</v>
      </c>
      <c r="J133">
        <v>5.8542899999999998</v>
      </c>
      <c r="K133">
        <f t="shared" si="23"/>
        <v>1.2939999999999507E-2</v>
      </c>
      <c r="L133" s="4">
        <f t="shared" si="24"/>
        <v>0.5024728918659026</v>
      </c>
    </row>
    <row r="134" spans="1:12" x14ac:dyDescent="0.35">
      <c r="A134" t="s">
        <v>18</v>
      </c>
      <c r="B134">
        <v>2</v>
      </c>
      <c r="C134" s="9" t="s">
        <v>93</v>
      </c>
      <c r="D134" s="12">
        <v>5.4845600000000001</v>
      </c>
      <c r="E134">
        <v>6.1064299999999996</v>
      </c>
      <c r="F134" s="11">
        <f t="shared" si="20"/>
        <v>0.62186999999999948</v>
      </c>
      <c r="G134">
        <v>6.0731099999999998</v>
      </c>
      <c r="H134" s="11">
        <f t="shared" si="21"/>
        <v>0.58854999999999968</v>
      </c>
      <c r="I134" s="10">
        <f t="shared" si="22"/>
        <v>5.3580330294112632E-2</v>
      </c>
      <c r="J134">
        <v>5.54718</v>
      </c>
      <c r="K134">
        <f t="shared" si="23"/>
        <v>6.2619999999999898E-2</v>
      </c>
      <c r="L134" s="4">
        <f t="shared" si="24"/>
        <v>0.46914153427916078</v>
      </c>
    </row>
    <row r="135" spans="1:12" x14ac:dyDescent="0.35">
      <c r="A135" t="s">
        <v>18</v>
      </c>
      <c r="B135">
        <v>2</v>
      </c>
      <c r="C135" s="8" t="s">
        <v>92</v>
      </c>
      <c r="D135" s="12">
        <v>4.94876</v>
      </c>
      <c r="E135">
        <v>5.4958600000000004</v>
      </c>
      <c r="F135" s="11">
        <f t="shared" si="20"/>
        <v>0.54710000000000036</v>
      </c>
      <c r="G135">
        <v>5.47058</v>
      </c>
      <c r="H135" s="11">
        <f t="shared" si="21"/>
        <v>0.52181999999999995</v>
      </c>
      <c r="I135" s="10">
        <f t="shared" si="22"/>
        <v>4.6207274721258261E-2</v>
      </c>
      <c r="J135">
        <v>5.0164600000000004</v>
      </c>
      <c r="K135">
        <f t="shared" si="23"/>
        <v>6.7700000000000315E-2</v>
      </c>
      <c r="L135" s="4">
        <f t="shared" si="24"/>
        <v>0.45688743244797025</v>
      </c>
    </row>
    <row r="136" spans="1:12" x14ac:dyDescent="0.35">
      <c r="A136" t="s">
        <v>18</v>
      </c>
      <c r="B136">
        <v>2</v>
      </c>
      <c r="C136" s="8" t="s">
        <v>91</v>
      </c>
      <c r="D136" s="12">
        <v>4.9439599999999997</v>
      </c>
      <c r="E136">
        <v>5.3764599999999998</v>
      </c>
      <c r="F136" s="11">
        <f t="shared" si="20"/>
        <v>0.43250000000000011</v>
      </c>
      <c r="G136">
        <v>5.3584100000000001</v>
      </c>
      <c r="H136" s="11">
        <f t="shared" si="21"/>
        <v>0.41445000000000043</v>
      </c>
      <c r="I136" s="10">
        <f t="shared" si="22"/>
        <v>4.1734104046242018E-2</v>
      </c>
      <c r="J136">
        <v>5.00814</v>
      </c>
      <c r="K136">
        <f t="shared" si="23"/>
        <v>6.4180000000000348E-2</v>
      </c>
      <c r="L136" s="4">
        <f t="shared" si="24"/>
        <v>0.44370068765834203</v>
      </c>
    </row>
    <row r="137" spans="1:12" x14ac:dyDescent="0.35">
      <c r="A137" t="s">
        <v>18</v>
      </c>
      <c r="B137">
        <v>2</v>
      </c>
      <c r="C137" s="8" t="s">
        <v>90</v>
      </c>
      <c r="D137" s="12">
        <v>4.9748000000000001</v>
      </c>
      <c r="E137">
        <v>5.5091099999999997</v>
      </c>
      <c r="F137" s="11">
        <f t="shared" si="20"/>
        <v>0.53430999999999962</v>
      </c>
      <c r="G137">
        <v>5.4847700000000001</v>
      </c>
      <c r="H137" s="11">
        <f t="shared" si="21"/>
        <v>0.50997000000000003</v>
      </c>
      <c r="I137" s="10">
        <f t="shared" si="22"/>
        <v>4.5554079092660821E-2</v>
      </c>
      <c r="J137">
        <v>5.0314300000000003</v>
      </c>
      <c r="K137">
        <f t="shared" si="23"/>
        <v>5.663000000000018E-2</v>
      </c>
      <c r="L137" s="4">
        <f t="shared" si="24"/>
        <v>0.46670098241072988</v>
      </c>
    </row>
    <row r="138" spans="1:12" x14ac:dyDescent="0.35">
      <c r="A138" t="s">
        <v>18</v>
      </c>
      <c r="B138">
        <v>3</v>
      </c>
      <c r="C138" s="9" t="s">
        <v>93</v>
      </c>
      <c r="D138" s="12">
        <v>6.2797299999999998</v>
      </c>
      <c r="E138">
        <v>7.6538199999999996</v>
      </c>
      <c r="F138" s="11">
        <f t="shared" si="20"/>
        <v>1.3740899999999998</v>
      </c>
      <c r="G138">
        <v>7.6263199999999998</v>
      </c>
      <c r="H138" s="11">
        <f t="shared" si="21"/>
        <v>1.34659</v>
      </c>
      <c r="I138" s="10">
        <f t="shared" si="22"/>
        <v>2.0013245129503789E-2</v>
      </c>
      <c r="J138">
        <v>7.2438900000000004</v>
      </c>
      <c r="K138">
        <f t="shared" si="23"/>
        <v>0.96416000000000057</v>
      </c>
      <c r="L138" s="4">
        <f t="shared" si="24"/>
        <v>0.14909939179705753</v>
      </c>
    </row>
    <row r="139" spans="1:12" x14ac:dyDescent="0.35">
      <c r="A139" t="s">
        <v>18</v>
      </c>
      <c r="B139">
        <v>3</v>
      </c>
      <c r="C139" s="8" t="s">
        <v>92</v>
      </c>
      <c r="D139" s="12">
        <v>6.7944699999999996</v>
      </c>
      <c r="E139">
        <v>9.9176099999999998</v>
      </c>
      <c r="F139" s="11">
        <f t="shared" si="20"/>
        <v>3.1231400000000002</v>
      </c>
      <c r="G139">
        <v>9.8653899999999997</v>
      </c>
      <c r="H139" s="11">
        <f t="shared" si="21"/>
        <v>3.0709200000000001</v>
      </c>
      <c r="I139" s="10">
        <f t="shared" si="22"/>
        <v>1.6720351953482763E-2</v>
      </c>
      <c r="J139">
        <v>9.3970300000000009</v>
      </c>
      <c r="K139">
        <f t="shared" si="23"/>
        <v>2.6025600000000013</v>
      </c>
      <c r="L139" s="4">
        <f t="shared" si="24"/>
        <v>8.0070141846742798E-2</v>
      </c>
    </row>
    <row r="140" spans="1:12" x14ac:dyDescent="0.35">
      <c r="A140" t="s">
        <v>18</v>
      </c>
      <c r="B140">
        <v>3</v>
      </c>
      <c r="C140" s="8" t="s">
        <v>91</v>
      </c>
      <c r="D140" s="12">
        <v>5.0666399999999996</v>
      </c>
      <c r="E140">
        <v>5.9286300000000001</v>
      </c>
      <c r="F140" s="11">
        <f t="shared" si="20"/>
        <v>0.86199000000000048</v>
      </c>
      <c r="G140">
        <v>5.90564</v>
      </c>
      <c r="H140" s="11">
        <f t="shared" si="21"/>
        <v>0.83900000000000041</v>
      </c>
      <c r="I140" s="10">
        <f t="shared" si="22"/>
        <v>2.6670843049223372E-2</v>
      </c>
      <c r="J140">
        <v>5.5894599999999999</v>
      </c>
      <c r="K140">
        <f t="shared" si="23"/>
        <v>0.52282000000000028</v>
      </c>
      <c r="L140" s="4">
        <f t="shared" si="24"/>
        <v>0.19784803337306317</v>
      </c>
    </row>
    <row r="141" spans="1:12" x14ac:dyDescent="0.35">
      <c r="A141" t="s">
        <v>18</v>
      </c>
      <c r="B141">
        <v>3</v>
      </c>
      <c r="C141" s="8" t="s">
        <v>90</v>
      </c>
      <c r="D141" s="12">
        <v>5.0650399999999998</v>
      </c>
      <c r="E141">
        <v>6.42882</v>
      </c>
      <c r="F141" s="11">
        <f t="shared" si="20"/>
        <v>1.3637800000000002</v>
      </c>
      <c r="G141">
        <v>6.4036900000000001</v>
      </c>
      <c r="H141" s="11">
        <f t="shared" si="21"/>
        <v>1.3386500000000003</v>
      </c>
      <c r="I141" s="10">
        <f t="shared" si="22"/>
        <v>1.8426725718224252E-2</v>
      </c>
      <c r="J141">
        <v>6.0294800000000004</v>
      </c>
      <c r="K141">
        <f t="shared" si="23"/>
        <v>0.96444000000000063</v>
      </c>
      <c r="L141" s="4">
        <f t="shared" si="24"/>
        <v>0.14675998207148977</v>
      </c>
    </row>
    <row r="142" spans="1:12" x14ac:dyDescent="0.35">
      <c r="A142" t="s">
        <v>18</v>
      </c>
      <c r="B142">
        <v>4</v>
      </c>
      <c r="C142" s="9" t="s">
        <v>93</v>
      </c>
      <c r="D142" s="12">
        <v>5.2278599999999997</v>
      </c>
      <c r="E142">
        <v>6.7145799999999998</v>
      </c>
      <c r="F142" s="11">
        <f t="shared" si="20"/>
        <v>1.48672</v>
      </c>
      <c r="G142">
        <v>6.70397</v>
      </c>
      <c r="H142" s="11">
        <f t="shared" si="21"/>
        <v>1.4761100000000003</v>
      </c>
      <c r="I142" s="10">
        <f t="shared" si="22"/>
        <v>7.1365152819628346E-3</v>
      </c>
      <c r="J142">
        <v>6.5936599999999999</v>
      </c>
      <c r="K142">
        <f t="shared" si="23"/>
        <v>1.3658000000000001</v>
      </c>
      <c r="L142" s="4">
        <f t="shared" si="24"/>
        <v>3.9233356592665899E-2</v>
      </c>
    </row>
    <row r="143" spans="1:12" x14ac:dyDescent="0.35">
      <c r="A143" t="s">
        <v>18</v>
      </c>
      <c r="B143">
        <v>4</v>
      </c>
      <c r="C143" s="8" t="s">
        <v>92</v>
      </c>
      <c r="D143" s="12">
        <v>4.9220300000000003</v>
      </c>
      <c r="E143">
        <v>6.9730800000000004</v>
      </c>
      <c r="F143" s="11">
        <f t="shared" si="20"/>
        <v>2.05105</v>
      </c>
      <c r="G143">
        <v>6.9519500000000001</v>
      </c>
      <c r="H143" s="11">
        <f t="shared" si="21"/>
        <v>2.0299199999999997</v>
      </c>
      <c r="I143" s="10">
        <f t="shared" si="22"/>
        <v>1.0302040418322476E-2</v>
      </c>
      <c r="J143">
        <v>6.81142</v>
      </c>
      <c r="K143">
        <f t="shared" si="23"/>
        <v>1.8893899999999997</v>
      </c>
      <c r="L143" s="4">
        <f t="shared" si="24"/>
        <v>3.6345397848191074E-2</v>
      </c>
    </row>
    <row r="144" spans="1:12" x14ac:dyDescent="0.35">
      <c r="A144" t="s">
        <v>18</v>
      </c>
      <c r="B144">
        <v>4</v>
      </c>
      <c r="C144" s="8" t="s">
        <v>91</v>
      </c>
      <c r="D144" s="12">
        <v>11.077529999999999</v>
      </c>
      <c r="E144">
        <v>14.20119</v>
      </c>
      <c r="F144" s="11">
        <f t="shared" si="20"/>
        <v>3.123660000000001</v>
      </c>
      <c r="G144">
        <v>14.165649999999999</v>
      </c>
      <c r="H144" s="11">
        <f t="shared" si="21"/>
        <v>3.08812</v>
      </c>
      <c r="I144" s="10">
        <f t="shared" si="22"/>
        <v>1.1377678748647741E-2</v>
      </c>
      <c r="J144">
        <v>13.90218</v>
      </c>
      <c r="K144">
        <f t="shared" si="23"/>
        <v>2.8246500000000001</v>
      </c>
      <c r="L144" s="4">
        <f t="shared" si="24"/>
        <v>4.4791572218696146E-2</v>
      </c>
    </row>
    <row r="145" spans="1:12" x14ac:dyDescent="0.35">
      <c r="A145" t="s">
        <v>18</v>
      </c>
      <c r="B145">
        <v>4</v>
      </c>
      <c r="C145" s="8" t="s">
        <v>90</v>
      </c>
      <c r="D145" s="12">
        <v>11.027049999999999</v>
      </c>
      <c r="E145">
        <v>15.043900000000001</v>
      </c>
      <c r="F145" s="11">
        <f t="shared" si="20"/>
        <v>4.0168500000000016</v>
      </c>
      <c r="G145">
        <v>14.993790000000001</v>
      </c>
      <c r="H145" s="11">
        <f t="shared" si="21"/>
        <v>3.9667400000000015</v>
      </c>
      <c r="I145" s="10">
        <f t="shared" si="22"/>
        <v>1.2474949276174136E-2</v>
      </c>
      <c r="J145">
        <v>14.718170000000001</v>
      </c>
      <c r="K145">
        <f t="shared" si="23"/>
        <v>3.6911200000000015</v>
      </c>
      <c r="L145" s="4">
        <f t="shared" si="24"/>
        <v>3.6478443255670887E-2</v>
      </c>
    </row>
    <row r="146" spans="1:12" x14ac:dyDescent="0.35">
      <c r="A146" t="s">
        <v>19</v>
      </c>
      <c r="B146">
        <v>1</v>
      </c>
      <c r="C146" s="9" t="s">
        <v>93</v>
      </c>
      <c r="D146" s="12">
        <v>10.55852</v>
      </c>
      <c r="E146">
        <v>11.04393</v>
      </c>
      <c r="F146" s="11">
        <f t="shared" si="20"/>
        <v>0.4854099999999999</v>
      </c>
      <c r="G146">
        <v>10.99803</v>
      </c>
      <c r="H146" s="11">
        <f t="shared" si="21"/>
        <v>0.43951000000000029</v>
      </c>
      <c r="I146" s="10">
        <f t="shared" si="22"/>
        <v>9.455923858181664E-2</v>
      </c>
      <c r="J146">
        <v>10.61809</v>
      </c>
      <c r="K146">
        <f t="shared" si="23"/>
        <v>5.9570000000000789E-2</v>
      </c>
      <c r="L146" s="4">
        <f t="shared" si="24"/>
        <v>0.45384291597460719</v>
      </c>
    </row>
    <row r="147" spans="1:12" x14ac:dyDescent="0.35">
      <c r="A147" t="s">
        <v>19</v>
      </c>
      <c r="B147">
        <v>1</v>
      </c>
      <c r="C147" s="8" t="s">
        <v>92</v>
      </c>
      <c r="D147" s="12">
        <v>10.9747</v>
      </c>
      <c r="E147">
        <v>11.711220000000001</v>
      </c>
      <c r="F147" s="11">
        <f t="shared" si="20"/>
        <v>0.73652000000000051</v>
      </c>
      <c r="G147">
        <v>11.66052</v>
      </c>
      <c r="H147" s="11">
        <f t="shared" si="21"/>
        <v>0.68581999999999965</v>
      </c>
      <c r="I147" s="10">
        <f t="shared" si="22"/>
        <v>6.8837234562538457E-2</v>
      </c>
      <c r="J147">
        <v>11.10501</v>
      </c>
      <c r="K147">
        <f t="shared" si="23"/>
        <v>0.1303099999999997</v>
      </c>
      <c r="L147" s="4">
        <f t="shared" si="24"/>
        <v>0.42524678487066597</v>
      </c>
    </row>
    <row r="148" spans="1:12" x14ac:dyDescent="0.35">
      <c r="A148" t="s">
        <v>19</v>
      </c>
      <c r="B148">
        <v>1</v>
      </c>
      <c r="C148" s="8" t="s">
        <v>91</v>
      </c>
      <c r="D148" s="12">
        <v>10.743499999999999</v>
      </c>
      <c r="E148">
        <v>11.81723</v>
      </c>
      <c r="F148" s="11">
        <f t="shared" si="20"/>
        <v>1.0737300000000012</v>
      </c>
      <c r="G148">
        <v>11.71279</v>
      </c>
      <c r="H148" s="11">
        <f t="shared" si="21"/>
        <v>0.96929000000000087</v>
      </c>
      <c r="I148" s="10">
        <f t="shared" si="22"/>
        <v>9.7268400808397076E-2</v>
      </c>
      <c r="J148">
        <v>10.951840000000001</v>
      </c>
      <c r="K148">
        <f t="shared" si="23"/>
        <v>0.20834000000000152</v>
      </c>
      <c r="L148" s="4">
        <f t="shared" si="24"/>
        <v>0.41215606268505744</v>
      </c>
    </row>
    <row r="149" spans="1:12" x14ac:dyDescent="0.35">
      <c r="A149" t="s">
        <v>19</v>
      </c>
      <c r="B149">
        <v>1</v>
      </c>
      <c r="C149" s="8" t="s">
        <v>90</v>
      </c>
      <c r="D149" s="12">
        <v>10.40924</v>
      </c>
      <c r="E149">
        <v>11.49954</v>
      </c>
      <c r="F149" s="11">
        <f t="shared" si="20"/>
        <v>1.0902999999999992</v>
      </c>
      <c r="G149">
        <v>11.076140000000001</v>
      </c>
      <c r="H149" s="11">
        <f t="shared" si="21"/>
        <v>0.66690000000000005</v>
      </c>
      <c r="I149" s="10">
        <f t="shared" si="22"/>
        <v>0.38833348619645919</v>
      </c>
      <c r="J149">
        <v>10.573230000000001</v>
      </c>
      <c r="K149">
        <f t="shared" si="23"/>
        <v>0.16399000000000008</v>
      </c>
      <c r="L149" s="4">
        <f t="shared" si="24"/>
        <v>0.39590305892937472</v>
      </c>
    </row>
    <row r="150" spans="1:12" x14ac:dyDescent="0.35">
      <c r="A150" t="s">
        <v>19</v>
      </c>
      <c r="B150">
        <v>2</v>
      </c>
      <c r="C150" s="9" t="s">
        <v>93</v>
      </c>
      <c r="D150" s="12">
        <v>10.70107</v>
      </c>
      <c r="E150">
        <v>12.34782</v>
      </c>
      <c r="F150" s="11">
        <f t="shared" si="20"/>
        <v>1.6467500000000008</v>
      </c>
      <c r="G150">
        <v>12.210610000000001</v>
      </c>
      <c r="H150" s="11">
        <f t="shared" si="21"/>
        <v>1.5095400000000012</v>
      </c>
      <c r="I150" s="10">
        <f t="shared" si="22"/>
        <v>8.332169424624232E-2</v>
      </c>
      <c r="J150">
        <v>11.05419</v>
      </c>
      <c r="K150">
        <f t="shared" si="23"/>
        <v>0.35312000000000054</v>
      </c>
      <c r="L150" s="4">
        <f t="shared" si="24"/>
        <v>0.40218907746730781</v>
      </c>
    </row>
    <row r="151" spans="1:12" x14ac:dyDescent="0.35">
      <c r="A151" t="s">
        <v>19</v>
      </c>
      <c r="B151">
        <v>2</v>
      </c>
      <c r="C151" s="8" t="s">
        <v>92</v>
      </c>
      <c r="D151" s="12">
        <v>10.192019999999999</v>
      </c>
      <c r="E151">
        <v>12.117369999999999</v>
      </c>
      <c r="F151" s="11">
        <f t="shared" si="20"/>
        <v>1.9253499999999999</v>
      </c>
      <c r="G151">
        <v>11.96247</v>
      </c>
      <c r="H151" s="11">
        <f t="shared" si="21"/>
        <v>1.7704500000000003</v>
      </c>
      <c r="I151" s="10">
        <f t="shared" si="22"/>
        <v>8.0452904666683769E-2</v>
      </c>
      <c r="J151">
        <v>10.71668</v>
      </c>
      <c r="K151">
        <f t="shared" si="23"/>
        <v>0.52466000000000079</v>
      </c>
      <c r="L151" s="4">
        <f t="shared" si="24"/>
        <v>0.36942006269592459</v>
      </c>
    </row>
    <row r="152" spans="1:12" x14ac:dyDescent="0.35">
      <c r="A152" t="s">
        <v>19</v>
      </c>
      <c r="B152">
        <v>2</v>
      </c>
      <c r="C152" s="8" t="s">
        <v>91</v>
      </c>
      <c r="D152" s="12">
        <v>10.54148</v>
      </c>
      <c r="E152">
        <v>12.66935</v>
      </c>
      <c r="F152" s="11">
        <f t="shared" si="20"/>
        <v>2.1278699999999997</v>
      </c>
      <c r="G152">
        <v>12.47897</v>
      </c>
      <c r="H152" s="11">
        <f t="shared" si="21"/>
        <v>1.9374900000000004</v>
      </c>
      <c r="I152" s="10">
        <f t="shared" si="22"/>
        <v>8.9469751441582118E-2</v>
      </c>
      <c r="J152">
        <v>11.013680000000001</v>
      </c>
      <c r="K152">
        <f t="shared" si="23"/>
        <v>0.47220000000000084</v>
      </c>
      <c r="L152" s="4">
        <f t="shared" si="24"/>
        <v>0.39704837186256431</v>
      </c>
    </row>
    <row r="153" spans="1:12" x14ac:dyDescent="0.35">
      <c r="A153" t="s">
        <v>19</v>
      </c>
      <c r="B153">
        <v>2</v>
      </c>
      <c r="C153" s="8" t="s">
        <v>90</v>
      </c>
      <c r="D153" s="12">
        <v>10.58399</v>
      </c>
      <c r="E153">
        <v>12.614179999999999</v>
      </c>
      <c r="F153" s="11">
        <f t="shared" si="20"/>
        <v>2.0301899999999993</v>
      </c>
      <c r="G153">
        <v>12.467359999999999</v>
      </c>
      <c r="H153" s="11">
        <f t="shared" si="21"/>
        <v>1.8833699999999993</v>
      </c>
      <c r="I153" s="10">
        <f t="shared" si="22"/>
        <v>7.2318354439732238E-2</v>
      </c>
      <c r="J153">
        <v>11.395289999999999</v>
      </c>
      <c r="K153">
        <f t="shared" si="23"/>
        <v>0.81129999999999924</v>
      </c>
      <c r="L153" s="4">
        <f t="shared" si="24"/>
        <v>0.298845553449402</v>
      </c>
    </row>
    <row r="154" spans="1:12" x14ac:dyDescent="0.35">
      <c r="A154" s="14" t="s">
        <v>19</v>
      </c>
      <c r="B154" s="14">
        <v>3</v>
      </c>
      <c r="C154" s="23" t="s">
        <v>93</v>
      </c>
      <c r="D154" s="17">
        <v>10.96988</v>
      </c>
      <c r="E154" s="14">
        <v>5.1503800000000002</v>
      </c>
      <c r="F154" s="16">
        <f t="shared" si="20"/>
        <v>-5.8194999999999997</v>
      </c>
      <c r="G154" s="14">
        <v>5.0672499999999996</v>
      </c>
      <c r="H154" s="16">
        <f t="shared" si="21"/>
        <v>-5.9026300000000003</v>
      </c>
      <c r="I154" s="15">
        <f t="shared" si="22"/>
        <v>-1.4284732365323584E-2</v>
      </c>
      <c r="J154" s="14">
        <v>4.77454</v>
      </c>
      <c r="K154" s="14">
        <f t="shared" si="23"/>
        <v>-6.1953399999999998</v>
      </c>
      <c r="L154" s="4"/>
    </row>
    <row r="155" spans="1:12" x14ac:dyDescent="0.35">
      <c r="A155" t="s">
        <v>19</v>
      </c>
      <c r="B155">
        <v>3</v>
      </c>
      <c r="C155" s="8" t="s">
        <v>92</v>
      </c>
      <c r="D155" s="12">
        <v>10.648870000000001</v>
      </c>
      <c r="E155">
        <v>13.752610000000001</v>
      </c>
      <c r="F155" s="11">
        <f t="shared" si="20"/>
        <v>3.1037400000000002</v>
      </c>
      <c r="G155">
        <v>13.62416</v>
      </c>
      <c r="H155" s="11">
        <f t="shared" si="21"/>
        <v>2.9752899999999993</v>
      </c>
      <c r="I155" s="10">
        <f t="shared" si="22"/>
        <v>4.1385554202349691E-2</v>
      </c>
      <c r="J155">
        <v>12.809710000000001</v>
      </c>
      <c r="K155">
        <f t="shared" si="23"/>
        <v>2.1608400000000003</v>
      </c>
      <c r="L155" s="4">
        <f t="shared" ref="L155:L169" si="25">((H155-K155)/H155)*0.525</f>
        <v>0.1437124616423944</v>
      </c>
    </row>
    <row r="156" spans="1:12" x14ac:dyDescent="0.35">
      <c r="A156" t="s">
        <v>19</v>
      </c>
      <c r="B156">
        <v>3</v>
      </c>
      <c r="C156" s="8" t="s">
        <v>91</v>
      </c>
      <c r="D156" s="12">
        <v>10.6974</v>
      </c>
      <c r="E156">
        <v>14.44956</v>
      </c>
      <c r="F156" s="11">
        <f t="shared" si="20"/>
        <v>3.7521599999999999</v>
      </c>
      <c r="G156">
        <v>14.334580000000001</v>
      </c>
      <c r="H156" s="11">
        <f t="shared" si="21"/>
        <v>3.6371800000000007</v>
      </c>
      <c r="I156" s="10">
        <f t="shared" si="22"/>
        <v>3.0643682572171548E-2</v>
      </c>
      <c r="J156">
        <v>13.77955</v>
      </c>
      <c r="K156">
        <f t="shared" si="23"/>
        <v>3.0821500000000004</v>
      </c>
      <c r="L156" s="4">
        <f t="shared" si="25"/>
        <v>8.0114470551361255E-2</v>
      </c>
    </row>
    <row r="157" spans="1:12" x14ac:dyDescent="0.35">
      <c r="A157" t="s">
        <v>19</v>
      </c>
      <c r="B157">
        <v>3</v>
      </c>
      <c r="C157" s="8" t="s">
        <v>90</v>
      </c>
      <c r="D157" s="12">
        <v>11.132289999999999</v>
      </c>
      <c r="E157">
        <v>14.08323</v>
      </c>
      <c r="F157" s="11">
        <f t="shared" si="20"/>
        <v>2.950940000000001</v>
      </c>
      <c r="G157">
        <v>14.011990000000001</v>
      </c>
      <c r="H157" s="11">
        <f t="shared" si="21"/>
        <v>2.8797000000000015</v>
      </c>
      <c r="I157" s="10">
        <f t="shared" si="22"/>
        <v>2.4141460009352782E-2</v>
      </c>
      <c r="J157">
        <v>13.594760000000001</v>
      </c>
      <c r="K157">
        <f t="shared" si="23"/>
        <v>2.4624700000000015</v>
      </c>
      <c r="L157" s="4">
        <f t="shared" si="25"/>
        <v>7.6065475570371868E-2</v>
      </c>
    </row>
    <row r="158" spans="1:12" x14ac:dyDescent="0.35">
      <c r="A158" t="s">
        <v>19</v>
      </c>
      <c r="B158">
        <v>4</v>
      </c>
      <c r="C158" s="9" t="s">
        <v>93</v>
      </c>
      <c r="D158" s="12">
        <v>11.327260000000001</v>
      </c>
      <c r="E158">
        <v>14.008330000000001</v>
      </c>
      <c r="F158" s="11">
        <f t="shared" si="20"/>
        <v>2.6810700000000001</v>
      </c>
      <c r="G158">
        <v>13.922409999999999</v>
      </c>
      <c r="H158" s="11">
        <f t="shared" si="21"/>
        <v>2.5951499999999985</v>
      </c>
      <c r="I158" s="10">
        <f t="shared" si="22"/>
        <v>3.2046906645481675E-2</v>
      </c>
      <c r="J158">
        <v>13.56321</v>
      </c>
      <c r="K158">
        <f t="shared" si="23"/>
        <v>2.235949999999999</v>
      </c>
      <c r="L158" s="4">
        <f t="shared" si="25"/>
        <v>7.2666319865903661E-2</v>
      </c>
    </row>
    <row r="159" spans="1:12" x14ac:dyDescent="0.35">
      <c r="A159" t="s">
        <v>19</v>
      </c>
      <c r="B159">
        <v>4</v>
      </c>
      <c r="C159" s="8" t="s">
        <v>92</v>
      </c>
      <c r="D159" s="12">
        <v>10.4076</v>
      </c>
      <c r="E159">
        <v>13.285589999999999</v>
      </c>
      <c r="F159" s="11">
        <f t="shared" si="20"/>
        <v>2.8779899999999987</v>
      </c>
      <c r="G159">
        <v>13.10064</v>
      </c>
      <c r="H159" s="11">
        <f t="shared" si="21"/>
        <v>2.6930399999999999</v>
      </c>
      <c r="I159" s="10">
        <f t="shared" si="22"/>
        <v>6.4263600637944854E-2</v>
      </c>
      <c r="J159">
        <v>12.735569999999999</v>
      </c>
      <c r="K159">
        <f t="shared" si="23"/>
        <v>2.3279699999999988</v>
      </c>
      <c r="L159" s="4">
        <f t="shared" si="25"/>
        <v>7.1169291952589114E-2</v>
      </c>
    </row>
    <row r="160" spans="1:12" x14ac:dyDescent="0.35">
      <c r="A160" t="s">
        <v>19</v>
      </c>
      <c r="B160">
        <v>4</v>
      </c>
      <c r="C160" s="8" t="s">
        <v>91</v>
      </c>
      <c r="D160" s="12">
        <v>10.428610000000001</v>
      </c>
      <c r="E160">
        <v>13.67244</v>
      </c>
      <c r="F160" s="11">
        <f t="shared" si="20"/>
        <v>3.2438299999999991</v>
      </c>
      <c r="G160">
        <v>13.57671</v>
      </c>
      <c r="H160" s="11">
        <f t="shared" si="21"/>
        <v>3.1480999999999995</v>
      </c>
      <c r="I160" s="10">
        <f t="shared" si="22"/>
        <v>2.9511410893912342E-2</v>
      </c>
      <c r="J160">
        <v>13.24671</v>
      </c>
      <c r="K160">
        <f t="shared" si="23"/>
        <v>2.8180999999999994</v>
      </c>
      <c r="L160" s="4">
        <f t="shared" si="25"/>
        <v>5.5033194625329587E-2</v>
      </c>
    </row>
    <row r="161" spans="1:12" x14ac:dyDescent="0.35">
      <c r="A161" t="s">
        <v>19</v>
      </c>
      <c r="B161">
        <v>4</v>
      </c>
      <c r="C161" s="8" t="s">
        <v>90</v>
      </c>
      <c r="D161" s="12">
        <v>11.820639999999999</v>
      </c>
      <c r="E161">
        <v>14.836029999999999</v>
      </c>
      <c r="F161" s="11">
        <f t="shared" si="20"/>
        <v>3.01539</v>
      </c>
      <c r="G161">
        <v>14.76606</v>
      </c>
      <c r="H161" s="11">
        <f t="shared" si="21"/>
        <v>2.9454200000000004</v>
      </c>
      <c r="I161" s="10">
        <f t="shared" si="22"/>
        <v>2.3204295298452155E-2</v>
      </c>
      <c r="J161">
        <v>14.52843</v>
      </c>
      <c r="K161">
        <f t="shared" si="23"/>
        <v>2.707790000000001</v>
      </c>
      <c r="L161" s="4">
        <f t="shared" si="25"/>
        <v>4.2355843988293562E-2</v>
      </c>
    </row>
    <row r="162" spans="1:12" x14ac:dyDescent="0.35">
      <c r="A162" t="s">
        <v>20</v>
      </c>
      <c r="B162">
        <v>1</v>
      </c>
      <c r="C162" s="9" t="s">
        <v>93</v>
      </c>
      <c r="D162" s="12">
        <v>10.809049999999999</v>
      </c>
      <c r="E162">
        <v>11.12106</v>
      </c>
      <c r="F162" s="11">
        <f t="shared" si="20"/>
        <v>0.31201000000000079</v>
      </c>
      <c r="G162">
        <v>11.10163</v>
      </c>
      <c r="H162" s="11">
        <f t="shared" si="21"/>
        <v>0.29258000000000095</v>
      </c>
      <c r="I162" s="10">
        <f t="shared" si="22"/>
        <v>6.2273645075477668E-2</v>
      </c>
      <c r="J162">
        <v>10.844480000000001</v>
      </c>
      <c r="K162">
        <f t="shared" si="23"/>
        <v>3.5430000000001627E-2</v>
      </c>
      <c r="L162" s="4">
        <f t="shared" si="25"/>
        <v>0.46142508031990981</v>
      </c>
    </row>
    <row r="163" spans="1:12" x14ac:dyDescent="0.35">
      <c r="A163" t="s">
        <v>20</v>
      </c>
      <c r="B163">
        <v>1</v>
      </c>
      <c r="C163" s="8" t="s">
        <v>92</v>
      </c>
      <c r="D163" s="12">
        <v>11.52153</v>
      </c>
      <c r="E163">
        <v>11.94411</v>
      </c>
      <c r="F163" s="11">
        <f t="shared" si="20"/>
        <v>0.42257999999999996</v>
      </c>
      <c r="G163">
        <v>11.91943</v>
      </c>
      <c r="H163" s="11">
        <f t="shared" si="21"/>
        <v>0.39789999999999992</v>
      </c>
      <c r="I163" s="10">
        <f t="shared" si="22"/>
        <v>5.8403142600217797E-2</v>
      </c>
      <c r="J163">
        <v>11.62959</v>
      </c>
      <c r="K163">
        <f t="shared" si="23"/>
        <v>0.10806000000000004</v>
      </c>
      <c r="L163" s="4">
        <f t="shared" si="25"/>
        <v>0.38242271927619997</v>
      </c>
    </row>
    <row r="164" spans="1:12" x14ac:dyDescent="0.35">
      <c r="A164" t="s">
        <v>20</v>
      </c>
      <c r="B164">
        <v>1</v>
      </c>
      <c r="C164" s="8" t="s">
        <v>91</v>
      </c>
      <c r="D164" s="12">
        <v>10.883850000000001</v>
      </c>
      <c r="E164">
        <v>11.196960000000001</v>
      </c>
      <c r="F164" s="11">
        <f t="shared" si="20"/>
        <v>0.31311</v>
      </c>
      <c r="G164">
        <v>11.179130000000001</v>
      </c>
      <c r="H164" s="11">
        <f t="shared" si="21"/>
        <v>0.29527999999999999</v>
      </c>
      <c r="I164" s="10">
        <f t="shared" si="22"/>
        <v>5.694484366516564E-2</v>
      </c>
      <c r="J164">
        <v>10.94848</v>
      </c>
      <c r="K164">
        <f t="shared" si="23"/>
        <v>6.4629999999999299E-2</v>
      </c>
      <c r="L164" s="4">
        <f t="shared" si="25"/>
        <v>0.41008957599566642</v>
      </c>
    </row>
    <row r="165" spans="1:12" x14ac:dyDescent="0.35">
      <c r="A165" t="s">
        <v>20</v>
      </c>
      <c r="B165">
        <v>1</v>
      </c>
      <c r="C165" s="8" t="s">
        <v>90</v>
      </c>
      <c r="D165" s="12">
        <v>10.2807</v>
      </c>
      <c r="E165">
        <v>10.808669999999999</v>
      </c>
      <c r="F165" s="11">
        <f t="shared" si="20"/>
        <v>0.52796999999999983</v>
      </c>
      <c r="G165">
        <v>10.76864</v>
      </c>
      <c r="H165" s="11">
        <f t="shared" si="21"/>
        <v>0.48794000000000004</v>
      </c>
      <c r="I165" s="10">
        <f t="shared" si="22"/>
        <v>7.5818701820178802E-2</v>
      </c>
      <c r="J165">
        <v>10.331670000000001</v>
      </c>
      <c r="K165">
        <f t="shared" si="23"/>
        <v>5.0970000000001292E-2</v>
      </c>
      <c r="L165" s="4">
        <f t="shared" si="25"/>
        <v>0.4701587285321952</v>
      </c>
    </row>
    <row r="166" spans="1:12" x14ac:dyDescent="0.35">
      <c r="A166" t="s">
        <v>20</v>
      </c>
      <c r="B166">
        <v>2</v>
      </c>
      <c r="C166" s="9" t="s">
        <v>93</v>
      </c>
      <c r="D166" s="12">
        <v>11.80955</v>
      </c>
      <c r="E166">
        <v>14.640560000000001</v>
      </c>
      <c r="F166" s="11">
        <f t="shared" si="20"/>
        <v>2.8310100000000009</v>
      </c>
      <c r="G166">
        <v>14.493259999999999</v>
      </c>
      <c r="H166" s="11">
        <f t="shared" si="21"/>
        <v>2.6837099999999996</v>
      </c>
      <c r="I166" s="10">
        <f t="shared" si="22"/>
        <v>5.2030900632636858E-2</v>
      </c>
      <c r="J166">
        <v>13.508940000000001</v>
      </c>
      <c r="K166">
        <f t="shared" si="23"/>
        <v>1.6993900000000011</v>
      </c>
      <c r="L166" s="4">
        <f t="shared" si="25"/>
        <v>0.19255731804106976</v>
      </c>
    </row>
    <row r="167" spans="1:12" x14ac:dyDescent="0.35">
      <c r="A167" t="s">
        <v>20</v>
      </c>
      <c r="B167">
        <v>2</v>
      </c>
      <c r="C167" s="8" t="s">
        <v>92</v>
      </c>
      <c r="D167" s="12">
        <v>10.74766</v>
      </c>
      <c r="E167">
        <v>12.176550000000001</v>
      </c>
      <c r="F167" s="11">
        <f t="shared" si="20"/>
        <v>1.4288900000000009</v>
      </c>
      <c r="G167">
        <v>12.09445</v>
      </c>
      <c r="H167" s="11">
        <f t="shared" si="21"/>
        <v>1.3467900000000004</v>
      </c>
      <c r="I167" s="10">
        <f t="shared" si="22"/>
        <v>5.745718704728877E-2</v>
      </c>
      <c r="J167">
        <v>11.374040000000001</v>
      </c>
      <c r="K167">
        <f t="shared" si="23"/>
        <v>0.62638000000000105</v>
      </c>
      <c r="L167" s="4">
        <f t="shared" si="25"/>
        <v>0.28082718909406779</v>
      </c>
    </row>
    <row r="168" spans="1:12" x14ac:dyDescent="0.35">
      <c r="A168" t="s">
        <v>20</v>
      </c>
      <c r="B168">
        <v>2</v>
      </c>
      <c r="C168" s="8" t="s">
        <v>91</v>
      </c>
      <c r="D168" s="12">
        <v>10.8096</v>
      </c>
      <c r="E168">
        <v>14.00131</v>
      </c>
      <c r="F168" s="11">
        <f t="shared" si="20"/>
        <v>3.1917100000000005</v>
      </c>
      <c r="G168">
        <v>13.899570000000001</v>
      </c>
      <c r="H168" s="11">
        <f t="shared" si="21"/>
        <v>3.089970000000001</v>
      </c>
      <c r="I168" s="10">
        <f t="shared" si="22"/>
        <v>3.1876329616412354E-2</v>
      </c>
      <c r="J168">
        <v>13.27375</v>
      </c>
      <c r="K168">
        <f t="shared" si="23"/>
        <v>2.4641500000000001</v>
      </c>
      <c r="L168" s="4">
        <f t="shared" si="25"/>
        <v>0.1063296731036225</v>
      </c>
    </row>
    <row r="169" spans="1:12" x14ac:dyDescent="0.35">
      <c r="A169" t="s">
        <v>20</v>
      </c>
      <c r="B169">
        <v>2</v>
      </c>
      <c r="C169" s="8" t="s">
        <v>90</v>
      </c>
      <c r="D169" s="12">
        <v>11.432460000000001</v>
      </c>
      <c r="E169">
        <v>13.39176</v>
      </c>
      <c r="F169" s="11">
        <f t="shared" si="20"/>
        <v>1.9592999999999989</v>
      </c>
      <c r="G169">
        <v>13.28002</v>
      </c>
      <c r="H169" s="11">
        <f t="shared" si="21"/>
        <v>1.8475599999999996</v>
      </c>
      <c r="I169" s="10">
        <f t="shared" si="22"/>
        <v>5.7030572143112003E-2</v>
      </c>
      <c r="J169">
        <v>12.26671</v>
      </c>
      <c r="K169">
        <f t="shared" si="23"/>
        <v>0.83424999999999905</v>
      </c>
      <c r="L169" s="4">
        <f t="shared" si="25"/>
        <v>0.28794071640433894</v>
      </c>
    </row>
    <row r="170" spans="1:12" x14ac:dyDescent="0.35">
      <c r="A170" t="s">
        <v>20</v>
      </c>
      <c r="B170">
        <v>3</v>
      </c>
      <c r="C170" s="9" t="s">
        <v>93</v>
      </c>
      <c r="D170" s="7" t="s">
        <v>88</v>
      </c>
      <c r="E170" s="7" t="s">
        <v>88</v>
      </c>
      <c r="F170" s="7" t="s">
        <v>88</v>
      </c>
      <c r="G170" s="7" t="s">
        <v>88</v>
      </c>
      <c r="H170" s="7" t="s">
        <v>88</v>
      </c>
      <c r="I170" s="7" t="s">
        <v>88</v>
      </c>
      <c r="J170" s="7" t="s">
        <v>88</v>
      </c>
      <c r="K170" s="7" t="s">
        <v>88</v>
      </c>
      <c r="L170" s="7" t="s">
        <v>88</v>
      </c>
    </row>
    <row r="171" spans="1:12" x14ac:dyDescent="0.35">
      <c r="A171" t="s">
        <v>20</v>
      </c>
      <c r="B171">
        <v>3</v>
      </c>
      <c r="C171" s="8" t="s">
        <v>92</v>
      </c>
      <c r="D171" s="12">
        <v>12.68817</v>
      </c>
      <c r="E171">
        <v>17.114049999999999</v>
      </c>
      <c r="F171" s="11">
        <f t="shared" ref="F171:F187" si="26">E171-D171</f>
        <v>4.4258799999999994</v>
      </c>
      <c r="G171">
        <v>16.980419999999999</v>
      </c>
      <c r="H171" s="11">
        <f t="shared" ref="H171:H187" si="27">G171-D171</f>
        <v>4.2922499999999992</v>
      </c>
      <c r="I171" s="10">
        <f t="shared" ref="I171:I187" si="28">(F171-H171)/F171</f>
        <v>3.0192865599609604E-2</v>
      </c>
      <c r="J171">
        <v>16.32788</v>
      </c>
      <c r="K171">
        <f t="shared" ref="K171:K187" si="29">J171-D171</f>
        <v>3.6397100000000009</v>
      </c>
      <c r="L171" s="4">
        <f t="shared" ref="L171:L187" si="30">((H171-K171)/H171)*0.525</f>
        <v>7.9814432989690529E-2</v>
      </c>
    </row>
    <row r="172" spans="1:12" x14ac:dyDescent="0.35">
      <c r="A172" t="s">
        <v>20</v>
      </c>
      <c r="B172">
        <v>3</v>
      </c>
      <c r="C172" s="8" t="s">
        <v>91</v>
      </c>
      <c r="D172" s="12">
        <v>13.02378</v>
      </c>
      <c r="E172">
        <v>16.99267</v>
      </c>
      <c r="F172" s="11">
        <f t="shared" si="26"/>
        <v>3.96889</v>
      </c>
      <c r="G172">
        <v>16.89846</v>
      </c>
      <c r="H172" s="11">
        <f t="shared" si="27"/>
        <v>3.8746799999999997</v>
      </c>
      <c r="I172" s="10">
        <f t="shared" si="28"/>
        <v>2.3737115415141348E-2</v>
      </c>
      <c r="J172">
        <v>16.44791</v>
      </c>
      <c r="K172">
        <f t="shared" si="29"/>
        <v>3.4241299999999999</v>
      </c>
      <c r="L172" s="4">
        <f t="shared" si="30"/>
        <v>6.1047299389885082E-2</v>
      </c>
    </row>
    <row r="173" spans="1:12" x14ac:dyDescent="0.35">
      <c r="A173" t="s">
        <v>20</v>
      </c>
      <c r="B173">
        <v>3</v>
      </c>
      <c r="C173" s="8" t="s">
        <v>90</v>
      </c>
      <c r="D173">
        <v>10.55794</v>
      </c>
      <c r="E173">
        <v>12.108639999999999</v>
      </c>
      <c r="F173" s="11">
        <f t="shared" si="26"/>
        <v>1.5506999999999991</v>
      </c>
      <c r="G173">
        <v>12.05687</v>
      </c>
      <c r="H173" s="11">
        <f t="shared" si="27"/>
        <v>1.4989299999999997</v>
      </c>
      <c r="I173" s="10">
        <f t="shared" si="28"/>
        <v>3.3384922938027639E-2</v>
      </c>
      <c r="J173" s="11">
        <v>11.73926</v>
      </c>
      <c r="K173">
        <f t="shared" si="29"/>
        <v>1.1813199999999995</v>
      </c>
      <c r="L173" s="4">
        <f t="shared" si="30"/>
        <v>0.11124285323530794</v>
      </c>
    </row>
    <row r="174" spans="1:12" x14ac:dyDescent="0.35">
      <c r="A174" t="s">
        <v>20</v>
      </c>
      <c r="B174">
        <v>4</v>
      </c>
      <c r="C174" s="9" t="s">
        <v>93</v>
      </c>
      <c r="D174">
        <v>11.64865</v>
      </c>
      <c r="E174">
        <v>14.338380000000001</v>
      </c>
      <c r="F174" s="11">
        <f t="shared" si="26"/>
        <v>2.6897300000000008</v>
      </c>
      <c r="G174">
        <v>14.25384</v>
      </c>
      <c r="H174" s="11">
        <f t="shared" si="27"/>
        <v>2.6051900000000003</v>
      </c>
      <c r="I174" s="10">
        <f t="shared" si="28"/>
        <v>3.1430664044346635E-2</v>
      </c>
      <c r="J174" s="11">
        <v>13.923019999999999</v>
      </c>
      <c r="K174">
        <f t="shared" si="29"/>
        <v>2.2743699999999993</v>
      </c>
      <c r="L174" s="4">
        <f t="shared" si="30"/>
        <v>6.6667114490689933E-2</v>
      </c>
    </row>
    <row r="175" spans="1:12" x14ac:dyDescent="0.35">
      <c r="A175" t="s">
        <v>20</v>
      </c>
      <c r="B175">
        <v>4</v>
      </c>
      <c r="C175" s="8" t="s">
        <v>92</v>
      </c>
      <c r="D175">
        <v>11.43403</v>
      </c>
      <c r="E175">
        <v>13.92882</v>
      </c>
      <c r="F175" s="11">
        <f t="shared" si="26"/>
        <v>2.4947900000000001</v>
      </c>
      <c r="G175">
        <v>13.83952</v>
      </c>
      <c r="H175" s="11">
        <f t="shared" si="27"/>
        <v>2.4054900000000004</v>
      </c>
      <c r="I175" s="10">
        <f t="shared" si="28"/>
        <v>3.5794595937934541E-2</v>
      </c>
      <c r="J175" s="11">
        <v>13.543850000000001</v>
      </c>
      <c r="K175">
        <f t="shared" si="29"/>
        <v>2.1098200000000009</v>
      </c>
      <c r="L175" s="4">
        <f t="shared" si="30"/>
        <v>6.4530199668258723E-2</v>
      </c>
    </row>
    <row r="176" spans="1:12" x14ac:dyDescent="0.35">
      <c r="A176" t="s">
        <v>20</v>
      </c>
      <c r="B176">
        <v>4</v>
      </c>
      <c r="C176" s="8" t="s">
        <v>91</v>
      </c>
      <c r="D176">
        <v>10.35214</v>
      </c>
      <c r="E176">
        <v>13.87757</v>
      </c>
      <c r="F176" s="11">
        <f t="shared" si="26"/>
        <v>3.5254300000000001</v>
      </c>
      <c r="G176">
        <v>13.769159999999999</v>
      </c>
      <c r="H176" s="11">
        <f t="shared" si="27"/>
        <v>3.4170199999999991</v>
      </c>
      <c r="I176" s="10">
        <f t="shared" si="28"/>
        <v>3.0750858760491911E-2</v>
      </c>
      <c r="J176" s="11">
        <v>13.43566</v>
      </c>
      <c r="K176">
        <f t="shared" si="29"/>
        <v>3.08352</v>
      </c>
      <c r="L176" s="4">
        <f t="shared" si="30"/>
        <v>5.1239823003669728E-2</v>
      </c>
    </row>
    <row r="177" spans="1:12" x14ac:dyDescent="0.35">
      <c r="A177" t="s">
        <v>20</v>
      </c>
      <c r="B177">
        <v>4</v>
      </c>
      <c r="C177" s="8" t="s">
        <v>90</v>
      </c>
      <c r="D177">
        <v>11.91066</v>
      </c>
      <c r="E177">
        <v>15.652659999999999</v>
      </c>
      <c r="F177" s="11">
        <f t="shared" si="26"/>
        <v>3.7419999999999991</v>
      </c>
      <c r="G177">
        <v>15.537929999999999</v>
      </c>
      <c r="H177" s="11">
        <f t="shared" si="27"/>
        <v>3.6272699999999993</v>
      </c>
      <c r="I177" s="10">
        <f t="shared" si="28"/>
        <v>3.0660074826296044E-2</v>
      </c>
      <c r="J177" s="11">
        <v>15.061669999999999</v>
      </c>
      <c r="K177">
        <f t="shared" si="29"/>
        <v>3.1510099999999994</v>
      </c>
      <c r="L177" s="4">
        <f t="shared" si="30"/>
        <v>6.8932420249940035E-2</v>
      </c>
    </row>
    <row r="178" spans="1:12" x14ac:dyDescent="0.35">
      <c r="A178" t="s">
        <v>21</v>
      </c>
      <c r="B178">
        <v>1</v>
      </c>
      <c r="C178" s="9" t="s">
        <v>93</v>
      </c>
      <c r="D178">
        <v>8.1923899999999996</v>
      </c>
      <c r="E178">
        <v>8.88401</v>
      </c>
      <c r="F178" s="11">
        <f t="shared" si="26"/>
        <v>0.69162000000000035</v>
      </c>
      <c r="G178">
        <v>8.8176100000000002</v>
      </c>
      <c r="H178" s="11">
        <f t="shared" si="27"/>
        <v>0.62522000000000055</v>
      </c>
      <c r="I178" s="10">
        <f t="shared" si="28"/>
        <v>9.6006477545472604E-2</v>
      </c>
      <c r="J178" s="11">
        <v>8.2509200000000007</v>
      </c>
      <c r="K178">
        <f t="shared" si="29"/>
        <v>5.8530000000001081E-2</v>
      </c>
      <c r="L178" s="4">
        <f t="shared" si="30"/>
        <v>0.47585210006077772</v>
      </c>
    </row>
    <row r="179" spans="1:12" x14ac:dyDescent="0.35">
      <c r="A179" t="s">
        <v>21</v>
      </c>
      <c r="B179">
        <v>1</v>
      </c>
      <c r="C179" s="8" t="s">
        <v>92</v>
      </c>
      <c r="D179">
        <v>12.59727</v>
      </c>
      <c r="E179">
        <v>13.18859</v>
      </c>
      <c r="F179" s="11">
        <f t="shared" si="26"/>
        <v>0.59131999999999962</v>
      </c>
      <c r="G179">
        <v>13.134449999999999</v>
      </c>
      <c r="H179" s="11">
        <f t="shared" si="27"/>
        <v>0.53717999999999932</v>
      </c>
      <c r="I179" s="10">
        <f t="shared" si="28"/>
        <v>9.15578705269572E-2</v>
      </c>
      <c r="J179" s="11">
        <v>12.641769999999999</v>
      </c>
      <c r="K179">
        <f t="shared" si="29"/>
        <v>4.4499999999999318E-2</v>
      </c>
      <c r="L179" s="4">
        <f t="shared" si="30"/>
        <v>0.48150899139953152</v>
      </c>
    </row>
    <row r="180" spans="1:12" x14ac:dyDescent="0.35">
      <c r="A180" t="s">
        <v>21</v>
      </c>
      <c r="B180">
        <v>1</v>
      </c>
      <c r="C180" s="8" t="s">
        <v>91</v>
      </c>
      <c r="D180">
        <v>10.576790000000001</v>
      </c>
      <c r="E180">
        <v>11.682040000000001</v>
      </c>
      <c r="F180" s="11">
        <f t="shared" si="26"/>
        <v>1.1052499999999998</v>
      </c>
      <c r="G180">
        <v>11.56828</v>
      </c>
      <c r="H180" s="11">
        <f t="shared" si="27"/>
        <v>0.99148999999999887</v>
      </c>
      <c r="I180" s="10">
        <f t="shared" si="28"/>
        <v>0.10292693960642478</v>
      </c>
      <c r="J180" s="11">
        <v>10.69379</v>
      </c>
      <c r="K180">
        <f t="shared" si="29"/>
        <v>0.1169999999999991</v>
      </c>
      <c r="L180" s="4">
        <f t="shared" si="30"/>
        <v>0.4630477866645154</v>
      </c>
    </row>
    <row r="181" spans="1:12" x14ac:dyDescent="0.35">
      <c r="A181" t="s">
        <v>21</v>
      </c>
      <c r="B181">
        <v>1</v>
      </c>
      <c r="C181" s="8" t="s">
        <v>90</v>
      </c>
      <c r="D181">
        <v>12.931369999999999</v>
      </c>
      <c r="E181">
        <v>13.84273</v>
      </c>
      <c r="F181" s="11">
        <f t="shared" si="26"/>
        <v>0.91136000000000017</v>
      </c>
      <c r="G181">
        <v>13.75545</v>
      </c>
      <c r="H181" s="11">
        <f t="shared" si="27"/>
        <v>0.82408000000000037</v>
      </c>
      <c r="I181" s="10">
        <f t="shared" si="28"/>
        <v>9.5768960674157064E-2</v>
      </c>
      <c r="J181" s="11">
        <v>12.990550000000001</v>
      </c>
      <c r="K181">
        <f t="shared" si="29"/>
        <v>5.9180000000001343E-2</v>
      </c>
      <c r="L181" s="4">
        <f t="shared" si="30"/>
        <v>0.48729795650907592</v>
      </c>
    </row>
    <row r="182" spans="1:12" x14ac:dyDescent="0.35">
      <c r="A182" t="s">
        <v>21</v>
      </c>
      <c r="B182">
        <v>2</v>
      </c>
      <c r="C182" s="9" t="s">
        <v>93</v>
      </c>
      <c r="D182">
        <v>10.852180000000001</v>
      </c>
      <c r="E182">
        <v>13.410539999999999</v>
      </c>
      <c r="F182" s="11">
        <f t="shared" si="26"/>
        <v>2.5583599999999986</v>
      </c>
      <c r="G182">
        <v>13.22669</v>
      </c>
      <c r="H182" s="11">
        <f t="shared" si="27"/>
        <v>2.374509999999999</v>
      </c>
      <c r="I182" s="10">
        <f t="shared" si="28"/>
        <v>7.1862443127628531E-2</v>
      </c>
      <c r="J182" s="11">
        <v>11.83361</v>
      </c>
      <c r="K182">
        <f t="shared" si="29"/>
        <v>0.98142999999999958</v>
      </c>
      <c r="L182" s="4">
        <f t="shared" si="30"/>
        <v>0.30800754682018611</v>
      </c>
    </row>
    <row r="183" spans="1:12" x14ac:dyDescent="0.35">
      <c r="A183" t="s">
        <v>21</v>
      </c>
      <c r="B183">
        <v>2</v>
      </c>
      <c r="C183" s="8" t="s">
        <v>92</v>
      </c>
      <c r="D183">
        <v>12.25911</v>
      </c>
      <c r="E183">
        <v>14.54034</v>
      </c>
      <c r="F183" s="11">
        <f t="shared" si="26"/>
        <v>2.2812300000000008</v>
      </c>
      <c r="G183">
        <v>14.37332</v>
      </c>
      <c r="H183" s="11">
        <f t="shared" si="27"/>
        <v>2.1142099999999999</v>
      </c>
      <c r="I183" s="10">
        <f t="shared" si="28"/>
        <v>7.3214888459296426E-2</v>
      </c>
      <c r="J183" s="11">
        <v>13.138820000000001</v>
      </c>
      <c r="K183">
        <f t="shared" si="29"/>
        <v>0.8797100000000011</v>
      </c>
      <c r="L183" s="4">
        <f t="shared" si="30"/>
        <v>0.30655067377412815</v>
      </c>
    </row>
    <row r="184" spans="1:12" x14ac:dyDescent="0.35">
      <c r="A184" t="s">
        <v>21</v>
      </c>
      <c r="B184">
        <v>2</v>
      </c>
      <c r="C184" s="8" t="s">
        <v>91</v>
      </c>
      <c r="D184">
        <v>10.569369999999999</v>
      </c>
      <c r="E184">
        <v>12.34146</v>
      </c>
      <c r="F184" s="11">
        <f t="shared" si="26"/>
        <v>1.7720900000000004</v>
      </c>
      <c r="G184">
        <v>12.179790000000001</v>
      </c>
      <c r="H184" s="11">
        <f t="shared" si="27"/>
        <v>1.6104200000000013</v>
      </c>
      <c r="I184" s="10">
        <f t="shared" si="28"/>
        <v>9.1231258006082686E-2</v>
      </c>
      <c r="J184" s="11">
        <v>10.909979999999999</v>
      </c>
      <c r="K184">
        <f t="shared" si="29"/>
        <v>0.34060999999999986</v>
      </c>
      <c r="L184" s="4">
        <f t="shared" si="30"/>
        <v>0.41396048856819978</v>
      </c>
    </row>
    <row r="185" spans="1:12" x14ac:dyDescent="0.35">
      <c r="A185" t="s">
        <v>21</v>
      </c>
      <c r="B185">
        <v>2</v>
      </c>
      <c r="C185" s="8" t="s">
        <v>90</v>
      </c>
      <c r="D185">
        <v>12.517749999999999</v>
      </c>
      <c r="E185">
        <v>14.16203</v>
      </c>
      <c r="F185" s="11">
        <f t="shared" si="26"/>
        <v>1.6442800000000002</v>
      </c>
      <c r="G185">
        <v>14.00961</v>
      </c>
      <c r="H185" s="11">
        <f t="shared" si="27"/>
        <v>1.4918600000000009</v>
      </c>
      <c r="I185" s="10">
        <f t="shared" si="28"/>
        <v>9.2697107548592284E-2</v>
      </c>
      <c r="J185" s="11">
        <v>12.74919</v>
      </c>
      <c r="K185">
        <f t="shared" si="29"/>
        <v>0.23144000000000098</v>
      </c>
      <c r="L185" s="4">
        <f t="shared" si="30"/>
        <v>0.4435540198141914</v>
      </c>
    </row>
    <row r="186" spans="1:12" x14ac:dyDescent="0.35">
      <c r="A186" t="s">
        <v>21</v>
      </c>
      <c r="B186">
        <v>3</v>
      </c>
      <c r="C186" s="9" t="s">
        <v>93</v>
      </c>
      <c r="D186" s="12">
        <v>11.29461</v>
      </c>
      <c r="E186">
        <v>11.75267</v>
      </c>
      <c r="F186" s="11">
        <f t="shared" si="26"/>
        <v>0.45805999999999969</v>
      </c>
      <c r="G186">
        <v>11.73179</v>
      </c>
      <c r="H186" s="11">
        <f t="shared" si="27"/>
        <v>0.43717999999999968</v>
      </c>
      <c r="I186" s="10">
        <f t="shared" si="28"/>
        <v>4.5583548006811386E-2</v>
      </c>
      <c r="J186" s="11">
        <v>11.52061</v>
      </c>
      <c r="K186">
        <f t="shared" si="29"/>
        <v>0.22599999999999909</v>
      </c>
      <c r="L186" s="4">
        <f t="shared" si="30"/>
        <v>0.25360149137655058</v>
      </c>
    </row>
    <row r="187" spans="1:12" x14ac:dyDescent="0.35">
      <c r="A187" t="s">
        <v>21</v>
      </c>
      <c r="B187">
        <v>3</v>
      </c>
      <c r="C187" s="8" t="s">
        <v>92</v>
      </c>
      <c r="D187" s="12">
        <v>14.163790000000001</v>
      </c>
      <c r="E187">
        <v>18.359960000000001</v>
      </c>
      <c r="F187" s="11">
        <f t="shared" si="26"/>
        <v>4.1961700000000004</v>
      </c>
      <c r="G187">
        <v>18.23854</v>
      </c>
      <c r="H187" s="11">
        <f t="shared" si="27"/>
        <v>4.0747499999999999</v>
      </c>
      <c r="I187" s="10">
        <f t="shared" si="28"/>
        <v>2.8935910604193947E-2</v>
      </c>
      <c r="J187" s="11">
        <v>17.658629999999999</v>
      </c>
      <c r="K187">
        <f t="shared" si="29"/>
        <v>3.4948399999999982</v>
      </c>
      <c r="L187" s="4">
        <f t="shared" si="30"/>
        <v>7.4716915148168833E-2</v>
      </c>
    </row>
    <row r="188" spans="1:12" x14ac:dyDescent="0.35">
      <c r="A188" t="s">
        <v>21</v>
      </c>
      <c r="B188">
        <v>3</v>
      </c>
      <c r="C188" s="8" t="s">
        <v>91</v>
      </c>
      <c r="D188" s="7" t="s">
        <v>88</v>
      </c>
      <c r="E188" t="s">
        <v>88</v>
      </c>
      <c r="F188" t="s">
        <v>88</v>
      </c>
      <c r="G188" t="s">
        <v>88</v>
      </c>
      <c r="H188" t="s">
        <v>88</v>
      </c>
      <c r="I188" t="s">
        <v>88</v>
      </c>
      <c r="J188" t="s">
        <v>88</v>
      </c>
      <c r="K188" t="s">
        <v>88</v>
      </c>
      <c r="L188" t="s">
        <v>88</v>
      </c>
    </row>
    <row r="189" spans="1:12" x14ac:dyDescent="0.35">
      <c r="A189" t="s">
        <v>21</v>
      </c>
      <c r="B189">
        <v>3</v>
      </c>
      <c r="C189" s="8" t="s">
        <v>90</v>
      </c>
      <c r="D189" s="7" t="s">
        <v>88</v>
      </c>
      <c r="E189" t="s">
        <v>88</v>
      </c>
      <c r="F189" t="s">
        <v>88</v>
      </c>
      <c r="G189" t="s">
        <v>88</v>
      </c>
      <c r="H189" t="s">
        <v>88</v>
      </c>
      <c r="I189" t="s">
        <v>88</v>
      </c>
      <c r="J189" t="s">
        <v>88</v>
      </c>
      <c r="K189" t="s">
        <v>88</v>
      </c>
      <c r="L189" t="s">
        <v>88</v>
      </c>
    </row>
    <row r="190" spans="1:12" x14ac:dyDescent="0.35">
      <c r="A190" t="s">
        <v>21</v>
      </c>
      <c r="B190">
        <v>4</v>
      </c>
      <c r="C190" s="9" t="s">
        <v>93</v>
      </c>
      <c r="D190" s="12">
        <v>12.8399</v>
      </c>
      <c r="E190">
        <v>15.53899</v>
      </c>
      <c r="F190" s="11">
        <f t="shared" ref="F190:F202" si="31">E190-D190</f>
        <v>2.69909</v>
      </c>
      <c r="G190">
        <v>15.45538</v>
      </c>
      <c r="H190" s="11">
        <f t="shared" ref="H190:H202" si="32">G190-D190</f>
        <v>2.6154799999999998</v>
      </c>
      <c r="I190" s="10">
        <f t="shared" ref="I190:I202" si="33">(F190-H190)/F190</f>
        <v>3.0977107099059382E-2</v>
      </c>
      <c r="J190" s="11">
        <v>15.048080000000001</v>
      </c>
      <c r="K190">
        <f t="shared" ref="K190:K202" si="34">J190-D190</f>
        <v>2.2081800000000005</v>
      </c>
      <c r="L190" s="4">
        <f t="shared" ref="L190:L202" si="35">((H190-K190)/H190)*0.525</f>
        <v>8.1756503586339679E-2</v>
      </c>
    </row>
    <row r="191" spans="1:12" x14ac:dyDescent="0.35">
      <c r="A191" t="s">
        <v>21</v>
      </c>
      <c r="B191">
        <v>4</v>
      </c>
      <c r="C191" s="8" t="s">
        <v>92</v>
      </c>
      <c r="D191" s="12">
        <v>12.27595</v>
      </c>
      <c r="E191">
        <v>16.717970000000001</v>
      </c>
      <c r="F191" s="11">
        <f t="shared" si="31"/>
        <v>4.4420200000000012</v>
      </c>
      <c r="G191">
        <v>16.601510000000001</v>
      </c>
      <c r="H191" s="11">
        <f t="shared" si="32"/>
        <v>4.3255600000000012</v>
      </c>
      <c r="I191" s="10">
        <f t="shared" si="33"/>
        <v>2.6217801810887835E-2</v>
      </c>
      <c r="J191" s="11">
        <v>16.118639999999999</v>
      </c>
      <c r="K191">
        <f t="shared" si="34"/>
        <v>3.8426899999999993</v>
      </c>
      <c r="L191" s="4">
        <f t="shared" si="35"/>
        <v>5.8606689076096723E-2</v>
      </c>
    </row>
    <row r="192" spans="1:12" x14ac:dyDescent="0.35">
      <c r="A192" t="s">
        <v>21</v>
      </c>
      <c r="B192">
        <v>4</v>
      </c>
      <c r="C192" s="8" t="s">
        <v>91</v>
      </c>
      <c r="D192" s="12">
        <v>13.078060000000001</v>
      </c>
      <c r="E192">
        <v>18.646180000000001</v>
      </c>
      <c r="F192" s="11">
        <f t="shared" si="31"/>
        <v>5.5681200000000004</v>
      </c>
      <c r="G192">
        <v>18.487680000000001</v>
      </c>
      <c r="H192" s="11">
        <f t="shared" si="32"/>
        <v>5.4096200000000003</v>
      </c>
      <c r="I192" s="10">
        <f t="shared" si="33"/>
        <v>2.8465622148947954E-2</v>
      </c>
      <c r="J192" s="11">
        <v>17.80808</v>
      </c>
      <c r="K192">
        <f t="shared" si="34"/>
        <v>4.7300199999999997</v>
      </c>
      <c r="L192" s="4">
        <f t="shared" si="35"/>
        <v>6.595472510083894E-2</v>
      </c>
    </row>
    <row r="193" spans="1:12" x14ac:dyDescent="0.35">
      <c r="A193" t="s">
        <v>21</v>
      </c>
      <c r="B193">
        <v>4</v>
      </c>
      <c r="C193" s="8" t="s">
        <v>90</v>
      </c>
      <c r="D193" s="12">
        <v>11.846159999999999</v>
      </c>
      <c r="E193">
        <v>15.15696</v>
      </c>
      <c r="F193" s="11">
        <f t="shared" si="31"/>
        <v>3.3108000000000004</v>
      </c>
      <c r="G193">
        <v>15.077579999999999</v>
      </c>
      <c r="H193" s="11">
        <f t="shared" si="32"/>
        <v>3.23142</v>
      </c>
      <c r="I193" s="10">
        <f t="shared" si="33"/>
        <v>2.3976078289235363E-2</v>
      </c>
      <c r="J193" s="11">
        <v>14.701029999999999</v>
      </c>
      <c r="K193">
        <f t="shared" si="34"/>
        <v>2.85487</v>
      </c>
      <c r="L193" s="4">
        <f t="shared" si="35"/>
        <v>6.117705219377239E-2</v>
      </c>
    </row>
    <row r="194" spans="1:12" x14ac:dyDescent="0.35">
      <c r="A194" t="s">
        <v>22</v>
      </c>
      <c r="B194">
        <v>1</v>
      </c>
      <c r="C194" s="9" t="s">
        <v>93</v>
      </c>
      <c r="D194" s="12">
        <v>12.82607</v>
      </c>
      <c r="E194" s="11">
        <v>13.725910000000001</v>
      </c>
      <c r="F194" s="11">
        <f t="shared" si="31"/>
        <v>0.89984000000000108</v>
      </c>
      <c r="G194" s="11">
        <v>13.67337</v>
      </c>
      <c r="H194" s="11">
        <f t="shared" si="32"/>
        <v>0.84730000000000061</v>
      </c>
      <c r="I194" s="10">
        <f t="shared" si="33"/>
        <v>5.8388157894737301E-2</v>
      </c>
      <c r="J194" s="11">
        <v>13.038449999999999</v>
      </c>
      <c r="K194">
        <f t="shared" si="34"/>
        <v>0.21237999999999957</v>
      </c>
      <c r="L194" s="4">
        <f t="shared" si="35"/>
        <v>0.3934061135371183</v>
      </c>
    </row>
    <row r="195" spans="1:12" x14ac:dyDescent="0.35">
      <c r="A195" t="s">
        <v>22</v>
      </c>
      <c r="B195">
        <v>1</v>
      </c>
      <c r="C195" s="8" t="s">
        <v>92</v>
      </c>
      <c r="D195" s="12">
        <v>11.60299</v>
      </c>
      <c r="E195" s="11">
        <v>12.39784</v>
      </c>
      <c r="F195" s="11">
        <f t="shared" si="31"/>
        <v>0.79485000000000028</v>
      </c>
      <c r="G195" s="11">
        <v>12.36238</v>
      </c>
      <c r="H195" s="11">
        <f t="shared" si="32"/>
        <v>0.75938999999999979</v>
      </c>
      <c r="I195" s="10">
        <f t="shared" si="33"/>
        <v>4.4612190979430685E-2</v>
      </c>
      <c r="J195" s="11">
        <v>11.733169999999999</v>
      </c>
      <c r="K195">
        <f t="shared" si="34"/>
        <v>0.1301799999999993</v>
      </c>
      <c r="L195" s="4">
        <f t="shared" si="35"/>
        <v>0.4350007901078502</v>
      </c>
    </row>
    <row r="196" spans="1:12" x14ac:dyDescent="0.35">
      <c r="A196" t="s">
        <v>22</v>
      </c>
      <c r="B196">
        <v>1</v>
      </c>
      <c r="C196" s="8" t="s">
        <v>91</v>
      </c>
      <c r="D196" s="12">
        <v>12.52439</v>
      </c>
      <c r="E196" s="11">
        <v>13.516120000000001</v>
      </c>
      <c r="F196" s="11">
        <f t="shared" si="31"/>
        <v>0.99173000000000044</v>
      </c>
      <c r="G196" s="11">
        <v>13.472110000000001</v>
      </c>
      <c r="H196" s="11">
        <f t="shared" si="32"/>
        <v>0.94772000000000034</v>
      </c>
      <c r="I196" s="10">
        <f t="shared" si="33"/>
        <v>4.4376997771570975E-2</v>
      </c>
      <c r="J196" s="11">
        <v>12.763339999999999</v>
      </c>
      <c r="K196">
        <f t="shared" si="34"/>
        <v>0.23894999999999911</v>
      </c>
      <c r="L196" s="4">
        <f t="shared" si="35"/>
        <v>0.39263099860718409</v>
      </c>
    </row>
    <row r="197" spans="1:12" x14ac:dyDescent="0.35">
      <c r="A197" t="s">
        <v>22</v>
      </c>
      <c r="B197">
        <v>1</v>
      </c>
      <c r="C197" s="8" t="s">
        <v>90</v>
      </c>
      <c r="D197" s="12">
        <v>11.45524</v>
      </c>
      <c r="E197" s="11">
        <v>12.754429999999999</v>
      </c>
      <c r="F197" s="11">
        <f t="shared" si="31"/>
        <v>1.2991899999999994</v>
      </c>
      <c r="G197" s="11">
        <v>12.694610000000001</v>
      </c>
      <c r="H197" s="11">
        <f t="shared" si="32"/>
        <v>1.239370000000001</v>
      </c>
      <c r="I197" s="10">
        <f t="shared" si="33"/>
        <v>4.604407361509745E-2</v>
      </c>
      <c r="J197" s="11">
        <v>11.71495</v>
      </c>
      <c r="K197">
        <f t="shared" si="34"/>
        <v>0.25971000000000011</v>
      </c>
      <c r="L197" s="4">
        <f t="shared" si="35"/>
        <v>0.41498624301056186</v>
      </c>
    </row>
    <row r="198" spans="1:12" x14ac:dyDescent="0.35">
      <c r="A198" t="s">
        <v>22</v>
      </c>
      <c r="B198">
        <v>2</v>
      </c>
      <c r="C198" s="9" t="s">
        <v>93</v>
      </c>
      <c r="D198" s="12">
        <v>11.54125</v>
      </c>
      <c r="E198" s="11">
        <v>13.60305</v>
      </c>
      <c r="F198" s="11">
        <f t="shared" si="31"/>
        <v>2.0617999999999999</v>
      </c>
      <c r="G198" s="11">
        <v>13.56165</v>
      </c>
      <c r="H198" s="11">
        <f t="shared" si="32"/>
        <v>2.0204000000000004</v>
      </c>
      <c r="I198" s="10">
        <f t="shared" si="33"/>
        <v>2.0079542147637713E-2</v>
      </c>
      <c r="J198" s="11">
        <v>12.81964</v>
      </c>
      <c r="K198">
        <f t="shared" si="34"/>
        <v>1.2783899999999999</v>
      </c>
      <c r="L198" s="4">
        <f t="shared" si="35"/>
        <v>0.19281095327657899</v>
      </c>
    </row>
    <row r="199" spans="1:12" x14ac:dyDescent="0.35">
      <c r="A199" t="s">
        <v>22</v>
      </c>
      <c r="B199">
        <v>2</v>
      </c>
      <c r="C199" s="8" t="s">
        <v>92</v>
      </c>
      <c r="D199" s="12">
        <v>12.270519999999999</v>
      </c>
      <c r="E199" s="11">
        <v>15.30251</v>
      </c>
      <c r="F199" s="11">
        <f t="shared" si="31"/>
        <v>3.0319900000000004</v>
      </c>
      <c r="G199" s="11">
        <v>15.24493</v>
      </c>
      <c r="H199" s="11">
        <f t="shared" si="32"/>
        <v>2.9744100000000007</v>
      </c>
      <c r="I199" s="10">
        <f t="shared" si="33"/>
        <v>1.8990827806160224E-2</v>
      </c>
      <c r="J199" s="11">
        <v>14.23701</v>
      </c>
      <c r="K199">
        <f t="shared" si="34"/>
        <v>1.9664900000000003</v>
      </c>
      <c r="L199" s="4">
        <f t="shared" si="35"/>
        <v>0.17790351700001011</v>
      </c>
    </row>
    <row r="200" spans="1:12" x14ac:dyDescent="0.35">
      <c r="A200" t="s">
        <v>22</v>
      </c>
      <c r="B200">
        <v>2</v>
      </c>
      <c r="C200" s="8" t="s">
        <v>91</v>
      </c>
      <c r="D200" s="12">
        <v>12.562889999999999</v>
      </c>
      <c r="E200" s="11">
        <v>15.502660000000001</v>
      </c>
      <c r="F200" s="11">
        <f t="shared" si="31"/>
        <v>2.9397700000000011</v>
      </c>
      <c r="G200" s="11">
        <v>15.432919999999999</v>
      </c>
      <c r="H200" s="11">
        <f t="shared" si="32"/>
        <v>2.8700299999999999</v>
      </c>
      <c r="I200" s="10">
        <f t="shared" si="33"/>
        <v>2.37229443119704E-2</v>
      </c>
      <c r="J200" s="11">
        <v>14.349629999999999</v>
      </c>
      <c r="K200">
        <f t="shared" si="34"/>
        <v>1.78674</v>
      </c>
      <c r="L200" s="4">
        <f t="shared" si="35"/>
        <v>0.19816073351149638</v>
      </c>
    </row>
    <row r="201" spans="1:12" x14ac:dyDescent="0.35">
      <c r="A201" t="s">
        <v>22</v>
      </c>
      <c r="B201">
        <v>2</v>
      </c>
      <c r="C201" s="8" t="s">
        <v>90</v>
      </c>
      <c r="D201" s="12">
        <v>12.57944</v>
      </c>
      <c r="E201" s="11">
        <v>16.383510000000001</v>
      </c>
      <c r="F201" s="11">
        <f t="shared" si="31"/>
        <v>3.8040700000000012</v>
      </c>
      <c r="G201" s="11">
        <v>16.297190000000001</v>
      </c>
      <c r="H201" s="11">
        <f t="shared" si="32"/>
        <v>3.7177500000000006</v>
      </c>
      <c r="I201" s="10">
        <f t="shared" si="33"/>
        <v>2.269148569821286E-2</v>
      </c>
      <c r="J201" s="11">
        <v>14.65931</v>
      </c>
      <c r="K201">
        <f t="shared" si="34"/>
        <v>2.0798699999999997</v>
      </c>
      <c r="L201" s="4">
        <f t="shared" si="35"/>
        <v>0.23129231389953611</v>
      </c>
    </row>
    <row r="202" spans="1:12" x14ac:dyDescent="0.35">
      <c r="A202" t="s">
        <v>22</v>
      </c>
      <c r="B202">
        <v>3</v>
      </c>
      <c r="C202" s="9" t="s">
        <v>93</v>
      </c>
      <c r="D202" s="12">
        <v>11.29217</v>
      </c>
      <c r="E202">
        <v>13.042920000000001</v>
      </c>
      <c r="F202" s="11">
        <f t="shared" si="31"/>
        <v>1.75075</v>
      </c>
      <c r="G202" s="11">
        <v>12.93933</v>
      </c>
      <c r="H202" s="11">
        <f t="shared" si="32"/>
        <v>1.6471599999999995</v>
      </c>
      <c r="I202" s="10">
        <f t="shared" si="33"/>
        <v>5.9168927602456386E-2</v>
      </c>
      <c r="J202" s="11">
        <v>12.50863</v>
      </c>
      <c r="K202">
        <f t="shared" si="34"/>
        <v>1.2164599999999997</v>
      </c>
      <c r="L202" s="4">
        <f t="shared" si="35"/>
        <v>0.13727719225818985</v>
      </c>
    </row>
    <row r="203" spans="1:12" x14ac:dyDescent="0.35">
      <c r="A203" t="s">
        <v>22</v>
      </c>
      <c r="B203">
        <v>3</v>
      </c>
      <c r="C203" s="8" t="s">
        <v>92</v>
      </c>
      <c r="D203" s="7" t="s">
        <v>88</v>
      </c>
      <c r="E203" t="s">
        <v>88</v>
      </c>
      <c r="F203" t="s">
        <v>88</v>
      </c>
      <c r="G203" t="s">
        <v>88</v>
      </c>
      <c r="H203" t="s">
        <v>88</v>
      </c>
      <c r="I203" t="s">
        <v>88</v>
      </c>
      <c r="J203" t="s">
        <v>88</v>
      </c>
      <c r="K203" t="s">
        <v>88</v>
      </c>
      <c r="L203" t="s">
        <v>88</v>
      </c>
    </row>
    <row r="204" spans="1:12" x14ac:dyDescent="0.35">
      <c r="A204" t="s">
        <v>22</v>
      </c>
      <c r="B204">
        <v>3</v>
      </c>
      <c r="C204" s="8" t="s">
        <v>91</v>
      </c>
      <c r="D204" s="7" t="s">
        <v>88</v>
      </c>
      <c r="E204" t="s">
        <v>88</v>
      </c>
      <c r="F204" t="s">
        <v>88</v>
      </c>
      <c r="G204" t="s">
        <v>88</v>
      </c>
      <c r="H204" t="s">
        <v>88</v>
      </c>
      <c r="I204" t="s">
        <v>88</v>
      </c>
      <c r="J204" t="s">
        <v>88</v>
      </c>
      <c r="K204" t="s">
        <v>88</v>
      </c>
      <c r="L204" t="s">
        <v>88</v>
      </c>
    </row>
    <row r="205" spans="1:12" x14ac:dyDescent="0.35">
      <c r="A205" t="s">
        <v>22</v>
      </c>
      <c r="B205">
        <v>3</v>
      </c>
      <c r="C205" s="8" t="s">
        <v>90</v>
      </c>
      <c r="D205" s="12">
        <v>11.895619999999999</v>
      </c>
      <c r="E205">
        <v>13.73861</v>
      </c>
      <c r="F205" s="11">
        <f>E205-D205</f>
        <v>1.8429900000000004</v>
      </c>
      <c r="G205">
        <v>13.64911</v>
      </c>
      <c r="H205" s="11">
        <f>G205-D205</f>
        <v>1.7534900000000011</v>
      </c>
      <c r="I205" s="10">
        <f>(F205-H205)/F205</f>
        <v>4.8562390463322766E-2</v>
      </c>
      <c r="J205">
        <v>13.292809999999999</v>
      </c>
      <c r="K205">
        <f>J205-D205</f>
        <v>1.3971900000000002</v>
      </c>
      <c r="L205" s="4">
        <f>((H205-K205)/H205)*0.525</f>
        <v>0.1066772550741666</v>
      </c>
    </row>
    <row r="206" spans="1:12" x14ac:dyDescent="0.35">
      <c r="A206" t="s">
        <v>22</v>
      </c>
      <c r="B206">
        <v>4</v>
      </c>
      <c r="C206" s="9" t="s">
        <v>93</v>
      </c>
      <c r="D206" s="7" t="s">
        <v>88</v>
      </c>
      <c r="E206" t="s">
        <v>88</v>
      </c>
      <c r="F206" t="s">
        <v>88</v>
      </c>
      <c r="G206" t="s">
        <v>88</v>
      </c>
      <c r="H206" t="s">
        <v>88</v>
      </c>
      <c r="I206" t="s">
        <v>88</v>
      </c>
      <c r="J206" t="s">
        <v>88</v>
      </c>
      <c r="K206" t="s">
        <v>88</v>
      </c>
      <c r="L206" t="s">
        <v>88</v>
      </c>
    </row>
    <row r="207" spans="1:12" x14ac:dyDescent="0.35">
      <c r="A207" t="s">
        <v>22</v>
      </c>
      <c r="B207">
        <v>4</v>
      </c>
      <c r="C207" s="8" t="s">
        <v>92</v>
      </c>
      <c r="D207" s="7" t="s">
        <v>88</v>
      </c>
      <c r="E207" t="s">
        <v>88</v>
      </c>
      <c r="F207" t="s">
        <v>88</v>
      </c>
      <c r="G207" t="s">
        <v>88</v>
      </c>
      <c r="H207" t="s">
        <v>88</v>
      </c>
      <c r="I207" t="s">
        <v>88</v>
      </c>
      <c r="J207" t="s">
        <v>88</v>
      </c>
      <c r="K207" t="s">
        <v>88</v>
      </c>
      <c r="L207" t="s">
        <v>88</v>
      </c>
    </row>
    <row r="208" spans="1:12" x14ac:dyDescent="0.35">
      <c r="A208" t="s">
        <v>22</v>
      </c>
      <c r="B208">
        <v>4</v>
      </c>
      <c r="C208" s="8" t="s">
        <v>91</v>
      </c>
      <c r="D208" s="7" t="s">
        <v>88</v>
      </c>
      <c r="E208" t="s">
        <v>88</v>
      </c>
      <c r="F208" t="s">
        <v>88</v>
      </c>
      <c r="G208" t="s">
        <v>88</v>
      </c>
      <c r="H208" t="s">
        <v>88</v>
      </c>
      <c r="I208" t="s">
        <v>88</v>
      </c>
      <c r="J208" t="s">
        <v>88</v>
      </c>
      <c r="K208" t="s">
        <v>88</v>
      </c>
      <c r="L208" t="s">
        <v>88</v>
      </c>
    </row>
    <row r="209" spans="1:12" x14ac:dyDescent="0.35">
      <c r="A209" t="s">
        <v>22</v>
      </c>
      <c r="B209">
        <v>4</v>
      </c>
      <c r="C209" s="8" t="s">
        <v>90</v>
      </c>
      <c r="D209" s="7" t="s">
        <v>88</v>
      </c>
      <c r="E209" t="s">
        <v>88</v>
      </c>
      <c r="F209" t="s">
        <v>88</v>
      </c>
      <c r="G209" t="s">
        <v>88</v>
      </c>
      <c r="H209" t="s">
        <v>88</v>
      </c>
      <c r="I209" t="s">
        <v>88</v>
      </c>
      <c r="J209" t="s">
        <v>88</v>
      </c>
      <c r="K209" t="s">
        <v>88</v>
      </c>
      <c r="L209" t="s">
        <v>88</v>
      </c>
    </row>
    <row r="210" spans="1:12" x14ac:dyDescent="0.35">
      <c r="A210" t="s">
        <v>23</v>
      </c>
      <c r="B210">
        <v>1</v>
      </c>
      <c r="C210" s="9" t="s">
        <v>93</v>
      </c>
      <c r="D210" s="12">
        <v>11.854469999999999</v>
      </c>
      <c r="E210" s="20">
        <v>12.68155</v>
      </c>
      <c r="F210" s="11">
        <f t="shared" ref="F210:F217" si="36">E210-D210</f>
        <v>0.82708000000000048</v>
      </c>
      <c r="G210" s="11">
        <v>12.62032</v>
      </c>
      <c r="H210" s="11">
        <f t="shared" ref="H210:H217" si="37">G210-D210</f>
        <v>0.76585000000000036</v>
      </c>
      <c r="I210" s="10">
        <f t="shared" ref="I210:I217" si="38">(F210-H210)/F210</f>
        <v>7.4031532620786475E-2</v>
      </c>
      <c r="J210" s="11">
        <v>12.03328</v>
      </c>
      <c r="K210">
        <f t="shared" ref="K210:K217" si="39">J210-D210</f>
        <v>0.17881000000000036</v>
      </c>
      <c r="L210" s="4">
        <f t="shared" ref="L210:L217" si="40">((H210-K210)/H210)*0.525</f>
        <v>0.40242345106744121</v>
      </c>
    </row>
    <row r="211" spans="1:12" x14ac:dyDescent="0.35">
      <c r="A211" t="s">
        <v>23</v>
      </c>
      <c r="B211">
        <v>1</v>
      </c>
      <c r="C211" s="8" t="s">
        <v>92</v>
      </c>
      <c r="D211" s="12">
        <v>12.90146</v>
      </c>
      <c r="E211" s="20">
        <v>14.076370000000001</v>
      </c>
      <c r="F211" s="11">
        <f t="shared" si="36"/>
        <v>1.1749100000000006</v>
      </c>
      <c r="G211">
        <v>13.981719999999999</v>
      </c>
      <c r="H211" s="11">
        <f t="shared" si="37"/>
        <v>1.0802599999999991</v>
      </c>
      <c r="I211" s="10">
        <f t="shared" si="38"/>
        <v>8.0559361993685824E-2</v>
      </c>
      <c r="J211" s="11">
        <v>13.154680000000001</v>
      </c>
      <c r="K211">
        <f t="shared" si="39"/>
        <v>0.25322000000000067</v>
      </c>
      <c r="L211" s="4">
        <f t="shared" si="40"/>
        <v>0.40193657082554157</v>
      </c>
    </row>
    <row r="212" spans="1:12" x14ac:dyDescent="0.35">
      <c r="A212" t="s">
        <v>23</v>
      </c>
      <c r="B212">
        <v>1</v>
      </c>
      <c r="C212" s="8" t="s">
        <v>91</v>
      </c>
      <c r="D212" s="12">
        <v>12.21068</v>
      </c>
      <c r="E212" s="20">
        <v>14.05889</v>
      </c>
      <c r="F212" s="11">
        <f t="shared" si="36"/>
        <v>1.8482099999999999</v>
      </c>
      <c r="G212" s="11">
        <v>13.92848</v>
      </c>
      <c r="H212" s="11">
        <f t="shared" si="37"/>
        <v>1.7178000000000004</v>
      </c>
      <c r="I212" s="10">
        <f t="shared" si="38"/>
        <v>7.0560163617770427E-2</v>
      </c>
      <c r="J212" s="11">
        <v>12.895479999999999</v>
      </c>
      <c r="K212">
        <f t="shared" si="39"/>
        <v>0.68479999999999919</v>
      </c>
      <c r="L212" s="4">
        <f t="shared" si="40"/>
        <v>0.31570904645476805</v>
      </c>
    </row>
    <row r="213" spans="1:12" x14ac:dyDescent="0.35">
      <c r="A213" t="s">
        <v>23</v>
      </c>
      <c r="B213">
        <v>1</v>
      </c>
      <c r="C213" s="8" t="s">
        <v>90</v>
      </c>
      <c r="D213" s="12">
        <v>12.027990000000001</v>
      </c>
      <c r="E213" s="20">
        <v>12.40433</v>
      </c>
      <c r="F213" s="11">
        <f t="shared" si="36"/>
        <v>0.37633999999999901</v>
      </c>
      <c r="G213" s="11">
        <v>12.37731</v>
      </c>
      <c r="H213" s="11">
        <f t="shared" si="37"/>
        <v>0.34931999999999874</v>
      </c>
      <c r="I213" s="10">
        <f t="shared" si="38"/>
        <v>7.1796779507892691E-2</v>
      </c>
      <c r="J213" s="11">
        <v>12.12067</v>
      </c>
      <c r="K213">
        <f t="shared" si="39"/>
        <v>9.2679999999999652E-2</v>
      </c>
      <c r="L213" s="4">
        <f t="shared" si="40"/>
        <v>0.3857093782205428</v>
      </c>
    </row>
    <row r="214" spans="1:12" x14ac:dyDescent="0.35">
      <c r="A214" t="s">
        <v>23</v>
      </c>
      <c r="B214">
        <v>2</v>
      </c>
      <c r="C214" s="9" t="s">
        <v>93</v>
      </c>
      <c r="D214" s="12">
        <v>12.70116</v>
      </c>
      <c r="E214" s="20">
        <v>15.29255</v>
      </c>
      <c r="F214" s="11">
        <f t="shared" si="36"/>
        <v>2.5913900000000005</v>
      </c>
      <c r="G214" s="11">
        <v>15.242520000000001</v>
      </c>
      <c r="H214" s="11">
        <f t="shared" si="37"/>
        <v>2.541360000000001</v>
      </c>
      <c r="I214" s="10">
        <f t="shared" si="38"/>
        <v>1.9306241052099285E-2</v>
      </c>
      <c r="J214" s="11">
        <v>14.200469999999999</v>
      </c>
      <c r="K214">
        <f t="shared" si="39"/>
        <v>1.4993099999999995</v>
      </c>
      <c r="L214" s="4">
        <f t="shared" si="40"/>
        <v>0.21526908820474103</v>
      </c>
    </row>
    <row r="215" spans="1:12" x14ac:dyDescent="0.35">
      <c r="A215" t="s">
        <v>23</v>
      </c>
      <c r="B215">
        <v>2</v>
      </c>
      <c r="C215" s="8" t="s">
        <v>92</v>
      </c>
      <c r="D215" s="12">
        <v>11.052849999999999</v>
      </c>
      <c r="E215" s="20">
        <v>14.01971</v>
      </c>
      <c r="F215" s="11">
        <f t="shared" si="36"/>
        <v>2.9668600000000005</v>
      </c>
      <c r="G215" s="11">
        <v>13.964549999999999</v>
      </c>
      <c r="H215" s="11">
        <f t="shared" si="37"/>
        <v>2.9116999999999997</v>
      </c>
      <c r="I215" s="10">
        <f t="shared" si="38"/>
        <v>1.8592046810432833E-2</v>
      </c>
      <c r="J215" s="11">
        <v>12.78951</v>
      </c>
      <c r="K215">
        <f t="shared" si="39"/>
        <v>1.7366600000000005</v>
      </c>
      <c r="L215" s="4">
        <f t="shared" si="40"/>
        <v>0.21186798090462605</v>
      </c>
    </row>
    <row r="216" spans="1:12" x14ac:dyDescent="0.35">
      <c r="A216" t="s">
        <v>23</v>
      </c>
      <c r="B216">
        <v>2</v>
      </c>
      <c r="C216" s="8" t="s">
        <v>91</v>
      </c>
      <c r="D216">
        <v>9.7409400000000002</v>
      </c>
      <c r="E216" s="20">
        <v>12.205080000000001</v>
      </c>
      <c r="F216" s="11">
        <f t="shared" si="36"/>
        <v>2.4641400000000004</v>
      </c>
      <c r="G216" s="11">
        <v>12.15499</v>
      </c>
      <c r="H216" s="11">
        <f t="shared" si="37"/>
        <v>2.4140499999999996</v>
      </c>
      <c r="I216" s="10">
        <f t="shared" si="38"/>
        <v>2.0327578790166487E-2</v>
      </c>
      <c r="J216" s="11">
        <v>11.16151</v>
      </c>
      <c r="K216">
        <f t="shared" si="39"/>
        <v>1.4205699999999997</v>
      </c>
      <c r="L216" s="4">
        <f t="shared" si="40"/>
        <v>0.21605890515937951</v>
      </c>
    </row>
    <row r="217" spans="1:12" x14ac:dyDescent="0.35">
      <c r="A217" t="s">
        <v>23</v>
      </c>
      <c r="B217">
        <v>2</v>
      </c>
      <c r="C217" s="8" t="s">
        <v>90</v>
      </c>
      <c r="D217" s="12">
        <v>10.19171</v>
      </c>
      <c r="E217" s="21">
        <v>12.495710000000001</v>
      </c>
      <c r="F217" s="11">
        <f t="shared" si="36"/>
        <v>2.3040000000000003</v>
      </c>
      <c r="G217" s="11">
        <v>12.45337</v>
      </c>
      <c r="H217" s="11">
        <f t="shared" si="37"/>
        <v>2.2616599999999991</v>
      </c>
      <c r="I217" s="10">
        <f t="shared" si="38"/>
        <v>1.8376736111111611E-2</v>
      </c>
      <c r="J217" s="11">
        <v>11.59198</v>
      </c>
      <c r="K217">
        <f t="shared" si="39"/>
        <v>1.400269999999999</v>
      </c>
      <c r="L217" s="4">
        <f t="shared" si="40"/>
        <v>0.1999547898446275</v>
      </c>
    </row>
    <row r="218" spans="1:12" x14ac:dyDescent="0.35">
      <c r="A218" t="s">
        <v>23</v>
      </c>
      <c r="B218">
        <v>3</v>
      </c>
      <c r="C218" s="9" t="s">
        <v>93</v>
      </c>
      <c r="D218" s="7" t="s">
        <v>88</v>
      </c>
      <c r="E218" t="s">
        <v>88</v>
      </c>
      <c r="F218" t="s">
        <v>88</v>
      </c>
      <c r="G218" t="s">
        <v>88</v>
      </c>
      <c r="H218" t="s">
        <v>88</v>
      </c>
      <c r="I218" t="s">
        <v>88</v>
      </c>
      <c r="J218" t="s">
        <v>88</v>
      </c>
      <c r="K218" t="s">
        <v>88</v>
      </c>
      <c r="L218" t="s">
        <v>88</v>
      </c>
    </row>
    <row r="219" spans="1:12" x14ac:dyDescent="0.35">
      <c r="A219" t="s">
        <v>23</v>
      </c>
      <c r="B219">
        <v>3</v>
      </c>
      <c r="C219" s="8" t="s">
        <v>92</v>
      </c>
      <c r="D219" s="12">
        <v>14.079140000000001</v>
      </c>
      <c r="E219">
        <v>16.937809999999999</v>
      </c>
      <c r="F219" s="11">
        <f>E219-D219</f>
        <v>2.8586699999999983</v>
      </c>
      <c r="G219" s="11">
        <v>16.759440000000001</v>
      </c>
      <c r="H219" s="11">
        <f>G219-D219</f>
        <v>2.6803000000000008</v>
      </c>
      <c r="I219" s="10">
        <f>(F219-H219)/F219</f>
        <v>6.2396149258220637E-2</v>
      </c>
      <c r="J219" s="11">
        <v>16.284120000000001</v>
      </c>
      <c r="K219">
        <f>J219-D219</f>
        <v>2.2049800000000008</v>
      </c>
      <c r="L219" s="4">
        <f>((H219-K219)/H219)*0.525</f>
        <v>9.3102637764429327E-2</v>
      </c>
    </row>
    <row r="220" spans="1:12" x14ac:dyDescent="0.35">
      <c r="A220" t="s">
        <v>23</v>
      </c>
      <c r="B220">
        <v>3</v>
      </c>
      <c r="C220" s="8" t="s">
        <v>91</v>
      </c>
      <c r="D220" s="12">
        <v>10.230980000000001</v>
      </c>
      <c r="E220">
        <v>11.16751</v>
      </c>
      <c r="F220" s="11">
        <f>E220-D220</f>
        <v>0.93652999999999942</v>
      </c>
      <c r="G220" s="11">
        <v>11.129429999999999</v>
      </c>
      <c r="H220" s="11">
        <f>G220-D220</f>
        <v>0.89844999999999864</v>
      </c>
      <c r="I220" s="10">
        <f>(F220-H220)/F220</f>
        <v>4.0660736975858543E-2</v>
      </c>
      <c r="J220" s="11">
        <v>11.022349999999999</v>
      </c>
      <c r="K220">
        <f>J220-D220</f>
        <v>0.7913699999999988</v>
      </c>
      <c r="L220" s="4">
        <f>((H220-K220)/H220)*0.525</f>
        <v>6.2571094663030777E-2</v>
      </c>
    </row>
    <row r="221" spans="1:12" x14ac:dyDescent="0.35">
      <c r="A221" t="s">
        <v>23</v>
      </c>
      <c r="B221">
        <v>3</v>
      </c>
      <c r="C221" s="8" t="s">
        <v>90</v>
      </c>
      <c r="D221" s="12">
        <v>15.32212</v>
      </c>
      <c r="E221">
        <v>18.388380000000002</v>
      </c>
      <c r="F221" s="11">
        <f>E221-D221</f>
        <v>3.0662600000000015</v>
      </c>
      <c r="G221" s="11">
        <v>18.237120000000001</v>
      </c>
      <c r="H221" s="11">
        <f>G221-D221</f>
        <v>2.9150000000000009</v>
      </c>
      <c r="I221" s="10">
        <f>(F221-H221)/F221</f>
        <v>4.9330454690730906E-2</v>
      </c>
      <c r="J221" s="11">
        <v>17.788779999999999</v>
      </c>
      <c r="K221">
        <f>J221-D221</f>
        <v>2.4666599999999992</v>
      </c>
      <c r="L221" s="4">
        <f>((H221-K221)/H221)*0.525</f>
        <v>8.0747341337907674E-2</v>
      </c>
    </row>
    <row r="222" spans="1:12" x14ac:dyDescent="0.35">
      <c r="A222" t="s">
        <v>23</v>
      </c>
      <c r="B222">
        <v>4</v>
      </c>
      <c r="C222" s="9" t="s">
        <v>93</v>
      </c>
      <c r="D222" s="7" t="s">
        <v>88</v>
      </c>
      <c r="E222" t="s">
        <v>88</v>
      </c>
      <c r="F222" t="s">
        <v>88</v>
      </c>
      <c r="G222" t="s">
        <v>88</v>
      </c>
      <c r="H222" t="s">
        <v>88</v>
      </c>
      <c r="I222" t="s">
        <v>88</v>
      </c>
      <c r="J222" t="s">
        <v>88</v>
      </c>
      <c r="K222" t="s">
        <v>88</v>
      </c>
      <c r="L222" t="s">
        <v>88</v>
      </c>
    </row>
    <row r="223" spans="1:12" x14ac:dyDescent="0.35">
      <c r="A223" t="s">
        <v>23</v>
      </c>
      <c r="B223">
        <v>4</v>
      </c>
      <c r="C223" s="8" t="s">
        <v>92</v>
      </c>
      <c r="D223" s="7" t="s">
        <v>88</v>
      </c>
      <c r="E223" t="s">
        <v>88</v>
      </c>
      <c r="F223" t="s">
        <v>88</v>
      </c>
      <c r="G223" t="s">
        <v>88</v>
      </c>
      <c r="H223" t="s">
        <v>88</v>
      </c>
      <c r="I223" t="s">
        <v>88</v>
      </c>
      <c r="J223" t="s">
        <v>88</v>
      </c>
      <c r="K223" t="s">
        <v>88</v>
      </c>
      <c r="L223" t="s">
        <v>88</v>
      </c>
    </row>
    <row r="224" spans="1:12" x14ac:dyDescent="0.35">
      <c r="A224" t="s">
        <v>23</v>
      </c>
      <c r="B224">
        <v>4</v>
      </c>
      <c r="C224" s="8" t="s">
        <v>91</v>
      </c>
      <c r="D224" s="7" t="s">
        <v>88</v>
      </c>
      <c r="E224" t="s">
        <v>88</v>
      </c>
      <c r="F224" t="s">
        <v>88</v>
      </c>
      <c r="G224" t="s">
        <v>88</v>
      </c>
      <c r="H224" t="s">
        <v>88</v>
      </c>
      <c r="I224" t="s">
        <v>88</v>
      </c>
      <c r="J224" t="s">
        <v>88</v>
      </c>
      <c r="K224" t="s">
        <v>88</v>
      </c>
      <c r="L224" t="s">
        <v>88</v>
      </c>
    </row>
    <row r="225" spans="1:12" x14ac:dyDescent="0.35">
      <c r="A225" t="s">
        <v>23</v>
      </c>
      <c r="B225">
        <v>4</v>
      </c>
      <c r="C225" s="8" t="s">
        <v>90</v>
      </c>
      <c r="D225" s="7" t="s">
        <v>88</v>
      </c>
      <c r="E225" t="s">
        <v>88</v>
      </c>
      <c r="F225" t="s">
        <v>88</v>
      </c>
      <c r="G225" t="s">
        <v>88</v>
      </c>
      <c r="H225" t="s">
        <v>88</v>
      </c>
      <c r="I225" t="s">
        <v>88</v>
      </c>
      <c r="J225" t="s">
        <v>88</v>
      </c>
      <c r="K225" t="s">
        <v>88</v>
      </c>
      <c r="L225" t="s">
        <v>88</v>
      </c>
    </row>
    <row r="226" spans="1:12" x14ac:dyDescent="0.35">
      <c r="A226" t="s">
        <v>24</v>
      </c>
      <c r="B226">
        <v>1</v>
      </c>
      <c r="C226" s="9" t="s">
        <v>93</v>
      </c>
      <c r="D226" s="12">
        <v>10.5877</v>
      </c>
      <c r="E226" s="20">
        <v>10.99075</v>
      </c>
      <c r="F226" s="11">
        <f t="shared" ref="F226:F233" si="41">E226-D226</f>
        <v>0.40305000000000035</v>
      </c>
      <c r="G226" s="20">
        <v>10.959960000000001</v>
      </c>
      <c r="H226" s="11">
        <f t="shared" ref="H226:H233" si="42">G226-D226</f>
        <v>0.3722600000000007</v>
      </c>
      <c r="I226" s="10">
        <f t="shared" ref="I226:I233" si="43">(F226-H226)/F226</f>
        <v>7.6392507133109105E-2</v>
      </c>
      <c r="J226" s="20">
        <v>10.662789999999999</v>
      </c>
      <c r="K226">
        <f t="shared" ref="K226:K233" si="44">J226-D226</f>
        <v>7.5089999999999435E-2</v>
      </c>
      <c r="L226" s="4">
        <f t="shared" ref="L226:L233" si="45">((H226-K226)/H226)*0.525</f>
        <v>0.41910022564874116</v>
      </c>
    </row>
    <row r="227" spans="1:12" x14ac:dyDescent="0.35">
      <c r="A227" t="s">
        <v>24</v>
      </c>
      <c r="B227">
        <v>1</v>
      </c>
      <c r="C227" s="8" t="s">
        <v>92</v>
      </c>
      <c r="D227" s="12">
        <v>11.652659999999999</v>
      </c>
      <c r="E227" s="20">
        <v>12.12819</v>
      </c>
      <c r="F227" s="11">
        <f t="shared" si="41"/>
        <v>0.4755300000000009</v>
      </c>
      <c r="G227" s="20">
        <v>12.092919999999999</v>
      </c>
      <c r="H227" s="11">
        <f t="shared" si="42"/>
        <v>0.44026000000000032</v>
      </c>
      <c r="I227" s="10">
        <f t="shared" si="43"/>
        <v>7.4169873614704673E-2</v>
      </c>
      <c r="J227" s="20">
        <v>11.72453</v>
      </c>
      <c r="K227">
        <f t="shared" si="44"/>
        <v>7.1870000000000545E-2</v>
      </c>
      <c r="L227" s="4">
        <f t="shared" si="45"/>
        <v>0.4392966656066864</v>
      </c>
    </row>
    <row r="228" spans="1:12" x14ac:dyDescent="0.35">
      <c r="A228" t="s">
        <v>24</v>
      </c>
      <c r="B228">
        <v>1</v>
      </c>
      <c r="C228" s="8" t="s">
        <v>91</v>
      </c>
      <c r="D228" s="12">
        <v>9.24282</v>
      </c>
      <c r="E228" s="20">
        <v>10.10985</v>
      </c>
      <c r="F228" s="11">
        <f t="shared" si="41"/>
        <v>0.86702999999999975</v>
      </c>
      <c r="G228" s="20">
        <v>10.03937</v>
      </c>
      <c r="H228" s="11">
        <f t="shared" si="42"/>
        <v>0.79654999999999987</v>
      </c>
      <c r="I228" s="10">
        <f t="shared" si="43"/>
        <v>8.1288998073884289E-2</v>
      </c>
      <c r="J228" s="20">
        <v>9.3632600000000004</v>
      </c>
      <c r="K228">
        <f t="shared" si="44"/>
        <v>0.12044000000000032</v>
      </c>
      <c r="L228" s="4">
        <f t="shared" si="45"/>
        <v>0.44561891908856921</v>
      </c>
    </row>
    <row r="229" spans="1:12" x14ac:dyDescent="0.35">
      <c r="A229" t="s">
        <v>24</v>
      </c>
      <c r="B229">
        <v>1</v>
      </c>
      <c r="C229" s="8" t="s">
        <v>90</v>
      </c>
      <c r="D229" s="12">
        <v>14.917439999999999</v>
      </c>
      <c r="E229" s="20">
        <v>15.638019999999999</v>
      </c>
      <c r="F229" s="11">
        <f t="shared" si="41"/>
        <v>0.72058</v>
      </c>
      <c r="G229" s="20">
        <v>15.58806</v>
      </c>
      <c r="H229" s="11">
        <f t="shared" si="42"/>
        <v>0.67062000000000133</v>
      </c>
      <c r="I229" s="10">
        <f t="shared" si="43"/>
        <v>6.9333037275526199E-2</v>
      </c>
      <c r="J229" s="20">
        <v>15.13724</v>
      </c>
      <c r="K229">
        <f t="shared" si="44"/>
        <v>0.21980000000000111</v>
      </c>
      <c r="L229" s="4">
        <f t="shared" si="45"/>
        <v>0.35292788762637506</v>
      </c>
    </row>
    <row r="230" spans="1:12" x14ac:dyDescent="0.35">
      <c r="A230" t="s">
        <v>24</v>
      </c>
      <c r="B230">
        <v>2</v>
      </c>
      <c r="C230" s="9" t="s">
        <v>93</v>
      </c>
      <c r="D230" s="12">
        <v>10.554779999999999</v>
      </c>
      <c r="E230" s="20">
        <v>13.52746</v>
      </c>
      <c r="F230" s="11">
        <f t="shared" si="41"/>
        <v>2.9726800000000004</v>
      </c>
      <c r="G230" s="20">
        <v>12.88781</v>
      </c>
      <c r="H230" s="11">
        <f t="shared" si="42"/>
        <v>2.3330300000000008</v>
      </c>
      <c r="I230" s="10">
        <f t="shared" si="43"/>
        <v>0.21517620463689313</v>
      </c>
      <c r="J230" s="20">
        <v>12.28518</v>
      </c>
      <c r="K230">
        <f t="shared" si="44"/>
        <v>1.7304000000000013</v>
      </c>
      <c r="L230" s="4">
        <f t="shared" si="45"/>
        <v>0.13560937921929839</v>
      </c>
    </row>
    <row r="231" spans="1:12" x14ac:dyDescent="0.35">
      <c r="A231" t="s">
        <v>24</v>
      </c>
      <c r="B231">
        <v>2</v>
      </c>
      <c r="C231" s="8" t="s">
        <v>92</v>
      </c>
      <c r="D231" s="12">
        <v>13.1326</v>
      </c>
      <c r="E231" s="20">
        <v>14.545780000000001</v>
      </c>
      <c r="F231" s="11">
        <f t="shared" si="41"/>
        <v>1.4131800000000005</v>
      </c>
      <c r="G231" s="20">
        <v>14.298640000000001</v>
      </c>
      <c r="H231" s="11">
        <f t="shared" si="42"/>
        <v>1.1660400000000006</v>
      </c>
      <c r="I231" s="10">
        <f t="shared" si="43"/>
        <v>0.1748821806139344</v>
      </c>
      <c r="J231" s="20">
        <v>13.431839999999999</v>
      </c>
      <c r="K231">
        <f t="shared" si="44"/>
        <v>0.29923999999999928</v>
      </c>
      <c r="L231" s="4">
        <f t="shared" si="45"/>
        <v>0.39026963054440711</v>
      </c>
    </row>
    <row r="232" spans="1:12" x14ac:dyDescent="0.35">
      <c r="A232" t="s">
        <v>24</v>
      </c>
      <c r="B232">
        <v>2</v>
      </c>
      <c r="C232" s="8" t="s">
        <v>91</v>
      </c>
      <c r="D232" s="12">
        <v>12.010009999999999</v>
      </c>
      <c r="E232" s="20">
        <v>13.32269</v>
      </c>
      <c r="F232" s="11">
        <f t="shared" si="41"/>
        <v>1.3126800000000003</v>
      </c>
      <c r="G232" s="20">
        <v>13.21275</v>
      </c>
      <c r="H232" s="11">
        <f t="shared" si="42"/>
        <v>1.2027400000000004</v>
      </c>
      <c r="I232" s="10">
        <f t="shared" si="43"/>
        <v>8.3752323490873554E-2</v>
      </c>
      <c r="J232" s="20">
        <v>12.25736</v>
      </c>
      <c r="K232">
        <f t="shared" si="44"/>
        <v>0.24735000000000085</v>
      </c>
      <c r="L232" s="4">
        <f t="shared" si="45"/>
        <v>0.4170309044348734</v>
      </c>
    </row>
    <row r="233" spans="1:12" x14ac:dyDescent="0.35">
      <c r="A233" t="s">
        <v>24</v>
      </c>
      <c r="B233">
        <v>2</v>
      </c>
      <c r="C233" s="8" t="s">
        <v>90</v>
      </c>
      <c r="D233" s="12">
        <v>11.88687</v>
      </c>
      <c r="E233" s="20">
        <v>13.632820000000001</v>
      </c>
      <c r="F233" s="11">
        <f t="shared" si="41"/>
        <v>1.7459500000000006</v>
      </c>
      <c r="G233" s="20">
        <v>13.500159999999999</v>
      </c>
      <c r="H233" s="11">
        <f t="shared" si="42"/>
        <v>1.6132899999999992</v>
      </c>
      <c r="I233" s="10">
        <f t="shared" si="43"/>
        <v>7.5981557318366102E-2</v>
      </c>
      <c r="J233" s="20">
        <v>12.49109</v>
      </c>
      <c r="K233">
        <f t="shared" si="44"/>
        <v>0.60421999999999976</v>
      </c>
      <c r="L233" s="4">
        <f t="shared" si="45"/>
        <v>0.32837354102486227</v>
      </c>
    </row>
    <row r="234" spans="1:12" x14ac:dyDescent="0.35">
      <c r="A234" t="s">
        <v>24</v>
      </c>
      <c r="B234">
        <v>3</v>
      </c>
      <c r="C234" s="9" t="s">
        <v>93</v>
      </c>
      <c r="D234" s="7" t="s">
        <v>88</v>
      </c>
      <c r="E234" s="7" t="s">
        <v>88</v>
      </c>
      <c r="F234" s="7" t="s">
        <v>88</v>
      </c>
      <c r="G234" s="7" t="s">
        <v>88</v>
      </c>
      <c r="H234" s="7" t="s">
        <v>88</v>
      </c>
      <c r="I234" s="7" t="s">
        <v>88</v>
      </c>
      <c r="J234" s="7" t="s">
        <v>88</v>
      </c>
      <c r="K234" s="7" t="s">
        <v>88</v>
      </c>
      <c r="L234" s="7" t="s">
        <v>88</v>
      </c>
    </row>
    <row r="235" spans="1:12" x14ac:dyDescent="0.35">
      <c r="A235" t="s">
        <v>24</v>
      </c>
      <c r="B235">
        <v>3</v>
      </c>
      <c r="C235" s="8" t="s">
        <v>92</v>
      </c>
      <c r="D235" s="12">
        <v>5.0771800000000002</v>
      </c>
      <c r="E235" s="20">
        <v>6.4519399999999996</v>
      </c>
      <c r="F235" s="11">
        <f t="shared" ref="F235:F245" si="46">E235-D235</f>
        <v>1.3747599999999993</v>
      </c>
      <c r="G235" s="20">
        <v>6.3648100000000003</v>
      </c>
      <c r="H235" s="11">
        <f t="shared" ref="H235:H245" si="47">G235-D235</f>
        <v>1.2876300000000001</v>
      </c>
      <c r="I235" s="10">
        <f t="shared" ref="I235:I245" si="48">(F235-H235)/F235</f>
        <v>6.3378335127585408E-2</v>
      </c>
      <c r="J235" s="20">
        <v>6.1490900000000002</v>
      </c>
      <c r="K235">
        <f t="shared" ref="K235:K245" si="49">J235-D235</f>
        <v>1.0719099999999999</v>
      </c>
      <c r="L235" s="4">
        <f t="shared" ref="L235:L245" si="50">((H235-K235)/H235)*0.525</f>
        <v>8.7954614291372579E-2</v>
      </c>
    </row>
    <row r="236" spans="1:12" x14ac:dyDescent="0.35">
      <c r="A236" t="s">
        <v>24</v>
      </c>
      <c r="B236">
        <v>3</v>
      </c>
      <c r="C236" s="8" t="s">
        <v>91</v>
      </c>
      <c r="D236" s="12">
        <v>5.09192</v>
      </c>
      <c r="E236" s="20">
        <v>6.4435099999999998</v>
      </c>
      <c r="F236" s="11">
        <f t="shared" si="46"/>
        <v>1.3515899999999998</v>
      </c>
      <c r="G236" s="20">
        <v>6.4039799999999998</v>
      </c>
      <c r="H236" s="11">
        <f t="shared" si="47"/>
        <v>1.3120599999999998</v>
      </c>
      <c r="I236" s="10">
        <f t="shared" si="48"/>
        <v>2.9247034973623711E-2</v>
      </c>
      <c r="J236" s="20">
        <v>6.1645099999999999</v>
      </c>
      <c r="K236">
        <f t="shared" si="49"/>
        <v>1.0725899999999999</v>
      </c>
      <c r="L236" s="4">
        <f t="shared" si="50"/>
        <v>9.5820122555370896E-2</v>
      </c>
    </row>
    <row r="237" spans="1:12" x14ac:dyDescent="0.35">
      <c r="A237" t="s">
        <v>24</v>
      </c>
      <c r="B237">
        <v>3</v>
      </c>
      <c r="C237" s="8" t="s">
        <v>90</v>
      </c>
      <c r="D237" s="12">
        <v>6.0380500000000001</v>
      </c>
      <c r="E237" s="20">
        <v>8.0950699999999998</v>
      </c>
      <c r="F237" s="11">
        <f t="shared" si="46"/>
        <v>2.0570199999999996</v>
      </c>
      <c r="G237" s="20">
        <v>8.02346</v>
      </c>
      <c r="H237" s="11">
        <f t="shared" si="47"/>
        <v>1.9854099999999999</v>
      </c>
      <c r="I237" s="10">
        <f t="shared" si="48"/>
        <v>3.4812495746273611E-2</v>
      </c>
      <c r="J237" s="22">
        <v>7.6701600000000001</v>
      </c>
      <c r="K237">
        <f t="shared" si="49"/>
        <v>1.6321099999999999</v>
      </c>
      <c r="L237" s="4">
        <f t="shared" si="50"/>
        <v>9.342276910058879E-2</v>
      </c>
    </row>
    <row r="238" spans="1:12" x14ac:dyDescent="0.35">
      <c r="A238" t="s">
        <v>24</v>
      </c>
      <c r="B238">
        <v>4</v>
      </c>
      <c r="C238" s="9" t="s">
        <v>93</v>
      </c>
      <c r="D238" s="12">
        <v>5.8413500000000003</v>
      </c>
      <c r="E238" s="20">
        <v>8.4285499999999995</v>
      </c>
      <c r="F238" s="11">
        <f t="shared" si="46"/>
        <v>2.5871999999999993</v>
      </c>
      <c r="G238" s="20">
        <v>8.3465100000000003</v>
      </c>
      <c r="H238" s="11">
        <f t="shared" si="47"/>
        <v>2.5051600000000001</v>
      </c>
      <c r="I238" s="10">
        <f t="shared" si="48"/>
        <v>3.1709956709956418E-2</v>
      </c>
      <c r="J238" s="22">
        <v>8.0300200000000004</v>
      </c>
      <c r="K238">
        <f t="shared" si="49"/>
        <v>2.1886700000000001</v>
      </c>
      <c r="L238" s="4">
        <f t="shared" si="50"/>
        <v>6.6326003129540623E-2</v>
      </c>
    </row>
    <row r="239" spans="1:12" x14ac:dyDescent="0.35">
      <c r="A239" t="s">
        <v>24</v>
      </c>
      <c r="B239">
        <v>4</v>
      </c>
      <c r="C239" s="8" t="s">
        <v>92</v>
      </c>
      <c r="D239" s="12">
        <v>5.4845600000000001</v>
      </c>
      <c r="E239" s="20">
        <v>7.9101800000000004</v>
      </c>
      <c r="F239" s="11">
        <f t="shared" si="46"/>
        <v>2.4256200000000003</v>
      </c>
      <c r="G239" s="20">
        <v>7.8227700000000002</v>
      </c>
      <c r="H239" s="11">
        <f t="shared" si="47"/>
        <v>2.3382100000000001</v>
      </c>
      <c r="I239" s="10">
        <f t="shared" si="48"/>
        <v>3.6036147459206386E-2</v>
      </c>
      <c r="J239" s="22">
        <v>7.4899399999999998</v>
      </c>
      <c r="K239">
        <f t="shared" si="49"/>
        <v>2.0053799999999997</v>
      </c>
      <c r="L239" s="4">
        <f t="shared" si="50"/>
        <v>7.4730563123072871E-2</v>
      </c>
    </row>
    <row r="240" spans="1:12" x14ac:dyDescent="0.35">
      <c r="A240" t="s">
        <v>24</v>
      </c>
      <c r="B240">
        <v>4</v>
      </c>
      <c r="C240" s="8" t="s">
        <v>91</v>
      </c>
      <c r="D240" s="12">
        <v>4.94876</v>
      </c>
      <c r="E240" s="20">
        <v>6.7099799999999998</v>
      </c>
      <c r="F240" s="11">
        <f t="shared" si="46"/>
        <v>1.7612199999999998</v>
      </c>
      <c r="G240" s="20">
        <v>6.6544400000000001</v>
      </c>
      <c r="H240" s="11">
        <f t="shared" si="47"/>
        <v>1.7056800000000001</v>
      </c>
      <c r="I240" s="10">
        <f t="shared" si="48"/>
        <v>3.1534958721794952E-2</v>
      </c>
      <c r="J240" s="22">
        <v>6.3885699999999996</v>
      </c>
      <c r="K240">
        <f t="shared" si="49"/>
        <v>1.4398099999999996</v>
      </c>
      <c r="L240" s="4">
        <f t="shared" si="50"/>
        <v>8.1833491627972571E-2</v>
      </c>
    </row>
    <row r="241" spans="1:12" x14ac:dyDescent="0.35">
      <c r="A241" t="s">
        <v>24</v>
      </c>
      <c r="B241">
        <v>4</v>
      </c>
      <c r="C241" s="8" t="s">
        <v>90</v>
      </c>
      <c r="D241" s="12">
        <v>4.9439599999999997</v>
      </c>
      <c r="E241" s="21">
        <v>6.4639100000000003</v>
      </c>
      <c r="F241" s="11">
        <f t="shared" si="46"/>
        <v>1.5199500000000006</v>
      </c>
      <c r="G241" s="20">
        <v>6.3953199999999999</v>
      </c>
      <c r="H241" s="11">
        <f t="shared" si="47"/>
        <v>1.4513600000000002</v>
      </c>
      <c r="I241" s="10">
        <f t="shared" si="48"/>
        <v>4.5126484423829959E-2</v>
      </c>
      <c r="J241" s="19">
        <v>5.8527500000000003</v>
      </c>
      <c r="K241">
        <f t="shared" si="49"/>
        <v>0.90879000000000065</v>
      </c>
      <c r="L241" s="4">
        <f t="shared" si="50"/>
        <v>0.19626367682725149</v>
      </c>
    </row>
    <row r="242" spans="1:12" x14ac:dyDescent="0.35">
      <c r="A242" t="s">
        <v>25</v>
      </c>
      <c r="B242">
        <v>1</v>
      </c>
      <c r="C242" s="9" t="s">
        <v>93</v>
      </c>
      <c r="D242" s="12">
        <v>4.9748000000000001</v>
      </c>
      <c r="E242">
        <v>6.7285399999999997</v>
      </c>
      <c r="F242" s="11">
        <f t="shared" si="46"/>
        <v>1.7537399999999996</v>
      </c>
      <c r="G242">
        <v>6.6237500000000002</v>
      </c>
      <c r="H242" s="11">
        <f t="shared" si="47"/>
        <v>1.6489500000000001</v>
      </c>
      <c r="I242" s="10">
        <f t="shared" si="48"/>
        <v>5.9752300797153234E-2</v>
      </c>
      <c r="J242">
        <v>6.3574799999999998</v>
      </c>
      <c r="K242">
        <f t="shared" si="49"/>
        <v>1.3826799999999997</v>
      </c>
      <c r="L242" s="4">
        <f t="shared" si="50"/>
        <v>8.4776221231693025E-2</v>
      </c>
    </row>
    <row r="243" spans="1:12" x14ac:dyDescent="0.35">
      <c r="A243" t="s">
        <v>25</v>
      </c>
      <c r="B243">
        <v>1</v>
      </c>
      <c r="C243" s="8" t="s">
        <v>92</v>
      </c>
      <c r="D243" s="12">
        <v>6.2797299999999998</v>
      </c>
      <c r="E243">
        <v>8.9197299999999995</v>
      </c>
      <c r="F243" s="11">
        <f t="shared" si="46"/>
        <v>2.6399999999999997</v>
      </c>
      <c r="G243">
        <v>8.7782199999999992</v>
      </c>
      <c r="H243" s="11">
        <f t="shared" si="47"/>
        <v>2.4984899999999994</v>
      </c>
      <c r="I243" s="10">
        <f t="shared" si="48"/>
        <v>5.3602272727272825E-2</v>
      </c>
      <c r="J243">
        <v>8.4113100000000003</v>
      </c>
      <c r="K243">
        <f t="shared" si="49"/>
        <v>2.1315800000000005</v>
      </c>
      <c r="L243" s="4">
        <f t="shared" si="50"/>
        <v>7.7097666990862276E-2</v>
      </c>
    </row>
    <row r="244" spans="1:12" x14ac:dyDescent="0.35">
      <c r="A244" t="s">
        <v>25</v>
      </c>
      <c r="B244">
        <v>1</v>
      </c>
      <c r="C244" s="8" t="s">
        <v>91</v>
      </c>
      <c r="D244" s="12">
        <v>6.7944699999999996</v>
      </c>
      <c r="E244">
        <v>9.8273700000000002</v>
      </c>
      <c r="F244" s="11">
        <f t="shared" si="46"/>
        <v>3.0329000000000006</v>
      </c>
      <c r="G244">
        <v>9.5336400000000001</v>
      </c>
      <c r="H244" s="11">
        <f t="shared" si="47"/>
        <v>2.7391700000000005</v>
      </c>
      <c r="I244" s="10">
        <f t="shared" si="48"/>
        <v>9.6847901348544291E-2</v>
      </c>
      <c r="J244">
        <v>9.1254100000000005</v>
      </c>
      <c r="K244">
        <f t="shared" si="49"/>
        <v>2.3309400000000009</v>
      </c>
      <c r="L244" s="4">
        <f t="shared" si="50"/>
        <v>7.8242953157343198E-2</v>
      </c>
    </row>
    <row r="245" spans="1:12" x14ac:dyDescent="0.35">
      <c r="A245" t="s">
        <v>25</v>
      </c>
      <c r="B245">
        <v>1</v>
      </c>
      <c r="C245" s="8" t="s">
        <v>90</v>
      </c>
      <c r="D245" s="12">
        <v>5.0666399999999996</v>
      </c>
      <c r="E245">
        <v>6.9646299999999997</v>
      </c>
      <c r="F245" s="11">
        <f t="shared" si="46"/>
        <v>1.8979900000000001</v>
      </c>
      <c r="G245">
        <v>6.8147099999999998</v>
      </c>
      <c r="H245" s="11">
        <f t="shared" si="47"/>
        <v>1.7480700000000002</v>
      </c>
      <c r="I245" s="10">
        <f t="shared" si="48"/>
        <v>7.8988825020152809E-2</v>
      </c>
      <c r="J245">
        <v>6.5403500000000001</v>
      </c>
      <c r="K245">
        <f t="shared" si="49"/>
        <v>1.4737100000000005</v>
      </c>
      <c r="L245" s="4">
        <f t="shared" si="50"/>
        <v>8.2398874186960389E-2</v>
      </c>
    </row>
    <row r="246" spans="1:12" x14ac:dyDescent="0.35">
      <c r="A246" t="s">
        <v>25</v>
      </c>
      <c r="B246">
        <v>2</v>
      </c>
      <c r="C246" s="9" t="s">
        <v>93</v>
      </c>
      <c r="D246" s="7" t="s">
        <v>88</v>
      </c>
      <c r="E246" t="s">
        <v>88</v>
      </c>
      <c r="F246" t="s">
        <v>88</v>
      </c>
      <c r="G246" t="s">
        <v>88</v>
      </c>
      <c r="H246" t="s">
        <v>88</v>
      </c>
      <c r="I246" t="s">
        <v>88</v>
      </c>
      <c r="J246" t="s">
        <v>88</v>
      </c>
      <c r="K246" t="s">
        <v>88</v>
      </c>
      <c r="L246" t="s">
        <v>88</v>
      </c>
    </row>
    <row r="247" spans="1:12" x14ac:dyDescent="0.35">
      <c r="A247" t="s">
        <v>25</v>
      </c>
      <c r="B247">
        <v>2</v>
      </c>
      <c r="C247" s="8" t="s">
        <v>92</v>
      </c>
      <c r="D247" s="7" t="s">
        <v>88</v>
      </c>
      <c r="E247" t="s">
        <v>88</v>
      </c>
      <c r="F247" t="s">
        <v>88</v>
      </c>
      <c r="G247" t="s">
        <v>88</v>
      </c>
      <c r="H247" t="s">
        <v>88</v>
      </c>
      <c r="I247" t="s">
        <v>88</v>
      </c>
      <c r="J247" t="s">
        <v>88</v>
      </c>
      <c r="K247" t="s">
        <v>88</v>
      </c>
      <c r="L247" t="s">
        <v>88</v>
      </c>
    </row>
    <row r="248" spans="1:12" x14ac:dyDescent="0.35">
      <c r="A248" t="s">
        <v>25</v>
      </c>
      <c r="B248">
        <v>2</v>
      </c>
      <c r="C248" s="8" t="s">
        <v>91</v>
      </c>
      <c r="D248" s="7" t="s">
        <v>88</v>
      </c>
      <c r="E248" t="s">
        <v>88</v>
      </c>
      <c r="F248" t="s">
        <v>88</v>
      </c>
      <c r="G248" t="s">
        <v>88</v>
      </c>
      <c r="H248" t="s">
        <v>88</v>
      </c>
      <c r="I248" t="s">
        <v>88</v>
      </c>
      <c r="J248" t="s">
        <v>88</v>
      </c>
      <c r="K248" t="s">
        <v>88</v>
      </c>
      <c r="L248" t="s">
        <v>88</v>
      </c>
    </row>
    <row r="249" spans="1:12" x14ac:dyDescent="0.35">
      <c r="A249" t="s">
        <v>25</v>
      </c>
      <c r="B249">
        <v>2</v>
      </c>
      <c r="C249" s="8" t="s">
        <v>90</v>
      </c>
      <c r="D249" s="7" t="s">
        <v>88</v>
      </c>
      <c r="E249" t="s">
        <v>88</v>
      </c>
      <c r="F249" t="s">
        <v>88</v>
      </c>
      <c r="G249" t="s">
        <v>88</v>
      </c>
      <c r="H249" t="s">
        <v>88</v>
      </c>
      <c r="I249" t="s">
        <v>88</v>
      </c>
      <c r="J249" t="s">
        <v>88</v>
      </c>
      <c r="K249" t="s">
        <v>88</v>
      </c>
      <c r="L249" t="s">
        <v>88</v>
      </c>
    </row>
    <row r="250" spans="1:12" x14ac:dyDescent="0.35">
      <c r="A250" t="s">
        <v>25</v>
      </c>
      <c r="B250">
        <v>3</v>
      </c>
      <c r="C250" s="9" t="s">
        <v>93</v>
      </c>
      <c r="D250" s="7" t="s">
        <v>88</v>
      </c>
      <c r="E250" t="s">
        <v>88</v>
      </c>
      <c r="F250" t="s">
        <v>88</v>
      </c>
      <c r="G250" t="s">
        <v>88</v>
      </c>
      <c r="H250" t="s">
        <v>88</v>
      </c>
      <c r="I250" t="s">
        <v>88</v>
      </c>
      <c r="J250" t="s">
        <v>88</v>
      </c>
      <c r="K250" t="s">
        <v>88</v>
      </c>
      <c r="L250" t="s">
        <v>88</v>
      </c>
    </row>
    <row r="251" spans="1:12" x14ac:dyDescent="0.35">
      <c r="A251" t="s">
        <v>25</v>
      </c>
      <c r="B251">
        <v>3</v>
      </c>
      <c r="C251" s="8" t="s">
        <v>92</v>
      </c>
      <c r="D251" s="7" t="s">
        <v>88</v>
      </c>
      <c r="E251" t="s">
        <v>88</v>
      </c>
      <c r="F251" t="s">
        <v>88</v>
      </c>
      <c r="G251" t="s">
        <v>88</v>
      </c>
      <c r="H251" t="s">
        <v>88</v>
      </c>
      <c r="I251" t="s">
        <v>88</v>
      </c>
      <c r="J251" t="s">
        <v>88</v>
      </c>
      <c r="K251" t="s">
        <v>88</v>
      </c>
      <c r="L251" t="s">
        <v>88</v>
      </c>
    </row>
    <row r="252" spans="1:12" x14ac:dyDescent="0.35">
      <c r="A252" t="s">
        <v>25</v>
      </c>
      <c r="B252">
        <v>3</v>
      </c>
      <c r="C252" s="8" t="s">
        <v>91</v>
      </c>
      <c r="D252" s="7" t="s">
        <v>88</v>
      </c>
      <c r="E252" t="s">
        <v>88</v>
      </c>
      <c r="F252" t="s">
        <v>88</v>
      </c>
      <c r="G252" t="s">
        <v>88</v>
      </c>
      <c r="H252" t="s">
        <v>88</v>
      </c>
      <c r="I252" t="s">
        <v>88</v>
      </c>
      <c r="J252" t="s">
        <v>88</v>
      </c>
      <c r="K252" t="s">
        <v>88</v>
      </c>
      <c r="L252" t="s">
        <v>88</v>
      </c>
    </row>
    <row r="253" spans="1:12" x14ac:dyDescent="0.35">
      <c r="A253" t="s">
        <v>25</v>
      </c>
      <c r="B253">
        <v>3</v>
      </c>
      <c r="C253" s="8" t="s">
        <v>90</v>
      </c>
      <c r="D253" s="7" t="s">
        <v>88</v>
      </c>
      <c r="E253" t="s">
        <v>88</v>
      </c>
      <c r="F253" t="s">
        <v>88</v>
      </c>
      <c r="G253" t="s">
        <v>88</v>
      </c>
      <c r="H253" t="s">
        <v>88</v>
      </c>
      <c r="I253" t="s">
        <v>88</v>
      </c>
      <c r="J253" t="s">
        <v>88</v>
      </c>
      <c r="K253" t="s">
        <v>88</v>
      </c>
      <c r="L253" t="s">
        <v>88</v>
      </c>
    </row>
    <row r="254" spans="1:12" x14ac:dyDescent="0.35">
      <c r="A254" t="s">
        <v>25</v>
      </c>
      <c r="B254">
        <v>4</v>
      </c>
      <c r="C254" s="9" t="s">
        <v>93</v>
      </c>
      <c r="D254" s="7" t="s">
        <v>88</v>
      </c>
      <c r="E254" t="s">
        <v>88</v>
      </c>
      <c r="F254" t="s">
        <v>88</v>
      </c>
      <c r="G254" t="s">
        <v>88</v>
      </c>
      <c r="H254" t="s">
        <v>88</v>
      </c>
      <c r="I254" t="s">
        <v>88</v>
      </c>
      <c r="J254" t="s">
        <v>88</v>
      </c>
      <c r="K254" t="s">
        <v>88</v>
      </c>
      <c r="L254" t="s">
        <v>88</v>
      </c>
    </row>
    <row r="255" spans="1:12" x14ac:dyDescent="0.35">
      <c r="A255" t="s">
        <v>25</v>
      </c>
      <c r="B255">
        <v>4</v>
      </c>
      <c r="C255" s="8" t="s">
        <v>92</v>
      </c>
      <c r="D255" s="7" t="s">
        <v>88</v>
      </c>
      <c r="E255" t="s">
        <v>88</v>
      </c>
      <c r="F255" t="s">
        <v>88</v>
      </c>
      <c r="G255" t="s">
        <v>88</v>
      </c>
      <c r="H255" t="s">
        <v>88</v>
      </c>
      <c r="I255" t="s">
        <v>88</v>
      </c>
      <c r="J255" t="s">
        <v>88</v>
      </c>
      <c r="K255" t="s">
        <v>88</v>
      </c>
      <c r="L255" t="s">
        <v>88</v>
      </c>
    </row>
    <row r="256" spans="1:12" x14ac:dyDescent="0.35">
      <c r="A256" t="s">
        <v>25</v>
      </c>
      <c r="B256">
        <v>4</v>
      </c>
      <c r="C256" s="8" t="s">
        <v>91</v>
      </c>
      <c r="D256" s="7" t="s">
        <v>88</v>
      </c>
      <c r="E256" t="s">
        <v>88</v>
      </c>
      <c r="F256" t="s">
        <v>88</v>
      </c>
      <c r="G256" t="s">
        <v>88</v>
      </c>
      <c r="H256" t="s">
        <v>88</v>
      </c>
      <c r="I256" t="s">
        <v>88</v>
      </c>
      <c r="J256" t="s">
        <v>88</v>
      </c>
      <c r="K256" t="s">
        <v>88</v>
      </c>
      <c r="L256" t="s">
        <v>88</v>
      </c>
    </row>
    <row r="257" spans="1:12" x14ac:dyDescent="0.35">
      <c r="A257" t="s">
        <v>25</v>
      </c>
      <c r="B257">
        <v>4</v>
      </c>
      <c r="C257" s="8" t="s">
        <v>90</v>
      </c>
      <c r="D257" s="7" t="s">
        <v>88</v>
      </c>
      <c r="E257" t="s">
        <v>88</v>
      </c>
      <c r="F257" t="s">
        <v>88</v>
      </c>
      <c r="G257" t="s">
        <v>88</v>
      </c>
      <c r="H257" t="s">
        <v>88</v>
      </c>
      <c r="I257" t="s">
        <v>88</v>
      </c>
      <c r="J257" t="s">
        <v>88</v>
      </c>
      <c r="K257" t="s">
        <v>88</v>
      </c>
      <c r="L257" t="s">
        <v>88</v>
      </c>
    </row>
    <row r="258" spans="1:12" x14ac:dyDescent="0.35">
      <c r="A258" t="s">
        <v>26</v>
      </c>
      <c r="B258">
        <v>1</v>
      </c>
      <c r="C258" s="9" t="s">
        <v>93</v>
      </c>
      <c r="D258" s="12">
        <v>10.4076</v>
      </c>
      <c r="E258">
        <v>14.142110000000001</v>
      </c>
      <c r="F258" s="11">
        <f t="shared" ref="F258:F268" si="51">E258-D258</f>
        <v>3.7345100000000002</v>
      </c>
      <c r="G258">
        <v>14.01403</v>
      </c>
      <c r="H258" s="11">
        <f t="shared" ref="H258:H268" si="52">G258-D258</f>
        <v>3.6064299999999996</v>
      </c>
      <c r="I258" s="10">
        <f t="shared" ref="I258:I268" si="53">(F258-H258)/F258</f>
        <v>3.4296333387780625E-2</v>
      </c>
      <c r="J258">
        <v>13.382809999999999</v>
      </c>
      <c r="K258">
        <f t="shared" ref="K258:K268" si="54">J258-D258</f>
        <v>2.9752099999999988</v>
      </c>
      <c r="L258" s="4">
        <f t="shared" ref="L258:L268" si="55">((H258-K258)/H258)*0.525</f>
        <v>9.1888793072373645E-2</v>
      </c>
    </row>
    <row r="259" spans="1:12" x14ac:dyDescent="0.35">
      <c r="A259" t="s">
        <v>26</v>
      </c>
      <c r="B259">
        <v>1</v>
      </c>
      <c r="C259" s="8" t="s">
        <v>92</v>
      </c>
      <c r="D259" s="12">
        <v>5.0650399999999998</v>
      </c>
      <c r="E259">
        <v>6.3710800000000001</v>
      </c>
      <c r="F259" s="11">
        <f t="shared" si="51"/>
        <v>1.3060400000000003</v>
      </c>
      <c r="G259">
        <v>6.3349099999999998</v>
      </c>
      <c r="H259" s="11">
        <f t="shared" si="52"/>
        <v>1.2698700000000001</v>
      </c>
      <c r="I259" s="10">
        <f t="shared" si="53"/>
        <v>2.7694404459281681E-2</v>
      </c>
      <c r="J259">
        <v>6.10914</v>
      </c>
      <c r="K259">
        <f t="shared" si="54"/>
        <v>1.0441000000000003</v>
      </c>
      <c r="L259" s="4">
        <f t="shared" si="55"/>
        <v>9.3339672564908147E-2</v>
      </c>
    </row>
    <row r="260" spans="1:12" x14ac:dyDescent="0.35">
      <c r="A260" t="s">
        <v>26</v>
      </c>
      <c r="B260">
        <v>1</v>
      </c>
      <c r="C260" s="8" t="s">
        <v>91</v>
      </c>
      <c r="D260" s="12">
        <v>5.2278599999999997</v>
      </c>
      <c r="E260">
        <v>6.6570400000000003</v>
      </c>
      <c r="F260" s="11">
        <f t="shared" si="51"/>
        <v>1.4291800000000006</v>
      </c>
      <c r="G260">
        <v>6.6201299999999996</v>
      </c>
      <c r="H260" s="11">
        <f t="shared" si="52"/>
        <v>1.3922699999999999</v>
      </c>
      <c r="I260" s="10">
        <f t="shared" si="53"/>
        <v>2.5825998124799292E-2</v>
      </c>
      <c r="J260">
        <v>6.4105299999999996</v>
      </c>
      <c r="K260">
        <f t="shared" si="54"/>
        <v>1.1826699999999999</v>
      </c>
      <c r="L260" s="4">
        <f t="shared" si="55"/>
        <v>7.9036393802926166E-2</v>
      </c>
    </row>
    <row r="261" spans="1:12" x14ac:dyDescent="0.35">
      <c r="A261" t="s">
        <v>26</v>
      </c>
      <c r="B261">
        <v>1</v>
      </c>
      <c r="C261" s="8" t="s">
        <v>90</v>
      </c>
      <c r="D261" s="12">
        <v>4.9220300000000003</v>
      </c>
      <c r="E261">
        <v>6.8140099999999997</v>
      </c>
      <c r="F261" s="11">
        <f t="shared" si="51"/>
        <v>1.8919799999999993</v>
      </c>
      <c r="G261">
        <v>6.7637099999999997</v>
      </c>
      <c r="H261" s="11">
        <f t="shared" si="52"/>
        <v>1.8416799999999993</v>
      </c>
      <c r="I261" s="10">
        <f t="shared" si="53"/>
        <v>2.6585904713580497E-2</v>
      </c>
      <c r="J261">
        <v>6.5263200000000001</v>
      </c>
      <c r="K261">
        <f t="shared" si="54"/>
        <v>1.6042899999999998</v>
      </c>
      <c r="L261" s="4">
        <f t="shared" si="55"/>
        <v>6.7671772512054112E-2</v>
      </c>
    </row>
    <row r="262" spans="1:12" x14ac:dyDescent="0.35">
      <c r="A262" t="s">
        <v>26</v>
      </c>
      <c r="B262">
        <v>2</v>
      </c>
      <c r="C262" s="9" t="s">
        <v>93</v>
      </c>
      <c r="D262" s="12">
        <v>11.077529999999999</v>
      </c>
      <c r="E262">
        <v>14.77908</v>
      </c>
      <c r="F262" s="11">
        <f t="shared" si="51"/>
        <v>3.701550000000001</v>
      </c>
      <c r="G262">
        <v>14.114330000000001</v>
      </c>
      <c r="H262" s="11">
        <f t="shared" si="52"/>
        <v>3.0368000000000013</v>
      </c>
      <c r="I262" s="10">
        <f t="shared" si="53"/>
        <v>0.17958692979967839</v>
      </c>
      <c r="J262">
        <v>13.76698</v>
      </c>
      <c r="K262">
        <f t="shared" si="54"/>
        <v>2.6894500000000008</v>
      </c>
      <c r="L262" s="4">
        <f t="shared" si="55"/>
        <v>6.0049641069546959E-2</v>
      </c>
    </row>
    <row r="263" spans="1:12" x14ac:dyDescent="0.35">
      <c r="A263" t="s">
        <v>26</v>
      </c>
      <c r="B263">
        <v>2</v>
      </c>
      <c r="C263" s="8" t="s">
        <v>92</v>
      </c>
      <c r="D263" s="12">
        <v>11.027049999999999</v>
      </c>
      <c r="E263">
        <v>15.29327</v>
      </c>
      <c r="F263" s="11">
        <f t="shared" si="51"/>
        <v>4.2662200000000006</v>
      </c>
      <c r="G263">
        <v>14.663360000000001</v>
      </c>
      <c r="H263" s="11">
        <f t="shared" si="52"/>
        <v>3.6363100000000017</v>
      </c>
      <c r="I263" s="10">
        <f t="shared" si="53"/>
        <v>0.14765061342359251</v>
      </c>
      <c r="J263">
        <v>14.281739999999999</v>
      </c>
      <c r="K263">
        <f t="shared" si="54"/>
        <v>3.2546900000000001</v>
      </c>
      <c r="L263" s="4">
        <f t="shared" si="55"/>
        <v>5.509720018370292E-2</v>
      </c>
    </row>
    <row r="264" spans="1:12" x14ac:dyDescent="0.35">
      <c r="A264" t="s">
        <v>26</v>
      </c>
      <c r="B264">
        <v>2</v>
      </c>
      <c r="C264" s="8" t="s">
        <v>91</v>
      </c>
      <c r="D264" s="12">
        <v>10.55852</v>
      </c>
      <c r="E264">
        <v>14.84693</v>
      </c>
      <c r="F264" s="11">
        <f t="shared" si="51"/>
        <v>4.2884100000000007</v>
      </c>
      <c r="G264">
        <v>14.58534</v>
      </c>
      <c r="H264" s="11">
        <f t="shared" si="52"/>
        <v>4.0268200000000007</v>
      </c>
      <c r="I264" s="10">
        <f t="shared" si="53"/>
        <v>6.0999298108156623E-2</v>
      </c>
      <c r="J264">
        <v>14.18679</v>
      </c>
      <c r="K264">
        <f t="shared" si="54"/>
        <v>3.6282700000000006</v>
      </c>
      <c r="L264" s="4">
        <f t="shared" si="55"/>
        <v>5.1961287070194366E-2</v>
      </c>
    </row>
    <row r="265" spans="1:12" x14ac:dyDescent="0.35">
      <c r="A265" t="s">
        <v>26</v>
      </c>
      <c r="B265">
        <v>2</v>
      </c>
      <c r="C265" s="8" t="s">
        <v>90</v>
      </c>
      <c r="D265" s="12">
        <v>10.9747</v>
      </c>
      <c r="E265">
        <v>14.835900000000001</v>
      </c>
      <c r="F265" s="11">
        <f t="shared" si="51"/>
        <v>3.8612000000000002</v>
      </c>
      <c r="G265">
        <v>14.49958</v>
      </c>
      <c r="H265" s="11">
        <f t="shared" si="52"/>
        <v>3.5248799999999996</v>
      </c>
      <c r="I265" s="10">
        <f t="shared" si="53"/>
        <v>8.7102455195276235E-2</v>
      </c>
      <c r="J265">
        <v>14.195220000000001</v>
      </c>
      <c r="K265">
        <f t="shared" si="54"/>
        <v>3.2205200000000005</v>
      </c>
      <c r="L265" s="4">
        <f t="shared" si="55"/>
        <v>4.5331755974671352E-2</v>
      </c>
    </row>
    <row r="266" spans="1:12" x14ac:dyDescent="0.35">
      <c r="A266" t="s">
        <v>26</v>
      </c>
      <c r="B266">
        <v>3</v>
      </c>
      <c r="C266" s="9" t="s">
        <v>93</v>
      </c>
      <c r="D266" s="12">
        <v>10.743499999999999</v>
      </c>
      <c r="E266">
        <v>14.578609999999999</v>
      </c>
      <c r="F266" s="11">
        <f t="shared" si="51"/>
        <v>3.8351100000000002</v>
      </c>
      <c r="G266">
        <v>14.50991</v>
      </c>
      <c r="H266" s="11">
        <f t="shared" si="52"/>
        <v>3.7664100000000005</v>
      </c>
      <c r="I266" s="10">
        <f t="shared" si="53"/>
        <v>1.7913436641973701E-2</v>
      </c>
      <c r="J266">
        <v>14.318239999999999</v>
      </c>
      <c r="K266">
        <f t="shared" si="54"/>
        <v>3.5747400000000003</v>
      </c>
      <c r="L266" s="4">
        <f t="shared" si="55"/>
        <v>2.6716886902912882E-2</v>
      </c>
    </row>
    <row r="267" spans="1:12" x14ac:dyDescent="0.35">
      <c r="A267" t="s">
        <v>26</v>
      </c>
      <c r="B267">
        <v>3</v>
      </c>
      <c r="C267" s="8" t="s">
        <v>92</v>
      </c>
      <c r="D267" s="12">
        <v>10.40924</v>
      </c>
      <c r="E267">
        <v>15.365180000000001</v>
      </c>
      <c r="F267" s="11">
        <f t="shared" si="51"/>
        <v>4.95594</v>
      </c>
      <c r="G267">
        <v>15.286110000000001</v>
      </c>
      <c r="H267" s="11">
        <f t="shared" si="52"/>
        <v>4.8768700000000003</v>
      </c>
      <c r="I267" s="10">
        <f t="shared" si="53"/>
        <v>1.5954591863501122E-2</v>
      </c>
      <c r="J267">
        <v>15.12064</v>
      </c>
      <c r="K267">
        <f t="shared" si="54"/>
        <v>4.7113999999999994</v>
      </c>
      <c r="L267" s="4">
        <f t="shared" si="55"/>
        <v>1.7813013264655498E-2</v>
      </c>
    </row>
    <row r="268" spans="1:12" x14ac:dyDescent="0.35">
      <c r="A268" t="s">
        <v>26</v>
      </c>
      <c r="B268">
        <v>3</v>
      </c>
      <c r="C268" s="8" t="s">
        <v>91</v>
      </c>
      <c r="D268" s="12">
        <v>10.70107</v>
      </c>
      <c r="E268">
        <v>11.315250000000001</v>
      </c>
      <c r="F268" s="11">
        <f t="shared" si="51"/>
        <v>0.61418000000000106</v>
      </c>
      <c r="G268">
        <v>11.30645</v>
      </c>
      <c r="H268" s="11">
        <f t="shared" si="52"/>
        <v>0.60538000000000025</v>
      </c>
      <c r="I268" s="10">
        <f t="shared" si="53"/>
        <v>1.4328047152301918E-2</v>
      </c>
      <c r="J268">
        <v>11.27322</v>
      </c>
      <c r="K268">
        <f t="shared" si="54"/>
        <v>0.5721500000000006</v>
      </c>
      <c r="L268" s="4">
        <f t="shared" si="55"/>
        <v>2.8817849945488468E-2</v>
      </c>
    </row>
    <row r="269" spans="1:12" x14ac:dyDescent="0.35">
      <c r="A269" t="s">
        <v>26</v>
      </c>
      <c r="B269">
        <v>3</v>
      </c>
      <c r="C269" s="8" t="s">
        <v>90</v>
      </c>
      <c r="D269" s="7" t="s">
        <v>88</v>
      </c>
      <c r="E269" s="7" t="s">
        <v>88</v>
      </c>
      <c r="F269" s="7" t="s">
        <v>88</v>
      </c>
      <c r="G269" s="7" t="s">
        <v>88</v>
      </c>
      <c r="H269" s="7" t="s">
        <v>88</v>
      </c>
      <c r="I269" s="7" t="s">
        <v>88</v>
      </c>
      <c r="J269" s="7" t="s">
        <v>88</v>
      </c>
      <c r="K269" s="7" t="s">
        <v>88</v>
      </c>
      <c r="L269" s="7" t="s">
        <v>88</v>
      </c>
    </row>
    <row r="270" spans="1:12" x14ac:dyDescent="0.35">
      <c r="A270" t="s">
        <v>26</v>
      </c>
      <c r="B270">
        <v>4</v>
      </c>
      <c r="C270" s="9" t="s">
        <v>93</v>
      </c>
      <c r="D270" s="7" t="s">
        <v>88</v>
      </c>
      <c r="E270" s="7" t="s">
        <v>88</v>
      </c>
      <c r="F270" s="7" t="s">
        <v>88</v>
      </c>
      <c r="G270" s="7" t="s">
        <v>88</v>
      </c>
      <c r="H270" s="7" t="s">
        <v>88</v>
      </c>
      <c r="I270" s="7" t="s">
        <v>88</v>
      </c>
      <c r="J270" s="7" t="s">
        <v>88</v>
      </c>
      <c r="K270" s="7" t="s">
        <v>88</v>
      </c>
      <c r="L270" s="7" t="s">
        <v>88</v>
      </c>
    </row>
    <row r="271" spans="1:12" x14ac:dyDescent="0.35">
      <c r="A271" t="s">
        <v>26</v>
      </c>
      <c r="B271">
        <v>4</v>
      </c>
      <c r="C271" s="8" t="s">
        <v>92</v>
      </c>
      <c r="D271" s="7" t="s">
        <v>88</v>
      </c>
      <c r="E271" s="7" t="s">
        <v>88</v>
      </c>
      <c r="F271" s="7" t="s">
        <v>88</v>
      </c>
      <c r="G271" s="7" t="s">
        <v>88</v>
      </c>
      <c r="H271" s="7" t="s">
        <v>88</v>
      </c>
      <c r="I271" s="7" t="s">
        <v>88</v>
      </c>
      <c r="J271" s="7" t="s">
        <v>88</v>
      </c>
      <c r="K271" s="7" t="s">
        <v>88</v>
      </c>
      <c r="L271" s="7" t="s">
        <v>88</v>
      </c>
    </row>
    <row r="272" spans="1:12" x14ac:dyDescent="0.35">
      <c r="A272" t="s">
        <v>26</v>
      </c>
      <c r="B272">
        <v>4</v>
      </c>
      <c r="C272" s="8" t="s">
        <v>91</v>
      </c>
      <c r="D272" s="7" t="s">
        <v>88</v>
      </c>
      <c r="E272" s="7" t="s">
        <v>88</v>
      </c>
      <c r="F272" s="7" t="s">
        <v>88</v>
      </c>
      <c r="G272" s="7" t="s">
        <v>88</v>
      </c>
      <c r="H272" s="7" t="s">
        <v>88</v>
      </c>
      <c r="I272" s="7" t="s">
        <v>88</v>
      </c>
      <c r="J272" s="7" t="s">
        <v>88</v>
      </c>
      <c r="K272" s="7" t="s">
        <v>88</v>
      </c>
      <c r="L272" s="7" t="s">
        <v>88</v>
      </c>
    </row>
    <row r="273" spans="1:12" x14ac:dyDescent="0.35">
      <c r="A273" t="s">
        <v>26</v>
      </c>
      <c r="B273">
        <v>4</v>
      </c>
      <c r="C273" s="8" t="s">
        <v>90</v>
      </c>
      <c r="D273" s="7" t="s">
        <v>88</v>
      </c>
      <c r="E273" s="7" t="s">
        <v>88</v>
      </c>
      <c r="F273" s="7" t="s">
        <v>88</v>
      </c>
      <c r="G273" s="7" t="s">
        <v>88</v>
      </c>
      <c r="H273" s="7" t="s">
        <v>88</v>
      </c>
      <c r="I273" s="7" t="s">
        <v>88</v>
      </c>
      <c r="J273" s="7" t="s">
        <v>88</v>
      </c>
      <c r="K273" s="7" t="s">
        <v>88</v>
      </c>
      <c r="L273" s="7" t="s">
        <v>88</v>
      </c>
    </row>
    <row r="274" spans="1:12" x14ac:dyDescent="0.35">
      <c r="A274" t="s">
        <v>27</v>
      </c>
      <c r="B274">
        <v>1</v>
      </c>
      <c r="C274" s="9" t="s">
        <v>93</v>
      </c>
      <c r="D274" s="12">
        <v>10.192019999999999</v>
      </c>
      <c r="E274">
        <v>13.86411</v>
      </c>
      <c r="F274" s="11">
        <f t="shared" ref="F274:F281" si="56">E274-D274</f>
        <v>3.6720900000000007</v>
      </c>
      <c r="G274">
        <v>12.677619999999999</v>
      </c>
      <c r="H274" s="11">
        <f t="shared" ref="H274:H281" si="57">G274-D274</f>
        <v>2.4855999999999998</v>
      </c>
      <c r="I274" s="10">
        <f t="shared" ref="I274:I281" si="58">(F274-H274)/F274</f>
        <v>0.32311027235171269</v>
      </c>
      <c r="J274">
        <v>12.329140000000001</v>
      </c>
      <c r="K274">
        <f t="shared" ref="K274:K281" si="59">J274-D274</f>
        <v>2.1371200000000012</v>
      </c>
      <c r="L274" s="4">
        <f t="shared" ref="L274:L281" si="60">((H274-K274)/H274)*0.525</f>
        <v>7.3604763437399134E-2</v>
      </c>
    </row>
    <row r="275" spans="1:12" x14ac:dyDescent="0.35">
      <c r="A275" t="s">
        <v>27</v>
      </c>
      <c r="B275">
        <v>1</v>
      </c>
      <c r="C275" s="8" t="s">
        <v>92</v>
      </c>
      <c r="D275" s="12">
        <v>10.54148</v>
      </c>
      <c r="E275">
        <v>14.49325</v>
      </c>
      <c r="F275" s="11">
        <f t="shared" si="56"/>
        <v>3.9517699999999998</v>
      </c>
      <c r="G275">
        <v>13.60411</v>
      </c>
      <c r="H275" s="11">
        <f t="shared" si="57"/>
        <v>3.0626300000000004</v>
      </c>
      <c r="I275" s="10">
        <f t="shared" si="58"/>
        <v>0.22499791232789343</v>
      </c>
      <c r="J275">
        <v>13.09248</v>
      </c>
      <c r="K275">
        <f t="shared" si="59"/>
        <v>2.5510000000000002</v>
      </c>
      <c r="L275" s="4">
        <f t="shared" si="60"/>
        <v>8.7704277042933723E-2</v>
      </c>
    </row>
    <row r="276" spans="1:12" x14ac:dyDescent="0.35">
      <c r="A276" t="s">
        <v>27</v>
      </c>
      <c r="B276">
        <v>1</v>
      </c>
      <c r="C276" s="8" t="s">
        <v>91</v>
      </c>
      <c r="D276" s="12">
        <v>10.58399</v>
      </c>
      <c r="E276">
        <v>14.75029</v>
      </c>
      <c r="F276" s="11">
        <f t="shared" si="56"/>
        <v>4.1662999999999997</v>
      </c>
      <c r="G276">
        <v>13.426170000000001</v>
      </c>
      <c r="H276" s="11">
        <f t="shared" si="57"/>
        <v>2.8421800000000008</v>
      </c>
      <c r="I276" s="10">
        <f t="shared" si="58"/>
        <v>0.31781676787557278</v>
      </c>
      <c r="J276">
        <v>13.00611</v>
      </c>
      <c r="K276">
        <f t="shared" si="59"/>
        <v>2.4221199999999996</v>
      </c>
      <c r="L276" s="4">
        <f t="shared" si="60"/>
        <v>7.7592376274550026E-2</v>
      </c>
    </row>
    <row r="277" spans="1:12" x14ac:dyDescent="0.35">
      <c r="A277" s="14" t="s">
        <v>27</v>
      </c>
      <c r="B277" s="14">
        <v>1</v>
      </c>
      <c r="C277" s="18" t="s">
        <v>90</v>
      </c>
      <c r="D277" s="17">
        <v>10.96988</v>
      </c>
      <c r="E277" s="14">
        <v>5.8266499999999999</v>
      </c>
      <c r="F277" s="16">
        <f t="shared" si="56"/>
        <v>-5.14323</v>
      </c>
      <c r="G277" s="14">
        <v>5.4538700000000002</v>
      </c>
      <c r="H277" s="16">
        <f t="shared" si="57"/>
        <v>-5.5160099999999996</v>
      </c>
      <c r="I277" s="15">
        <f t="shared" si="58"/>
        <v>-7.24797452184716E-2</v>
      </c>
      <c r="J277" s="14">
        <v>5.3117000000000001</v>
      </c>
      <c r="K277" s="14">
        <f t="shared" si="59"/>
        <v>-5.6581799999999998</v>
      </c>
      <c r="L277" s="13">
        <f t="shared" si="60"/>
        <v>-1.3531384098288451E-2</v>
      </c>
    </row>
    <row r="278" spans="1:12" x14ac:dyDescent="0.35">
      <c r="A278" t="s">
        <v>27</v>
      </c>
      <c r="B278">
        <v>2</v>
      </c>
      <c r="C278" s="9" t="s">
        <v>93</v>
      </c>
      <c r="D278" s="12">
        <v>10.648870000000001</v>
      </c>
      <c r="E278">
        <v>14.942539999999999</v>
      </c>
      <c r="F278" s="11">
        <f t="shared" si="56"/>
        <v>4.2936699999999988</v>
      </c>
      <c r="G278">
        <v>15.322850000000001</v>
      </c>
      <c r="H278" s="11">
        <f t="shared" si="57"/>
        <v>4.6739800000000002</v>
      </c>
      <c r="I278" s="10">
        <f t="shared" si="58"/>
        <v>-8.8574576061970667E-2</v>
      </c>
      <c r="J278">
        <v>15.110010000000001</v>
      </c>
      <c r="K278">
        <f t="shared" si="59"/>
        <v>4.4611400000000003</v>
      </c>
      <c r="L278" s="4">
        <f t="shared" si="60"/>
        <v>2.3907034262020795E-2</v>
      </c>
    </row>
    <row r="279" spans="1:12" x14ac:dyDescent="0.35">
      <c r="A279" t="s">
        <v>27</v>
      </c>
      <c r="B279">
        <v>2</v>
      </c>
      <c r="C279" s="8" t="s">
        <v>92</v>
      </c>
      <c r="D279" s="12">
        <v>10.6974</v>
      </c>
      <c r="E279">
        <v>13.910959999999999</v>
      </c>
      <c r="F279" s="11">
        <f t="shared" si="56"/>
        <v>3.2135599999999993</v>
      </c>
      <c r="G279">
        <v>13.846550000000001</v>
      </c>
      <c r="H279" s="11">
        <f t="shared" si="57"/>
        <v>3.1491500000000006</v>
      </c>
      <c r="I279" s="10">
        <f t="shared" si="58"/>
        <v>2.0043191974009746E-2</v>
      </c>
      <c r="J279">
        <v>13.66764</v>
      </c>
      <c r="K279">
        <f t="shared" si="59"/>
        <v>2.9702400000000004</v>
      </c>
      <c r="L279" s="4">
        <f t="shared" si="60"/>
        <v>2.9826381722052001E-2</v>
      </c>
    </row>
    <row r="280" spans="1:12" x14ac:dyDescent="0.35">
      <c r="A280" t="s">
        <v>27</v>
      </c>
      <c r="B280">
        <v>2</v>
      </c>
      <c r="C280" s="8" t="s">
        <v>91</v>
      </c>
      <c r="D280" s="12">
        <v>11.132289999999999</v>
      </c>
      <c r="E280">
        <v>15.596730000000001</v>
      </c>
      <c r="F280" s="11">
        <f t="shared" si="56"/>
        <v>4.4644400000000015</v>
      </c>
      <c r="G280">
        <v>15.479229999999999</v>
      </c>
      <c r="H280" s="11">
        <f t="shared" si="57"/>
        <v>4.34694</v>
      </c>
      <c r="I280" s="10">
        <f t="shared" si="58"/>
        <v>2.6319090412235679E-2</v>
      </c>
      <c r="J280">
        <v>15.27436</v>
      </c>
      <c r="K280">
        <f t="shared" si="59"/>
        <v>4.1420700000000004</v>
      </c>
      <c r="L280" s="4">
        <f t="shared" si="60"/>
        <v>2.4743095142790061E-2</v>
      </c>
    </row>
    <row r="281" spans="1:12" x14ac:dyDescent="0.35">
      <c r="A281" t="s">
        <v>27</v>
      </c>
      <c r="B281">
        <v>2</v>
      </c>
      <c r="C281" s="8" t="s">
        <v>90</v>
      </c>
      <c r="D281" s="12">
        <v>11.327260000000001</v>
      </c>
      <c r="E281">
        <v>17.105730000000001</v>
      </c>
      <c r="F281" s="11">
        <f t="shared" si="56"/>
        <v>5.7784700000000004</v>
      </c>
      <c r="G281">
        <v>16.950939999999999</v>
      </c>
      <c r="H281" s="11">
        <f t="shared" si="57"/>
        <v>5.6236799999999985</v>
      </c>
      <c r="I281" s="10">
        <f t="shared" si="58"/>
        <v>2.6787367590383263E-2</v>
      </c>
      <c r="J281">
        <v>16.77712</v>
      </c>
      <c r="K281">
        <f t="shared" si="59"/>
        <v>5.4498599999999993</v>
      </c>
      <c r="L281" s="4">
        <f t="shared" si="60"/>
        <v>1.6227007937862682E-2</v>
      </c>
    </row>
    <row r="282" spans="1:12" x14ac:dyDescent="0.35">
      <c r="A282" t="s">
        <v>27</v>
      </c>
      <c r="B282">
        <v>3</v>
      </c>
      <c r="C282" s="9" t="s">
        <v>93</v>
      </c>
      <c r="D282" s="7" t="s">
        <v>88</v>
      </c>
      <c r="E282" s="7" t="s">
        <v>88</v>
      </c>
      <c r="F282" s="7" t="s">
        <v>88</v>
      </c>
      <c r="G282" s="7" t="s">
        <v>88</v>
      </c>
      <c r="H282" s="7" t="s">
        <v>88</v>
      </c>
      <c r="I282" s="7" t="s">
        <v>88</v>
      </c>
      <c r="J282" s="7" t="s">
        <v>88</v>
      </c>
      <c r="K282" s="7" t="s">
        <v>88</v>
      </c>
      <c r="L282" s="7" t="s">
        <v>88</v>
      </c>
    </row>
    <row r="283" spans="1:12" x14ac:dyDescent="0.35">
      <c r="A283" t="s">
        <v>27</v>
      </c>
      <c r="B283">
        <v>3</v>
      </c>
      <c r="C283" s="8" t="s">
        <v>92</v>
      </c>
      <c r="D283" s="7" t="s">
        <v>88</v>
      </c>
      <c r="E283" s="7" t="s">
        <v>88</v>
      </c>
      <c r="F283" s="7" t="s">
        <v>88</v>
      </c>
      <c r="G283" s="7" t="s">
        <v>88</v>
      </c>
      <c r="H283" s="7" t="s">
        <v>88</v>
      </c>
      <c r="I283" s="7" t="s">
        <v>88</v>
      </c>
      <c r="J283" s="7" t="s">
        <v>88</v>
      </c>
      <c r="K283" s="7" t="s">
        <v>88</v>
      </c>
      <c r="L283" s="7" t="s">
        <v>88</v>
      </c>
    </row>
    <row r="284" spans="1:12" x14ac:dyDescent="0.35">
      <c r="A284" t="s">
        <v>27</v>
      </c>
      <c r="B284">
        <v>3</v>
      </c>
      <c r="C284" s="8" t="s">
        <v>91</v>
      </c>
      <c r="D284" s="7" t="s">
        <v>88</v>
      </c>
      <c r="E284" s="7" t="s">
        <v>88</v>
      </c>
      <c r="F284" s="7" t="s">
        <v>88</v>
      </c>
      <c r="G284" s="7" t="s">
        <v>88</v>
      </c>
      <c r="H284" s="7" t="s">
        <v>88</v>
      </c>
      <c r="I284" s="7" t="s">
        <v>88</v>
      </c>
      <c r="J284" s="7" t="s">
        <v>88</v>
      </c>
      <c r="K284" s="7" t="s">
        <v>88</v>
      </c>
      <c r="L284" s="7" t="s">
        <v>88</v>
      </c>
    </row>
    <row r="285" spans="1:12" x14ac:dyDescent="0.35">
      <c r="A285" t="s">
        <v>27</v>
      </c>
      <c r="B285">
        <v>3</v>
      </c>
      <c r="C285" s="8" t="s">
        <v>90</v>
      </c>
      <c r="D285" s="7" t="s">
        <v>88</v>
      </c>
      <c r="E285" s="7" t="s">
        <v>88</v>
      </c>
      <c r="F285" s="7" t="s">
        <v>88</v>
      </c>
      <c r="G285" s="7" t="s">
        <v>88</v>
      </c>
      <c r="H285" s="7" t="s">
        <v>88</v>
      </c>
      <c r="I285" s="7" t="s">
        <v>88</v>
      </c>
      <c r="J285" s="7" t="s">
        <v>88</v>
      </c>
      <c r="K285" s="7" t="s">
        <v>88</v>
      </c>
      <c r="L285" s="7" t="s">
        <v>88</v>
      </c>
    </row>
    <row r="286" spans="1:12" x14ac:dyDescent="0.35">
      <c r="A286" t="s">
        <v>27</v>
      </c>
      <c r="B286">
        <v>4</v>
      </c>
      <c r="C286" s="9" t="s">
        <v>93</v>
      </c>
      <c r="D286" s="7" t="s">
        <v>88</v>
      </c>
      <c r="E286" s="7" t="s">
        <v>88</v>
      </c>
      <c r="F286" s="7" t="s">
        <v>88</v>
      </c>
      <c r="G286" s="7" t="s">
        <v>88</v>
      </c>
      <c r="H286" s="7" t="s">
        <v>88</v>
      </c>
      <c r="I286" s="7" t="s">
        <v>88</v>
      </c>
      <c r="J286" s="7" t="s">
        <v>88</v>
      </c>
      <c r="K286" s="7" t="s">
        <v>88</v>
      </c>
      <c r="L286" s="7" t="s">
        <v>88</v>
      </c>
    </row>
    <row r="287" spans="1:12" x14ac:dyDescent="0.35">
      <c r="A287" t="s">
        <v>27</v>
      </c>
      <c r="B287">
        <v>4</v>
      </c>
      <c r="C287" s="8" t="s">
        <v>92</v>
      </c>
      <c r="D287" s="7" t="s">
        <v>88</v>
      </c>
      <c r="E287" s="7" t="s">
        <v>88</v>
      </c>
      <c r="F287" s="7" t="s">
        <v>88</v>
      </c>
      <c r="G287" s="7" t="s">
        <v>88</v>
      </c>
      <c r="H287" s="7" t="s">
        <v>88</v>
      </c>
      <c r="I287" s="7" t="s">
        <v>88</v>
      </c>
      <c r="J287" s="7" t="s">
        <v>88</v>
      </c>
      <c r="K287" s="7" t="s">
        <v>88</v>
      </c>
      <c r="L287" s="7" t="s">
        <v>88</v>
      </c>
    </row>
    <row r="288" spans="1:12" x14ac:dyDescent="0.35">
      <c r="A288" t="s">
        <v>27</v>
      </c>
      <c r="B288">
        <v>4</v>
      </c>
      <c r="C288" s="8" t="s">
        <v>91</v>
      </c>
      <c r="D288" s="7" t="s">
        <v>88</v>
      </c>
      <c r="E288" s="7" t="s">
        <v>88</v>
      </c>
      <c r="F288" s="7" t="s">
        <v>88</v>
      </c>
      <c r="G288" s="7" t="s">
        <v>88</v>
      </c>
      <c r="H288" s="7" t="s">
        <v>88</v>
      </c>
      <c r="I288" s="7" t="s">
        <v>88</v>
      </c>
      <c r="J288" s="7" t="s">
        <v>88</v>
      </c>
      <c r="K288" s="7" t="s">
        <v>88</v>
      </c>
      <c r="L288" s="7" t="s">
        <v>88</v>
      </c>
    </row>
    <row r="289" spans="1:12" x14ac:dyDescent="0.35">
      <c r="A289" t="s">
        <v>27</v>
      </c>
      <c r="B289">
        <v>4</v>
      </c>
      <c r="C289" s="8" t="s">
        <v>90</v>
      </c>
      <c r="D289" s="7" t="s">
        <v>88</v>
      </c>
      <c r="E289" s="7" t="s">
        <v>88</v>
      </c>
      <c r="F289" s="7" t="s">
        <v>88</v>
      </c>
      <c r="G289" s="7" t="s">
        <v>88</v>
      </c>
      <c r="H289" s="7" t="s">
        <v>88</v>
      </c>
      <c r="I289" s="7" t="s">
        <v>88</v>
      </c>
      <c r="J289" s="7" t="s">
        <v>88</v>
      </c>
      <c r="K289" s="7" t="s">
        <v>88</v>
      </c>
      <c r="L289" s="7" t="s">
        <v>88</v>
      </c>
    </row>
    <row r="290" spans="1:12" x14ac:dyDescent="0.35">
      <c r="A290" t="s">
        <v>28</v>
      </c>
      <c r="B290">
        <v>1</v>
      </c>
      <c r="C290" s="9" t="s">
        <v>93</v>
      </c>
      <c r="D290" s="12">
        <v>10.428610000000001</v>
      </c>
      <c r="E290">
        <v>14.00258</v>
      </c>
      <c r="F290" s="11">
        <f t="shared" ref="F290:F297" si="61">E290-D290</f>
        <v>3.5739699999999992</v>
      </c>
      <c r="G290">
        <v>13.86598</v>
      </c>
      <c r="H290" s="11">
        <f t="shared" ref="H290:H297" si="62">G290-D290</f>
        <v>3.4373699999999996</v>
      </c>
      <c r="I290" s="10">
        <f t="shared" ref="I290:I297" si="63">(F290-H290)/F290</f>
        <v>3.8220802077241732E-2</v>
      </c>
      <c r="J290">
        <v>13.23883</v>
      </c>
      <c r="K290">
        <f t="shared" ref="K290:K297" si="64">J290-D290</f>
        <v>2.8102199999999993</v>
      </c>
      <c r="L290" s="4">
        <f t="shared" ref="L290:L297" si="65">((H290-K290)/H290)*0.525</f>
        <v>9.5786531563375549E-2</v>
      </c>
    </row>
    <row r="291" spans="1:12" x14ac:dyDescent="0.35">
      <c r="A291" t="s">
        <v>28</v>
      </c>
      <c r="B291">
        <v>1</v>
      </c>
      <c r="C291" s="8" t="s">
        <v>92</v>
      </c>
      <c r="D291" s="12">
        <v>11.820639999999999</v>
      </c>
      <c r="E291">
        <v>14.423640000000001</v>
      </c>
      <c r="F291" s="11">
        <f t="shared" si="61"/>
        <v>2.6030000000000015</v>
      </c>
      <c r="G291">
        <v>14.30537</v>
      </c>
      <c r="H291" s="11">
        <f t="shared" si="62"/>
        <v>2.4847300000000008</v>
      </c>
      <c r="I291" s="10">
        <f t="shared" si="63"/>
        <v>4.5436035343834301E-2</v>
      </c>
      <c r="J291">
        <v>13.69238</v>
      </c>
      <c r="K291">
        <f t="shared" si="64"/>
        <v>1.8717400000000008</v>
      </c>
      <c r="L291" s="4">
        <f t="shared" si="65"/>
        <v>0.12951900206461059</v>
      </c>
    </row>
    <row r="292" spans="1:12" x14ac:dyDescent="0.35">
      <c r="A292" t="s">
        <v>28</v>
      </c>
      <c r="B292">
        <v>1</v>
      </c>
      <c r="C292" s="8" t="s">
        <v>91</v>
      </c>
      <c r="D292" s="12">
        <v>10.809049999999999</v>
      </c>
      <c r="E292">
        <v>13.054130000000001</v>
      </c>
      <c r="F292" s="11">
        <f t="shared" si="61"/>
        <v>2.2450800000000015</v>
      </c>
      <c r="G292">
        <v>12.98368</v>
      </c>
      <c r="H292" s="11">
        <f t="shared" si="62"/>
        <v>2.1746300000000005</v>
      </c>
      <c r="I292" s="10">
        <f t="shared" si="63"/>
        <v>3.1379728116593154E-2</v>
      </c>
      <c r="J292">
        <v>11.83418</v>
      </c>
      <c r="K292">
        <f t="shared" si="64"/>
        <v>1.0251300000000008</v>
      </c>
      <c r="L292" s="4">
        <f t="shared" si="65"/>
        <v>0.27751272630286522</v>
      </c>
    </row>
    <row r="293" spans="1:12" x14ac:dyDescent="0.35">
      <c r="A293" t="s">
        <v>28</v>
      </c>
      <c r="B293">
        <v>1</v>
      </c>
      <c r="C293" s="8" t="s">
        <v>90</v>
      </c>
      <c r="D293" s="12">
        <v>11.52153</v>
      </c>
      <c r="E293">
        <v>12.29529</v>
      </c>
      <c r="F293" s="11">
        <f t="shared" si="61"/>
        <v>0.77375999999999934</v>
      </c>
      <c r="G293">
        <v>12.26993</v>
      </c>
      <c r="H293" s="11">
        <f t="shared" si="62"/>
        <v>0.74840000000000018</v>
      </c>
      <c r="I293" s="10">
        <f t="shared" si="63"/>
        <v>3.2775020678245427E-2</v>
      </c>
      <c r="J293">
        <v>12.097429999999999</v>
      </c>
      <c r="K293">
        <f t="shared" si="64"/>
        <v>0.57589999999999897</v>
      </c>
      <c r="L293" s="4">
        <f t="shared" si="65"/>
        <v>0.12100815072154011</v>
      </c>
    </row>
    <row r="294" spans="1:12" x14ac:dyDescent="0.35">
      <c r="A294" t="s">
        <v>28</v>
      </c>
      <c r="B294">
        <v>2</v>
      </c>
      <c r="C294" s="9" t="s">
        <v>93</v>
      </c>
      <c r="D294" s="12">
        <v>10.883850000000001</v>
      </c>
      <c r="E294">
        <v>14.750080000000001</v>
      </c>
      <c r="F294" s="11">
        <f t="shared" si="61"/>
        <v>3.8662299999999998</v>
      </c>
      <c r="G294">
        <v>14.50381</v>
      </c>
      <c r="H294" s="11">
        <f t="shared" si="62"/>
        <v>3.619959999999999</v>
      </c>
      <c r="I294" s="10">
        <f t="shared" si="63"/>
        <v>6.3697710689741921E-2</v>
      </c>
      <c r="J294">
        <v>13.93202</v>
      </c>
      <c r="K294">
        <f t="shared" si="64"/>
        <v>3.0481699999999989</v>
      </c>
      <c r="L294" s="4">
        <f t="shared" si="65"/>
        <v>8.2926261616150493E-2</v>
      </c>
    </row>
    <row r="295" spans="1:12" x14ac:dyDescent="0.35">
      <c r="A295" t="s">
        <v>28</v>
      </c>
      <c r="B295">
        <v>2</v>
      </c>
      <c r="C295" s="8" t="s">
        <v>92</v>
      </c>
      <c r="D295" s="12">
        <v>10.2807</v>
      </c>
      <c r="E295">
        <v>13.384449999999999</v>
      </c>
      <c r="F295" s="11">
        <f t="shared" si="61"/>
        <v>3.1037499999999998</v>
      </c>
      <c r="G295">
        <v>13.078860000000001</v>
      </c>
      <c r="H295" s="11">
        <f t="shared" si="62"/>
        <v>2.7981600000000011</v>
      </c>
      <c r="I295" s="10">
        <f t="shared" si="63"/>
        <v>9.8458316552556976E-2</v>
      </c>
      <c r="J295">
        <v>12.550240000000001</v>
      </c>
      <c r="K295">
        <f t="shared" si="64"/>
        <v>2.269540000000001</v>
      </c>
      <c r="L295" s="4">
        <f t="shared" si="65"/>
        <v>9.9181426365897579E-2</v>
      </c>
    </row>
    <row r="296" spans="1:12" x14ac:dyDescent="0.35">
      <c r="A296" t="s">
        <v>28</v>
      </c>
      <c r="B296">
        <v>2</v>
      </c>
      <c r="C296" s="8" t="s">
        <v>91</v>
      </c>
      <c r="D296" s="12">
        <v>11.80955</v>
      </c>
      <c r="E296">
        <v>16.187470000000001</v>
      </c>
      <c r="F296" s="11">
        <f t="shared" si="61"/>
        <v>4.3779200000000014</v>
      </c>
      <c r="G296">
        <v>15.63433</v>
      </c>
      <c r="H296" s="11">
        <f t="shared" si="62"/>
        <v>3.8247800000000005</v>
      </c>
      <c r="I296" s="10">
        <f t="shared" si="63"/>
        <v>0.1263476719538047</v>
      </c>
      <c r="J296">
        <v>14.51014</v>
      </c>
      <c r="K296">
        <f t="shared" si="64"/>
        <v>2.70059</v>
      </c>
      <c r="L296" s="4">
        <f t="shared" si="65"/>
        <v>0.15430946355084482</v>
      </c>
    </row>
    <row r="297" spans="1:12" x14ac:dyDescent="0.35">
      <c r="A297" t="s">
        <v>28</v>
      </c>
      <c r="B297">
        <v>2</v>
      </c>
      <c r="C297" s="8" t="s">
        <v>90</v>
      </c>
      <c r="D297" s="12">
        <v>10.74766</v>
      </c>
      <c r="E297">
        <v>15.00262</v>
      </c>
      <c r="F297" s="11">
        <f t="shared" si="61"/>
        <v>4.2549600000000005</v>
      </c>
      <c r="G297">
        <v>14.74366</v>
      </c>
      <c r="H297" s="11">
        <f t="shared" si="62"/>
        <v>3.9960000000000004</v>
      </c>
      <c r="I297" s="10">
        <f t="shared" si="63"/>
        <v>6.0860736646172947E-2</v>
      </c>
      <c r="J297">
        <v>14.14766</v>
      </c>
      <c r="K297">
        <f t="shared" si="64"/>
        <v>3.4000000000000004</v>
      </c>
      <c r="L297" s="4">
        <f t="shared" si="65"/>
        <v>7.8303303303303304E-2</v>
      </c>
    </row>
    <row r="298" spans="1:12" x14ac:dyDescent="0.35">
      <c r="A298" t="s">
        <v>28</v>
      </c>
      <c r="B298">
        <v>3</v>
      </c>
      <c r="C298" s="9" t="s">
        <v>93</v>
      </c>
      <c r="D298" s="7" t="s">
        <v>88</v>
      </c>
      <c r="E298" t="s">
        <v>88</v>
      </c>
      <c r="F298" t="s">
        <v>88</v>
      </c>
      <c r="G298" t="s">
        <v>88</v>
      </c>
      <c r="H298" t="s">
        <v>88</v>
      </c>
      <c r="I298" t="s">
        <v>88</v>
      </c>
      <c r="J298" t="s">
        <v>88</v>
      </c>
      <c r="K298" t="s">
        <v>88</v>
      </c>
      <c r="L298" t="s">
        <v>88</v>
      </c>
    </row>
    <row r="299" spans="1:12" x14ac:dyDescent="0.35">
      <c r="A299" t="s">
        <v>28</v>
      </c>
      <c r="B299">
        <v>3</v>
      </c>
      <c r="C299" s="8" t="s">
        <v>92</v>
      </c>
      <c r="D299" s="7" t="s">
        <v>88</v>
      </c>
      <c r="E299" t="s">
        <v>88</v>
      </c>
      <c r="F299" t="s">
        <v>88</v>
      </c>
      <c r="G299" t="s">
        <v>88</v>
      </c>
      <c r="H299" t="s">
        <v>88</v>
      </c>
      <c r="I299" t="s">
        <v>88</v>
      </c>
      <c r="J299" t="s">
        <v>88</v>
      </c>
      <c r="K299" t="s">
        <v>88</v>
      </c>
      <c r="L299" t="s">
        <v>88</v>
      </c>
    </row>
    <row r="300" spans="1:12" x14ac:dyDescent="0.35">
      <c r="A300" t="s">
        <v>28</v>
      </c>
      <c r="B300">
        <v>3</v>
      </c>
      <c r="C300" s="8" t="s">
        <v>91</v>
      </c>
      <c r="D300" s="7" t="s">
        <v>88</v>
      </c>
      <c r="E300" t="s">
        <v>88</v>
      </c>
      <c r="F300" t="s">
        <v>88</v>
      </c>
      <c r="G300" t="s">
        <v>88</v>
      </c>
      <c r="H300" t="s">
        <v>88</v>
      </c>
      <c r="I300" t="s">
        <v>88</v>
      </c>
      <c r="J300" t="s">
        <v>88</v>
      </c>
      <c r="K300" t="s">
        <v>88</v>
      </c>
      <c r="L300" t="s">
        <v>88</v>
      </c>
    </row>
    <row r="301" spans="1:12" x14ac:dyDescent="0.35">
      <c r="A301" t="s">
        <v>28</v>
      </c>
      <c r="B301">
        <v>3</v>
      </c>
      <c r="C301" s="8" t="s">
        <v>90</v>
      </c>
      <c r="D301" s="7" t="s">
        <v>88</v>
      </c>
      <c r="E301" t="s">
        <v>88</v>
      </c>
      <c r="F301" t="s">
        <v>88</v>
      </c>
      <c r="G301" t="s">
        <v>88</v>
      </c>
      <c r="H301" t="s">
        <v>88</v>
      </c>
      <c r="I301" t="s">
        <v>88</v>
      </c>
      <c r="J301" t="s">
        <v>88</v>
      </c>
      <c r="K301" t="s">
        <v>88</v>
      </c>
      <c r="L301" t="s">
        <v>88</v>
      </c>
    </row>
    <row r="302" spans="1:12" x14ac:dyDescent="0.35">
      <c r="A302" t="s">
        <v>28</v>
      </c>
      <c r="B302">
        <v>4</v>
      </c>
      <c r="C302" s="9" t="s">
        <v>93</v>
      </c>
      <c r="D302" s="7" t="s">
        <v>88</v>
      </c>
      <c r="E302" t="s">
        <v>88</v>
      </c>
      <c r="F302" t="s">
        <v>88</v>
      </c>
      <c r="G302" t="s">
        <v>88</v>
      </c>
      <c r="H302" t="s">
        <v>88</v>
      </c>
      <c r="I302" t="s">
        <v>88</v>
      </c>
      <c r="J302" t="s">
        <v>88</v>
      </c>
      <c r="K302" t="s">
        <v>88</v>
      </c>
      <c r="L302" t="s">
        <v>88</v>
      </c>
    </row>
    <row r="303" spans="1:12" x14ac:dyDescent="0.35">
      <c r="A303" t="s">
        <v>28</v>
      </c>
      <c r="B303">
        <v>4</v>
      </c>
      <c r="C303" s="8" t="s">
        <v>92</v>
      </c>
      <c r="D303" s="7" t="s">
        <v>88</v>
      </c>
      <c r="E303" t="s">
        <v>88</v>
      </c>
      <c r="F303" t="s">
        <v>88</v>
      </c>
      <c r="G303" t="s">
        <v>88</v>
      </c>
      <c r="H303" t="s">
        <v>88</v>
      </c>
      <c r="I303" t="s">
        <v>88</v>
      </c>
      <c r="J303" t="s">
        <v>88</v>
      </c>
      <c r="K303" t="s">
        <v>88</v>
      </c>
      <c r="L303" t="s">
        <v>88</v>
      </c>
    </row>
    <row r="304" spans="1:12" x14ac:dyDescent="0.35">
      <c r="A304" t="s">
        <v>28</v>
      </c>
      <c r="B304">
        <v>4</v>
      </c>
      <c r="C304" s="8" t="s">
        <v>91</v>
      </c>
      <c r="D304" s="7" t="s">
        <v>88</v>
      </c>
      <c r="E304" t="s">
        <v>88</v>
      </c>
      <c r="F304" t="s">
        <v>88</v>
      </c>
      <c r="G304" t="s">
        <v>88</v>
      </c>
      <c r="H304" t="s">
        <v>88</v>
      </c>
      <c r="I304" t="s">
        <v>88</v>
      </c>
      <c r="J304" t="s">
        <v>88</v>
      </c>
      <c r="K304" t="s">
        <v>88</v>
      </c>
      <c r="L304" t="s">
        <v>88</v>
      </c>
    </row>
    <row r="305" spans="1:12" x14ac:dyDescent="0.35">
      <c r="A305" t="s">
        <v>28</v>
      </c>
      <c r="B305">
        <v>4</v>
      </c>
      <c r="C305" s="8" t="s">
        <v>90</v>
      </c>
      <c r="D305" s="7" t="s">
        <v>88</v>
      </c>
      <c r="E305" t="s">
        <v>88</v>
      </c>
      <c r="F305" t="s">
        <v>88</v>
      </c>
      <c r="G305" t="s">
        <v>88</v>
      </c>
      <c r="H305" t="s">
        <v>88</v>
      </c>
      <c r="I305" t="s">
        <v>88</v>
      </c>
      <c r="J305" t="s">
        <v>88</v>
      </c>
      <c r="K305" t="s">
        <v>88</v>
      </c>
      <c r="L305" t="s">
        <v>88</v>
      </c>
    </row>
    <row r="306" spans="1:12" x14ac:dyDescent="0.35">
      <c r="A306" t="s">
        <v>29</v>
      </c>
      <c r="B306">
        <v>1</v>
      </c>
      <c r="C306" s="9" t="s">
        <v>93</v>
      </c>
      <c r="D306" s="12">
        <v>10.8096</v>
      </c>
      <c r="E306">
        <v>12.120710000000001</v>
      </c>
      <c r="F306" s="11">
        <f>E306-D306</f>
        <v>1.3111100000000011</v>
      </c>
      <c r="G306">
        <v>12.97522</v>
      </c>
      <c r="H306" s="11">
        <f>G306-D306</f>
        <v>2.1656200000000005</v>
      </c>
      <c r="I306" s="10">
        <f>(F306-H306)/F306</f>
        <v>-0.65174546758090379</v>
      </c>
      <c r="J306">
        <v>11.97522</v>
      </c>
      <c r="K306">
        <f>J306-D306</f>
        <v>1.1656200000000005</v>
      </c>
      <c r="L306" s="4">
        <f>((H306-K306)/H306)*0.525</f>
        <v>0.24242480213518527</v>
      </c>
    </row>
    <row r="307" spans="1:12" x14ac:dyDescent="0.35">
      <c r="A307" t="s">
        <v>29</v>
      </c>
      <c r="B307">
        <v>1</v>
      </c>
      <c r="C307" s="8" t="s">
        <v>92</v>
      </c>
      <c r="D307" s="7" t="s">
        <v>88</v>
      </c>
      <c r="E307" t="s">
        <v>88</v>
      </c>
      <c r="F307" t="s">
        <v>88</v>
      </c>
      <c r="G307" t="s">
        <v>88</v>
      </c>
      <c r="H307" t="s">
        <v>88</v>
      </c>
      <c r="I307" t="s">
        <v>88</v>
      </c>
      <c r="J307" t="s">
        <v>88</v>
      </c>
      <c r="K307" t="s">
        <v>88</v>
      </c>
      <c r="L307" t="s">
        <v>88</v>
      </c>
    </row>
    <row r="308" spans="1:12" x14ac:dyDescent="0.35">
      <c r="A308" t="s">
        <v>29</v>
      </c>
      <c r="B308">
        <v>1</v>
      </c>
      <c r="C308" s="8" t="s">
        <v>91</v>
      </c>
      <c r="D308" s="12">
        <v>11.432460000000001</v>
      </c>
      <c r="E308">
        <v>12.713329999999999</v>
      </c>
      <c r="F308" s="11">
        <f t="shared" ref="F308:F313" si="66">E308-D308</f>
        <v>1.2808699999999984</v>
      </c>
      <c r="G308">
        <v>12.657859999999999</v>
      </c>
      <c r="H308" s="11">
        <f t="shared" ref="H308:H313" si="67">G308-D308</f>
        <v>1.2253999999999987</v>
      </c>
      <c r="I308" s="10">
        <f t="shared" ref="I308:I313" si="68">(F308-H308)/F308</f>
        <v>4.3306502611506051E-2</v>
      </c>
      <c r="J308">
        <v>12.27994</v>
      </c>
      <c r="K308">
        <f t="shared" ref="K308:K313" si="69">J308-D308</f>
        <v>0.84747999999999912</v>
      </c>
      <c r="L308" s="4">
        <f t="shared" ref="L308:L313" si="70">((H308-K308)/H308)*0.525</f>
        <v>0.16191284478537621</v>
      </c>
    </row>
    <row r="309" spans="1:12" x14ac:dyDescent="0.35">
      <c r="A309" t="s">
        <v>29</v>
      </c>
      <c r="B309">
        <v>1</v>
      </c>
      <c r="C309" s="8" t="s">
        <v>90</v>
      </c>
      <c r="D309" s="12">
        <v>12.68817</v>
      </c>
      <c r="E309">
        <v>13.467560000000001</v>
      </c>
      <c r="F309" s="11">
        <f t="shared" si="66"/>
        <v>0.77939000000000114</v>
      </c>
      <c r="G309">
        <v>13.43726</v>
      </c>
      <c r="H309" s="11">
        <f t="shared" si="67"/>
        <v>0.7490900000000007</v>
      </c>
      <c r="I309" s="10">
        <f t="shared" si="68"/>
        <v>3.8876557307638532E-2</v>
      </c>
      <c r="J309">
        <v>13.215439999999999</v>
      </c>
      <c r="K309">
        <f t="shared" si="69"/>
        <v>0.52726999999999968</v>
      </c>
      <c r="L309" s="4">
        <f t="shared" si="70"/>
        <v>0.15546262798862678</v>
      </c>
    </row>
    <row r="310" spans="1:12" x14ac:dyDescent="0.35">
      <c r="A310" t="s">
        <v>29</v>
      </c>
      <c r="B310">
        <v>2</v>
      </c>
      <c r="C310" s="9" t="s">
        <v>93</v>
      </c>
      <c r="D310" s="12">
        <v>13.02378</v>
      </c>
      <c r="E310">
        <v>16.487670000000001</v>
      </c>
      <c r="F310" s="11">
        <f t="shared" si="66"/>
        <v>3.463890000000001</v>
      </c>
      <c r="G310">
        <v>16.20045</v>
      </c>
      <c r="H310" s="11">
        <f t="shared" si="67"/>
        <v>3.1766699999999997</v>
      </c>
      <c r="I310" s="10">
        <f t="shared" si="68"/>
        <v>8.2918337476074952E-2</v>
      </c>
      <c r="J310">
        <v>15.928890000000001</v>
      </c>
      <c r="K310">
        <f t="shared" si="69"/>
        <v>2.9051100000000005</v>
      </c>
      <c r="L310" s="4">
        <f t="shared" si="70"/>
        <v>4.4880015865670517E-2</v>
      </c>
    </row>
    <row r="311" spans="1:12" x14ac:dyDescent="0.35">
      <c r="A311" t="s">
        <v>29</v>
      </c>
      <c r="B311">
        <v>2</v>
      </c>
      <c r="C311" s="8" t="s">
        <v>92</v>
      </c>
      <c r="D311">
        <v>3.4075099999999998</v>
      </c>
      <c r="E311">
        <v>4.6312199999999999</v>
      </c>
      <c r="F311" s="11">
        <f t="shared" si="66"/>
        <v>1.2237100000000001</v>
      </c>
      <c r="G311">
        <v>4.5249199999999998</v>
      </c>
      <c r="H311" s="11">
        <f t="shared" si="67"/>
        <v>1.11741</v>
      </c>
      <c r="I311" s="10">
        <f t="shared" si="68"/>
        <v>8.6866986459210149E-2</v>
      </c>
      <c r="J311">
        <v>4.3752399999999998</v>
      </c>
      <c r="K311">
        <f t="shared" si="69"/>
        <v>0.96772999999999998</v>
      </c>
      <c r="L311" s="4">
        <f t="shared" si="70"/>
        <v>7.0325126855854181E-2</v>
      </c>
    </row>
    <row r="312" spans="1:12" x14ac:dyDescent="0.35">
      <c r="A312" t="s">
        <v>29</v>
      </c>
      <c r="B312">
        <v>2</v>
      </c>
      <c r="C312" s="8" t="s">
        <v>91</v>
      </c>
      <c r="D312">
        <v>3.3732600000000001</v>
      </c>
      <c r="E312">
        <v>4.5951899999999997</v>
      </c>
      <c r="F312" s="11">
        <f t="shared" si="66"/>
        <v>1.2219299999999995</v>
      </c>
      <c r="G312">
        <v>4.4420099999999998</v>
      </c>
      <c r="H312" s="11">
        <f t="shared" si="67"/>
        <v>1.0687499999999996</v>
      </c>
      <c r="I312" s="10">
        <f t="shared" si="68"/>
        <v>0.12535906312145534</v>
      </c>
      <c r="J312">
        <v>4.27874</v>
      </c>
      <c r="K312">
        <f t="shared" si="69"/>
        <v>0.90547999999999984</v>
      </c>
      <c r="L312" s="4">
        <f t="shared" si="70"/>
        <v>8.0202807017543787E-2</v>
      </c>
    </row>
    <row r="313" spans="1:12" x14ac:dyDescent="0.35">
      <c r="A313" t="s">
        <v>29</v>
      </c>
      <c r="B313">
        <v>2</v>
      </c>
      <c r="C313" s="8" t="s">
        <v>90</v>
      </c>
      <c r="D313">
        <v>3.0814300000000001</v>
      </c>
      <c r="E313">
        <v>4.3385899999999999</v>
      </c>
      <c r="F313" s="11">
        <f t="shared" si="66"/>
        <v>1.2571599999999998</v>
      </c>
      <c r="G313">
        <v>4.2994500000000002</v>
      </c>
      <c r="H313" s="11">
        <f t="shared" si="67"/>
        <v>1.2180200000000001</v>
      </c>
      <c r="I313" s="10">
        <f t="shared" si="68"/>
        <v>3.1133666359094894E-2</v>
      </c>
      <c r="J313">
        <v>4.1196200000000003</v>
      </c>
      <c r="K313">
        <f t="shared" si="69"/>
        <v>1.0381900000000002</v>
      </c>
      <c r="L313" s="4">
        <f t="shared" si="70"/>
        <v>7.7511658265053088E-2</v>
      </c>
    </row>
    <row r="314" spans="1:12" x14ac:dyDescent="0.35">
      <c r="A314" t="s">
        <v>29</v>
      </c>
      <c r="B314">
        <v>3</v>
      </c>
      <c r="C314" s="9" t="s">
        <v>93</v>
      </c>
      <c r="D314" s="7" t="s">
        <v>88</v>
      </c>
      <c r="E314" t="s">
        <v>88</v>
      </c>
      <c r="F314" t="s">
        <v>88</v>
      </c>
      <c r="G314" t="s">
        <v>88</v>
      </c>
      <c r="H314" t="s">
        <v>88</v>
      </c>
      <c r="I314" t="s">
        <v>88</v>
      </c>
      <c r="J314" t="s">
        <v>88</v>
      </c>
      <c r="K314" t="s">
        <v>88</v>
      </c>
      <c r="L314" t="s">
        <v>88</v>
      </c>
    </row>
    <row r="315" spans="1:12" x14ac:dyDescent="0.35">
      <c r="A315" t="s">
        <v>29</v>
      </c>
      <c r="B315">
        <v>3</v>
      </c>
      <c r="C315" s="8" t="s">
        <v>92</v>
      </c>
      <c r="D315">
        <v>3.2902499999999999</v>
      </c>
      <c r="E315">
        <v>4.8949100000000003</v>
      </c>
      <c r="F315" s="11">
        <f>E315-D315</f>
        <v>1.6046600000000004</v>
      </c>
      <c r="G315">
        <v>4.8590400000000002</v>
      </c>
      <c r="H315" s="11">
        <f>G315-D315</f>
        <v>1.5687900000000004</v>
      </c>
      <c r="I315" s="10">
        <f>(F315-H315)/F315</f>
        <v>2.2353645008911582E-2</v>
      </c>
      <c r="J315">
        <v>4.7254300000000002</v>
      </c>
      <c r="K315">
        <f>J315-D315</f>
        <v>1.4351800000000003</v>
      </c>
      <c r="L315" s="4">
        <f>((H315-K315)/H315)*0.525</f>
        <v>4.4712963494157917E-2</v>
      </c>
    </row>
    <row r="316" spans="1:12" x14ac:dyDescent="0.35">
      <c r="A316" t="s">
        <v>29</v>
      </c>
      <c r="B316">
        <v>3</v>
      </c>
      <c r="C316" s="8" t="s">
        <v>91</v>
      </c>
      <c r="D316" s="7" t="s">
        <v>88</v>
      </c>
      <c r="E316" s="7" t="s">
        <v>88</v>
      </c>
      <c r="F316" s="7" t="s">
        <v>88</v>
      </c>
      <c r="G316" s="7" t="s">
        <v>88</v>
      </c>
      <c r="H316" s="7" t="s">
        <v>88</v>
      </c>
      <c r="I316" s="7" t="s">
        <v>88</v>
      </c>
      <c r="J316" s="7" t="s">
        <v>88</v>
      </c>
      <c r="K316" s="7" t="s">
        <v>88</v>
      </c>
      <c r="L316" s="7" t="s">
        <v>88</v>
      </c>
    </row>
    <row r="317" spans="1:12" x14ac:dyDescent="0.35">
      <c r="A317" t="s">
        <v>29</v>
      </c>
      <c r="B317">
        <v>3</v>
      </c>
      <c r="C317" s="8" t="s">
        <v>90</v>
      </c>
      <c r="D317" s="7" t="s">
        <v>88</v>
      </c>
      <c r="E317" s="7" t="s">
        <v>88</v>
      </c>
      <c r="F317" s="7" t="s">
        <v>88</v>
      </c>
      <c r="G317" s="7" t="s">
        <v>88</v>
      </c>
      <c r="H317" s="7" t="s">
        <v>88</v>
      </c>
      <c r="I317" s="7" t="s">
        <v>88</v>
      </c>
      <c r="J317" s="7" t="s">
        <v>88</v>
      </c>
      <c r="K317" s="7" t="s">
        <v>88</v>
      </c>
      <c r="L317" s="7" t="s">
        <v>88</v>
      </c>
    </row>
    <row r="318" spans="1:12" x14ac:dyDescent="0.35">
      <c r="A318" t="s">
        <v>29</v>
      </c>
      <c r="B318">
        <v>4</v>
      </c>
      <c r="C318" s="9" t="s">
        <v>93</v>
      </c>
      <c r="D318" s="7" t="s">
        <v>88</v>
      </c>
      <c r="E318" s="7" t="s">
        <v>88</v>
      </c>
      <c r="F318" s="7" t="s">
        <v>88</v>
      </c>
      <c r="G318" s="7" t="s">
        <v>88</v>
      </c>
      <c r="H318" s="7" t="s">
        <v>88</v>
      </c>
      <c r="I318" s="7" t="s">
        <v>88</v>
      </c>
      <c r="J318" s="7" t="s">
        <v>88</v>
      </c>
      <c r="K318" s="7" t="s">
        <v>88</v>
      </c>
      <c r="L318" s="7" t="s">
        <v>88</v>
      </c>
    </row>
    <row r="319" spans="1:12" x14ac:dyDescent="0.35">
      <c r="A319" t="s">
        <v>29</v>
      </c>
      <c r="B319">
        <v>4</v>
      </c>
      <c r="C319" s="8" t="s">
        <v>92</v>
      </c>
      <c r="D319" s="7" t="s">
        <v>88</v>
      </c>
      <c r="E319" s="7" t="s">
        <v>88</v>
      </c>
      <c r="F319" s="7" t="s">
        <v>88</v>
      </c>
      <c r="G319" s="7" t="s">
        <v>88</v>
      </c>
      <c r="H319" s="7" t="s">
        <v>88</v>
      </c>
      <c r="I319" s="7" t="s">
        <v>88</v>
      </c>
      <c r="J319" s="7" t="s">
        <v>88</v>
      </c>
      <c r="K319" s="7" t="s">
        <v>88</v>
      </c>
      <c r="L319" s="7" t="s">
        <v>88</v>
      </c>
    </row>
    <row r="320" spans="1:12" x14ac:dyDescent="0.35">
      <c r="A320" t="s">
        <v>29</v>
      </c>
      <c r="B320">
        <v>4</v>
      </c>
      <c r="C320" s="8" t="s">
        <v>91</v>
      </c>
      <c r="D320" s="7" t="s">
        <v>88</v>
      </c>
      <c r="E320" s="7" t="s">
        <v>88</v>
      </c>
      <c r="F320" s="7" t="s">
        <v>88</v>
      </c>
      <c r="G320" s="7" t="s">
        <v>88</v>
      </c>
      <c r="H320" s="7" t="s">
        <v>88</v>
      </c>
      <c r="I320" s="7" t="s">
        <v>88</v>
      </c>
      <c r="J320" s="7" t="s">
        <v>88</v>
      </c>
      <c r="K320" s="7" t="s">
        <v>88</v>
      </c>
      <c r="L320" s="7" t="s">
        <v>88</v>
      </c>
    </row>
    <row r="321" spans="1:12" x14ac:dyDescent="0.35">
      <c r="A321" t="s">
        <v>29</v>
      </c>
      <c r="B321">
        <v>4</v>
      </c>
      <c r="C321" s="8" t="s">
        <v>90</v>
      </c>
      <c r="D321" s="7" t="s">
        <v>88</v>
      </c>
      <c r="E321" s="7" t="s">
        <v>88</v>
      </c>
      <c r="F321" s="7" t="s">
        <v>88</v>
      </c>
      <c r="G321" s="7" t="s">
        <v>88</v>
      </c>
      <c r="H321" s="7" t="s">
        <v>88</v>
      </c>
      <c r="I321" s="7" t="s">
        <v>88</v>
      </c>
      <c r="J321" s="7" t="s">
        <v>88</v>
      </c>
      <c r="K321" s="7" t="s">
        <v>88</v>
      </c>
      <c r="L321" s="7" t="s">
        <v>88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C0EE5-0F95-4D03-8F41-92BA4F2538EB}">
  <dimension ref="A1:N321"/>
  <sheetViews>
    <sheetView topLeftCell="A286" workbookViewId="0">
      <selection activeCell="G2" sqref="G2"/>
    </sheetView>
  </sheetViews>
  <sheetFormatPr defaultRowHeight="14.5" x14ac:dyDescent="0.35"/>
  <cols>
    <col min="1" max="1" width="15.54296875" customWidth="1"/>
    <col min="2" max="2" width="10.453125" bestFit="1" customWidth="1"/>
    <col min="3" max="3" width="10.453125" customWidth="1"/>
    <col min="4" max="4" width="18.54296875" bestFit="1" customWidth="1"/>
    <col min="6" max="6" width="13.453125" customWidth="1"/>
    <col min="7" max="7" width="12.6328125" bestFit="1" customWidth="1"/>
  </cols>
  <sheetData>
    <row r="1" spans="1:14" x14ac:dyDescent="0.35">
      <c r="A1" s="25" t="s">
        <v>1</v>
      </c>
      <c r="B1" s="1" t="s">
        <v>103</v>
      </c>
      <c r="C1" s="1" t="s">
        <v>102</v>
      </c>
      <c r="D1" s="5" t="s">
        <v>86</v>
      </c>
      <c r="E1" s="5" t="s">
        <v>94</v>
      </c>
      <c r="F1" s="1" t="s">
        <v>30</v>
      </c>
      <c r="G1" s="1" t="s">
        <v>104</v>
      </c>
    </row>
    <row r="2" spans="1:14" x14ac:dyDescent="0.35">
      <c r="A2" t="s">
        <v>0</v>
      </c>
      <c r="B2">
        <v>1</v>
      </c>
      <c r="C2" s="9" t="s">
        <v>93</v>
      </c>
      <c r="D2" s="4">
        <v>5.7769316330591111E-2</v>
      </c>
      <c r="E2" s="4">
        <v>0.42178274128410104</v>
      </c>
      <c r="F2">
        <v>13.5</v>
      </c>
      <c r="G2" s="4">
        <f t="shared" ref="G2:G64" si="0">(D2*E2*F2)*10</f>
        <v>3.2894235815433888</v>
      </c>
      <c r="I2" s="26"/>
      <c r="J2" s="26"/>
      <c r="K2" s="26"/>
      <c r="L2" s="26"/>
      <c r="M2" s="26"/>
      <c r="N2" s="26"/>
    </row>
    <row r="3" spans="1:14" x14ac:dyDescent="0.35">
      <c r="A3" t="s">
        <v>0</v>
      </c>
      <c r="B3">
        <v>1</v>
      </c>
      <c r="C3" s="8" t="s">
        <v>92</v>
      </c>
      <c r="D3" s="4">
        <v>0.11091692583062981</v>
      </c>
      <c r="E3" s="4">
        <v>0.47828221117384379</v>
      </c>
      <c r="F3">
        <v>7</v>
      </c>
      <c r="G3" s="4">
        <f t="shared" si="0"/>
        <v>3.7134714780015199</v>
      </c>
      <c r="I3" s="26"/>
      <c r="J3" s="27"/>
      <c r="K3" s="27"/>
      <c r="L3" s="27"/>
      <c r="M3" s="27"/>
      <c r="N3" s="26"/>
    </row>
    <row r="4" spans="1:14" x14ac:dyDescent="0.35">
      <c r="A4" t="s">
        <v>0</v>
      </c>
      <c r="B4">
        <v>1</v>
      </c>
      <c r="C4" s="8" t="s">
        <v>91</v>
      </c>
      <c r="D4" s="4">
        <v>3.4715722274288242E-2</v>
      </c>
      <c r="E4" s="4">
        <v>0.43932613111314506</v>
      </c>
      <c r="F4">
        <v>10.5</v>
      </c>
      <c r="G4" s="4">
        <f t="shared" si="0"/>
        <v>1.6014100153339561</v>
      </c>
      <c r="I4" s="26"/>
      <c r="J4" s="28"/>
      <c r="K4" s="28"/>
      <c r="L4" s="28"/>
      <c r="M4" s="28"/>
      <c r="N4" s="26"/>
    </row>
    <row r="5" spans="1:14" x14ac:dyDescent="0.35">
      <c r="A5" t="s">
        <v>0</v>
      </c>
      <c r="B5">
        <v>1</v>
      </c>
      <c r="C5" s="8" t="s">
        <v>90</v>
      </c>
      <c r="D5" s="4">
        <v>3.6686893387314463E-2</v>
      </c>
      <c r="E5" s="4">
        <v>0.45042863554757806</v>
      </c>
      <c r="F5">
        <v>10</v>
      </c>
      <c r="G5" s="4">
        <f t="shared" si="0"/>
        <v>1.6524827330927516</v>
      </c>
      <c r="I5" s="26"/>
      <c r="J5" s="27"/>
      <c r="K5" s="27"/>
      <c r="L5" s="27"/>
      <c r="M5" s="27"/>
      <c r="N5" s="26"/>
    </row>
    <row r="6" spans="1:14" x14ac:dyDescent="0.35">
      <c r="A6" t="s">
        <v>0</v>
      </c>
      <c r="B6">
        <v>2</v>
      </c>
      <c r="C6" s="9" t="s">
        <v>93</v>
      </c>
      <c r="D6" s="4">
        <v>0.13077351533785309</v>
      </c>
      <c r="E6" s="4">
        <v>0.42058602339359857</v>
      </c>
      <c r="F6">
        <v>16</v>
      </c>
      <c r="G6" s="4">
        <f t="shared" si="0"/>
        <v>8.8002420449839036</v>
      </c>
      <c r="I6" s="26"/>
      <c r="J6" s="28"/>
      <c r="K6" s="28"/>
      <c r="L6" s="28"/>
      <c r="M6" s="28"/>
      <c r="N6" s="26"/>
    </row>
    <row r="7" spans="1:14" x14ac:dyDescent="0.35">
      <c r="A7" t="s">
        <v>0</v>
      </c>
      <c r="B7">
        <v>2</v>
      </c>
      <c r="C7" s="8" t="s">
        <v>92</v>
      </c>
      <c r="D7" s="4">
        <v>0.16094845658126911</v>
      </c>
      <c r="E7" s="4">
        <v>0.21689521743024404</v>
      </c>
      <c r="F7">
        <v>24.5</v>
      </c>
      <c r="G7" s="4">
        <f t="shared" si="0"/>
        <v>8.5526928688878545</v>
      </c>
      <c r="I7" s="26"/>
      <c r="J7" s="27"/>
      <c r="K7" s="27"/>
      <c r="L7" s="27"/>
      <c r="M7" s="27"/>
      <c r="N7" s="26"/>
    </row>
    <row r="8" spans="1:14" x14ac:dyDescent="0.35">
      <c r="A8" t="s">
        <v>0</v>
      </c>
      <c r="B8">
        <v>2</v>
      </c>
      <c r="C8" s="8" t="s">
        <v>91</v>
      </c>
      <c r="D8" s="4">
        <v>7.6084849423393774E-2</v>
      </c>
      <c r="E8" s="4">
        <v>0.31179684905347049</v>
      </c>
      <c r="F8">
        <v>60.5</v>
      </c>
      <c r="G8" s="4">
        <f t="shared" si="0"/>
        <v>14.352424868107773</v>
      </c>
      <c r="I8" s="26"/>
      <c r="J8" s="28"/>
      <c r="K8" s="28"/>
      <c r="L8" s="28"/>
      <c r="M8" s="28"/>
      <c r="N8" s="26"/>
    </row>
    <row r="9" spans="1:14" x14ac:dyDescent="0.35">
      <c r="A9" t="s">
        <v>0</v>
      </c>
      <c r="B9">
        <v>2</v>
      </c>
      <c r="C9" s="8" t="s">
        <v>90</v>
      </c>
      <c r="D9" s="4">
        <v>2.6849501064800742E-2</v>
      </c>
      <c r="E9" s="4">
        <v>0.45456086160238368</v>
      </c>
      <c r="F9">
        <v>57</v>
      </c>
      <c r="G9" s="4">
        <f t="shared" si="0"/>
        <v>6.9566974324376671</v>
      </c>
      <c r="I9" s="26"/>
      <c r="J9" s="26"/>
      <c r="K9" s="27"/>
      <c r="L9" s="27"/>
      <c r="M9" s="27"/>
      <c r="N9" s="26"/>
    </row>
    <row r="10" spans="1:14" x14ac:dyDescent="0.35">
      <c r="A10" t="s">
        <v>0</v>
      </c>
      <c r="B10">
        <v>3</v>
      </c>
      <c r="C10" s="9" t="s">
        <v>93</v>
      </c>
      <c r="D10" s="4">
        <v>0.7410215184598351</v>
      </c>
      <c r="E10" s="4">
        <v>7.4929865575686691E-2</v>
      </c>
      <c r="F10">
        <v>55.5</v>
      </c>
      <c r="G10" s="4">
        <f t="shared" si="0"/>
        <v>30.816176735622104</v>
      </c>
      <c r="I10" s="26"/>
      <c r="J10" s="26"/>
      <c r="K10" s="28"/>
      <c r="L10" s="28"/>
      <c r="M10" s="28"/>
      <c r="N10" s="26"/>
    </row>
    <row r="11" spans="1:14" x14ac:dyDescent="0.35">
      <c r="A11" t="s">
        <v>0</v>
      </c>
      <c r="B11">
        <v>3</v>
      </c>
      <c r="C11" s="8" t="s">
        <v>92</v>
      </c>
      <c r="D11" s="4">
        <v>0.35952352253039793</v>
      </c>
      <c r="E11" s="4">
        <v>7.5370293969450025E-2</v>
      </c>
      <c r="F11">
        <v>62</v>
      </c>
      <c r="G11" s="4">
        <f t="shared" si="0"/>
        <v>16.800384020869934</v>
      </c>
      <c r="I11" s="26"/>
      <c r="J11" s="26"/>
      <c r="K11" s="26"/>
      <c r="L11" s="26"/>
      <c r="M11" s="26"/>
      <c r="N11" s="26"/>
    </row>
    <row r="12" spans="1:14" x14ac:dyDescent="0.35">
      <c r="A12" t="s">
        <v>0</v>
      </c>
      <c r="B12">
        <v>3</v>
      </c>
      <c r="C12" s="8" t="s">
        <v>91</v>
      </c>
      <c r="D12" s="4">
        <v>0.87257053903404191</v>
      </c>
      <c r="E12" s="4">
        <v>7.5359816116636252E-2</v>
      </c>
      <c r="F12">
        <v>50.5</v>
      </c>
      <c r="G12" s="4">
        <f t="shared" si="0"/>
        <v>33.207161462051779</v>
      </c>
    </row>
    <row r="13" spans="1:14" x14ac:dyDescent="0.35">
      <c r="A13" t="s">
        <v>0</v>
      </c>
      <c r="B13">
        <v>3</v>
      </c>
      <c r="C13" s="8" t="s">
        <v>90</v>
      </c>
      <c r="D13" s="4">
        <v>0.66413475517824649</v>
      </c>
      <c r="E13" s="4">
        <v>7.5073479685793046E-2</v>
      </c>
      <c r="F13">
        <v>47.5</v>
      </c>
      <c r="G13" s="4">
        <f t="shared" si="0"/>
        <v>23.68298084946403</v>
      </c>
    </row>
    <row r="14" spans="1:14" x14ac:dyDescent="0.35">
      <c r="A14" t="s">
        <v>0</v>
      </c>
      <c r="B14">
        <v>4</v>
      </c>
      <c r="C14" s="9" t="s">
        <v>93</v>
      </c>
      <c r="D14" s="4">
        <v>0.74228031739869071</v>
      </c>
      <c r="E14" s="4">
        <v>2.2449262003302453E-2</v>
      </c>
      <c r="F14">
        <v>22</v>
      </c>
      <c r="G14" s="4">
        <f t="shared" si="0"/>
        <v>3.6660019715390968</v>
      </c>
    </row>
    <row r="15" spans="1:14" x14ac:dyDescent="0.35">
      <c r="A15" t="s">
        <v>0</v>
      </c>
      <c r="B15">
        <v>4</v>
      </c>
      <c r="C15" s="8" t="s">
        <v>92</v>
      </c>
      <c r="D15" s="4">
        <v>0.70258772150104032</v>
      </c>
      <c r="E15" s="4">
        <v>1.6121503762113108E-2</v>
      </c>
      <c r="F15">
        <v>17</v>
      </c>
      <c r="G15" s="4">
        <f t="shared" si="0"/>
        <v>1.9255510012168946</v>
      </c>
    </row>
    <row r="16" spans="1:14" x14ac:dyDescent="0.35">
      <c r="A16" t="s">
        <v>0</v>
      </c>
      <c r="B16">
        <v>4</v>
      </c>
      <c r="C16" s="8" t="s">
        <v>91</v>
      </c>
      <c r="D16" s="4">
        <v>0.93584371312442616</v>
      </c>
      <c r="E16" s="4">
        <v>3.0536168242102521E-2</v>
      </c>
      <c r="F16">
        <v>42.5</v>
      </c>
      <c r="G16" s="4">
        <f t="shared" si="0"/>
        <v>12.145259455719597</v>
      </c>
    </row>
    <row r="17" spans="1:7" x14ac:dyDescent="0.35">
      <c r="A17" t="s">
        <v>0</v>
      </c>
      <c r="B17">
        <v>4</v>
      </c>
      <c r="C17" s="8" t="s">
        <v>90</v>
      </c>
      <c r="D17" s="4">
        <v>0.86813705924984519</v>
      </c>
      <c r="E17" s="4">
        <v>2.9784765901456373E-2</v>
      </c>
      <c r="F17">
        <v>10</v>
      </c>
      <c r="G17" s="4">
        <f t="shared" si="0"/>
        <v>2.58572590801354</v>
      </c>
    </row>
    <row r="18" spans="1:7" x14ac:dyDescent="0.35">
      <c r="A18" t="s">
        <v>11</v>
      </c>
      <c r="B18">
        <v>1</v>
      </c>
      <c r="C18" s="9" t="s">
        <v>93</v>
      </c>
      <c r="D18" s="4">
        <v>2.1300494705425412E-2</v>
      </c>
      <c r="E18" s="4">
        <v>0.48144690293274084</v>
      </c>
      <c r="F18">
        <v>15.5</v>
      </c>
      <c r="G18" s="4">
        <f t="shared" si="0"/>
        <v>1.5895338670636576</v>
      </c>
    </row>
    <row r="19" spans="1:7" x14ac:dyDescent="0.35">
      <c r="A19" t="s">
        <v>11</v>
      </c>
      <c r="B19">
        <v>1</v>
      </c>
      <c r="C19" s="8" t="s">
        <v>92</v>
      </c>
      <c r="D19" s="4">
        <v>2.5407882534775893E-2</v>
      </c>
      <c r="E19" s="4">
        <v>5.4903002059174061E-2</v>
      </c>
      <c r="F19">
        <v>16</v>
      </c>
      <c r="G19" s="4">
        <f t="shared" si="0"/>
        <v>0.22319504434016857</v>
      </c>
    </row>
    <row r="20" spans="1:7" x14ac:dyDescent="0.35">
      <c r="A20" t="s">
        <v>11</v>
      </c>
      <c r="B20">
        <v>1</v>
      </c>
      <c r="C20" s="8" t="s">
        <v>91</v>
      </c>
      <c r="D20" s="4">
        <v>3.7909638989169665E-2</v>
      </c>
      <c r="E20" s="4">
        <v>0.39794365537693177</v>
      </c>
      <c r="F20">
        <v>10</v>
      </c>
      <c r="G20" s="4">
        <f t="shared" si="0"/>
        <v>1.5085900313370029</v>
      </c>
    </row>
    <row r="21" spans="1:7" x14ac:dyDescent="0.35">
      <c r="A21" t="s">
        <v>11</v>
      </c>
      <c r="B21">
        <v>1</v>
      </c>
      <c r="C21" s="8" t="s">
        <v>90</v>
      </c>
      <c r="D21" s="4">
        <v>1.4349999999999996E-2</v>
      </c>
      <c r="E21" s="4">
        <v>0.42275277166071717</v>
      </c>
      <c r="F21">
        <v>16</v>
      </c>
      <c r="G21" s="4">
        <f t="shared" si="0"/>
        <v>0.97064036373300633</v>
      </c>
    </row>
    <row r="22" spans="1:7" x14ac:dyDescent="0.35">
      <c r="A22" t="s">
        <v>11</v>
      </c>
      <c r="B22">
        <v>2</v>
      </c>
      <c r="C22" s="9" t="s">
        <v>93</v>
      </c>
      <c r="D22" s="4">
        <v>0.12530582381869942</v>
      </c>
      <c r="E22" s="4">
        <v>0.47647888913976011</v>
      </c>
      <c r="F22">
        <v>14.5</v>
      </c>
      <c r="G22" s="4">
        <f t="shared" si="0"/>
        <v>8.6573090617020778</v>
      </c>
    </row>
    <row r="23" spans="1:7" x14ac:dyDescent="0.35">
      <c r="A23" t="s">
        <v>11</v>
      </c>
      <c r="B23">
        <v>2</v>
      </c>
      <c r="C23" s="8" t="s">
        <v>92</v>
      </c>
      <c r="D23" s="4">
        <v>9.5719672475330725E-2</v>
      </c>
      <c r="E23" s="4">
        <v>0.46338493535611258</v>
      </c>
      <c r="F23">
        <v>22.5</v>
      </c>
      <c r="G23" s="4">
        <f t="shared" si="0"/>
        <v>9.9798872045151139</v>
      </c>
    </row>
    <row r="24" spans="1:7" x14ac:dyDescent="0.35">
      <c r="A24" t="s">
        <v>11</v>
      </c>
      <c r="B24">
        <v>2</v>
      </c>
      <c r="C24" s="8" t="s">
        <v>91</v>
      </c>
      <c r="D24" s="4">
        <v>8.5489163804207804E-2</v>
      </c>
      <c r="E24" s="4">
        <v>0.43861790564483627</v>
      </c>
      <c r="F24">
        <v>56.5</v>
      </c>
      <c r="G24" s="4">
        <f t="shared" si="0"/>
        <v>21.185849060468431</v>
      </c>
    </row>
    <row r="25" spans="1:7" x14ac:dyDescent="0.35">
      <c r="A25" t="s">
        <v>11</v>
      </c>
      <c r="B25">
        <v>2</v>
      </c>
      <c r="C25" s="8" t="s">
        <v>90</v>
      </c>
      <c r="D25" s="4">
        <v>2.9351095736996603E-2</v>
      </c>
      <c r="E25" s="4">
        <v>0.15544809800128953</v>
      </c>
      <c r="F25">
        <v>51.5</v>
      </c>
      <c r="G25" s="4">
        <f t="shared" si="0"/>
        <v>2.3497245833834879</v>
      </c>
    </row>
    <row r="26" spans="1:7" x14ac:dyDescent="0.35">
      <c r="A26" t="s">
        <v>11</v>
      </c>
      <c r="B26">
        <v>3</v>
      </c>
      <c r="C26" s="9" t="s">
        <v>93</v>
      </c>
      <c r="D26" s="4">
        <v>1.0618025885089155</v>
      </c>
      <c r="E26" s="4">
        <v>0.24749817248036596</v>
      </c>
      <c r="F26">
        <v>57.5</v>
      </c>
      <c r="G26" s="4">
        <f t="shared" si="0"/>
        <v>151.10666510975523</v>
      </c>
    </row>
    <row r="27" spans="1:7" x14ac:dyDescent="0.35">
      <c r="A27" t="s">
        <v>11</v>
      </c>
      <c r="B27">
        <v>3</v>
      </c>
      <c r="C27" s="8" t="s">
        <v>92</v>
      </c>
      <c r="D27" s="4">
        <v>0.31502930646289795</v>
      </c>
      <c r="E27" s="4">
        <v>0.34318600804250704</v>
      </c>
      <c r="F27">
        <v>40</v>
      </c>
      <c r="G27" s="4">
        <f t="shared" si="0"/>
        <v>43.245460040560609</v>
      </c>
    </row>
    <row r="28" spans="1:7" x14ac:dyDescent="0.35">
      <c r="A28" t="s">
        <v>11</v>
      </c>
      <c r="B28">
        <v>3</v>
      </c>
      <c r="C28" s="8" t="s">
        <v>91</v>
      </c>
      <c r="D28" s="4">
        <v>7.1885462555066088E-2</v>
      </c>
      <c r="E28" s="4">
        <v>0.28993724840161034</v>
      </c>
      <c r="F28">
        <v>66</v>
      </c>
      <c r="G28" s="4">
        <f t="shared" si="0"/>
        <v>13.755900320773284</v>
      </c>
    </row>
    <row r="29" spans="1:7" x14ac:dyDescent="0.35">
      <c r="A29" t="s">
        <v>11</v>
      </c>
      <c r="B29">
        <v>3</v>
      </c>
      <c r="C29" s="8" t="s">
        <v>90</v>
      </c>
      <c r="D29" s="4">
        <v>0.11436131148232165</v>
      </c>
      <c r="E29" s="4">
        <v>3.0775476036791871E-2</v>
      </c>
      <c r="F29">
        <v>32</v>
      </c>
      <c r="G29" s="4">
        <f t="shared" si="0"/>
        <v>1.12624761633929</v>
      </c>
    </row>
    <row r="30" spans="1:7" x14ac:dyDescent="0.35">
      <c r="A30" t="s">
        <v>11</v>
      </c>
      <c r="B30">
        <v>4</v>
      </c>
      <c r="C30" s="9" t="s">
        <v>93</v>
      </c>
      <c r="D30" s="4">
        <v>0.88823529411764701</v>
      </c>
      <c r="E30" s="4">
        <v>4.2176945466527525E-2</v>
      </c>
      <c r="F30">
        <v>34.5</v>
      </c>
      <c r="G30" s="4">
        <f t="shared" si="0"/>
        <v>12.924752788698537</v>
      </c>
    </row>
    <row r="31" spans="1:7" x14ac:dyDescent="0.35">
      <c r="A31" t="s">
        <v>11</v>
      </c>
      <c r="B31">
        <v>4</v>
      </c>
      <c r="C31" s="8" t="s">
        <v>92</v>
      </c>
      <c r="D31" s="4">
        <v>0.41411897590361446</v>
      </c>
      <c r="E31" s="4">
        <v>5.6608687445508725E-2</v>
      </c>
      <c r="F31">
        <v>48</v>
      </c>
      <c r="G31" s="4">
        <f t="shared" si="0"/>
        <v>11.252511202647298</v>
      </c>
    </row>
    <row r="32" spans="1:7" x14ac:dyDescent="0.35">
      <c r="A32" t="s">
        <v>11</v>
      </c>
      <c r="B32">
        <v>4</v>
      </c>
      <c r="C32" s="8" t="s">
        <v>91</v>
      </c>
      <c r="D32" s="4">
        <v>0.48888514083319262</v>
      </c>
      <c r="E32" s="4">
        <v>2.6967555701209168E-2</v>
      </c>
      <c r="F32">
        <v>60.5</v>
      </c>
      <c r="G32" s="4">
        <f t="shared" si="0"/>
        <v>7.9763425464821296</v>
      </c>
    </row>
    <row r="33" spans="1:7" x14ac:dyDescent="0.35">
      <c r="A33" t="s">
        <v>11</v>
      </c>
      <c r="B33">
        <v>4</v>
      </c>
      <c r="C33" s="8" t="s">
        <v>90</v>
      </c>
      <c r="D33" s="4">
        <v>0.6026360544217686</v>
      </c>
      <c r="E33" s="4">
        <v>1.1215941608261101E-2</v>
      </c>
      <c r="F33">
        <v>45.5</v>
      </c>
      <c r="G33" s="4">
        <f t="shared" si="0"/>
        <v>3.0754045128294742</v>
      </c>
    </row>
    <row r="34" spans="1:7" x14ac:dyDescent="0.35">
      <c r="A34" t="s">
        <v>12</v>
      </c>
      <c r="B34">
        <v>1</v>
      </c>
      <c r="C34" s="9" t="s">
        <v>93</v>
      </c>
      <c r="D34" s="4">
        <v>0.22915451895043731</v>
      </c>
      <c r="E34" s="4">
        <v>0.39263580479237359</v>
      </c>
      <c r="F34">
        <v>14</v>
      </c>
      <c r="G34" s="4">
        <f t="shared" si="0"/>
        <v>12.596397655787985</v>
      </c>
    </row>
    <row r="35" spans="1:7" x14ac:dyDescent="0.35">
      <c r="A35" t="s">
        <v>12</v>
      </c>
      <c r="B35">
        <v>1</v>
      </c>
      <c r="C35" s="8" t="s">
        <v>92</v>
      </c>
      <c r="D35" s="4">
        <v>0.2358250029218123</v>
      </c>
      <c r="E35" s="4">
        <v>0.38205294900916481</v>
      </c>
      <c r="F35">
        <v>9.5</v>
      </c>
      <c r="G35" s="4">
        <f t="shared" si="0"/>
        <v>8.5592755925554638</v>
      </c>
    </row>
    <row r="36" spans="1:7" x14ac:dyDescent="0.35">
      <c r="A36" t="s">
        <v>12</v>
      </c>
      <c r="B36">
        <v>1</v>
      </c>
      <c r="C36" s="8" t="s">
        <v>91</v>
      </c>
      <c r="D36" s="4">
        <v>0.18265306122448979</v>
      </c>
      <c r="E36" s="4">
        <v>0.3762409943789074</v>
      </c>
      <c r="F36">
        <v>12</v>
      </c>
      <c r="G36" s="4">
        <f t="shared" si="0"/>
        <v>8.2465883257744181</v>
      </c>
    </row>
    <row r="37" spans="1:7" x14ac:dyDescent="0.35">
      <c r="A37" t="s">
        <v>12</v>
      </c>
      <c r="B37">
        <v>1</v>
      </c>
      <c r="C37" s="8" t="s">
        <v>90</v>
      </c>
      <c r="D37" s="4">
        <v>0.20734693877551022</v>
      </c>
      <c r="E37" s="4">
        <v>0.39155213270142031</v>
      </c>
      <c r="F37">
        <v>5</v>
      </c>
      <c r="G37" s="4">
        <f t="shared" si="0"/>
        <v>4.0593568043330928</v>
      </c>
    </row>
    <row r="38" spans="1:7" x14ac:dyDescent="0.35">
      <c r="A38" t="s">
        <v>12</v>
      </c>
      <c r="B38">
        <v>2</v>
      </c>
      <c r="C38" s="9" t="s">
        <v>93</v>
      </c>
      <c r="D38" s="4">
        <v>0.76638642378950661</v>
      </c>
      <c r="E38" s="4">
        <v>0.3570916960318673</v>
      </c>
      <c r="F38">
        <v>31</v>
      </c>
      <c r="G38" s="4">
        <f t="shared" si="0"/>
        <v>84.837770644905618</v>
      </c>
    </row>
    <row r="39" spans="1:7" x14ac:dyDescent="0.35">
      <c r="A39" s="14" t="s">
        <v>12</v>
      </c>
      <c r="B39" s="14">
        <v>2</v>
      </c>
      <c r="C39" s="18" t="s">
        <v>92</v>
      </c>
      <c r="D39" s="4">
        <v>1.0742066361392137</v>
      </c>
      <c r="E39" s="4"/>
      <c r="F39">
        <v>15.25</v>
      </c>
      <c r="G39" s="4">
        <f t="shared" si="0"/>
        <v>0</v>
      </c>
    </row>
    <row r="40" spans="1:7" x14ac:dyDescent="0.35">
      <c r="A40" t="s">
        <v>12</v>
      </c>
      <c r="B40">
        <v>2</v>
      </c>
      <c r="C40" s="8" t="s">
        <v>91</v>
      </c>
      <c r="D40" s="4">
        <v>0.71223117534624403</v>
      </c>
      <c r="E40" s="4">
        <v>0.44107611402650554</v>
      </c>
      <c r="F40">
        <v>41</v>
      </c>
      <c r="G40" s="4">
        <f t="shared" si="0"/>
        <v>128.80074523520332</v>
      </c>
    </row>
    <row r="41" spans="1:7" x14ac:dyDescent="0.35">
      <c r="A41" t="s">
        <v>12</v>
      </c>
      <c r="B41">
        <v>2</v>
      </c>
      <c r="C41" s="8" t="s">
        <v>90</v>
      </c>
      <c r="D41" s="4">
        <v>0.58255677750027224</v>
      </c>
      <c r="E41" s="4">
        <v>0.42959541062801954</v>
      </c>
      <c r="F41">
        <v>37.5</v>
      </c>
      <c r="G41" s="4">
        <f t="shared" si="0"/>
        <v>93.848894266636975</v>
      </c>
    </row>
    <row r="42" spans="1:7" x14ac:dyDescent="0.35">
      <c r="A42" t="s">
        <v>12</v>
      </c>
      <c r="B42">
        <v>3</v>
      </c>
      <c r="C42" s="9" t="s">
        <v>93</v>
      </c>
      <c r="D42" s="4">
        <v>0.98289225961072391</v>
      </c>
      <c r="E42" s="4">
        <v>8.4566669689549512E-2</v>
      </c>
      <c r="F42">
        <v>26</v>
      </c>
      <c r="G42" s="4">
        <f t="shared" si="0"/>
        <v>21.611180515317908</v>
      </c>
    </row>
    <row r="43" spans="1:7" x14ac:dyDescent="0.35">
      <c r="A43" t="s">
        <v>12</v>
      </c>
      <c r="B43">
        <v>3</v>
      </c>
      <c r="C43" s="8" t="s">
        <v>92</v>
      </c>
      <c r="D43" s="4">
        <v>1.1813486509457365</v>
      </c>
      <c r="E43" s="4">
        <v>7.8465057684657211E-2</v>
      </c>
      <c r="F43">
        <v>40.5</v>
      </c>
      <c r="G43" s="4">
        <f t="shared" si="0"/>
        <v>37.541308967070421</v>
      </c>
    </row>
    <row r="44" spans="1:7" x14ac:dyDescent="0.35">
      <c r="A44" t="s">
        <v>12</v>
      </c>
      <c r="B44">
        <v>3</v>
      </c>
      <c r="C44" s="8" t="s">
        <v>91</v>
      </c>
      <c r="D44" s="4">
        <v>0.98285390671835782</v>
      </c>
      <c r="E44" s="4">
        <v>7.1346662779733727E-2</v>
      </c>
      <c r="F44">
        <v>45.5</v>
      </c>
      <c r="G44" s="4">
        <f t="shared" si="0"/>
        <v>31.906122541192239</v>
      </c>
    </row>
    <row r="45" spans="1:7" x14ac:dyDescent="0.35">
      <c r="A45" t="s">
        <v>12</v>
      </c>
      <c r="B45">
        <v>3</v>
      </c>
      <c r="C45" s="8" t="s">
        <v>90</v>
      </c>
      <c r="D45" s="4">
        <v>1.2213526515547666</v>
      </c>
      <c r="E45" s="4">
        <v>5.5505932762029732E-2</v>
      </c>
      <c r="F45">
        <v>33.5</v>
      </c>
      <c r="G45" s="4">
        <f t="shared" si="0"/>
        <v>22.710426582235073</v>
      </c>
    </row>
    <row r="46" spans="1:7" x14ac:dyDescent="0.35">
      <c r="A46" t="s">
        <v>12</v>
      </c>
      <c r="B46">
        <v>4</v>
      </c>
      <c r="C46" s="9" t="s">
        <v>93</v>
      </c>
      <c r="D46" s="4">
        <v>1.2020408163265306</v>
      </c>
      <c r="E46" s="4">
        <v>1.5479134398760893E-2</v>
      </c>
      <c r="F46">
        <v>6</v>
      </c>
      <c r="G46" s="4">
        <f t="shared" si="0"/>
        <v>1.1163930809228773</v>
      </c>
    </row>
    <row r="47" spans="1:7" x14ac:dyDescent="0.35">
      <c r="A47" t="s">
        <v>12</v>
      </c>
      <c r="B47">
        <v>4</v>
      </c>
      <c r="C47" s="8" t="s">
        <v>92</v>
      </c>
      <c r="D47" s="4">
        <v>1.1093877551020408</v>
      </c>
      <c r="E47" s="4">
        <v>3.516120566012617E-2</v>
      </c>
      <c r="F47">
        <v>5</v>
      </c>
      <c r="G47" s="4">
        <f t="shared" si="0"/>
        <v>1.950370550698427</v>
      </c>
    </row>
    <row r="48" spans="1:7" x14ac:dyDescent="0.35">
      <c r="A48" t="s">
        <v>12</v>
      </c>
      <c r="B48">
        <v>4</v>
      </c>
      <c r="C48" s="8" t="s">
        <v>91</v>
      </c>
      <c r="D48" s="4">
        <v>1.4533333333333334</v>
      </c>
      <c r="E48" s="4">
        <v>2.2274484578700515E-2</v>
      </c>
      <c r="F48">
        <v>9</v>
      </c>
      <c r="G48" s="4">
        <f t="shared" si="0"/>
        <v>2.9135025828940275</v>
      </c>
    </row>
    <row r="49" spans="1:7" x14ac:dyDescent="0.35">
      <c r="A49" t="s">
        <v>12</v>
      </c>
      <c r="B49">
        <v>4</v>
      </c>
      <c r="C49" s="8" t="s">
        <v>90</v>
      </c>
      <c r="D49" s="4">
        <v>0.89098639455782325</v>
      </c>
      <c r="E49" s="4">
        <v>3.9715189873417552E-2</v>
      </c>
      <c r="F49">
        <v>12</v>
      </c>
      <c r="G49" s="4">
        <f t="shared" si="0"/>
        <v>4.2462832601394815</v>
      </c>
    </row>
    <row r="50" spans="1:7" x14ac:dyDescent="0.35">
      <c r="A50" t="s">
        <v>13</v>
      </c>
      <c r="B50">
        <v>1</v>
      </c>
      <c r="C50" s="9" t="s">
        <v>93</v>
      </c>
      <c r="D50" s="4">
        <v>6.7674198633736207E-2</v>
      </c>
      <c r="E50" s="4">
        <v>0.46749591446966882</v>
      </c>
      <c r="F50">
        <v>11</v>
      </c>
      <c r="G50" s="4">
        <f t="shared" si="0"/>
        <v>3.4801152513908566</v>
      </c>
    </row>
    <row r="51" spans="1:7" x14ac:dyDescent="0.35">
      <c r="A51" t="s">
        <v>13</v>
      </c>
      <c r="B51">
        <v>1</v>
      </c>
      <c r="C51" s="8" t="s">
        <v>92</v>
      </c>
      <c r="D51" s="4">
        <v>4.1934738202070602E-2</v>
      </c>
      <c r="E51" s="4">
        <v>0.4905228459768442</v>
      </c>
      <c r="F51">
        <v>11</v>
      </c>
      <c r="G51" s="4">
        <f t="shared" si="0"/>
        <v>2.2626941840990917</v>
      </c>
    </row>
    <row r="52" spans="1:7" x14ac:dyDescent="0.35">
      <c r="A52" t="s">
        <v>13</v>
      </c>
      <c r="B52">
        <v>1</v>
      </c>
      <c r="C52" s="8" t="s">
        <v>91</v>
      </c>
      <c r="D52" s="4">
        <v>7.659082615132152E-3</v>
      </c>
      <c r="E52" s="4">
        <v>0.48170149253731415</v>
      </c>
      <c r="F52">
        <v>18.5</v>
      </c>
      <c r="G52" s="4">
        <f t="shared" si="0"/>
        <v>0.6825374325275142</v>
      </c>
    </row>
    <row r="53" spans="1:7" x14ac:dyDescent="0.35">
      <c r="A53" t="s">
        <v>13</v>
      </c>
      <c r="B53">
        <v>1</v>
      </c>
      <c r="C53" s="8" t="s">
        <v>90</v>
      </c>
      <c r="D53" s="4" t="s">
        <v>87</v>
      </c>
      <c r="E53" s="4">
        <v>0.48753350350989177</v>
      </c>
      <c r="F53">
        <v>5</v>
      </c>
      <c r="G53" s="4" t="s">
        <v>87</v>
      </c>
    </row>
    <row r="54" spans="1:7" x14ac:dyDescent="0.35">
      <c r="A54" t="s">
        <v>13</v>
      </c>
      <c r="B54">
        <v>2</v>
      </c>
      <c r="C54" s="9" t="s">
        <v>93</v>
      </c>
      <c r="D54" s="4">
        <v>0.11692607753184669</v>
      </c>
      <c r="E54" s="4">
        <v>0.42919694244604334</v>
      </c>
      <c r="F54">
        <v>37.5</v>
      </c>
      <c r="G54" s="4">
        <f t="shared" si="0"/>
        <v>18.8191181133291</v>
      </c>
    </row>
    <row r="55" spans="1:7" x14ac:dyDescent="0.35">
      <c r="A55" t="s">
        <v>13</v>
      </c>
      <c r="B55">
        <v>2</v>
      </c>
      <c r="C55" s="8" t="s">
        <v>92</v>
      </c>
      <c r="D55" s="4">
        <v>0.13830721220413345</v>
      </c>
      <c r="E55" s="4">
        <v>0.31493104957863621</v>
      </c>
      <c r="F55">
        <v>42</v>
      </c>
      <c r="G55" s="4">
        <f t="shared" si="0"/>
        <v>18.29403891157202</v>
      </c>
    </row>
    <row r="56" spans="1:7" x14ac:dyDescent="0.35">
      <c r="A56" t="s">
        <v>13</v>
      </c>
      <c r="B56">
        <v>2</v>
      </c>
      <c r="C56" s="8" t="s">
        <v>91</v>
      </c>
      <c r="D56" s="4">
        <v>8.0885310699400526E-2</v>
      </c>
      <c r="E56" s="4">
        <v>0.42322555871284828</v>
      </c>
      <c r="F56">
        <v>38.5</v>
      </c>
      <c r="G56" s="4">
        <f t="shared" si="0"/>
        <v>13.179601362780202</v>
      </c>
    </row>
    <row r="57" spans="1:7" x14ac:dyDescent="0.35">
      <c r="A57" t="s">
        <v>13</v>
      </c>
      <c r="B57">
        <v>2</v>
      </c>
      <c r="C57" s="8" t="s">
        <v>90</v>
      </c>
      <c r="D57" s="4" t="s">
        <v>87</v>
      </c>
      <c r="E57" s="4">
        <v>0.4713084151650489</v>
      </c>
      <c r="F57">
        <v>15</v>
      </c>
      <c r="G57" s="4" t="s">
        <v>87</v>
      </c>
    </row>
    <row r="58" spans="1:7" x14ac:dyDescent="0.35">
      <c r="A58" t="s">
        <v>13</v>
      </c>
      <c r="B58">
        <v>3</v>
      </c>
      <c r="C58" s="9" t="s">
        <v>93</v>
      </c>
      <c r="D58" s="4">
        <v>0.23841434875527784</v>
      </c>
      <c r="E58" s="4">
        <v>0.25000043147339535</v>
      </c>
      <c r="F58">
        <v>40</v>
      </c>
      <c r="G58" s="4">
        <f t="shared" si="0"/>
        <v>23.841476023307209</v>
      </c>
    </row>
    <row r="59" spans="1:7" x14ac:dyDescent="0.35">
      <c r="A59" t="s">
        <v>13</v>
      </c>
      <c r="B59">
        <v>3</v>
      </c>
      <c r="C59" s="8" t="s">
        <v>92</v>
      </c>
      <c r="D59" s="4">
        <v>9.4590151070007567E-2</v>
      </c>
      <c r="E59" s="4">
        <v>4.0622612312007325E-2</v>
      </c>
      <c r="F59">
        <v>29.5</v>
      </c>
      <c r="G59" s="4">
        <f t="shared" si="0"/>
        <v>1.1335372154580809</v>
      </c>
    </row>
    <row r="60" spans="1:7" x14ac:dyDescent="0.35">
      <c r="A60" t="s">
        <v>13</v>
      </c>
      <c r="B60">
        <v>3</v>
      </c>
      <c r="C60" s="8" t="s">
        <v>91</v>
      </c>
      <c r="D60" s="4">
        <v>0.24320871752708775</v>
      </c>
      <c r="E60" s="4">
        <v>0.15486936867912959</v>
      </c>
      <c r="F60">
        <v>22</v>
      </c>
      <c r="G60" s="4">
        <f t="shared" si="0"/>
        <v>8.2864277189497848</v>
      </c>
    </row>
    <row r="61" spans="1:7" x14ac:dyDescent="0.35">
      <c r="A61" t="s">
        <v>13</v>
      </c>
      <c r="B61">
        <v>3</v>
      </c>
      <c r="C61" s="8" t="s">
        <v>90</v>
      </c>
      <c r="D61" s="4" t="s">
        <v>87</v>
      </c>
      <c r="E61" s="4">
        <v>0.2499553350557969</v>
      </c>
      <c r="F61">
        <v>14</v>
      </c>
      <c r="G61" s="4" t="s">
        <v>87</v>
      </c>
    </row>
    <row r="62" spans="1:7" x14ac:dyDescent="0.35">
      <c r="A62" t="s">
        <v>13</v>
      </c>
      <c r="B62">
        <v>4</v>
      </c>
      <c r="C62" s="9" t="s">
        <v>93</v>
      </c>
      <c r="D62" s="4">
        <v>0.75578231292517017</v>
      </c>
      <c r="E62" s="4">
        <v>4.7950715555931847E-2</v>
      </c>
      <c r="F62">
        <v>13.5</v>
      </c>
      <c r="G62" s="4">
        <f t="shared" si="0"/>
        <v>4.8924408657526799</v>
      </c>
    </row>
    <row r="63" spans="1:7" x14ac:dyDescent="0.35">
      <c r="A63" t="s">
        <v>13</v>
      </c>
      <c r="B63">
        <v>4</v>
      </c>
      <c r="C63" s="8" t="s">
        <v>92</v>
      </c>
      <c r="D63" s="4">
        <v>3.5255702280912353</v>
      </c>
      <c r="E63" s="4">
        <v>0.46984931337883407</v>
      </c>
      <c r="F63">
        <v>8.5</v>
      </c>
      <c r="G63" s="4">
        <f t="shared" si="0"/>
        <v>140.80137382968974</v>
      </c>
    </row>
    <row r="64" spans="1:7" x14ac:dyDescent="0.35">
      <c r="A64" t="s">
        <v>13</v>
      </c>
      <c r="B64">
        <v>4</v>
      </c>
      <c r="C64" s="8" t="s">
        <v>91</v>
      </c>
      <c r="D64" s="4">
        <v>0.30939898282082789</v>
      </c>
      <c r="E64" s="4">
        <v>0.15670694304085145</v>
      </c>
      <c r="F64">
        <v>32.5</v>
      </c>
      <c r="G64" s="4">
        <f t="shared" si="0"/>
        <v>15.757614852785277</v>
      </c>
    </row>
    <row r="65" spans="1:7" x14ac:dyDescent="0.35">
      <c r="A65" t="s">
        <v>13</v>
      </c>
      <c r="B65">
        <v>4</v>
      </c>
      <c r="C65" s="8" t="s">
        <v>90</v>
      </c>
      <c r="D65" s="4" t="s">
        <v>87</v>
      </c>
      <c r="E65" s="4">
        <v>6.5837791018636668E-2</v>
      </c>
      <c r="F65">
        <v>10.5</v>
      </c>
      <c r="G65" s="4" t="s">
        <v>87</v>
      </c>
    </row>
    <row r="66" spans="1:7" x14ac:dyDescent="0.35">
      <c r="A66" t="s">
        <v>14</v>
      </c>
      <c r="B66">
        <v>1</v>
      </c>
      <c r="C66" s="9" t="s">
        <v>93</v>
      </c>
      <c r="D66" s="4">
        <v>4.415325652841786E-2</v>
      </c>
      <c r="E66" s="4">
        <v>0.48633382166877365</v>
      </c>
      <c r="F66">
        <v>7.5</v>
      </c>
      <c r="G66" s="4">
        <f t="shared" ref="G66:G129" si="1">(D66*E66*F66)*10</f>
        <v>1.6104916489940391</v>
      </c>
    </row>
    <row r="67" spans="1:7" x14ac:dyDescent="0.35">
      <c r="A67" t="s">
        <v>14</v>
      </c>
      <c r="B67">
        <v>1</v>
      </c>
      <c r="C67" s="8" t="s">
        <v>92</v>
      </c>
      <c r="D67" s="4">
        <v>2.4832923101353797E-2</v>
      </c>
      <c r="E67" s="4">
        <v>0.48387151342004403</v>
      </c>
      <c r="F67">
        <v>8</v>
      </c>
      <c r="G67" s="4">
        <f t="shared" si="1"/>
        <v>0.96127552669565075</v>
      </c>
    </row>
    <row r="68" spans="1:7" x14ac:dyDescent="0.35">
      <c r="A68" t="s">
        <v>14</v>
      </c>
      <c r="B68">
        <v>1</v>
      </c>
      <c r="C68" s="8" t="s">
        <v>91</v>
      </c>
      <c r="D68" s="4">
        <v>6.1990124774917957E-2</v>
      </c>
      <c r="E68" s="4">
        <v>0.47166051251168672</v>
      </c>
      <c r="F68">
        <v>12.5</v>
      </c>
      <c r="G68" s="4">
        <f t="shared" si="1"/>
        <v>3.6547867527501516</v>
      </c>
    </row>
    <row r="69" spans="1:7" x14ac:dyDescent="0.35">
      <c r="A69" t="s">
        <v>14</v>
      </c>
      <c r="B69">
        <v>1</v>
      </c>
      <c r="C69" s="8" t="s">
        <v>90</v>
      </c>
      <c r="D69" s="4">
        <v>7.491701339434241E-2</v>
      </c>
      <c r="E69" s="4">
        <v>0.47130242825607038</v>
      </c>
      <c r="F69">
        <v>9.5</v>
      </c>
      <c r="G69" s="4">
        <f t="shared" si="1"/>
        <v>3.354314181392382</v>
      </c>
    </row>
    <row r="70" spans="1:7" x14ac:dyDescent="0.35">
      <c r="A70" t="s">
        <v>14</v>
      </c>
      <c r="B70">
        <v>2</v>
      </c>
      <c r="C70" s="9" t="s">
        <v>93</v>
      </c>
      <c r="D70" s="4">
        <v>3.884693964907248E-2</v>
      </c>
      <c r="E70" s="4">
        <v>0.45833000307408528</v>
      </c>
      <c r="F70">
        <v>29</v>
      </c>
      <c r="G70" s="4">
        <f t="shared" si="1"/>
        <v>5.1633682109456753</v>
      </c>
    </row>
    <row r="71" spans="1:7" x14ac:dyDescent="0.35">
      <c r="A71" t="s">
        <v>14</v>
      </c>
      <c r="B71">
        <v>2</v>
      </c>
      <c r="C71" s="8" t="s">
        <v>92</v>
      </c>
      <c r="D71" s="4">
        <v>0.10507347943894389</v>
      </c>
      <c r="E71" s="4">
        <v>0.28107369493723627</v>
      </c>
      <c r="F71">
        <v>27</v>
      </c>
      <c r="G71" s="4">
        <f t="shared" si="1"/>
        <v>7.9740155985702357</v>
      </c>
    </row>
    <row r="72" spans="1:7" x14ac:dyDescent="0.35">
      <c r="A72" t="s">
        <v>14</v>
      </c>
      <c r="B72">
        <v>2</v>
      </c>
      <c r="C72" s="8" t="s">
        <v>91</v>
      </c>
      <c r="D72" s="4">
        <v>6.8973544948878543E-2</v>
      </c>
      <c r="E72" s="4">
        <v>0.28707745520344569</v>
      </c>
      <c r="F72">
        <v>38</v>
      </c>
      <c r="G72" s="4">
        <f t="shared" si="1"/>
        <v>7.5242849089081201</v>
      </c>
    </row>
    <row r="73" spans="1:7" x14ac:dyDescent="0.35">
      <c r="A73" t="s">
        <v>14</v>
      </c>
      <c r="B73">
        <v>2</v>
      </c>
      <c r="C73" s="8" t="s">
        <v>90</v>
      </c>
      <c r="D73" s="4">
        <v>0.257035625869102</v>
      </c>
      <c r="E73" s="4">
        <v>0.27237002501068419</v>
      </c>
      <c r="F73">
        <v>43.5</v>
      </c>
      <c r="G73" s="4">
        <f t="shared" si="1"/>
        <v>30.453827933272816</v>
      </c>
    </row>
    <row r="74" spans="1:7" x14ac:dyDescent="0.35">
      <c r="A74" s="14" t="s">
        <v>14</v>
      </c>
      <c r="B74" s="14">
        <v>3</v>
      </c>
      <c r="C74" s="23" t="s">
        <v>93</v>
      </c>
      <c r="D74" s="4">
        <v>0.32069412645982481</v>
      </c>
      <c r="E74" s="4">
        <v>-2.5844732375115743E-2</v>
      </c>
      <c r="F74">
        <v>47.5</v>
      </c>
      <c r="G74" s="4"/>
    </row>
    <row r="75" spans="1:7" x14ac:dyDescent="0.35">
      <c r="A75" t="s">
        <v>14</v>
      </c>
      <c r="B75">
        <v>3</v>
      </c>
      <c r="C75" s="8" t="s">
        <v>92</v>
      </c>
      <c r="D75" s="4">
        <v>0.79528206131348211</v>
      </c>
      <c r="E75" s="4">
        <v>6.6243445518057026E-2</v>
      </c>
      <c r="F75">
        <v>32.5</v>
      </c>
      <c r="G75" s="4">
        <f t="shared" si="1"/>
        <v>17.121722767535015</v>
      </c>
    </row>
    <row r="76" spans="1:7" x14ac:dyDescent="0.35">
      <c r="A76" t="s">
        <v>14</v>
      </c>
      <c r="B76">
        <v>3</v>
      </c>
      <c r="C76" s="8" t="s">
        <v>91</v>
      </c>
      <c r="D76" s="4">
        <v>0.40736004199667647</v>
      </c>
      <c r="E76" s="4">
        <v>4.471230227257026E-2</v>
      </c>
      <c r="F76">
        <v>59</v>
      </c>
      <c r="G76" s="4">
        <f t="shared" si="1"/>
        <v>10.746263145598165</v>
      </c>
    </row>
    <row r="77" spans="1:7" x14ac:dyDescent="0.35">
      <c r="A77" t="s">
        <v>14</v>
      </c>
      <c r="B77">
        <v>3</v>
      </c>
      <c r="C77" s="8" t="s">
        <v>90</v>
      </c>
      <c r="D77" s="4">
        <v>0.87700322169688216</v>
      </c>
      <c r="E77" s="4">
        <v>5.1055855855856043E-2</v>
      </c>
      <c r="F77">
        <v>53.5</v>
      </c>
      <c r="G77" s="4">
        <f t="shared" si="1"/>
        <v>23.955240288561399</v>
      </c>
    </row>
    <row r="78" spans="1:7" x14ac:dyDescent="0.35">
      <c r="A78" t="s">
        <v>14</v>
      </c>
      <c r="B78">
        <v>4</v>
      </c>
      <c r="C78" s="9" t="s">
        <v>93</v>
      </c>
      <c r="D78" s="4">
        <v>0.76401360544217689</v>
      </c>
      <c r="E78" s="4">
        <v>3.8530608671887352E-2</v>
      </c>
      <c r="F78">
        <v>30</v>
      </c>
      <c r="G78" s="4">
        <f t="shared" si="1"/>
        <v>8.831372775387079</v>
      </c>
    </row>
    <row r="79" spans="1:7" x14ac:dyDescent="0.35">
      <c r="A79" t="s">
        <v>14</v>
      </c>
      <c r="B79">
        <v>4</v>
      </c>
      <c r="C79" s="8" t="s">
        <v>92</v>
      </c>
      <c r="D79" s="4">
        <v>1.4367346938775509</v>
      </c>
      <c r="E79" s="4">
        <v>3.8028844124757856E-2</v>
      </c>
      <c r="F79">
        <v>8.5</v>
      </c>
      <c r="G79" s="4">
        <f t="shared" si="1"/>
        <v>4.6441755763785917</v>
      </c>
    </row>
    <row r="80" spans="1:7" x14ac:dyDescent="0.35">
      <c r="A80" t="s">
        <v>14</v>
      </c>
      <c r="B80">
        <v>4</v>
      </c>
      <c r="C80" s="8" t="s">
        <v>91</v>
      </c>
      <c r="D80" s="4">
        <v>0.78367346938775517</v>
      </c>
      <c r="E80" s="4">
        <v>1.7089658817089588E-2</v>
      </c>
      <c r="F80">
        <v>11</v>
      </c>
      <c r="G80" s="4">
        <f t="shared" si="1"/>
        <v>1.47319834374258</v>
      </c>
    </row>
    <row r="81" spans="1:7" x14ac:dyDescent="0.35">
      <c r="A81" t="s">
        <v>14</v>
      </c>
      <c r="B81">
        <v>4</v>
      </c>
      <c r="C81" s="8" t="s">
        <v>90</v>
      </c>
      <c r="D81" s="4">
        <v>0.99139941690962097</v>
      </c>
      <c r="E81" s="4">
        <v>1.8050351647676415E-2</v>
      </c>
      <c r="F81">
        <v>14</v>
      </c>
      <c r="G81" s="4">
        <f t="shared" si="1"/>
        <v>2.5053151337928021</v>
      </c>
    </row>
    <row r="82" spans="1:7" x14ac:dyDescent="0.35">
      <c r="A82" t="s">
        <v>15</v>
      </c>
      <c r="B82">
        <v>1</v>
      </c>
      <c r="C82" s="9" t="s">
        <v>93</v>
      </c>
      <c r="D82" s="4">
        <v>6.7408104710743377E-2</v>
      </c>
      <c r="E82" s="4">
        <v>0.46653495898246411</v>
      </c>
      <c r="F82">
        <v>9.5</v>
      </c>
      <c r="G82" s="4">
        <f t="shared" si="1"/>
        <v>2.9875825497996686</v>
      </c>
    </row>
    <row r="83" spans="1:7" x14ac:dyDescent="0.35">
      <c r="A83" t="s">
        <v>15</v>
      </c>
      <c r="B83">
        <v>1</v>
      </c>
      <c r="C83" s="8" t="s">
        <v>92</v>
      </c>
      <c r="D83" s="4">
        <v>8.6494467819853552E-2</v>
      </c>
      <c r="E83" s="4">
        <v>0.4778753156415243</v>
      </c>
      <c r="F83">
        <v>6</v>
      </c>
      <c r="G83" s="4">
        <f t="shared" si="1"/>
        <v>2.4800142666394906</v>
      </c>
    </row>
    <row r="84" spans="1:7" x14ac:dyDescent="0.35">
      <c r="A84" t="s">
        <v>15</v>
      </c>
      <c r="B84">
        <v>1</v>
      </c>
      <c r="C84" s="8" t="s">
        <v>91</v>
      </c>
      <c r="D84" s="4">
        <v>1.646949979099905E-2</v>
      </c>
      <c r="E84" s="4">
        <v>0.46346590348366845</v>
      </c>
      <c r="F84">
        <v>12.5</v>
      </c>
      <c r="G84" s="4">
        <f t="shared" si="1"/>
        <v>0.95413145006993283</v>
      </c>
    </row>
    <row r="85" spans="1:7" x14ac:dyDescent="0.35">
      <c r="A85" t="s">
        <v>15</v>
      </c>
      <c r="B85">
        <v>1</v>
      </c>
      <c r="C85" s="8" t="s">
        <v>90</v>
      </c>
      <c r="D85" s="4">
        <v>6.2329885459293854E-2</v>
      </c>
      <c r="E85" s="4">
        <v>0.47091520232564149</v>
      </c>
      <c r="F85">
        <v>5</v>
      </c>
      <c r="G85" s="4">
        <f t="shared" si="1"/>
        <v>1.4676045310998713</v>
      </c>
    </row>
    <row r="86" spans="1:7" x14ac:dyDescent="0.35">
      <c r="A86" t="s">
        <v>15</v>
      </c>
      <c r="B86">
        <v>2</v>
      </c>
      <c r="C86" s="9" t="s">
        <v>93</v>
      </c>
      <c r="D86" s="4">
        <v>0.18090875478081234</v>
      </c>
      <c r="E86" s="4">
        <v>0.44645424672021811</v>
      </c>
      <c r="F86">
        <v>19.5</v>
      </c>
      <c r="G86" s="4">
        <f t="shared" si="1"/>
        <v>15.749658958948245</v>
      </c>
    </row>
    <row r="87" spans="1:7" x14ac:dyDescent="0.35">
      <c r="A87" t="s">
        <v>15</v>
      </c>
      <c r="B87">
        <v>2</v>
      </c>
      <c r="C87" s="8" t="s">
        <v>92</v>
      </c>
      <c r="D87" s="4">
        <v>0.18383058140111427</v>
      </c>
      <c r="E87" s="4">
        <v>0.29980378166250415</v>
      </c>
      <c r="F87">
        <v>33.5</v>
      </c>
      <c r="G87" s="4">
        <f t="shared" si="1"/>
        <v>18.462889668905738</v>
      </c>
    </row>
    <row r="88" spans="1:7" x14ac:dyDescent="0.35">
      <c r="A88" t="s">
        <v>15</v>
      </c>
      <c r="B88">
        <v>2</v>
      </c>
      <c r="C88" s="8" t="s">
        <v>91</v>
      </c>
      <c r="D88" s="4">
        <v>0.14490680951164281</v>
      </c>
      <c r="E88" s="4">
        <v>0.41923302065676432</v>
      </c>
      <c r="F88">
        <v>28</v>
      </c>
      <c r="G88" s="4">
        <f t="shared" si="1"/>
        <v>17.0099214502841</v>
      </c>
    </row>
    <row r="89" spans="1:7" x14ac:dyDescent="0.35">
      <c r="A89" t="s">
        <v>15</v>
      </c>
      <c r="B89">
        <v>2</v>
      </c>
      <c r="C89" s="8" t="s">
        <v>90</v>
      </c>
      <c r="D89" s="4">
        <v>0.12709645469815437</v>
      </c>
      <c r="E89" s="4">
        <v>0.44216689027896405</v>
      </c>
      <c r="F89">
        <v>41</v>
      </c>
      <c r="G89" s="4">
        <f t="shared" si="1"/>
        <v>23.041116097139302</v>
      </c>
    </row>
    <row r="90" spans="1:7" x14ac:dyDescent="0.35">
      <c r="A90" t="s">
        <v>15</v>
      </c>
      <c r="B90">
        <v>3</v>
      </c>
      <c r="C90" s="9" t="s">
        <v>93</v>
      </c>
      <c r="D90" s="4">
        <v>0.33882224990261917</v>
      </c>
      <c r="E90" s="4">
        <v>0.12188509233404639</v>
      </c>
      <c r="F90">
        <v>36</v>
      </c>
      <c r="G90" s="4">
        <f t="shared" si="1"/>
        <v>14.867057237115626</v>
      </c>
    </row>
    <row r="91" spans="1:7" x14ac:dyDescent="0.35">
      <c r="A91" t="s">
        <v>15</v>
      </c>
      <c r="B91">
        <v>3</v>
      </c>
      <c r="C91" s="8" t="s">
        <v>92</v>
      </c>
      <c r="D91" s="4">
        <v>0.66916046556474762</v>
      </c>
      <c r="E91" s="4">
        <v>6.8425128349172165E-2</v>
      </c>
      <c r="F91">
        <v>29</v>
      </c>
      <c r="G91" s="4">
        <f t="shared" si="1"/>
        <v>13.278343315313299</v>
      </c>
    </row>
    <row r="92" spans="1:7" x14ac:dyDescent="0.35">
      <c r="A92" t="s">
        <v>15</v>
      </c>
      <c r="B92">
        <v>3</v>
      </c>
      <c r="C92" s="8" t="s">
        <v>91</v>
      </c>
      <c r="D92" s="4">
        <v>0.43600141361599709</v>
      </c>
      <c r="E92" s="4">
        <v>9.7816747054944211E-2</v>
      </c>
      <c r="F92">
        <v>42.5</v>
      </c>
      <c r="G92" s="4">
        <f t="shared" si="1"/>
        <v>18.12550199629149</v>
      </c>
    </row>
    <row r="93" spans="1:7" x14ac:dyDescent="0.35">
      <c r="A93" t="s">
        <v>15</v>
      </c>
      <c r="B93">
        <v>3</v>
      </c>
      <c r="C93" s="8" t="s">
        <v>90</v>
      </c>
      <c r="D93" s="4">
        <v>0.61839923696457</v>
      </c>
      <c r="E93" s="4">
        <v>0.14461553691970636</v>
      </c>
      <c r="F93">
        <v>29.5</v>
      </c>
      <c r="G93" s="4">
        <f t="shared" si="1"/>
        <v>26.381890616888562</v>
      </c>
    </row>
    <row r="94" spans="1:7" x14ac:dyDescent="0.35">
      <c r="A94" t="s">
        <v>15</v>
      </c>
      <c r="B94">
        <v>4</v>
      </c>
      <c r="C94" s="9" t="s">
        <v>93</v>
      </c>
      <c r="D94" s="4">
        <v>0.86539888682745814</v>
      </c>
      <c r="E94" s="4">
        <v>3.656170493025962E-2</v>
      </c>
      <c r="F94">
        <v>22</v>
      </c>
      <c r="G94" s="4">
        <f t="shared" si="1"/>
        <v>6.9609009243753466</v>
      </c>
    </row>
    <row r="95" spans="1:7" x14ac:dyDescent="0.35">
      <c r="A95" t="s">
        <v>15</v>
      </c>
      <c r="B95">
        <v>4</v>
      </c>
      <c r="C95" s="8" t="s">
        <v>92</v>
      </c>
      <c r="D95" s="4">
        <v>1.0535147392290249</v>
      </c>
      <c r="E95" s="4">
        <v>3.5576733551464269E-2</v>
      </c>
      <c r="F95">
        <v>4.5</v>
      </c>
      <c r="G95" s="4">
        <f t="shared" si="1"/>
        <v>1.6866275926541121</v>
      </c>
    </row>
    <row r="96" spans="1:7" x14ac:dyDescent="0.35">
      <c r="A96" t="s">
        <v>15</v>
      </c>
      <c r="B96">
        <v>4</v>
      </c>
      <c r="C96" s="8" t="s">
        <v>91</v>
      </c>
      <c r="D96" s="4">
        <v>4.6895238095238092</v>
      </c>
      <c r="E96" s="4">
        <v>0.14656855379481384</v>
      </c>
      <c r="F96">
        <v>42</v>
      </c>
      <c r="G96" s="4">
        <f t="shared" si="1"/>
        <v>288.68142355426534</v>
      </c>
    </row>
    <row r="97" spans="1:7" x14ac:dyDescent="0.35">
      <c r="A97" t="s">
        <v>15</v>
      </c>
      <c r="B97">
        <v>4</v>
      </c>
      <c r="C97" s="8" t="s">
        <v>90</v>
      </c>
      <c r="D97" s="4">
        <v>0.82317537184365264</v>
      </c>
      <c r="E97" s="4">
        <v>3.3048627122196778E-2</v>
      </c>
      <c r="F97">
        <v>29.5</v>
      </c>
      <c r="G97" s="4">
        <f t="shared" si="1"/>
        <v>8.0254206964697854</v>
      </c>
    </row>
    <row r="98" spans="1:7" x14ac:dyDescent="0.35">
      <c r="A98" t="s">
        <v>16</v>
      </c>
      <c r="B98">
        <v>1</v>
      </c>
      <c r="C98" s="9" t="s">
        <v>93</v>
      </c>
      <c r="D98" s="4">
        <v>3.0122633228840158E-2</v>
      </c>
      <c r="E98" s="4">
        <v>0.48423365724381634</v>
      </c>
      <c r="F98">
        <v>11</v>
      </c>
      <c r="G98" s="4">
        <f t="shared" si="1"/>
        <v>1.6045032139636914</v>
      </c>
    </row>
    <row r="99" spans="1:7" x14ac:dyDescent="0.35">
      <c r="A99" t="s">
        <v>16</v>
      </c>
      <c r="B99">
        <v>1</v>
      </c>
      <c r="C99" s="8" t="s">
        <v>92</v>
      </c>
      <c r="D99" s="4">
        <v>3.695217544007532E-2</v>
      </c>
      <c r="E99" s="4">
        <v>0.49110176314306603</v>
      </c>
      <c r="F99">
        <v>11</v>
      </c>
      <c r="G99" s="4">
        <f t="shared" si="1"/>
        <v>1.9962006361652178</v>
      </c>
    </row>
    <row r="100" spans="1:7" x14ac:dyDescent="0.35">
      <c r="A100" t="s">
        <v>16</v>
      </c>
      <c r="B100">
        <v>1</v>
      </c>
      <c r="C100" s="8" t="s">
        <v>91</v>
      </c>
      <c r="D100" s="4">
        <v>4.9985798806928321E-2</v>
      </c>
      <c r="E100" s="4">
        <v>0.4881306460985787</v>
      </c>
      <c r="F100">
        <v>12</v>
      </c>
      <c r="G100" s="4">
        <f t="shared" si="1"/>
        <v>2.9279520320855386</v>
      </c>
    </row>
    <row r="101" spans="1:7" x14ac:dyDescent="0.35">
      <c r="A101" t="s">
        <v>16</v>
      </c>
      <c r="B101">
        <v>1</v>
      </c>
      <c r="C101" s="8" t="s">
        <v>90</v>
      </c>
      <c r="D101" s="4">
        <v>3.555394565228049E-2</v>
      </c>
      <c r="E101" s="4">
        <v>0.45638232460904682</v>
      </c>
      <c r="F101">
        <v>8</v>
      </c>
      <c r="G101" s="4">
        <f t="shared" si="1"/>
        <v>1.2980953892649185</v>
      </c>
    </row>
    <row r="102" spans="1:7" x14ac:dyDescent="0.35">
      <c r="A102" t="s">
        <v>16</v>
      </c>
      <c r="B102">
        <v>2</v>
      </c>
      <c r="C102" s="9" t="s">
        <v>93</v>
      </c>
      <c r="D102" s="4">
        <v>6.9875222657057479E-2</v>
      </c>
      <c r="E102" s="4">
        <v>0.4383960507619189</v>
      </c>
      <c r="F102">
        <v>26</v>
      </c>
      <c r="G102" s="4">
        <f t="shared" si="1"/>
        <v>7.9645856313305767</v>
      </c>
    </row>
    <row r="103" spans="1:7" x14ac:dyDescent="0.35">
      <c r="A103" t="s">
        <v>16</v>
      </c>
      <c r="B103">
        <v>2</v>
      </c>
      <c r="C103" s="8" t="s">
        <v>92</v>
      </c>
      <c r="D103" s="4">
        <v>0.11043546353569457</v>
      </c>
      <c r="E103" s="4">
        <v>0.46634483972934665</v>
      </c>
      <c r="F103">
        <v>19.5</v>
      </c>
      <c r="G103" s="4">
        <f t="shared" si="1"/>
        <v>10.042696665882971</v>
      </c>
    </row>
    <row r="104" spans="1:7" x14ac:dyDescent="0.35">
      <c r="A104" t="s">
        <v>16</v>
      </c>
      <c r="B104">
        <v>2</v>
      </c>
      <c r="C104" s="8" t="s">
        <v>91</v>
      </c>
      <c r="D104" s="4">
        <v>0.12839423850444229</v>
      </c>
      <c r="E104" s="4">
        <v>0.39170055302537377</v>
      </c>
      <c r="F104">
        <v>56.5</v>
      </c>
      <c r="G104" s="4">
        <f t="shared" si="1"/>
        <v>28.415033238515907</v>
      </c>
    </row>
    <row r="105" spans="1:7" x14ac:dyDescent="0.35">
      <c r="A105" t="s">
        <v>16</v>
      </c>
      <c r="B105">
        <v>2</v>
      </c>
      <c r="C105" s="8" t="s">
        <v>90</v>
      </c>
      <c r="D105" s="4">
        <v>0.12956206805407702</v>
      </c>
      <c r="E105" s="4">
        <v>0.33785666228325056</v>
      </c>
      <c r="F105">
        <v>43</v>
      </c>
      <c r="G105" s="4">
        <f t="shared" si="1"/>
        <v>18.822565384644307</v>
      </c>
    </row>
    <row r="106" spans="1:7" x14ac:dyDescent="0.35">
      <c r="A106" t="s">
        <v>16</v>
      </c>
      <c r="B106">
        <v>3</v>
      </c>
      <c r="C106" s="9" t="s">
        <v>93</v>
      </c>
      <c r="D106" s="4">
        <v>0.29153866312268839</v>
      </c>
      <c r="E106" s="4">
        <v>0.13832761328233831</v>
      </c>
      <c r="F106">
        <v>62.5</v>
      </c>
      <c r="G106" s="4">
        <f t="shared" si="1"/>
        <v>25.204904655803215</v>
      </c>
    </row>
    <row r="107" spans="1:7" x14ac:dyDescent="0.35">
      <c r="A107" t="s">
        <v>16</v>
      </c>
      <c r="B107">
        <v>3</v>
      </c>
      <c r="C107" s="8" t="s">
        <v>92</v>
      </c>
      <c r="D107" s="4">
        <v>0.41307880242676104</v>
      </c>
      <c r="E107" s="4">
        <v>0.12082824859177449</v>
      </c>
      <c r="F107">
        <v>58</v>
      </c>
      <c r="G107" s="4">
        <f t="shared" si="1"/>
        <v>28.948721172015649</v>
      </c>
    </row>
    <row r="108" spans="1:7" x14ac:dyDescent="0.35">
      <c r="A108" t="s">
        <v>16</v>
      </c>
      <c r="B108">
        <v>3</v>
      </c>
      <c r="C108" s="8" t="s">
        <v>91</v>
      </c>
      <c r="D108" s="4">
        <v>0.77157891850640004</v>
      </c>
      <c r="E108" s="4">
        <v>6.6258610772538654E-2</v>
      </c>
      <c r="F108">
        <v>21.5</v>
      </c>
      <c r="G108" s="4">
        <f t="shared" si="1"/>
        <v>10.991605656946554</v>
      </c>
    </row>
    <row r="109" spans="1:7" x14ac:dyDescent="0.35">
      <c r="A109" t="s">
        <v>16</v>
      </c>
      <c r="B109">
        <v>3</v>
      </c>
      <c r="C109" s="8" t="s">
        <v>90</v>
      </c>
      <c r="D109" s="4">
        <v>0.27278996041761411</v>
      </c>
      <c r="E109" s="4">
        <v>0.13646116648225959</v>
      </c>
      <c r="F109">
        <v>35</v>
      </c>
      <c r="G109" s="4">
        <f t="shared" si="1"/>
        <v>13.028832671132964</v>
      </c>
    </row>
    <row r="110" spans="1:7" x14ac:dyDescent="0.35">
      <c r="A110" t="s">
        <v>16</v>
      </c>
      <c r="B110">
        <v>4</v>
      </c>
      <c r="C110" s="9" t="s">
        <v>93</v>
      </c>
      <c r="D110" s="4">
        <v>0.8610606340580701</v>
      </c>
      <c r="E110" s="4">
        <v>3.4242713919328385E-2</v>
      </c>
      <c r="F110">
        <v>17.5</v>
      </c>
      <c r="G110" s="4">
        <f t="shared" si="1"/>
        <v>5.1598842678680503</v>
      </c>
    </row>
    <row r="111" spans="1:7" x14ac:dyDescent="0.35">
      <c r="A111" t="s">
        <v>16</v>
      </c>
      <c r="B111">
        <v>4</v>
      </c>
      <c r="C111" s="8" t="s">
        <v>92</v>
      </c>
      <c r="D111" s="4">
        <v>1.0189701267592302</v>
      </c>
      <c r="E111" s="4">
        <v>2.164211654265847E-2</v>
      </c>
      <c r="F111">
        <v>21.5</v>
      </c>
      <c r="G111" s="4">
        <f t="shared" si="1"/>
        <v>4.7413241009143086</v>
      </c>
    </row>
    <row r="112" spans="1:7" x14ac:dyDescent="0.35">
      <c r="A112" t="s">
        <v>16</v>
      </c>
      <c r="B112">
        <v>4</v>
      </c>
      <c r="C112" s="8" t="s">
        <v>91</v>
      </c>
      <c r="D112" s="4">
        <v>0.98498889006522217</v>
      </c>
      <c r="E112" s="4">
        <v>1.9853855975235288E-2</v>
      </c>
      <c r="F112">
        <v>30</v>
      </c>
      <c r="G112" s="4">
        <f t="shared" si="1"/>
        <v>5.8667482681685357</v>
      </c>
    </row>
    <row r="113" spans="1:7" x14ac:dyDescent="0.35">
      <c r="A113" t="s">
        <v>16</v>
      </c>
      <c r="B113">
        <v>4</v>
      </c>
      <c r="C113" s="8" t="s">
        <v>90</v>
      </c>
      <c r="D113" s="4">
        <v>1.0510725876096541</v>
      </c>
      <c r="E113" s="4">
        <v>2.1938472612854573E-2</v>
      </c>
      <c r="F113">
        <v>27.5</v>
      </c>
      <c r="G113" s="4">
        <f t="shared" si="1"/>
        <v>6.3412049737840608</v>
      </c>
    </row>
    <row r="114" spans="1:7" x14ac:dyDescent="0.35">
      <c r="A114" t="s">
        <v>17</v>
      </c>
      <c r="B114">
        <v>1</v>
      </c>
      <c r="C114" s="9" t="s">
        <v>93</v>
      </c>
      <c r="D114" s="4">
        <v>9.4009636259134624E-2</v>
      </c>
      <c r="E114" s="4">
        <v>0.45116115221797209</v>
      </c>
      <c r="F114">
        <v>9.5</v>
      </c>
      <c r="G114" s="4">
        <f t="shared" si="1"/>
        <v>4.0292821023550438</v>
      </c>
    </row>
    <row r="115" spans="1:7" x14ac:dyDescent="0.35">
      <c r="A115" t="s">
        <v>17</v>
      </c>
      <c r="B115">
        <v>1</v>
      </c>
      <c r="C115" s="8" t="s">
        <v>92</v>
      </c>
      <c r="D115" s="4">
        <v>8.9869808898447062E-2</v>
      </c>
      <c r="E115" s="4">
        <v>0.4502580538731647</v>
      </c>
      <c r="F115">
        <v>11.5</v>
      </c>
      <c r="G115" s="4">
        <f t="shared" si="1"/>
        <v>4.6534296045053196</v>
      </c>
    </row>
    <row r="116" spans="1:7" x14ac:dyDescent="0.35">
      <c r="A116" t="s">
        <v>17</v>
      </c>
      <c r="B116">
        <v>1</v>
      </c>
      <c r="C116" s="8" t="s">
        <v>91</v>
      </c>
      <c r="D116" s="4">
        <v>5.4968762385155794E-2</v>
      </c>
      <c r="E116" s="4">
        <v>0.4776964365311277</v>
      </c>
      <c r="F116">
        <v>10.5</v>
      </c>
      <c r="G116" s="4">
        <f t="shared" si="1"/>
        <v>2.7571301007510973</v>
      </c>
    </row>
    <row r="117" spans="1:7" x14ac:dyDescent="0.35">
      <c r="A117" t="s">
        <v>17</v>
      </c>
      <c r="B117">
        <v>1</v>
      </c>
      <c r="C117" s="8" t="s">
        <v>90</v>
      </c>
      <c r="D117" s="4">
        <v>0.34146551287463078</v>
      </c>
      <c r="E117" s="4">
        <v>0.38574099241262916</v>
      </c>
      <c r="F117">
        <v>12</v>
      </c>
      <c r="G117" s="4">
        <f t="shared" si="1"/>
        <v>15.8060694973137</v>
      </c>
    </row>
    <row r="118" spans="1:7" x14ac:dyDescent="0.35">
      <c r="A118" t="s">
        <v>17</v>
      </c>
      <c r="B118">
        <v>2</v>
      </c>
      <c r="C118" s="9" t="s">
        <v>93</v>
      </c>
      <c r="D118" s="4">
        <v>7.3322234805110645E-2</v>
      </c>
      <c r="E118" s="4">
        <v>0.45297168896645379</v>
      </c>
      <c r="F118">
        <v>56.5</v>
      </c>
      <c r="G118" s="4">
        <f t="shared" si="1"/>
        <v>18.76528654423322</v>
      </c>
    </row>
    <row r="119" spans="1:7" x14ac:dyDescent="0.35">
      <c r="A119" t="s">
        <v>17</v>
      </c>
      <c r="B119">
        <v>2</v>
      </c>
      <c r="C119" s="8" t="s">
        <v>92</v>
      </c>
      <c r="D119" s="4">
        <v>0.1763190054888798</v>
      </c>
      <c r="E119" s="4">
        <v>0.40503229904109839</v>
      </c>
      <c r="F119">
        <v>20</v>
      </c>
      <c r="G119" s="4">
        <f t="shared" si="1"/>
        <v>14.282978431560206</v>
      </c>
    </row>
    <row r="120" spans="1:7" x14ac:dyDescent="0.35">
      <c r="A120" t="s">
        <v>17</v>
      </c>
      <c r="B120">
        <v>2</v>
      </c>
      <c r="C120" s="8" t="s">
        <v>91</v>
      </c>
      <c r="D120" s="4">
        <v>0.20014391426434677</v>
      </c>
      <c r="E120" s="4">
        <v>0.29234881858229878</v>
      </c>
      <c r="F120">
        <v>32.5</v>
      </c>
      <c r="G120" s="4">
        <f t="shared" si="1"/>
        <v>19.01634698652607</v>
      </c>
    </row>
    <row r="121" spans="1:7" x14ac:dyDescent="0.35">
      <c r="A121" t="s">
        <v>17</v>
      </c>
      <c r="B121">
        <v>2</v>
      </c>
      <c r="C121" s="8" t="s">
        <v>90</v>
      </c>
      <c r="D121" s="4">
        <v>0.14935639405279952</v>
      </c>
      <c r="E121" s="4">
        <v>0.42445150196848536</v>
      </c>
      <c r="F121">
        <v>29</v>
      </c>
      <c r="G121" s="4">
        <f t="shared" si="1"/>
        <v>18.384418277449235</v>
      </c>
    </row>
    <row r="122" spans="1:7" x14ac:dyDescent="0.35">
      <c r="A122" t="s">
        <v>17</v>
      </c>
      <c r="B122">
        <v>3</v>
      </c>
      <c r="C122" s="9" t="s">
        <v>93</v>
      </c>
      <c r="D122" s="4">
        <v>0.73954422881841031</v>
      </c>
      <c r="E122" s="4">
        <v>0.10462629446195416</v>
      </c>
      <c r="F122">
        <v>36</v>
      </c>
      <c r="G122" s="4">
        <f t="shared" si="1"/>
        <v>27.855278010717768</v>
      </c>
    </row>
    <row r="123" spans="1:7" x14ac:dyDescent="0.35">
      <c r="A123" t="s">
        <v>17</v>
      </c>
      <c r="B123">
        <v>3</v>
      </c>
      <c r="C123" s="8" t="s">
        <v>92</v>
      </c>
      <c r="D123" s="4">
        <v>0.38754870684175746</v>
      </c>
      <c r="E123" s="4">
        <v>0.14072965784064809</v>
      </c>
      <c r="F123">
        <v>32.5</v>
      </c>
      <c r="G123" s="4">
        <f t="shared" si="1"/>
        <v>17.725368995888502</v>
      </c>
    </row>
    <row r="124" spans="1:7" x14ac:dyDescent="0.35">
      <c r="A124" t="s">
        <v>17</v>
      </c>
      <c r="B124">
        <v>3</v>
      </c>
      <c r="C124" s="8" t="s">
        <v>91</v>
      </c>
      <c r="D124" s="4">
        <v>0.31990213342070711</v>
      </c>
      <c r="E124" s="4">
        <v>0.15251568819672334</v>
      </c>
      <c r="F124">
        <v>31.5</v>
      </c>
      <c r="G124" s="4">
        <f t="shared" si="1"/>
        <v>15.368879620791635</v>
      </c>
    </row>
    <row r="125" spans="1:7" x14ac:dyDescent="0.35">
      <c r="A125" t="s">
        <v>17</v>
      </c>
      <c r="B125">
        <v>3</v>
      </c>
      <c r="C125" s="8" t="s">
        <v>90</v>
      </c>
      <c r="D125" s="4">
        <v>0.41531298177780485</v>
      </c>
      <c r="E125" s="4">
        <v>0.10071372480024729</v>
      </c>
      <c r="F125">
        <v>35.5</v>
      </c>
      <c r="G125" s="4">
        <f t="shared" si="1"/>
        <v>14.848839660222684</v>
      </c>
    </row>
    <row r="126" spans="1:7" x14ac:dyDescent="0.35">
      <c r="A126" t="s">
        <v>17</v>
      </c>
      <c r="B126">
        <v>4</v>
      </c>
      <c r="C126" s="9" t="s">
        <v>93</v>
      </c>
      <c r="D126" s="4" t="s">
        <v>33</v>
      </c>
      <c r="E126" s="4" t="s">
        <v>88</v>
      </c>
      <c r="F126" t="s">
        <v>33</v>
      </c>
      <c r="G126" s="4" t="s">
        <v>33</v>
      </c>
    </row>
    <row r="127" spans="1:7" x14ac:dyDescent="0.35">
      <c r="A127" t="s">
        <v>17</v>
      </c>
      <c r="B127">
        <v>4</v>
      </c>
      <c r="C127" s="8" t="s">
        <v>92</v>
      </c>
      <c r="D127" s="4">
        <v>1.1448979591836732</v>
      </c>
      <c r="E127" s="4">
        <v>5.3917167379710154E-2</v>
      </c>
      <c r="F127">
        <v>2</v>
      </c>
      <c r="G127" s="4">
        <f t="shared" si="1"/>
        <v>1.2345930979598934</v>
      </c>
    </row>
    <row r="128" spans="1:7" x14ac:dyDescent="0.35">
      <c r="A128" t="s">
        <v>17</v>
      </c>
      <c r="B128">
        <v>4</v>
      </c>
      <c r="C128" s="8" t="s">
        <v>91</v>
      </c>
      <c r="D128" s="4">
        <v>0.22519999999999998</v>
      </c>
      <c r="E128" s="4">
        <v>7.899591193914822E-2</v>
      </c>
      <c r="F128">
        <v>2</v>
      </c>
      <c r="G128" s="4">
        <f t="shared" si="1"/>
        <v>0.35579758737392359</v>
      </c>
    </row>
    <row r="129" spans="1:7" x14ac:dyDescent="0.35">
      <c r="A129" t="s">
        <v>17</v>
      </c>
      <c r="B129">
        <v>4</v>
      </c>
      <c r="C129" s="8" t="s">
        <v>90</v>
      </c>
      <c r="D129" s="4">
        <v>0.58730158730158732</v>
      </c>
      <c r="E129" s="4">
        <v>4.7125833820003543E-2</v>
      </c>
      <c r="F129">
        <v>4.5</v>
      </c>
      <c r="G129" s="4">
        <f t="shared" si="1"/>
        <v>1.2454684652429509</v>
      </c>
    </row>
    <row r="130" spans="1:7" x14ac:dyDescent="0.35">
      <c r="A130" t="s">
        <v>18</v>
      </c>
      <c r="B130">
        <v>1</v>
      </c>
      <c r="C130" s="9" t="s">
        <v>93</v>
      </c>
      <c r="D130" s="4">
        <v>3.5321284503932272E-2</v>
      </c>
      <c r="E130" s="4">
        <v>0.50005475451724735</v>
      </c>
      <c r="F130">
        <v>15.5</v>
      </c>
      <c r="G130" s="4">
        <f t="shared" ref="G130:G193" si="2">(D130*E130*F130)*10</f>
        <v>2.7376993190363939</v>
      </c>
    </row>
    <row r="131" spans="1:7" x14ac:dyDescent="0.35">
      <c r="A131" t="s">
        <v>18</v>
      </c>
      <c r="B131">
        <v>1</v>
      </c>
      <c r="C131" s="8" t="s">
        <v>92</v>
      </c>
      <c r="D131" s="4">
        <v>5.0693784354005879E-2</v>
      </c>
      <c r="E131" s="4">
        <v>0.48018419146694791</v>
      </c>
      <c r="F131">
        <v>21</v>
      </c>
      <c r="G131" s="4">
        <f t="shared" si="2"/>
        <v>5.1118943090099069</v>
      </c>
    </row>
    <row r="132" spans="1:7" x14ac:dyDescent="0.35">
      <c r="A132" t="s">
        <v>18</v>
      </c>
      <c r="B132">
        <v>1</v>
      </c>
      <c r="C132" s="8" t="s">
        <v>91</v>
      </c>
      <c r="D132" s="4">
        <v>3.6725323686643621E-2</v>
      </c>
      <c r="E132" s="4">
        <v>0.473841077963847</v>
      </c>
      <c r="F132">
        <v>11</v>
      </c>
      <c r="G132" s="4">
        <f t="shared" si="2"/>
        <v>1.914216366067546</v>
      </c>
    </row>
    <row r="133" spans="1:7" x14ac:dyDescent="0.35">
      <c r="A133" t="s">
        <v>18</v>
      </c>
      <c r="B133">
        <v>1</v>
      </c>
      <c r="C133" s="8" t="s">
        <v>90</v>
      </c>
      <c r="D133" s="4">
        <v>5.0255150781377995E-2</v>
      </c>
      <c r="E133" s="4">
        <v>0.5024728918659026</v>
      </c>
      <c r="F133">
        <v>15.5</v>
      </c>
      <c r="G133" s="4">
        <f t="shared" si="2"/>
        <v>3.9140368963627763</v>
      </c>
    </row>
    <row r="134" spans="1:7" x14ac:dyDescent="0.35">
      <c r="A134" t="s">
        <v>18</v>
      </c>
      <c r="B134">
        <v>2</v>
      </c>
      <c r="C134" s="9" t="s">
        <v>93</v>
      </c>
      <c r="D134" s="4">
        <v>6.1670300213206977E-2</v>
      </c>
      <c r="E134" s="4">
        <v>0.46914153427916078</v>
      </c>
      <c r="F134">
        <v>21.5</v>
      </c>
      <c r="G134" s="4">
        <f t="shared" si="2"/>
        <v>6.220401341218281</v>
      </c>
    </row>
    <row r="135" spans="1:7" x14ac:dyDescent="0.35">
      <c r="A135" t="s">
        <v>18</v>
      </c>
      <c r="B135">
        <v>2</v>
      </c>
      <c r="C135" s="8" t="s">
        <v>92</v>
      </c>
      <c r="D135" s="4">
        <v>7.3128392409917836E-2</v>
      </c>
      <c r="E135" s="4">
        <v>0.45688743244797025</v>
      </c>
      <c r="F135">
        <v>13.5</v>
      </c>
      <c r="G135" s="4">
        <f t="shared" si="2"/>
        <v>4.5105448653740243</v>
      </c>
    </row>
    <row r="136" spans="1:7" x14ac:dyDescent="0.35">
      <c r="A136" t="s">
        <v>18</v>
      </c>
      <c r="B136">
        <v>2</v>
      </c>
      <c r="C136" s="8" t="s">
        <v>91</v>
      </c>
      <c r="D136" s="4">
        <v>5.6129221363423042E-2</v>
      </c>
      <c r="E136" s="4">
        <v>0.44370068765834203</v>
      </c>
      <c r="F136">
        <v>24</v>
      </c>
      <c r="G136" s="4">
        <f t="shared" si="2"/>
        <v>5.9770977880027454</v>
      </c>
    </row>
    <row r="137" spans="1:7" x14ac:dyDescent="0.35">
      <c r="A137" t="s">
        <v>18</v>
      </c>
      <c r="B137">
        <v>2</v>
      </c>
      <c r="C137" s="8" t="s">
        <v>90</v>
      </c>
      <c r="D137" s="4">
        <v>8.4464474323667674E-2</v>
      </c>
      <c r="E137" s="4">
        <v>0.46670098241072988</v>
      </c>
      <c r="F137">
        <v>24</v>
      </c>
      <c r="G137" s="4">
        <f t="shared" si="2"/>
        <v>9.4607167549587778</v>
      </c>
    </row>
    <row r="138" spans="1:7" x14ac:dyDescent="0.35">
      <c r="A138" t="s">
        <v>18</v>
      </c>
      <c r="B138">
        <v>3</v>
      </c>
      <c r="C138" s="9" t="s">
        <v>93</v>
      </c>
      <c r="D138" s="4">
        <v>0.29949155494916524</v>
      </c>
      <c r="E138" s="4">
        <v>0.14909939179705753</v>
      </c>
      <c r="F138">
        <v>33</v>
      </c>
      <c r="G138" s="4">
        <f t="shared" si="2"/>
        <v>14.735822868120941</v>
      </c>
    </row>
    <row r="139" spans="1:7" x14ac:dyDescent="0.35">
      <c r="A139" t="s">
        <v>18</v>
      </c>
      <c r="B139">
        <v>3</v>
      </c>
      <c r="C139" s="8" t="s">
        <v>92</v>
      </c>
      <c r="D139" s="4">
        <v>0.55112288644846064</v>
      </c>
      <c r="E139" s="4">
        <v>8.0070141846742798E-2</v>
      </c>
      <c r="F139">
        <v>27</v>
      </c>
      <c r="G139" s="4">
        <f t="shared" si="2"/>
        <v>11.914691677086932</v>
      </c>
    </row>
    <row r="140" spans="1:7" x14ac:dyDescent="0.35">
      <c r="A140" t="s">
        <v>18</v>
      </c>
      <c r="B140">
        <v>3</v>
      </c>
      <c r="C140" s="8" t="s">
        <v>91</v>
      </c>
      <c r="D140" s="4">
        <v>0.19529396508054905</v>
      </c>
      <c r="E140" s="4">
        <v>0.19784803337306317</v>
      </c>
      <c r="F140">
        <v>14</v>
      </c>
      <c r="G140" s="4">
        <f t="shared" si="2"/>
        <v>5.4093937689140015</v>
      </c>
    </row>
    <row r="141" spans="1:7" x14ac:dyDescent="0.35">
      <c r="A141" t="s">
        <v>18</v>
      </c>
      <c r="B141">
        <v>3</v>
      </c>
      <c r="C141" s="8" t="s">
        <v>90</v>
      </c>
      <c r="D141" s="4">
        <v>0.26579196125168142</v>
      </c>
      <c r="E141" s="4">
        <v>0.14675998207148977</v>
      </c>
      <c r="F141">
        <v>33</v>
      </c>
      <c r="G141" s="4">
        <f t="shared" si="2"/>
        <v>12.872515744454144</v>
      </c>
    </row>
    <row r="142" spans="1:7" x14ac:dyDescent="0.35">
      <c r="A142" t="s">
        <v>18</v>
      </c>
      <c r="B142">
        <v>4</v>
      </c>
      <c r="C142" s="9" t="s">
        <v>93</v>
      </c>
      <c r="D142" s="4">
        <v>0.94916667966698376</v>
      </c>
      <c r="E142" s="4">
        <v>3.9233356592665899E-2</v>
      </c>
      <c r="F142">
        <v>63.5</v>
      </c>
      <c r="G142" s="4">
        <f t="shared" si="2"/>
        <v>23.646761703874681</v>
      </c>
    </row>
    <row r="143" spans="1:7" x14ac:dyDescent="0.35">
      <c r="A143" t="s">
        <v>18</v>
      </c>
      <c r="B143">
        <v>4</v>
      </c>
      <c r="C143" s="8" t="s">
        <v>92</v>
      </c>
      <c r="D143" s="4">
        <v>0.80936935989495729</v>
      </c>
      <c r="E143" s="4">
        <v>3.6345397848191074E-2</v>
      </c>
      <c r="F143">
        <v>50</v>
      </c>
      <c r="G143" s="4">
        <f t="shared" si="2"/>
        <v>14.708425695758985</v>
      </c>
    </row>
    <row r="144" spans="1:7" x14ac:dyDescent="0.35">
      <c r="A144" t="s">
        <v>18</v>
      </c>
      <c r="B144">
        <v>4</v>
      </c>
      <c r="C144" s="8" t="s">
        <v>91</v>
      </c>
      <c r="D144" s="4">
        <v>0.89699396228483597</v>
      </c>
      <c r="E144" s="4">
        <v>4.4791572218696146E-2</v>
      </c>
      <c r="F144">
        <v>65.5</v>
      </c>
      <c r="G144" s="4">
        <f t="shared" si="2"/>
        <v>26.316439246127246</v>
      </c>
    </row>
    <row r="145" spans="1:7" x14ac:dyDescent="0.35">
      <c r="A145" t="s">
        <v>18</v>
      </c>
      <c r="B145">
        <v>4</v>
      </c>
      <c r="C145" s="8" t="s">
        <v>90</v>
      </c>
      <c r="D145" s="4">
        <v>0.74612801540039442</v>
      </c>
      <c r="E145" s="4">
        <v>3.6478443255670887E-2</v>
      </c>
      <c r="F145">
        <v>63</v>
      </c>
      <c r="G145" s="4">
        <f t="shared" si="2"/>
        <v>17.147080736887261</v>
      </c>
    </row>
    <row r="146" spans="1:7" x14ac:dyDescent="0.35">
      <c r="A146" t="s">
        <v>19</v>
      </c>
      <c r="B146">
        <v>1</v>
      </c>
      <c r="C146" s="9" t="s">
        <v>93</v>
      </c>
      <c r="D146" s="4">
        <v>6.8000000000000005E-2</v>
      </c>
      <c r="E146" s="4">
        <v>0.45384291597460719</v>
      </c>
      <c r="F146">
        <v>8</v>
      </c>
      <c r="G146" s="4">
        <f t="shared" si="2"/>
        <v>2.4689054629018634</v>
      </c>
    </row>
    <row r="147" spans="1:7" x14ac:dyDescent="0.35">
      <c r="A147" t="s">
        <v>19</v>
      </c>
      <c r="B147">
        <v>1</v>
      </c>
      <c r="C147" s="8" t="s">
        <v>92</v>
      </c>
      <c r="D147" s="4">
        <v>8.027074072733853E-2</v>
      </c>
      <c r="E147" s="4">
        <v>0.42524678487066597</v>
      </c>
      <c r="F147">
        <v>12.5</v>
      </c>
      <c r="G147" s="4">
        <f t="shared" si="2"/>
        <v>4.2668593016859413</v>
      </c>
    </row>
    <row r="148" spans="1:7" x14ac:dyDescent="0.35">
      <c r="A148" t="s">
        <v>19</v>
      </c>
      <c r="B148">
        <v>1</v>
      </c>
      <c r="C148" s="8" t="s">
        <v>91</v>
      </c>
      <c r="D148" s="4">
        <v>4.8693333333333325E-2</v>
      </c>
      <c r="E148" s="4">
        <v>0.41215606268505744</v>
      </c>
      <c r="F148">
        <v>7.5</v>
      </c>
      <c r="G148" s="4">
        <f t="shared" si="2"/>
        <v>1.5051939409258297</v>
      </c>
    </row>
    <row r="149" spans="1:7" x14ac:dyDescent="0.35">
      <c r="A149" t="s">
        <v>19</v>
      </c>
      <c r="B149">
        <v>1</v>
      </c>
      <c r="C149" s="8" t="s">
        <v>90</v>
      </c>
      <c r="D149" s="4">
        <v>8.2327272727272735E-2</v>
      </c>
      <c r="E149" s="4">
        <v>0.39590305892937472</v>
      </c>
      <c r="F149">
        <v>5.5</v>
      </c>
      <c r="G149" s="4">
        <f t="shared" si="2"/>
        <v>1.7926490508322088</v>
      </c>
    </row>
    <row r="150" spans="1:7" x14ac:dyDescent="0.35">
      <c r="A150" t="s">
        <v>19</v>
      </c>
      <c r="B150">
        <v>2</v>
      </c>
      <c r="C150" s="9" t="s">
        <v>93</v>
      </c>
      <c r="D150" s="4">
        <v>0.13374478560830858</v>
      </c>
      <c r="E150" s="4">
        <v>0.40218907746730781</v>
      </c>
      <c r="F150">
        <v>20</v>
      </c>
      <c r="G150" s="4">
        <f t="shared" si="2"/>
        <v>10.758138387973698</v>
      </c>
    </row>
    <row r="151" spans="1:7" x14ac:dyDescent="0.35">
      <c r="A151" t="s">
        <v>19</v>
      </c>
      <c r="B151">
        <v>2</v>
      </c>
      <c r="C151" s="8" t="s">
        <v>92</v>
      </c>
      <c r="D151" s="4">
        <v>0.16545972350926397</v>
      </c>
      <c r="E151" s="4">
        <v>0.36942006269592459</v>
      </c>
      <c r="F151">
        <v>17.5</v>
      </c>
      <c r="G151" s="4">
        <f t="shared" si="2"/>
        <v>10.696724750677461</v>
      </c>
    </row>
    <row r="152" spans="1:7" x14ac:dyDescent="0.35">
      <c r="A152" t="s">
        <v>19</v>
      </c>
      <c r="B152">
        <v>2</v>
      </c>
      <c r="C152" s="8" t="s">
        <v>91</v>
      </c>
      <c r="D152" s="4">
        <v>0.10566406074084936</v>
      </c>
      <c r="E152" s="4">
        <v>0.39704837186256431</v>
      </c>
      <c r="F152">
        <v>26.5</v>
      </c>
      <c r="G152" s="4">
        <f t="shared" si="2"/>
        <v>11.117741969608455</v>
      </c>
    </row>
    <row r="153" spans="1:7" x14ac:dyDescent="0.35">
      <c r="A153" t="s">
        <v>19</v>
      </c>
      <c r="B153">
        <v>2</v>
      </c>
      <c r="C153" s="8" t="s">
        <v>90</v>
      </c>
      <c r="D153" s="4">
        <v>0.16153031148943262</v>
      </c>
      <c r="E153" s="4">
        <v>0.298845553449402</v>
      </c>
      <c r="F153">
        <v>29.5</v>
      </c>
      <c r="G153" s="4">
        <f t="shared" si="2"/>
        <v>14.240421524094566</v>
      </c>
    </row>
    <row r="154" spans="1:7" x14ac:dyDescent="0.35">
      <c r="A154" s="14" t="s">
        <v>19</v>
      </c>
      <c r="B154" s="14">
        <v>3</v>
      </c>
      <c r="C154" s="23" t="s">
        <v>93</v>
      </c>
      <c r="D154" s="4">
        <v>0.32669677662389462</v>
      </c>
      <c r="E154" s="4"/>
      <c r="F154">
        <v>25</v>
      </c>
      <c r="G154" s="4"/>
    </row>
    <row r="155" spans="1:7" x14ac:dyDescent="0.35">
      <c r="A155" t="s">
        <v>19</v>
      </c>
      <c r="B155">
        <v>3</v>
      </c>
      <c r="C155" s="8" t="s">
        <v>92</v>
      </c>
      <c r="D155" s="4">
        <v>0.4616218977450639</v>
      </c>
      <c r="E155" s="4">
        <v>0.1437124616423944</v>
      </c>
      <c r="F155">
        <v>26.5</v>
      </c>
      <c r="G155" s="4">
        <f t="shared" si="2"/>
        <v>17.580317107338853</v>
      </c>
    </row>
    <row r="156" spans="1:7" x14ac:dyDescent="0.35">
      <c r="A156" t="s">
        <v>19</v>
      </c>
      <c r="B156">
        <v>3</v>
      </c>
      <c r="C156" s="8" t="s">
        <v>91</v>
      </c>
      <c r="D156" s="4">
        <v>0.7324305982940279</v>
      </c>
      <c r="E156" s="4">
        <v>8.0114470551361255E-2</v>
      </c>
      <c r="F156">
        <v>41</v>
      </c>
      <c r="G156" s="4">
        <f t="shared" si="2"/>
        <v>24.058098735156548</v>
      </c>
    </row>
    <row r="157" spans="1:7" x14ac:dyDescent="0.35">
      <c r="A157" t="s">
        <v>19</v>
      </c>
      <c r="B157">
        <v>3</v>
      </c>
      <c r="C157" s="8" t="s">
        <v>90</v>
      </c>
      <c r="D157" s="4">
        <v>0.61087321493407565</v>
      </c>
      <c r="E157" s="4">
        <v>7.6065475570371868E-2</v>
      </c>
      <c r="F157">
        <v>46</v>
      </c>
      <c r="G157" s="4">
        <f t="shared" si="2"/>
        <v>21.374526339294732</v>
      </c>
    </row>
    <row r="158" spans="1:7" x14ac:dyDescent="0.35">
      <c r="A158" t="s">
        <v>19</v>
      </c>
      <c r="B158">
        <v>4</v>
      </c>
      <c r="C158" s="9" t="s">
        <v>93</v>
      </c>
      <c r="D158" s="4">
        <v>0.70326530612244897</v>
      </c>
      <c r="E158" s="4">
        <v>7.2666319865903661E-2</v>
      </c>
      <c r="F158">
        <v>10</v>
      </c>
      <c r="G158" s="4">
        <f t="shared" si="2"/>
        <v>5.1103701685286529</v>
      </c>
    </row>
    <row r="159" spans="1:7" x14ac:dyDescent="0.35">
      <c r="A159" t="s">
        <v>19</v>
      </c>
      <c r="B159">
        <v>4</v>
      </c>
      <c r="C159" s="8" t="s">
        <v>92</v>
      </c>
      <c r="D159" s="4">
        <v>0.87653061224489781</v>
      </c>
      <c r="E159" s="4">
        <v>7.1169291952589114E-2</v>
      </c>
      <c r="F159">
        <v>28</v>
      </c>
      <c r="G159" s="4">
        <f t="shared" si="2"/>
        <v>17.46697765350687</v>
      </c>
    </row>
    <row r="160" spans="1:7" x14ac:dyDescent="0.35">
      <c r="A160" t="s">
        <v>19</v>
      </c>
      <c r="B160">
        <v>4</v>
      </c>
      <c r="C160" s="8" t="s">
        <v>91</v>
      </c>
      <c r="D160" s="4">
        <v>0.79068550497121914</v>
      </c>
      <c r="E160" s="4">
        <v>5.5033194625329587E-2</v>
      </c>
      <c r="F160">
        <v>19.5</v>
      </c>
      <c r="G160" s="4">
        <f t="shared" si="2"/>
        <v>8.4852201100890809</v>
      </c>
    </row>
    <row r="161" spans="1:7" x14ac:dyDescent="0.35">
      <c r="A161" t="s">
        <v>19</v>
      </c>
      <c r="B161">
        <v>4</v>
      </c>
      <c r="C161" s="8" t="s">
        <v>90</v>
      </c>
      <c r="D161" s="4">
        <v>0.69523809523809521</v>
      </c>
      <c r="E161" s="4">
        <v>4.2355843988293562E-2</v>
      </c>
      <c r="F161">
        <v>7.5</v>
      </c>
      <c r="G161" s="4">
        <f t="shared" si="2"/>
        <v>2.2085547222467357</v>
      </c>
    </row>
    <row r="162" spans="1:7" x14ac:dyDescent="0.35">
      <c r="A162" t="s">
        <v>20</v>
      </c>
      <c r="B162">
        <v>1</v>
      </c>
      <c r="C162" s="9" t="s">
        <v>93</v>
      </c>
      <c r="D162" s="4">
        <v>2.8963353666535532E-2</v>
      </c>
      <c r="E162" s="4">
        <v>0.46142508031990981</v>
      </c>
      <c r="F162">
        <v>11</v>
      </c>
      <c r="G162" s="4">
        <f t="shared" si="2"/>
        <v>1.4700859571106624</v>
      </c>
    </row>
    <row r="163" spans="1:7" x14ac:dyDescent="0.35">
      <c r="A163" t="s">
        <v>20</v>
      </c>
      <c r="B163">
        <v>1</v>
      </c>
      <c r="C163" s="8" t="s">
        <v>92</v>
      </c>
      <c r="D163" s="4">
        <v>6.0514145658263303E-2</v>
      </c>
      <c r="E163" s="4">
        <v>0.38242271927619997</v>
      </c>
      <c r="F163">
        <v>7</v>
      </c>
      <c r="G163" s="4">
        <f t="shared" si="2"/>
        <v>1.6199388896116371</v>
      </c>
    </row>
    <row r="164" spans="1:7" x14ac:dyDescent="0.35">
      <c r="A164" t="s">
        <v>20</v>
      </c>
      <c r="B164">
        <v>1</v>
      </c>
      <c r="C164" s="8" t="s">
        <v>91</v>
      </c>
      <c r="D164" s="4">
        <v>3.6867689186447575E-2</v>
      </c>
      <c r="E164" s="4">
        <v>0.41008957599566642</v>
      </c>
      <c r="F164">
        <v>8</v>
      </c>
      <c r="G164" s="4">
        <f t="shared" si="2"/>
        <v>1.2095244021128242</v>
      </c>
    </row>
    <row r="165" spans="1:7" x14ac:dyDescent="0.35">
      <c r="A165" t="s">
        <v>20</v>
      </c>
      <c r="B165">
        <v>1</v>
      </c>
      <c r="C165" s="8" t="s">
        <v>90</v>
      </c>
      <c r="D165" s="4">
        <v>7.3494412599154638E-2</v>
      </c>
      <c r="E165" s="4">
        <v>0.4701587285321952</v>
      </c>
      <c r="F165">
        <v>9.5</v>
      </c>
      <c r="G165" s="4">
        <f t="shared" si="2"/>
        <v>3.2826337602747135</v>
      </c>
    </row>
    <row r="166" spans="1:7" x14ac:dyDescent="0.35">
      <c r="A166" t="s">
        <v>20</v>
      </c>
      <c r="B166">
        <v>2</v>
      </c>
      <c r="C166" s="9" t="s">
        <v>93</v>
      </c>
      <c r="D166" s="4">
        <v>0.30926032991659408</v>
      </c>
      <c r="E166" s="4">
        <v>0.19255731804106976</v>
      </c>
      <c r="F166">
        <v>17.5</v>
      </c>
      <c r="G166" s="4">
        <f t="shared" si="2"/>
        <v>10.421309448416258</v>
      </c>
    </row>
    <row r="167" spans="1:7" x14ac:dyDescent="0.35">
      <c r="A167" t="s">
        <v>20</v>
      </c>
      <c r="B167">
        <v>2</v>
      </c>
      <c r="C167" s="8" t="s">
        <v>92</v>
      </c>
      <c r="D167" s="4">
        <v>7.0828491140973865E-2</v>
      </c>
      <c r="E167" s="4">
        <v>0.28082718909406779</v>
      </c>
      <c r="F167">
        <v>12.5</v>
      </c>
      <c r="G167" s="4">
        <f t="shared" si="2"/>
        <v>2.4863207593617216</v>
      </c>
    </row>
    <row r="168" spans="1:7" x14ac:dyDescent="0.35">
      <c r="A168" t="s">
        <v>20</v>
      </c>
      <c r="B168">
        <v>2</v>
      </c>
      <c r="C168" s="8" t="s">
        <v>91</v>
      </c>
      <c r="D168" s="4">
        <v>0.43049242792542397</v>
      </c>
      <c r="E168" s="4">
        <v>0.1063296731036225</v>
      </c>
      <c r="F168">
        <v>7.5</v>
      </c>
      <c r="G168" s="4">
        <f t="shared" si="2"/>
        <v>3.4330589351171326</v>
      </c>
    </row>
    <row r="169" spans="1:7" x14ac:dyDescent="0.35">
      <c r="A169" t="s">
        <v>20</v>
      </c>
      <c r="B169">
        <v>2</v>
      </c>
      <c r="C169" s="8" t="s">
        <v>90</v>
      </c>
      <c r="D169" s="4">
        <v>0.21488816298788455</v>
      </c>
      <c r="E169" s="4">
        <v>0.28794071640433894</v>
      </c>
      <c r="F169">
        <v>17.5</v>
      </c>
      <c r="G169" s="4">
        <f t="shared" si="2"/>
        <v>10.828134029570169</v>
      </c>
    </row>
    <row r="170" spans="1:7" x14ac:dyDescent="0.35">
      <c r="A170" t="s">
        <v>20</v>
      </c>
      <c r="B170">
        <v>3</v>
      </c>
      <c r="C170" s="9" t="s">
        <v>93</v>
      </c>
      <c r="D170" s="4" t="s">
        <v>89</v>
      </c>
      <c r="E170" s="4" t="s">
        <v>88</v>
      </c>
      <c r="F170">
        <v>0</v>
      </c>
      <c r="G170" s="4">
        <v>0</v>
      </c>
    </row>
    <row r="171" spans="1:7" x14ac:dyDescent="0.35">
      <c r="A171" t="s">
        <v>20</v>
      </c>
      <c r="B171">
        <v>3</v>
      </c>
      <c r="C171" s="8" t="s">
        <v>92</v>
      </c>
      <c r="D171" s="4">
        <v>0.45878585402003008</v>
      </c>
      <c r="E171" s="4">
        <v>7.9814432989690529E-2</v>
      </c>
      <c r="F171">
        <v>16.5</v>
      </c>
      <c r="G171" s="4">
        <f t="shared" si="2"/>
        <v>6.0419259123794387</v>
      </c>
    </row>
    <row r="172" spans="1:7" x14ac:dyDescent="0.35">
      <c r="A172" t="s">
        <v>20</v>
      </c>
      <c r="B172">
        <v>3</v>
      </c>
      <c r="C172" s="8" t="s">
        <v>91</v>
      </c>
      <c r="D172" s="4">
        <v>0.6574909579465027</v>
      </c>
      <c r="E172" s="4">
        <v>6.1047299389885082E-2</v>
      </c>
      <c r="F172">
        <v>13.5</v>
      </c>
      <c r="G172" s="4">
        <f t="shared" si="2"/>
        <v>5.4186363930468362</v>
      </c>
    </row>
    <row r="173" spans="1:7" x14ac:dyDescent="0.35">
      <c r="A173" t="s">
        <v>20</v>
      </c>
      <c r="B173">
        <v>3</v>
      </c>
      <c r="C173" s="8" t="s">
        <v>90</v>
      </c>
      <c r="D173" s="4">
        <v>0.31370249401787065</v>
      </c>
      <c r="E173" s="4">
        <v>0.11124285323530794</v>
      </c>
      <c r="F173">
        <v>2.5</v>
      </c>
      <c r="G173" s="4">
        <f t="shared" si="2"/>
        <v>0.87242901253950123</v>
      </c>
    </row>
    <row r="174" spans="1:7" x14ac:dyDescent="0.35">
      <c r="A174" t="s">
        <v>20</v>
      </c>
      <c r="B174">
        <v>4</v>
      </c>
      <c r="C174" s="9" t="s">
        <v>93</v>
      </c>
      <c r="D174" s="4">
        <v>0.66903760232813025</v>
      </c>
      <c r="E174" s="4">
        <v>6.6667114490689933E-2</v>
      </c>
      <c r="F174">
        <v>8</v>
      </c>
      <c r="G174" s="4">
        <f t="shared" si="2"/>
        <v>3.5682245146388913</v>
      </c>
    </row>
    <row r="175" spans="1:7" x14ac:dyDescent="0.35">
      <c r="A175" t="s">
        <v>20</v>
      </c>
      <c r="B175">
        <v>4</v>
      </c>
      <c r="C175" s="8" t="s">
        <v>92</v>
      </c>
      <c r="D175" s="4">
        <v>1.2413239100471853</v>
      </c>
      <c r="E175" s="4">
        <v>6.4530199668258723E-2</v>
      </c>
      <c r="F175">
        <v>11</v>
      </c>
      <c r="G175" s="4">
        <f t="shared" si="2"/>
        <v>8.8113167745161345</v>
      </c>
    </row>
    <row r="176" spans="1:7" x14ac:dyDescent="0.35">
      <c r="A176" t="s">
        <v>20</v>
      </c>
      <c r="B176">
        <v>4</v>
      </c>
      <c r="C176" s="8" t="s">
        <v>91</v>
      </c>
      <c r="D176" s="4">
        <v>0.71029409961139434</v>
      </c>
      <c r="E176" s="4">
        <v>5.1239823003669728E-2</v>
      </c>
      <c r="F176">
        <v>10</v>
      </c>
      <c r="G176" s="4">
        <f t="shared" si="2"/>
        <v>3.6395343944638805</v>
      </c>
    </row>
    <row r="177" spans="1:7" x14ac:dyDescent="0.35">
      <c r="A177" t="s">
        <v>20</v>
      </c>
      <c r="B177">
        <v>4</v>
      </c>
      <c r="C177" s="8" t="s">
        <v>90</v>
      </c>
      <c r="D177" s="4">
        <v>0.60501811398260785</v>
      </c>
      <c r="E177" s="4">
        <v>6.8932420249940035E-2</v>
      </c>
      <c r="F177">
        <v>13</v>
      </c>
      <c r="G177" s="4">
        <f t="shared" si="2"/>
        <v>5.4216971759437813</v>
      </c>
    </row>
    <row r="178" spans="1:7" x14ac:dyDescent="0.35">
      <c r="A178" t="s">
        <v>21</v>
      </c>
      <c r="B178">
        <v>1</v>
      </c>
      <c r="C178" s="9" t="s">
        <v>93</v>
      </c>
      <c r="D178" s="4">
        <v>4.7160696720797535E-2</v>
      </c>
      <c r="E178" s="4">
        <v>0.47585210006077772</v>
      </c>
      <c r="F178">
        <v>12.5</v>
      </c>
      <c r="G178" s="4">
        <f t="shared" si="2"/>
        <v>2.8051895718651174</v>
      </c>
    </row>
    <row r="179" spans="1:7" x14ac:dyDescent="0.35">
      <c r="A179" t="s">
        <v>21</v>
      </c>
      <c r="B179">
        <v>1</v>
      </c>
      <c r="C179" s="8" t="s">
        <v>92</v>
      </c>
      <c r="D179" s="4">
        <v>5.5474486673384671E-2</v>
      </c>
      <c r="E179" s="4">
        <v>0.48150899139953152</v>
      </c>
      <c r="F179">
        <v>9.5</v>
      </c>
      <c r="G179" s="4">
        <f t="shared" si="2"/>
        <v>2.5375890920182793</v>
      </c>
    </row>
    <row r="180" spans="1:7" x14ac:dyDescent="0.35">
      <c r="A180" t="s">
        <v>21</v>
      </c>
      <c r="B180">
        <v>1</v>
      </c>
      <c r="C180" s="8" t="s">
        <v>91</v>
      </c>
      <c r="D180" s="4">
        <v>0.12136043336703811</v>
      </c>
      <c r="E180" s="4">
        <v>0.4630477866645154</v>
      </c>
      <c r="F180">
        <v>9.5</v>
      </c>
      <c r="G180" s="4">
        <f t="shared" si="2"/>
        <v>5.3385896056290729</v>
      </c>
    </row>
    <row r="181" spans="1:7" x14ac:dyDescent="0.35">
      <c r="A181" t="s">
        <v>21</v>
      </c>
      <c r="B181">
        <v>1</v>
      </c>
      <c r="C181" s="8" t="s">
        <v>90</v>
      </c>
      <c r="D181" s="4">
        <v>0.11039103362391033</v>
      </c>
      <c r="E181" s="4">
        <v>0.48729795650907592</v>
      </c>
      <c r="F181">
        <v>9.3000000000000007</v>
      </c>
      <c r="G181" s="4">
        <f t="shared" si="2"/>
        <v>5.0027792344726265</v>
      </c>
    </row>
    <row r="182" spans="1:7" x14ac:dyDescent="0.35">
      <c r="A182" t="s">
        <v>21</v>
      </c>
      <c r="B182">
        <v>2</v>
      </c>
      <c r="C182" s="9" t="s">
        <v>93</v>
      </c>
      <c r="D182" s="4">
        <v>0.14339218905712384</v>
      </c>
      <c r="E182" s="4">
        <v>0.30800754682018611</v>
      </c>
      <c r="F182">
        <v>8.5</v>
      </c>
      <c r="G182" s="4">
        <f t="shared" si="2"/>
        <v>3.7540994926961888</v>
      </c>
    </row>
    <row r="183" spans="1:7" x14ac:dyDescent="0.35">
      <c r="A183" t="s">
        <v>21</v>
      </c>
      <c r="B183">
        <v>2</v>
      </c>
      <c r="C183" s="8" t="s">
        <v>92</v>
      </c>
      <c r="D183" s="4">
        <v>0.18700847992535463</v>
      </c>
      <c r="E183" s="4">
        <v>0.30655067377412815</v>
      </c>
      <c r="F183">
        <v>26</v>
      </c>
      <c r="G183" s="4">
        <f t="shared" si="2"/>
        <v>14.905169635874175</v>
      </c>
    </row>
    <row r="184" spans="1:7" x14ac:dyDescent="0.35">
      <c r="A184" t="s">
        <v>21</v>
      </c>
      <c r="B184">
        <v>2</v>
      </c>
      <c r="C184" s="8" t="s">
        <v>91</v>
      </c>
      <c r="D184" s="4">
        <v>0.13103451196684054</v>
      </c>
      <c r="E184" s="4">
        <v>0.41396048856819978</v>
      </c>
      <c r="F184">
        <v>3</v>
      </c>
      <c r="G184" s="4">
        <f t="shared" si="2"/>
        <v>1.6272933177926681</v>
      </c>
    </row>
    <row r="185" spans="1:7" x14ac:dyDescent="0.35">
      <c r="A185" t="s">
        <v>21</v>
      </c>
      <c r="B185">
        <v>2</v>
      </c>
      <c r="C185" s="8" t="s">
        <v>90</v>
      </c>
      <c r="D185" s="4" t="s">
        <v>87</v>
      </c>
      <c r="E185" s="4">
        <v>0.4435540198141914</v>
      </c>
      <c r="F185">
        <v>3.5</v>
      </c>
      <c r="G185" s="4" t="s">
        <v>87</v>
      </c>
    </row>
    <row r="186" spans="1:7" x14ac:dyDescent="0.35">
      <c r="A186" t="s">
        <v>21</v>
      </c>
      <c r="B186">
        <v>3</v>
      </c>
      <c r="C186" s="9" t="s">
        <v>93</v>
      </c>
      <c r="D186" s="4">
        <v>0.15838493827160499</v>
      </c>
      <c r="E186" s="4">
        <v>0.25360149137655058</v>
      </c>
      <c r="F186">
        <v>3</v>
      </c>
      <c r="G186" s="4">
        <f t="shared" si="2"/>
        <v>1.2049996967178578</v>
      </c>
    </row>
    <row r="187" spans="1:7" x14ac:dyDescent="0.35">
      <c r="A187" t="s">
        <v>21</v>
      </c>
      <c r="B187">
        <v>3</v>
      </c>
      <c r="C187" s="8" t="s">
        <v>92</v>
      </c>
      <c r="D187" s="4">
        <v>0.86716592047305852</v>
      </c>
      <c r="E187" s="4">
        <v>7.4716915148168833E-2</v>
      </c>
      <c r="F187">
        <v>3.5</v>
      </c>
      <c r="G187" s="4">
        <f t="shared" si="2"/>
        <v>2.2677186874779229</v>
      </c>
    </row>
    <row r="188" spans="1:7" x14ac:dyDescent="0.35">
      <c r="A188" t="s">
        <v>21</v>
      </c>
      <c r="B188">
        <v>3</v>
      </c>
      <c r="C188" s="8" t="s">
        <v>91</v>
      </c>
      <c r="D188" s="4" t="s">
        <v>89</v>
      </c>
      <c r="E188" s="4" t="s">
        <v>88</v>
      </c>
      <c r="F188">
        <v>0</v>
      </c>
      <c r="G188" s="4">
        <v>0</v>
      </c>
    </row>
    <row r="189" spans="1:7" x14ac:dyDescent="0.35">
      <c r="A189" t="s">
        <v>21</v>
      </c>
      <c r="B189">
        <v>3</v>
      </c>
      <c r="C189" s="8" t="s">
        <v>90</v>
      </c>
      <c r="D189" s="4" t="s">
        <v>89</v>
      </c>
      <c r="E189" s="4" t="s">
        <v>88</v>
      </c>
      <c r="F189">
        <v>0</v>
      </c>
      <c r="G189" s="4">
        <v>0</v>
      </c>
    </row>
    <row r="190" spans="1:7" x14ac:dyDescent="0.35">
      <c r="A190" t="s">
        <v>21</v>
      </c>
      <c r="B190">
        <v>4</v>
      </c>
      <c r="C190" s="9" t="s">
        <v>93</v>
      </c>
      <c r="D190" s="4">
        <v>0.31468446627863506</v>
      </c>
      <c r="E190" s="4">
        <v>8.1756503586339679E-2</v>
      </c>
      <c r="F190">
        <v>8.5</v>
      </c>
      <c r="G190" s="4">
        <f t="shared" si="2"/>
        <v>2.1868376441493425</v>
      </c>
    </row>
    <row r="191" spans="1:7" x14ac:dyDescent="0.35">
      <c r="A191" t="s">
        <v>21</v>
      </c>
      <c r="B191">
        <v>4</v>
      </c>
      <c r="C191" s="8" t="s">
        <v>92</v>
      </c>
      <c r="D191" s="4">
        <v>0.822772634023473</v>
      </c>
      <c r="E191" s="4">
        <v>5.8606689076096723E-2</v>
      </c>
      <c r="F191">
        <v>12.5</v>
      </c>
      <c r="G191" s="4">
        <f t="shared" si="2"/>
        <v>6.0274974928168499</v>
      </c>
    </row>
    <row r="192" spans="1:7" x14ac:dyDescent="0.35">
      <c r="A192" t="s">
        <v>21</v>
      </c>
      <c r="B192">
        <v>4</v>
      </c>
      <c r="C192" s="8" t="s">
        <v>91</v>
      </c>
      <c r="D192" s="4">
        <v>0.79688542310610611</v>
      </c>
      <c r="E192" s="4">
        <v>6.595472510083894E-2</v>
      </c>
      <c r="F192">
        <v>19</v>
      </c>
      <c r="G192" s="4">
        <f t="shared" si="2"/>
        <v>9.9860882133875002</v>
      </c>
    </row>
    <row r="193" spans="1:7" x14ac:dyDescent="0.35">
      <c r="A193" t="s">
        <v>21</v>
      </c>
      <c r="B193">
        <v>4</v>
      </c>
      <c r="C193" s="8" t="s">
        <v>90</v>
      </c>
      <c r="D193" s="4">
        <v>1.1154919679109279</v>
      </c>
      <c r="E193" s="4">
        <v>6.117705219377239E-2</v>
      </c>
      <c r="F193">
        <v>20.5</v>
      </c>
      <c r="G193" s="4">
        <f t="shared" si="2"/>
        <v>13.989714620237246</v>
      </c>
    </row>
    <row r="194" spans="1:7" x14ac:dyDescent="0.35">
      <c r="A194" t="s">
        <v>22</v>
      </c>
      <c r="B194">
        <v>1</v>
      </c>
      <c r="C194" s="9" t="s">
        <v>93</v>
      </c>
      <c r="D194" s="4">
        <v>5.9803602882933786E-2</v>
      </c>
      <c r="E194" s="4">
        <v>0.3934061135371183</v>
      </c>
      <c r="F194">
        <v>9.5</v>
      </c>
      <c r="G194" s="4">
        <f t="shared" ref="G194:G241" si="3">(D194*E194*F194)*10</f>
        <v>2.2350747836407576</v>
      </c>
    </row>
    <row r="195" spans="1:7" x14ac:dyDescent="0.35">
      <c r="A195" t="s">
        <v>22</v>
      </c>
      <c r="B195">
        <v>1</v>
      </c>
      <c r="C195" s="8" t="s">
        <v>92</v>
      </c>
      <c r="D195" s="4">
        <v>9.7963020349137508E-2</v>
      </c>
      <c r="E195" s="4">
        <v>0.4350007901078502</v>
      </c>
      <c r="F195">
        <v>10.5</v>
      </c>
      <c r="G195" s="4">
        <f t="shared" si="3"/>
        <v>4.4744690815887536</v>
      </c>
    </row>
    <row r="196" spans="1:7" x14ac:dyDescent="0.35">
      <c r="A196" t="s">
        <v>22</v>
      </c>
      <c r="B196">
        <v>1</v>
      </c>
      <c r="C196" s="8" t="s">
        <v>91</v>
      </c>
      <c r="D196" s="4">
        <v>0.11066463741777456</v>
      </c>
      <c r="E196" s="4">
        <v>0.39263099860718409</v>
      </c>
      <c r="F196">
        <v>11.5</v>
      </c>
      <c r="G196" s="4">
        <f t="shared" si="3"/>
        <v>4.9967922164819196</v>
      </c>
    </row>
    <row r="197" spans="1:7" x14ac:dyDescent="0.35">
      <c r="A197" t="s">
        <v>22</v>
      </c>
      <c r="B197">
        <v>1</v>
      </c>
      <c r="C197" s="8" t="s">
        <v>90</v>
      </c>
      <c r="D197" s="4">
        <v>0.114468484542239</v>
      </c>
      <c r="E197" s="4">
        <v>0.41498624301056186</v>
      </c>
      <c r="F197">
        <v>11</v>
      </c>
      <c r="G197" s="4">
        <f t="shared" si="3"/>
        <v>5.225313097762597</v>
      </c>
    </row>
    <row r="198" spans="1:7" x14ac:dyDescent="0.35">
      <c r="A198" t="s">
        <v>22</v>
      </c>
      <c r="B198">
        <v>2</v>
      </c>
      <c r="C198" s="9" t="s">
        <v>93</v>
      </c>
      <c r="D198" s="4">
        <v>0.32750119910888081</v>
      </c>
      <c r="E198" s="4">
        <v>0.19281095327657899</v>
      </c>
      <c r="F198">
        <v>30</v>
      </c>
      <c r="G198" s="4">
        <f t="shared" si="3"/>
        <v>18.943745519821803</v>
      </c>
    </row>
    <row r="199" spans="1:7" x14ac:dyDescent="0.35">
      <c r="A199" t="s">
        <v>22</v>
      </c>
      <c r="B199">
        <v>2</v>
      </c>
      <c r="C199" s="8" t="s">
        <v>92</v>
      </c>
      <c r="D199" s="4">
        <v>0.44566203585074127</v>
      </c>
      <c r="E199" s="4">
        <v>0.17790351700001011</v>
      </c>
      <c r="F199">
        <v>31.5</v>
      </c>
      <c r="G199" s="4">
        <f t="shared" si="3"/>
        <v>24.974725724937912</v>
      </c>
    </row>
    <row r="200" spans="1:7" x14ac:dyDescent="0.35">
      <c r="A200" t="s">
        <v>22</v>
      </c>
      <c r="B200">
        <v>2</v>
      </c>
      <c r="C200" s="8" t="s">
        <v>91</v>
      </c>
      <c r="D200" s="4">
        <v>0.37728504854023248</v>
      </c>
      <c r="E200" s="4">
        <v>0.19816073351149638</v>
      </c>
      <c r="F200" t="s">
        <v>33</v>
      </c>
      <c r="G200" s="4" t="s">
        <v>88</v>
      </c>
    </row>
    <row r="201" spans="1:7" x14ac:dyDescent="0.35">
      <c r="A201" t="s">
        <v>22</v>
      </c>
      <c r="B201">
        <v>2</v>
      </c>
      <c r="C201" s="8" t="s">
        <v>90</v>
      </c>
      <c r="D201" s="4">
        <v>0.39553027332531021</v>
      </c>
      <c r="E201" s="4">
        <v>0.23129231389953611</v>
      </c>
      <c r="F201">
        <v>0</v>
      </c>
      <c r="G201" s="4">
        <f t="shared" si="3"/>
        <v>0</v>
      </c>
    </row>
    <row r="202" spans="1:7" x14ac:dyDescent="0.35">
      <c r="A202" t="s">
        <v>22</v>
      </c>
      <c r="B202">
        <v>3</v>
      </c>
      <c r="C202" s="9" t="s">
        <v>93</v>
      </c>
      <c r="D202" s="4" t="s">
        <v>33</v>
      </c>
      <c r="E202" s="4">
        <v>0.13727719225818985</v>
      </c>
      <c r="F202" t="s">
        <v>33</v>
      </c>
      <c r="G202" s="4" t="s">
        <v>33</v>
      </c>
    </row>
    <row r="203" spans="1:7" x14ac:dyDescent="0.35">
      <c r="A203" t="s">
        <v>22</v>
      </c>
      <c r="B203">
        <v>3</v>
      </c>
      <c r="C203" s="8" t="s">
        <v>92</v>
      </c>
      <c r="D203" s="4" t="s">
        <v>33</v>
      </c>
      <c r="E203" s="4" t="s">
        <v>88</v>
      </c>
      <c r="F203" t="s">
        <v>33</v>
      </c>
      <c r="G203" s="4" t="s">
        <v>33</v>
      </c>
    </row>
    <row r="204" spans="1:7" x14ac:dyDescent="0.35">
      <c r="A204" t="s">
        <v>22</v>
      </c>
      <c r="B204">
        <v>3</v>
      </c>
      <c r="C204" s="8" t="s">
        <v>91</v>
      </c>
      <c r="D204" s="4">
        <v>0.13153741496598639</v>
      </c>
      <c r="E204" s="4" t="s">
        <v>88</v>
      </c>
      <c r="F204">
        <v>0</v>
      </c>
      <c r="G204" s="4" t="s">
        <v>88</v>
      </c>
    </row>
    <row r="205" spans="1:7" x14ac:dyDescent="0.35">
      <c r="A205" t="s">
        <v>22</v>
      </c>
      <c r="B205">
        <v>3</v>
      </c>
      <c r="C205" s="8" t="s">
        <v>90</v>
      </c>
      <c r="D205" s="4">
        <v>0.6227210884353741</v>
      </c>
      <c r="E205" s="4">
        <v>0.1066772550741666</v>
      </c>
      <c r="F205">
        <v>0</v>
      </c>
      <c r="G205" s="4">
        <f t="shared" si="3"/>
        <v>0</v>
      </c>
    </row>
    <row r="206" spans="1:7" x14ac:dyDescent="0.35">
      <c r="A206" t="s">
        <v>22</v>
      </c>
      <c r="B206">
        <v>4</v>
      </c>
      <c r="C206" s="9" t="s">
        <v>93</v>
      </c>
      <c r="D206" s="4" t="s">
        <v>33</v>
      </c>
      <c r="E206" s="4" t="s">
        <v>88</v>
      </c>
      <c r="F206" t="s">
        <v>33</v>
      </c>
      <c r="G206" s="4" t="s">
        <v>33</v>
      </c>
    </row>
    <row r="207" spans="1:7" x14ac:dyDescent="0.35">
      <c r="A207" t="s">
        <v>22</v>
      </c>
      <c r="B207">
        <v>4</v>
      </c>
      <c r="C207" s="8" t="s">
        <v>92</v>
      </c>
      <c r="D207" s="4" t="s">
        <v>33</v>
      </c>
      <c r="E207" s="4" t="s">
        <v>88</v>
      </c>
      <c r="F207" t="s">
        <v>33</v>
      </c>
      <c r="G207" s="4" t="s">
        <v>33</v>
      </c>
    </row>
    <row r="208" spans="1:7" x14ac:dyDescent="0.35">
      <c r="A208" t="s">
        <v>22</v>
      </c>
      <c r="B208">
        <v>4</v>
      </c>
      <c r="C208" s="8" t="s">
        <v>91</v>
      </c>
      <c r="D208" s="4" t="s">
        <v>33</v>
      </c>
      <c r="E208" s="4" t="s">
        <v>88</v>
      </c>
      <c r="F208">
        <v>3</v>
      </c>
      <c r="G208" s="4" t="s">
        <v>33</v>
      </c>
    </row>
    <row r="209" spans="1:7" x14ac:dyDescent="0.35">
      <c r="A209" t="s">
        <v>22</v>
      </c>
      <c r="B209">
        <v>4</v>
      </c>
      <c r="C209" s="8" t="s">
        <v>90</v>
      </c>
      <c r="D209" s="4" t="s">
        <v>33</v>
      </c>
      <c r="E209" s="4" t="s">
        <v>88</v>
      </c>
      <c r="F209">
        <v>3</v>
      </c>
      <c r="G209" s="4" t="s">
        <v>33</v>
      </c>
    </row>
    <row r="210" spans="1:7" x14ac:dyDescent="0.35">
      <c r="A210" t="s">
        <v>23</v>
      </c>
      <c r="B210">
        <v>1</v>
      </c>
      <c r="C210" s="9" t="s">
        <v>93</v>
      </c>
      <c r="D210" s="4">
        <v>0.1105902487778677</v>
      </c>
      <c r="E210" s="4">
        <v>0.40242345106744121</v>
      </c>
      <c r="F210">
        <v>9.5</v>
      </c>
      <c r="G210" s="4">
        <f t="shared" si="3"/>
        <v>4.2278904089216578</v>
      </c>
    </row>
    <row r="211" spans="1:7" x14ac:dyDescent="0.35">
      <c r="A211" t="s">
        <v>23</v>
      </c>
      <c r="B211">
        <v>1</v>
      </c>
      <c r="C211" s="8" t="s">
        <v>92</v>
      </c>
      <c r="D211" s="4">
        <v>0.13372446347219932</v>
      </c>
      <c r="E211" s="4">
        <v>0.40193657082554157</v>
      </c>
      <c r="F211">
        <v>7.5</v>
      </c>
      <c r="G211" s="4">
        <f t="shared" si="3"/>
        <v>4.0311564212625894</v>
      </c>
    </row>
    <row r="212" spans="1:7" x14ac:dyDescent="0.35">
      <c r="A212" t="s">
        <v>23</v>
      </c>
      <c r="B212">
        <v>1</v>
      </c>
      <c r="C212" s="8" t="s">
        <v>91</v>
      </c>
      <c r="D212" s="4">
        <v>0.2794980256573561</v>
      </c>
      <c r="E212" s="4">
        <v>0.31570904645476805</v>
      </c>
      <c r="F212">
        <v>6</v>
      </c>
      <c r="G212" s="4">
        <f t="shared" si="3"/>
        <v>5.2944033099764507</v>
      </c>
    </row>
    <row r="213" spans="1:7" x14ac:dyDescent="0.35">
      <c r="A213" t="s">
        <v>23</v>
      </c>
      <c r="B213">
        <v>1</v>
      </c>
      <c r="C213" s="8" t="s">
        <v>90</v>
      </c>
      <c r="D213" s="4">
        <v>4.0942294954217813E-2</v>
      </c>
      <c r="E213" s="4">
        <v>0.3857093782205428</v>
      </c>
      <c r="F213">
        <v>6</v>
      </c>
      <c r="G213" s="4">
        <f t="shared" si="3"/>
        <v>0.94750962778280523</v>
      </c>
    </row>
    <row r="214" spans="1:7" x14ac:dyDescent="0.35">
      <c r="A214" t="s">
        <v>23</v>
      </c>
      <c r="B214">
        <v>2</v>
      </c>
      <c r="C214" s="9" t="s">
        <v>93</v>
      </c>
      <c r="D214" s="4">
        <v>0.42135724065223368</v>
      </c>
      <c r="E214" s="4">
        <v>0.21526908820474103</v>
      </c>
      <c r="F214">
        <v>32.5</v>
      </c>
      <c r="G214" s="4">
        <f t="shared" si="3"/>
        <v>29.479186426193394</v>
      </c>
    </row>
    <row r="215" spans="1:7" x14ac:dyDescent="0.35">
      <c r="A215" t="s">
        <v>23</v>
      </c>
      <c r="B215">
        <v>2</v>
      </c>
      <c r="C215" s="8" t="s">
        <v>92</v>
      </c>
      <c r="D215" s="4">
        <v>0.46732420667308111</v>
      </c>
      <c r="E215" s="4">
        <v>0.21186798090462605</v>
      </c>
      <c r="F215">
        <v>37.5</v>
      </c>
      <c r="G215" s="4">
        <f t="shared" si="3"/>
        <v>37.129138535880699</v>
      </c>
    </row>
    <row r="216" spans="1:7" x14ac:dyDescent="0.35">
      <c r="A216" t="s">
        <v>23</v>
      </c>
      <c r="B216">
        <v>2</v>
      </c>
      <c r="C216" s="8" t="s">
        <v>91</v>
      </c>
      <c r="D216" s="4">
        <v>0.42787934595768196</v>
      </c>
      <c r="E216" s="4">
        <v>0.21605890515937951</v>
      </c>
      <c r="F216">
        <v>0</v>
      </c>
      <c r="G216" s="4">
        <f t="shared" si="3"/>
        <v>0</v>
      </c>
    </row>
    <row r="217" spans="1:7" x14ac:dyDescent="0.35">
      <c r="A217" t="s">
        <v>23</v>
      </c>
      <c r="B217">
        <v>2</v>
      </c>
      <c r="C217" s="8" t="s">
        <v>90</v>
      </c>
      <c r="D217" s="4">
        <v>0.47887015281050033</v>
      </c>
      <c r="E217" s="4">
        <v>0.1999547898446275</v>
      </c>
      <c r="F217" t="s">
        <v>33</v>
      </c>
      <c r="G217" s="4" t="s">
        <v>88</v>
      </c>
    </row>
    <row r="218" spans="1:7" x14ac:dyDescent="0.35">
      <c r="A218" t="s">
        <v>23</v>
      </c>
      <c r="B218">
        <v>3</v>
      </c>
      <c r="C218" s="9" t="s">
        <v>93</v>
      </c>
      <c r="D218" s="4" t="s">
        <v>33</v>
      </c>
      <c r="E218" s="4" t="s">
        <v>88</v>
      </c>
      <c r="F218" t="s">
        <v>33</v>
      </c>
      <c r="G218" s="4" t="s">
        <v>33</v>
      </c>
    </row>
    <row r="219" spans="1:7" x14ac:dyDescent="0.35">
      <c r="A219" t="s">
        <v>23</v>
      </c>
      <c r="B219">
        <v>3</v>
      </c>
      <c r="C219" s="8" t="s">
        <v>92</v>
      </c>
      <c r="D219" s="4" t="s">
        <v>87</v>
      </c>
      <c r="E219" s="4">
        <v>9.3102637764429327E-2</v>
      </c>
      <c r="F219">
        <v>0</v>
      </c>
      <c r="G219" s="4" t="s">
        <v>87</v>
      </c>
    </row>
    <row r="220" spans="1:7" x14ac:dyDescent="0.35">
      <c r="A220" t="s">
        <v>23</v>
      </c>
      <c r="B220">
        <v>3</v>
      </c>
      <c r="C220" s="8" t="s">
        <v>91</v>
      </c>
      <c r="D220" s="4">
        <v>1.3651020408163264</v>
      </c>
      <c r="E220" s="4">
        <v>6.2571094663030777E-2</v>
      </c>
      <c r="F220">
        <v>0</v>
      </c>
      <c r="G220" s="4">
        <f t="shared" si="3"/>
        <v>0</v>
      </c>
    </row>
    <row r="221" spans="1:7" x14ac:dyDescent="0.35">
      <c r="A221" t="s">
        <v>23</v>
      </c>
      <c r="B221">
        <v>3</v>
      </c>
      <c r="C221" s="8" t="s">
        <v>90</v>
      </c>
      <c r="D221" s="4">
        <v>0.60656771799628928</v>
      </c>
      <c r="E221" s="4">
        <v>8.0747341337907674E-2</v>
      </c>
      <c r="F221">
        <v>0</v>
      </c>
      <c r="G221" s="4">
        <f t="shared" si="3"/>
        <v>0</v>
      </c>
    </row>
    <row r="222" spans="1:7" x14ac:dyDescent="0.35">
      <c r="A222" t="s">
        <v>23</v>
      </c>
      <c r="B222">
        <v>4</v>
      </c>
      <c r="C222" s="9" t="s">
        <v>93</v>
      </c>
      <c r="D222" s="4" t="s">
        <v>33</v>
      </c>
      <c r="E222" s="4" t="s">
        <v>88</v>
      </c>
      <c r="F222" t="s">
        <v>33</v>
      </c>
      <c r="G222" s="4" t="s">
        <v>33</v>
      </c>
    </row>
    <row r="223" spans="1:7" x14ac:dyDescent="0.35">
      <c r="A223" t="s">
        <v>23</v>
      </c>
      <c r="B223">
        <v>4</v>
      </c>
      <c r="C223" s="8" t="s">
        <v>92</v>
      </c>
      <c r="D223" s="4" t="s">
        <v>33</v>
      </c>
      <c r="E223" s="4" t="s">
        <v>88</v>
      </c>
      <c r="F223">
        <v>7.5</v>
      </c>
      <c r="G223" s="4" t="s">
        <v>33</v>
      </c>
    </row>
    <row r="224" spans="1:7" x14ac:dyDescent="0.35">
      <c r="A224" t="s">
        <v>23</v>
      </c>
      <c r="B224">
        <v>4</v>
      </c>
      <c r="C224" s="8" t="s">
        <v>91</v>
      </c>
      <c r="D224" s="4" t="s">
        <v>33</v>
      </c>
      <c r="E224" s="4" t="s">
        <v>88</v>
      </c>
      <c r="F224">
        <v>1</v>
      </c>
      <c r="G224" s="4" t="s">
        <v>33</v>
      </c>
    </row>
    <row r="225" spans="1:7" x14ac:dyDescent="0.35">
      <c r="A225" t="s">
        <v>23</v>
      </c>
      <c r="B225">
        <v>4</v>
      </c>
      <c r="C225" s="8" t="s">
        <v>90</v>
      </c>
      <c r="D225" s="4" t="s">
        <v>33</v>
      </c>
      <c r="E225" s="4" t="s">
        <v>88</v>
      </c>
      <c r="F225">
        <v>5.5</v>
      </c>
      <c r="G225" s="4" t="s">
        <v>33</v>
      </c>
    </row>
    <row r="226" spans="1:7" x14ac:dyDescent="0.35">
      <c r="A226" t="s">
        <v>24</v>
      </c>
      <c r="B226">
        <v>1</v>
      </c>
      <c r="C226" s="9" t="s">
        <v>93</v>
      </c>
      <c r="D226" s="4">
        <v>5.1470689703610059E-2</v>
      </c>
      <c r="E226" s="4">
        <v>0.41910022564874116</v>
      </c>
      <c r="F226">
        <v>6</v>
      </c>
      <c r="G226" s="4">
        <f t="shared" si="3"/>
        <v>1.2942826601447588</v>
      </c>
    </row>
    <row r="227" spans="1:7" x14ac:dyDescent="0.35">
      <c r="A227" t="s">
        <v>24</v>
      </c>
      <c r="B227">
        <v>1</v>
      </c>
      <c r="C227" s="8" t="s">
        <v>92</v>
      </c>
      <c r="D227" s="4">
        <v>4.6421531978785791E-2</v>
      </c>
      <c r="E227" s="4">
        <v>0.4392966656066864</v>
      </c>
      <c r="F227">
        <v>8.5</v>
      </c>
      <c r="G227" s="4">
        <f t="shared" si="3"/>
        <v>1.7333900579039545</v>
      </c>
    </row>
    <row r="228" spans="1:7" x14ac:dyDescent="0.35">
      <c r="A228" t="s">
        <v>24</v>
      </c>
      <c r="B228">
        <v>1</v>
      </c>
      <c r="C228" s="8" t="s">
        <v>91</v>
      </c>
      <c r="D228" s="4">
        <v>7.5395216796614623E-2</v>
      </c>
      <c r="E228" s="4">
        <v>0.44561891908856921</v>
      </c>
      <c r="F228">
        <v>12.25</v>
      </c>
      <c r="G228" s="4">
        <f t="shared" si="3"/>
        <v>4.1156980391360785</v>
      </c>
    </row>
    <row r="229" spans="1:7" x14ac:dyDescent="0.35">
      <c r="A229" t="s">
        <v>24</v>
      </c>
      <c r="B229">
        <v>1</v>
      </c>
      <c r="C229" s="8" t="s">
        <v>90</v>
      </c>
      <c r="D229" s="4">
        <v>7.2724282220922046E-2</v>
      </c>
      <c r="E229" s="4">
        <v>0.35292788762637506</v>
      </c>
      <c r="F229">
        <v>8.5</v>
      </c>
      <c r="G229" s="4">
        <f t="shared" si="3"/>
        <v>2.1816463207868209</v>
      </c>
    </row>
    <row r="230" spans="1:7" x14ac:dyDescent="0.35">
      <c r="A230" t="s">
        <v>24</v>
      </c>
      <c r="B230">
        <v>2</v>
      </c>
      <c r="C230" s="9" t="s">
        <v>93</v>
      </c>
      <c r="D230" s="4">
        <v>0.43153065713252831</v>
      </c>
      <c r="E230" s="4">
        <v>0.13560937921929839</v>
      </c>
      <c r="F230">
        <v>30.5</v>
      </c>
      <c r="G230" s="4">
        <f t="shared" si="3"/>
        <v>17.848479380990611</v>
      </c>
    </row>
    <row r="231" spans="1:7" x14ac:dyDescent="0.35">
      <c r="A231" t="s">
        <v>24</v>
      </c>
      <c r="B231">
        <v>2</v>
      </c>
      <c r="C231" s="8" t="s">
        <v>92</v>
      </c>
      <c r="D231" s="4">
        <v>0.14800374357216317</v>
      </c>
      <c r="E231" s="4">
        <v>0.39026963054440711</v>
      </c>
      <c r="F231">
        <v>16.5</v>
      </c>
      <c r="G231" s="4">
        <f t="shared" si="3"/>
        <v>9.5306254433110524</v>
      </c>
    </row>
    <row r="232" spans="1:7" x14ac:dyDescent="0.35">
      <c r="A232" t="s">
        <v>24</v>
      </c>
      <c r="B232">
        <v>2</v>
      </c>
      <c r="C232" s="8" t="s">
        <v>91</v>
      </c>
      <c r="D232" s="4">
        <v>0.18370777106318489</v>
      </c>
      <c r="E232" s="4">
        <v>0.4170309044348734</v>
      </c>
      <c r="F232">
        <v>3.7</v>
      </c>
      <c r="G232" s="4">
        <f t="shared" si="3"/>
        <v>2.8346372629732026</v>
      </c>
    </row>
    <row r="233" spans="1:7" x14ac:dyDescent="0.35">
      <c r="A233" t="s">
        <v>24</v>
      </c>
      <c r="B233">
        <v>2</v>
      </c>
      <c r="C233" s="8" t="s">
        <v>90</v>
      </c>
      <c r="D233" s="4">
        <v>8.8738743422002608E-2</v>
      </c>
      <c r="E233" s="4">
        <v>0.32837354102486227</v>
      </c>
      <c r="F233">
        <v>22</v>
      </c>
      <c r="G233" s="4">
        <f t="shared" si="3"/>
        <v>6.4106801887875342</v>
      </c>
    </row>
    <row r="234" spans="1:7" x14ac:dyDescent="0.35">
      <c r="A234" t="s">
        <v>24</v>
      </c>
      <c r="B234">
        <v>3</v>
      </c>
      <c r="C234" s="9" t="s">
        <v>93</v>
      </c>
      <c r="D234" s="4" t="s">
        <v>89</v>
      </c>
      <c r="E234" s="4" t="s">
        <v>88</v>
      </c>
      <c r="F234">
        <v>0</v>
      </c>
      <c r="G234" s="4">
        <v>0</v>
      </c>
    </row>
    <row r="235" spans="1:7" x14ac:dyDescent="0.35">
      <c r="A235" t="s">
        <v>24</v>
      </c>
      <c r="B235">
        <v>3</v>
      </c>
      <c r="C235" s="8" t="s">
        <v>92</v>
      </c>
      <c r="D235" s="4">
        <v>0.63522155852858175</v>
      </c>
      <c r="E235" s="4">
        <v>8.7954614291372579E-2</v>
      </c>
      <c r="F235">
        <v>18.7</v>
      </c>
      <c r="G235" s="4">
        <f t="shared" si="3"/>
        <v>10.447814760779895</v>
      </c>
    </row>
    <row r="236" spans="1:7" x14ac:dyDescent="0.35">
      <c r="A236" t="s">
        <v>24</v>
      </c>
      <c r="B236">
        <v>3</v>
      </c>
      <c r="C236" s="8" t="s">
        <v>91</v>
      </c>
      <c r="D236" s="4">
        <v>0.51390462382932633</v>
      </c>
      <c r="E236" s="4">
        <v>9.5820122555370896E-2</v>
      </c>
      <c r="F236">
        <v>11.5</v>
      </c>
      <c r="G236" s="4">
        <f t="shared" si="3"/>
        <v>5.6628764642662501</v>
      </c>
    </row>
    <row r="237" spans="1:7" x14ac:dyDescent="0.35">
      <c r="A237" t="s">
        <v>24</v>
      </c>
      <c r="B237">
        <v>3</v>
      </c>
      <c r="C237" s="8" t="s">
        <v>90</v>
      </c>
      <c r="D237" s="4">
        <v>0.79256791861087728</v>
      </c>
      <c r="E237" s="4">
        <v>9.342276910058879E-2</v>
      </c>
      <c r="F237">
        <v>5.5</v>
      </c>
      <c r="G237" s="4">
        <f t="shared" si="3"/>
        <v>4.0724139311305025</v>
      </c>
    </row>
    <row r="238" spans="1:7" x14ac:dyDescent="0.35">
      <c r="A238" t="s">
        <v>24</v>
      </c>
      <c r="B238">
        <v>4</v>
      </c>
      <c r="C238" s="9" t="s">
        <v>93</v>
      </c>
      <c r="D238" s="4">
        <v>0.94293820663081329</v>
      </c>
      <c r="E238" s="4">
        <v>6.6326003129540623E-2</v>
      </c>
      <c r="F238">
        <v>14.5</v>
      </c>
      <c r="G238" s="4">
        <f t="shared" si="3"/>
        <v>9.0684917543740173</v>
      </c>
    </row>
    <row r="239" spans="1:7" x14ac:dyDescent="0.35">
      <c r="A239" t="s">
        <v>24</v>
      </c>
      <c r="B239">
        <v>4</v>
      </c>
      <c r="C239" s="8" t="s">
        <v>92</v>
      </c>
      <c r="D239" s="4">
        <v>0.99541735033664058</v>
      </c>
      <c r="E239" s="4">
        <v>7.4730563123072871E-2</v>
      </c>
      <c r="F239">
        <v>9.5</v>
      </c>
      <c r="G239" s="4">
        <f t="shared" si="3"/>
        <v>7.0668694176477551</v>
      </c>
    </row>
    <row r="240" spans="1:7" x14ac:dyDescent="0.35">
      <c r="A240" t="s">
        <v>24</v>
      </c>
      <c r="B240">
        <v>4</v>
      </c>
      <c r="C240" s="8" t="s">
        <v>91</v>
      </c>
      <c r="D240" s="4">
        <v>1.2228215162676488</v>
      </c>
      <c r="E240" s="4">
        <v>8.1833491627972571E-2</v>
      </c>
      <c r="F240">
        <v>8</v>
      </c>
      <c r="G240" s="4">
        <f t="shared" si="3"/>
        <v>8.0054203451194699</v>
      </c>
    </row>
    <row r="241" spans="1:7" x14ac:dyDescent="0.35">
      <c r="A241" t="s">
        <v>24</v>
      </c>
      <c r="B241">
        <v>4</v>
      </c>
      <c r="C241" s="8" t="s">
        <v>90</v>
      </c>
      <c r="D241" s="4">
        <v>0.82928719784609006</v>
      </c>
      <c r="E241" s="4">
        <v>0.19626367682725149</v>
      </c>
      <c r="F241">
        <v>10</v>
      </c>
      <c r="G241" s="4">
        <f t="shared" si="3"/>
        <v>16.275895459504198</v>
      </c>
    </row>
    <row r="242" spans="1:7" x14ac:dyDescent="0.35">
      <c r="A242" t="s">
        <v>25</v>
      </c>
      <c r="B242">
        <v>1</v>
      </c>
      <c r="C242" s="9" t="s">
        <v>93</v>
      </c>
      <c r="D242" s="4" t="s">
        <v>89</v>
      </c>
      <c r="E242" s="4">
        <v>8.4776221231693025E-2</v>
      </c>
      <c r="F242">
        <v>0</v>
      </c>
      <c r="G242" s="4">
        <v>0</v>
      </c>
    </row>
    <row r="243" spans="1:7" x14ac:dyDescent="0.35">
      <c r="A243" t="s">
        <v>25</v>
      </c>
      <c r="B243">
        <v>1</v>
      </c>
      <c r="C243" s="8" t="s">
        <v>92</v>
      </c>
      <c r="D243" s="4" t="s">
        <v>89</v>
      </c>
      <c r="E243" s="4">
        <v>7.7097666990862276E-2</v>
      </c>
      <c r="F243">
        <v>0</v>
      </c>
      <c r="G243" s="4">
        <v>0</v>
      </c>
    </row>
    <row r="244" spans="1:7" x14ac:dyDescent="0.35">
      <c r="A244" t="s">
        <v>25</v>
      </c>
      <c r="B244">
        <v>1</v>
      </c>
      <c r="C244" s="8" t="s">
        <v>91</v>
      </c>
      <c r="D244" s="4" t="s">
        <v>89</v>
      </c>
      <c r="E244" s="4">
        <v>7.8242953157343198E-2</v>
      </c>
      <c r="F244">
        <v>0</v>
      </c>
      <c r="G244" s="4">
        <v>0</v>
      </c>
    </row>
    <row r="245" spans="1:7" x14ac:dyDescent="0.35">
      <c r="A245" t="s">
        <v>25</v>
      </c>
      <c r="B245">
        <v>1</v>
      </c>
      <c r="C245" s="8" t="s">
        <v>90</v>
      </c>
      <c r="D245" s="4" t="s">
        <v>89</v>
      </c>
      <c r="E245" s="4">
        <v>8.2398874186960389E-2</v>
      </c>
      <c r="F245">
        <v>0</v>
      </c>
      <c r="G245" s="4">
        <v>0</v>
      </c>
    </row>
    <row r="246" spans="1:7" x14ac:dyDescent="0.35">
      <c r="A246" t="s">
        <v>25</v>
      </c>
      <c r="B246">
        <v>2</v>
      </c>
      <c r="C246" s="9" t="s">
        <v>93</v>
      </c>
      <c r="D246" s="4">
        <v>0.50561019157228326</v>
      </c>
      <c r="E246" s="4" t="s">
        <v>88</v>
      </c>
      <c r="F246">
        <v>35</v>
      </c>
      <c r="G246" s="4" t="s">
        <v>88</v>
      </c>
    </row>
    <row r="247" spans="1:7" x14ac:dyDescent="0.35">
      <c r="A247" t="s">
        <v>25</v>
      </c>
      <c r="B247">
        <v>2</v>
      </c>
      <c r="C247" s="8" t="s">
        <v>92</v>
      </c>
      <c r="D247" s="4">
        <v>0.5973756855700274</v>
      </c>
      <c r="E247" s="4" t="s">
        <v>88</v>
      </c>
      <c r="F247">
        <v>44.5</v>
      </c>
      <c r="G247" s="4" t="s">
        <v>88</v>
      </c>
    </row>
    <row r="248" spans="1:7" x14ac:dyDescent="0.35">
      <c r="A248" t="s">
        <v>25</v>
      </c>
      <c r="B248">
        <v>2</v>
      </c>
      <c r="C248" s="8" t="s">
        <v>91</v>
      </c>
      <c r="D248" s="4">
        <v>0.65777544688352252</v>
      </c>
      <c r="E248" s="4" t="s">
        <v>88</v>
      </c>
      <c r="F248">
        <v>4</v>
      </c>
      <c r="G248" s="4" t="s">
        <v>88</v>
      </c>
    </row>
    <row r="249" spans="1:7" x14ac:dyDescent="0.35">
      <c r="A249" t="s">
        <v>25</v>
      </c>
      <c r="B249">
        <v>2</v>
      </c>
      <c r="C249" s="8" t="s">
        <v>90</v>
      </c>
      <c r="D249" s="4">
        <v>0.66238867712980964</v>
      </c>
      <c r="E249" s="4" t="s">
        <v>88</v>
      </c>
      <c r="F249" t="s">
        <v>33</v>
      </c>
      <c r="G249" s="4" t="s">
        <v>88</v>
      </c>
    </row>
    <row r="250" spans="1:7" x14ac:dyDescent="0.35">
      <c r="A250" t="s">
        <v>25</v>
      </c>
      <c r="B250">
        <v>3</v>
      </c>
      <c r="C250" s="9" t="s">
        <v>93</v>
      </c>
      <c r="D250" s="4" t="s">
        <v>33</v>
      </c>
      <c r="E250" s="4" t="s">
        <v>88</v>
      </c>
      <c r="F250" t="s">
        <v>33</v>
      </c>
      <c r="G250" s="4" t="s">
        <v>33</v>
      </c>
    </row>
    <row r="251" spans="1:7" x14ac:dyDescent="0.35">
      <c r="A251" t="s">
        <v>25</v>
      </c>
      <c r="B251">
        <v>3</v>
      </c>
      <c r="C251" s="8" t="s">
        <v>92</v>
      </c>
      <c r="D251" s="4" t="s">
        <v>33</v>
      </c>
      <c r="E251" s="4" t="s">
        <v>88</v>
      </c>
      <c r="F251">
        <v>4</v>
      </c>
      <c r="G251" s="4" t="s">
        <v>33</v>
      </c>
    </row>
    <row r="252" spans="1:7" x14ac:dyDescent="0.35">
      <c r="A252" t="s">
        <v>25</v>
      </c>
      <c r="B252">
        <v>3</v>
      </c>
      <c r="C252" s="8" t="s">
        <v>91</v>
      </c>
      <c r="D252" s="4" t="s">
        <v>33</v>
      </c>
      <c r="E252" s="4" t="s">
        <v>88</v>
      </c>
      <c r="F252" t="s">
        <v>33</v>
      </c>
      <c r="G252" s="4" t="s">
        <v>33</v>
      </c>
    </row>
    <row r="253" spans="1:7" x14ac:dyDescent="0.35">
      <c r="A253" t="s">
        <v>25</v>
      </c>
      <c r="B253">
        <v>3</v>
      </c>
      <c r="C253" s="8" t="s">
        <v>90</v>
      </c>
      <c r="D253" s="4" t="s">
        <v>33</v>
      </c>
      <c r="E253" s="4" t="s">
        <v>88</v>
      </c>
      <c r="F253" t="s">
        <v>33</v>
      </c>
      <c r="G253" s="4" t="s">
        <v>33</v>
      </c>
    </row>
    <row r="254" spans="1:7" x14ac:dyDescent="0.35">
      <c r="A254" t="s">
        <v>25</v>
      </c>
      <c r="B254">
        <v>4</v>
      </c>
      <c r="C254" s="9" t="s">
        <v>93</v>
      </c>
      <c r="D254" s="4" t="s">
        <v>33</v>
      </c>
      <c r="E254" s="4" t="s">
        <v>88</v>
      </c>
      <c r="F254" t="s">
        <v>33</v>
      </c>
      <c r="G254" s="4" t="s">
        <v>33</v>
      </c>
    </row>
    <row r="255" spans="1:7" x14ac:dyDescent="0.35">
      <c r="A255" t="s">
        <v>25</v>
      </c>
      <c r="B255">
        <v>4</v>
      </c>
      <c r="C255" s="8" t="s">
        <v>92</v>
      </c>
      <c r="D255" s="4" t="s">
        <v>33</v>
      </c>
      <c r="E255" s="4" t="s">
        <v>88</v>
      </c>
      <c r="F255" t="s">
        <v>33</v>
      </c>
      <c r="G255" s="4" t="s">
        <v>33</v>
      </c>
    </row>
    <row r="256" spans="1:7" x14ac:dyDescent="0.35">
      <c r="A256" t="s">
        <v>25</v>
      </c>
      <c r="B256">
        <v>4</v>
      </c>
      <c r="C256" s="8" t="s">
        <v>91</v>
      </c>
      <c r="D256" s="4" t="s">
        <v>33</v>
      </c>
      <c r="E256" s="4" t="s">
        <v>88</v>
      </c>
      <c r="F256" t="s">
        <v>33</v>
      </c>
      <c r="G256" s="4" t="s">
        <v>33</v>
      </c>
    </row>
    <row r="257" spans="1:7" x14ac:dyDescent="0.35">
      <c r="A257" t="s">
        <v>25</v>
      </c>
      <c r="B257">
        <v>4</v>
      </c>
      <c r="C257" s="8" t="s">
        <v>90</v>
      </c>
      <c r="D257" s="4" t="s">
        <v>33</v>
      </c>
      <c r="E257" s="4" t="s">
        <v>88</v>
      </c>
      <c r="F257" t="s">
        <v>33</v>
      </c>
      <c r="G257" s="4" t="s">
        <v>33</v>
      </c>
    </row>
    <row r="258" spans="1:7" x14ac:dyDescent="0.35">
      <c r="A258" t="s">
        <v>26</v>
      </c>
      <c r="B258">
        <v>1</v>
      </c>
      <c r="C258" s="9" t="s">
        <v>93</v>
      </c>
      <c r="D258" s="4">
        <v>0.311168</v>
      </c>
      <c r="E258" s="4">
        <v>9.1888793072373645E-2</v>
      </c>
      <c r="F258">
        <v>2.5</v>
      </c>
      <c r="G258" s="4">
        <f t="shared" ref="G258:G315" si="4">(D258*E258*F258)*10</f>
        <v>0.71482129906860914</v>
      </c>
    </row>
    <row r="259" spans="1:7" x14ac:dyDescent="0.35">
      <c r="A259" t="s">
        <v>26</v>
      </c>
      <c r="B259">
        <v>1</v>
      </c>
      <c r="C259" s="8" t="s">
        <v>92</v>
      </c>
      <c r="D259" s="4">
        <v>0.28932126772498729</v>
      </c>
      <c r="E259" s="4">
        <v>9.3339672564908147E-2</v>
      </c>
      <c r="F259">
        <v>5</v>
      </c>
      <c r="G259" s="4">
        <f t="shared" si="4"/>
        <v>1.3502576197757221</v>
      </c>
    </row>
    <row r="260" spans="1:7" x14ac:dyDescent="0.35">
      <c r="A260" t="s">
        <v>26</v>
      </c>
      <c r="B260">
        <v>1</v>
      </c>
      <c r="C260" s="8" t="s">
        <v>91</v>
      </c>
      <c r="D260" s="4">
        <v>0.10571713331060352</v>
      </c>
      <c r="E260" s="4">
        <v>7.9036393802926166E-2</v>
      </c>
      <c r="F260">
        <v>5</v>
      </c>
      <c r="G260" s="4">
        <f t="shared" si="4"/>
        <v>0.41777504900266521</v>
      </c>
    </row>
    <row r="261" spans="1:7" x14ac:dyDescent="0.35">
      <c r="A261" t="s">
        <v>26</v>
      </c>
      <c r="B261">
        <v>1</v>
      </c>
      <c r="C261" s="8" t="s">
        <v>90</v>
      </c>
      <c r="D261" s="4">
        <v>0.13435289462999167</v>
      </c>
      <c r="E261" s="4">
        <v>6.7671772512054112E-2</v>
      </c>
      <c r="F261">
        <v>7</v>
      </c>
      <c r="G261" s="4">
        <f t="shared" si="4"/>
        <v>0.63643289652157398</v>
      </c>
    </row>
    <row r="262" spans="1:7" x14ac:dyDescent="0.35">
      <c r="A262" t="s">
        <v>26</v>
      </c>
      <c r="B262">
        <v>2</v>
      </c>
      <c r="C262" s="9" t="s">
        <v>93</v>
      </c>
      <c r="D262" s="4">
        <v>0.92478878719387203</v>
      </c>
      <c r="E262" s="4">
        <v>6.0049641069546959E-2</v>
      </c>
      <c r="F262">
        <v>56</v>
      </c>
      <c r="G262" s="4">
        <f t="shared" si="4"/>
        <v>31.098611452234852</v>
      </c>
    </row>
    <row r="263" spans="1:7" x14ac:dyDescent="0.35">
      <c r="A263" t="s">
        <v>26</v>
      </c>
      <c r="B263">
        <v>2</v>
      </c>
      <c r="C263" s="8" t="s">
        <v>92</v>
      </c>
      <c r="D263" s="4">
        <v>0.78112306598300929</v>
      </c>
      <c r="E263" s="4">
        <v>5.509720018370292E-2</v>
      </c>
      <c r="F263">
        <v>67</v>
      </c>
      <c r="G263" s="4">
        <f t="shared" si="4"/>
        <v>28.835254936164347</v>
      </c>
    </row>
    <row r="264" spans="1:7" x14ac:dyDescent="0.35">
      <c r="A264" t="s">
        <v>26</v>
      </c>
      <c r="B264">
        <v>2</v>
      </c>
      <c r="C264" s="8" t="s">
        <v>91</v>
      </c>
      <c r="D264" s="4">
        <v>0.73178253204115062</v>
      </c>
      <c r="E264" s="4">
        <v>5.1961287070194366E-2</v>
      </c>
      <c r="F264">
        <v>0</v>
      </c>
      <c r="G264" s="4">
        <f t="shared" si="4"/>
        <v>0</v>
      </c>
    </row>
    <row r="265" spans="1:7" x14ac:dyDescent="0.35">
      <c r="A265" t="s">
        <v>26</v>
      </c>
      <c r="B265">
        <v>2</v>
      </c>
      <c r="C265" s="8" t="s">
        <v>90</v>
      </c>
      <c r="D265" s="4">
        <v>0.56424330022794111</v>
      </c>
      <c r="E265" s="4">
        <v>4.5331755974671352E-2</v>
      </c>
      <c r="F265">
        <v>0</v>
      </c>
      <c r="G265" s="4">
        <f t="shared" si="4"/>
        <v>0</v>
      </c>
    </row>
    <row r="266" spans="1:7" x14ac:dyDescent="0.35">
      <c r="A266" t="s">
        <v>26</v>
      </c>
      <c r="B266">
        <v>3</v>
      </c>
      <c r="C266" s="9" t="s">
        <v>93</v>
      </c>
      <c r="D266" s="4">
        <v>0.78215070643642071</v>
      </c>
      <c r="E266" s="4">
        <v>2.6716886902912882E-2</v>
      </c>
      <c r="F266">
        <v>0</v>
      </c>
      <c r="G266" s="4">
        <f t="shared" si="4"/>
        <v>0</v>
      </c>
    </row>
    <row r="267" spans="1:7" x14ac:dyDescent="0.35">
      <c r="A267" t="s">
        <v>26</v>
      </c>
      <c r="B267">
        <v>3</v>
      </c>
      <c r="C267" s="8" t="s">
        <v>92</v>
      </c>
      <c r="D267" s="4">
        <v>0.69753532182103617</v>
      </c>
      <c r="E267" s="4">
        <v>1.7813013264655498E-2</v>
      </c>
      <c r="F267">
        <v>0</v>
      </c>
      <c r="G267" s="4">
        <f t="shared" si="4"/>
        <v>0</v>
      </c>
    </row>
    <row r="268" spans="1:7" x14ac:dyDescent="0.35">
      <c r="A268" t="s">
        <v>26</v>
      </c>
      <c r="B268">
        <v>3</v>
      </c>
      <c r="C268" s="8" t="s">
        <v>91</v>
      </c>
      <c r="D268" s="4">
        <v>1.294489795918367</v>
      </c>
      <c r="E268" s="4">
        <v>2.8817849945488468E-2</v>
      </c>
      <c r="F268">
        <v>0</v>
      </c>
      <c r="G268" s="4">
        <f t="shared" si="4"/>
        <v>0</v>
      </c>
    </row>
    <row r="269" spans="1:7" x14ac:dyDescent="0.35">
      <c r="A269" t="s">
        <v>26</v>
      </c>
      <c r="B269">
        <v>3</v>
      </c>
      <c r="C269" s="8" t="s">
        <v>90</v>
      </c>
      <c r="D269" s="4" t="s">
        <v>33</v>
      </c>
      <c r="E269" s="4" t="s">
        <v>88</v>
      </c>
      <c r="F269" t="s">
        <v>33</v>
      </c>
      <c r="G269" s="4" t="s">
        <v>33</v>
      </c>
    </row>
    <row r="270" spans="1:7" x14ac:dyDescent="0.35">
      <c r="A270" t="s">
        <v>26</v>
      </c>
      <c r="B270">
        <v>4</v>
      </c>
      <c r="C270" s="9" t="s">
        <v>93</v>
      </c>
      <c r="D270" s="4" t="s">
        <v>33</v>
      </c>
      <c r="E270" s="4" t="s">
        <v>88</v>
      </c>
      <c r="F270">
        <v>13</v>
      </c>
      <c r="G270" s="4" t="s">
        <v>33</v>
      </c>
    </row>
    <row r="271" spans="1:7" x14ac:dyDescent="0.35">
      <c r="A271" t="s">
        <v>26</v>
      </c>
      <c r="B271">
        <v>4</v>
      </c>
      <c r="C271" s="8" t="s">
        <v>92</v>
      </c>
      <c r="D271" s="4" t="s">
        <v>33</v>
      </c>
      <c r="E271" s="4" t="s">
        <v>88</v>
      </c>
      <c r="F271">
        <v>13</v>
      </c>
      <c r="G271" s="4" t="s">
        <v>33</v>
      </c>
    </row>
    <row r="272" spans="1:7" x14ac:dyDescent="0.35">
      <c r="A272" t="s">
        <v>26</v>
      </c>
      <c r="B272">
        <v>4</v>
      </c>
      <c r="C272" s="8" t="s">
        <v>91</v>
      </c>
      <c r="D272" s="4" t="s">
        <v>33</v>
      </c>
      <c r="E272" s="4" t="s">
        <v>88</v>
      </c>
      <c r="F272">
        <v>1</v>
      </c>
      <c r="G272" s="4" t="s">
        <v>33</v>
      </c>
    </row>
    <row r="273" spans="1:7" x14ac:dyDescent="0.35">
      <c r="A273" t="s">
        <v>26</v>
      </c>
      <c r="B273">
        <v>4</v>
      </c>
      <c r="C273" s="8" t="s">
        <v>90</v>
      </c>
      <c r="D273" s="4" t="s">
        <v>33</v>
      </c>
      <c r="E273" s="4" t="s">
        <v>88</v>
      </c>
      <c r="F273" t="s">
        <v>33</v>
      </c>
      <c r="G273" s="4" t="s">
        <v>33</v>
      </c>
    </row>
    <row r="274" spans="1:7" x14ac:dyDescent="0.35">
      <c r="A274" t="s">
        <v>27</v>
      </c>
      <c r="B274">
        <v>1</v>
      </c>
      <c r="C274" s="9" t="s">
        <v>93</v>
      </c>
      <c r="D274" s="4">
        <v>0.19910281854548659</v>
      </c>
      <c r="E274" s="4">
        <v>7.3604763437399134E-2</v>
      </c>
      <c r="F274">
        <v>0</v>
      </c>
      <c r="G274" s="4">
        <f t="shared" si="4"/>
        <v>0</v>
      </c>
    </row>
    <row r="275" spans="1:7" x14ac:dyDescent="0.35">
      <c r="A275" t="s">
        <v>27</v>
      </c>
      <c r="B275">
        <v>1</v>
      </c>
      <c r="C275" s="8" t="s">
        <v>92</v>
      </c>
      <c r="D275" s="4">
        <v>0.83335639543030826</v>
      </c>
      <c r="E275" s="4">
        <v>8.7704277042933723E-2</v>
      </c>
      <c r="F275">
        <v>0</v>
      </c>
      <c r="G275" s="4">
        <f t="shared" si="4"/>
        <v>0</v>
      </c>
    </row>
    <row r="276" spans="1:7" x14ac:dyDescent="0.35">
      <c r="A276" t="s">
        <v>27</v>
      </c>
      <c r="B276">
        <v>1</v>
      </c>
      <c r="C276" s="8" t="s">
        <v>91</v>
      </c>
      <c r="D276" s="4">
        <v>0.97201410057028503</v>
      </c>
      <c r="E276" s="4">
        <v>7.7592376274550026E-2</v>
      </c>
      <c r="F276">
        <v>0</v>
      </c>
      <c r="G276" s="4">
        <f t="shared" si="4"/>
        <v>0</v>
      </c>
    </row>
    <row r="277" spans="1:7" x14ac:dyDescent="0.35">
      <c r="A277" s="14" t="s">
        <v>27</v>
      </c>
      <c r="B277" s="14">
        <v>1</v>
      </c>
      <c r="C277" s="18" t="s">
        <v>90</v>
      </c>
      <c r="D277" s="4">
        <v>1.0777677029762487</v>
      </c>
      <c r="E277" s="4">
        <v>-1.3531384098288451E-2</v>
      </c>
      <c r="F277">
        <v>0</v>
      </c>
      <c r="G277" s="4">
        <f t="shared" si="4"/>
        <v>0</v>
      </c>
    </row>
    <row r="278" spans="1:7" x14ac:dyDescent="0.35">
      <c r="A278" t="s">
        <v>27</v>
      </c>
      <c r="B278">
        <v>2</v>
      </c>
      <c r="C278" s="9" t="s">
        <v>93</v>
      </c>
      <c r="D278" s="4">
        <v>5.493837251449793E-2</v>
      </c>
      <c r="E278" s="4">
        <v>2.3907034262020795E-2</v>
      </c>
      <c r="F278">
        <v>96.5</v>
      </c>
      <c r="G278" s="4">
        <f t="shared" si="4"/>
        <v>1.2674440796136319</v>
      </c>
    </row>
    <row r="279" spans="1:7" x14ac:dyDescent="0.35">
      <c r="A279" t="s">
        <v>27</v>
      </c>
      <c r="B279">
        <v>2</v>
      </c>
      <c r="C279" s="8" t="s">
        <v>92</v>
      </c>
      <c r="D279" s="4">
        <v>3.0642034854550554E-2</v>
      </c>
      <c r="E279" s="4">
        <v>2.9826381722052001E-2</v>
      </c>
      <c r="F279">
        <v>67</v>
      </c>
      <c r="G279" s="4">
        <f t="shared" si="4"/>
        <v>0.61234048896920545</v>
      </c>
    </row>
    <row r="280" spans="1:7" x14ac:dyDescent="0.35">
      <c r="A280" t="s">
        <v>27</v>
      </c>
      <c r="B280">
        <v>2</v>
      </c>
      <c r="C280" s="8" t="s">
        <v>91</v>
      </c>
      <c r="D280" s="4">
        <v>4.3121468338556228E-2</v>
      </c>
      <c r="E280" s="4">
        <v>2.4743095142790061E-2</v>
      </c>
      <c r="F280">
        <v>0</v>
      </c>
      <c r="G280" s="4">
        <f t="shared" si="4"/>
        <v>0</v>
      </c>
    </row>
    <row r="281" spans="1:7" x14ac:dyDescent="0.35">
      <c r="A281" t="s">
        <v>27</v>
      </c>
      <c r="B281">
        <v>2</v>
      </c>
      <c r="C281" s="8" t="s">
        <v>90</v>
      </c>
      <c r="D281" s="4">
        <v>0.15832025706890249</v>
      </c>
      <c r="E281" s="4">
        <v>1.6227007937862682E-2</v>
      </c>
      <c r="F281">
        <v>0</v>
      </c>
      <c r="G281" s="4">
        <f t="shared" si="4"/>
        <v>0</v>
      </c>
    </row>
    <row r="282" spans="1:7" x14ac:dyDescent="0.35">
      <c r="A282" t="s">
        <v>27</v>
      </c>
      <c r="B282">
        <v>3</v>
      </c>
      <c r="C282" s="9" t="s">
        <v>93</v>
      </c>
      <c r="D282" s="4" t="s">
        <v>33</v>
      </c>
      <c r="E282" s="4" t="s">
        <v>88</v>
      </c>
      <c r="F282">
        <v>0</v>
      </c>
      <c r="G282" s="4" t="s">
        <v>33</v>
      </c>
    </row>
    <row r="283" spans="1:7" x14ac:dyDescent="0.35">
      <c r="A283" t="s">
        <v>27</v>
      </c>
      <c r="B283">
        <v>3</v>
      </c>
      <c r="C283" s="8" t="s">
        <v>92</v>
      </c>
      <c r="D283" s="4" t="s">
        <v>33</v>
      </c>
      <c r="E283" s="4" t="s">
        <v>88</v>
      </c>
      <c r="F283">
        <v>0</v>
      </c>
      <c r="G283" s="4" t="s">
        <v>33</v>
      </c>
    </row>
    <row r="284" spans="1:7" x14ac:dyDescent="0.35">
      <c r="A284" t="s">
        <v>27</v>
      </c>
      <c r="B284">
        <v>3</v>
      </c>
      <c r="C284" s="8" t="s">
        <v>91</v>
      </c>
      <c r="D284" s="4" t="s">
        <v>33</v>
      </c>
      <c r="E284" s="4" t="s">
        <v>88</v>
      </c>
      <c r="F284">
        <v>0</v>
      </c>
      <c r="G284" s="4" t="s">
        <v>33</v>
      </c>
    </row>
    <row r="285" spans="1:7" x14ac:dyDescent="0.35">
      <c r="A285" t="s">
        <v>27</v>
      </c>
      <c r="B285">
        <v>3</v>
      </c>
      <c r="C285" s="8" t="s">
        <v>90</v>
      </c>
      <c r="D285" s="4" t="s">
        <v>33</v>
      </c>
      <c r="E285" s="4" t="s">
        <v>88</v>
      </c>
      <c r="F285">
        <v>0</v>
      </c>
      <c r="G285" s="4" t="s">
        <v>33</v>
      </c>
    </row>
    <row r="286" spans="1:7" x14ac:dyDescent="0.35">
      <c r="A286" t="s">
        <v>27</v>
      </c>
      <c r="B286">
        <v>4</v>
      </c>
      <c r="C286" s="9" t="s">
        <v>93</v>
      </c>
      <c r="D286" s="4" t="s">
        <v>33</v>
      </c>
      <c r="E286" s="4" t="s">
        <v>88</v>
      </c>
      <c r="F286">
        <v>15.5</v>
      </c>
      <c r="G286" s="4" t="s">
        <v>33</v>
      </c>
    </row>
    <row r="287" spans="1:7" x14ac:dyDescent="0.35">
      <c r="A287" t="s">
        <v>27</v>
      </c>
      <c r="B287">
        <v>4</v>
      </c>
      <c r="C287" s="8" t="s">
        <v>92</v>
      </c>
      <c r="D287" s="4" t="s">
        <v>33</v>
      </c>
      <c r="E287" s="4" t="s">
        <v>88</v>
      </c>
      <c r="F287">
        <v>11</v>
      </c>
      <c r="G287" s="4" t="s">
        <v>33</v>
      </c>
    </row>
    <row r="288" spans="1:7" x14ac:dyDescent="0.35">
      <c r="A288" t="s">
        <v>27</v>
      </c>
      <c r="B288">
        <v>4</v>
      </c>
      <c r="C288" s="8" t="s">
        <v>91</v>
      </c>
      <c r="D288" s="4" t="s">
        <v>33</v>
      </c>
      <c r="E288" s="4" t="s">
        <v>88</v>
      </c>
      <c r="F288">
        <v>34</v>
      </c>
      <c r="G288" s="4" t="s">
        <v>33</v>
      </c>
    </row>
    <row r="289" spans="1:7" x14ac:dyDescent="0.35">
      <c r="A289" t="s">
        <v>27</v>
      </c>
      <c r="B289">
        <v>4</v>
      </c>
      <c r="C289" s="8" t="s">
        <v>90</v>
      </c>
      <c r="D289" s="4" t="s">
        <v>33</v>
      </c>
      <c r="E289" s="4" t="s">
        <v>88</v>
      </c>
      <c r="F289">
        <v>49</v>
      </c>
      <c r="G289" s="4" t="s">
        <v>33</v>
      </c>
    </row>
    <row r="290" spans="1:7" x14ac:dyDescent="0.35">
      <c r="A290" t="s">
        <v>28</v>
      </c>
      <c r="B290">
        <v>1</v>
      </c>
      <c r="C290" s="9" t="s">
        <v>93</v>
      </c>
      <c r="D290" s="4">
        <v>0.47680491115849327</v>
      </c>
      <c r="E290" s="4">
        <v>9.5786531563375549E-2</v>
      </c>
      <c r="F290">
        <v>5</v>
      </c>
      <c r="G290" s="4">
        <f t="shared" si="4"/>
        <v>2.2835744336127743</v>
      </c>
    </row>
    <row r="291" spans="1:7" x14ac:dyDescent="0.35">
      <c r="A291" t="s">
        <v>28</v>
      </c>
      <c r="B291">
        <v>1</v>
      </c>
      <c r="C291" s="8" t="s">
        <v>92</v>
      </c>
      <c r="D291" s="4">
        <v>0.1075372190788895</v>
      </c>
      <c r="E291" s="4">
        <v>0.12951900206461059</v>
      </c>
      <c r="F291">
        <v>7.5</v>
      </c>
      <c r="G291" s="4">
        <f t="shared" si="4"/>
        <v>1.0446084974925878</v>
      </c>
    </row>
    <row r="292" spans="1:7" x14ac:dyDescent="0.35">
      <c r="A292" t="s">
        <v>28</v>
      </c>
      <c r="B292">
        <v>1</v>
      </c>
      <c r="C292" s="8" t="s">
        <v>91</v>
      </c>
      <c r="D292" s="4">
        <v>0.58252138674729159</v>
      </c>
      <c r="E292" s="4">
        <v>0.27751272630286522</v>
      </c>
      <c r="F292">
        <v>3</v>
      </c>
      <c r="G292" s="4">
        <f t="shared" si="4"/>
        <v>4.8497129449789984</v>
      </c>
    </row>
    <row r="293" spans="1:7" x14ac:dyDescent="0.35">
      <c r="A293" t="s">
        <v>28</v>
      </c>
      <c r="B293">
        <v>1</v>
      </c>
      <c r="C293" s="8" t="s">
        <v>90</v>
      </c>
      <c r="D293" s="4">
        <v>0.17157869088492642</v>
      </c>
      <c r="E293" s="4">
        <v>0.12100815072154011</v>
      </c>
      <c r="F293">
        <v>5.5</v>
      </c>
      <c r="G293" s="4">
        <f t="shared" si="4"/>
        <v>1.1419331047964245</v>
      </c>
    </row>
    <row r="294" spans="1:7" x14ac:dyDescent="0.35">
      <c r="A294" t="s">
        <v>28</v>
      </c>
      <c r="B294">
        <v>2</v>
      </c>
      <c r="C294" s="9" t="s">
        <v>93</v>
      </c>
      <c r="D294" s="4">
        <v>1.5226717555561948</v>
      </c>
      <c r="E294" s="4">
        <v>8.2926261616150493E-2</v>
      </c>
      <c r="F294">
        <v>35</v>
      </c>
      <c r="G294" s="4">
        <f t="shared" si="4"/>
        <v>44.194316724871655</v>
      </c>
    </row>
    <row r="295" spans="1:7" x14ac:dyDescent="0.35">
      <c r="A295" t="s">
        <v>28</v>
      </c>
      <c r="B295">
        <v>2</v>
      </c>
      <c r="C295" s="8" t="s">
        <v>92</v>
      </c>
      <c r="D295" s="4">
        <v>0.51883895568349181</v>
      </c>
      <c r="E295" s="4">
        <v>9.9181426365897579E-2</v>
      </c>
      <c r="F295">
        <v>35</v>
      </c>
      <c r="G295" s="4">
        <f t="shared" si="4"/>
        <v>18.010715687608506</v>
      </c>
    </row>
    <row r="296" spans="1:7" x14ac:dyDescent="0.35">
      <c r="A296" t="s">
        <v>28</v>
      </c>
      <c r="B296">
        <v>2</v>
      </c>
      <c r="C296" s="8" t="s">
        <v>91</v>
      </c>
      <c r="D296" s="4">
        <v>0.67507988161468746</v>
      </c>
      <c r="E296" s="4">
        <v>0.15430946355084482</v>
      </c>
      <c r="F296" t="s">
        <v>33</v>
      </c>
      <c r="G296" s="4" t="s">
        <v>88</v>
      </c>
    </row>
    <row r="297" spans="1:7" x14ac:dyDescent="0.35">
      <c r="A297" t="s">
        <v>28</v>
      </c>
      <c r="B297">
        <v>2</v>
      </c>
      <c r="C297" s="8" t="s">
        <v>90</v>
      </c>
      <c r="D297" s="4">
        <v>0.51179863644819945</v>
      </c>
      <c r="E297" s="4">
        <v>7.8303303303303304E-2</v>
      </c>
      <c r="F297" t="s">
        <v>33</v>
      </c>
      <c r="G297" s="4" t="s">
        <v>88</v>
      </c>
    </row>
    <row r="298" spans="1:7" x14ac:dyDescent="0.35">
      <c r="A298" t="s">
        <v>28</v>
      </c>
      <c r="B298">
        <v>3</v>
      </c>
      <c r="C298" s="9" t="s">
        <v>93</v>
      </c>
      <c r="D298" s="4" t="s">
        <v>33</v>
      </c>
      <c r="E298" s="4" t="s">
        <v>88</v>
      </c>
      <c r="F298" t="s">
        <v>33</v>
      </c>
      <c r="G298" s="4" t="s">
        <v>33</v>
      </c>
    </row>
    <row r="299" spans="1:7" x14ac:dyDescent="0.35">
      <c r="A299" t="s">
        <v>28</v>
      </c>
      <c r="B299">
        <v>3</v>
      </c>
      <c r="C299" s="8" t="s">
        <v>92</v>
      </c>
      <c r="D299" s="4" t="s">
        <v>33</v>
      </c>
      <c r="E299" s="4" t="s">
        <v>88</v>
      </c>
      <c r="F299" t="s">
        <v>33</v>
      </c>
      <c r="G299" s="4" t="s">
        <v>33</v>
      </c>
    </row>
    <row r="300" spans="1:7" x14ac:dyDescent="0.35">
      <c r="A300" t="s">
        <v>28</v>
      </c>
      <c r="B300">
        <v>3</v>
      </c>
      <c r="C300" s="8" t="s">
        <v>91</v>
      </c>
      <c r="D300" s="4" t="s">
        <v>33</v>
      </c>
      <c r="E300" s="4" t="s">
        <v>88</v>
      </c>
      <c r="F300" t="s">
        <v>33</v>
      </c>
      <c r="G300" s="4" t="s">
        <v>33</v>
      </c>
    </row>
    <row r="301" spans="1:7" x14ac:dyDescent="0.35">
      <c r="A301" t="s">
        <v>28</v>
      </c>
      <c r="B301">
        <v>3</v>
      </c>
      <c r="C301" s="8" t="s">
        <v>90</v>
      </c>
      <c r="D301" s="4" t="s">
        <v>33</v>
      </c>
      <c r="E301" s="4" t="s">
        <v>88</v>
      </c>
      <c r="F301" t="s">
        <v>33</v>
      </c>
      <c r="G301" s="4" t="s">
        <v>33</v>
      </c>
    </row>
    <row r="302" spans="1:7" x14ac:dyDescent="0.35">
      <c r="A302" t="s">
        <v>28</v>
      </c>
      <c r="B302">
        <v>4</v>
      </c>
      <c r="C302" s="9" t="s">
        <v>93</v>
      </c>
      <c r="D302" s="4" t="s">
        <v>33</v>
      </c>
      <c r="E302" s="4" t="s">
        <v>88</v>
      </c>
      <c r="F302" t="s">
        <v>33</v>
      </c>
      <c r="G302" s="4" t="s">
        <v>33</v>
      </c>
    </row>
    <row r="303" spans="1:7" x14ac:dyDescent="0.35">
      <c r="A303" t="s">
        <v>28</v>
      </c>
      <c r="B303">
        <v>4</v>
      </c>
      <c r="C303" s="8" t="s">
        <v>92</v>
      </c>
      <c r="D303" s="4" t="s">
        <v>33</v>
      </c>
      <c r="E303" s="4" t="s">
        <v>88</v>
      </c>
      <c r="F303" t="s">
        <v>33</v>
      </c>
      <c r="G303" s="4" t="s">
        <v>33</v>
      </c>
    </row>
    <row r="304" spans="1:7" x14ac:dyDescent="0.35">
      <c r="A304" t="s">
        <v>28</v>
      </c>
      <c r="B304">
        <v>4</v>
      </c>
      <c r="C304" s="8" t="s">
        <v>91</v>
      </c>
      <c r="D304" s="4" t="s">
        <v>33</v>
      </c>
      <c r="E304" s="4" t="s">
        <v>88</v>
      </c>
      <c r="F304" t="s">
        <v>33</v>
      </c>
      <c r="G304" s="4" t="s">
        <v>33</v>
      </c>
    </row>
    <row r="305" spans="1:7" x14ac:dyDescent="0.35">
      <c r="A305" t="s">
        <v>28</v>
      </c>
      <c r="B305">
        <v>4</v>
      </c>
      <c r="C305" s="8" t="s">
        <v>90</v>
      </c>
      <c r="D305" s="4" t="s">
        <v>33</v>
      </c>
      <c r="E305" s="4" t="s">
        <v>88</v>
      </c>
      <c r="F305" t="s">
        <v>33</v>
      </c>
      <c r="G305" s="4" t="s">
        <v>33</v>
      </c>
    </row>
    <row r="306" spans="1:7" x14ac:dyDescent="0.35">
      <c r="A306" t="s">
        <v>29</v>
      </c>
      <c r="B306">
        <v>1</v>
      </c>
      <c r="C306" s="9" t="s">
        <v>93</v>
      </c>
      <c r="D306" s="4">
        <v>0.14691411061579279</v>
      </c>
      <c r="E306" s="4">
        <v>0.24242480213518527</v>
      </c>
      <c r="F306">
        <v>3.5</v>
      </c>
      <c r="G306" s="4">
        <f t="shared" si="4"/>
        <v>1.2465468468915102</v>
      </c>
    </row>
    <row r="307" spans="1:7" x14ac:dyDescent="0.35">
      <c r="A307" t="s">
        <v>29</v>
      </c>
      <c r="B307">
        <v>1</v>
      </c>
      <c r="C307" s="8" t="s">
        <v>92</v>
      </c>
      <c r="D307" s="4">
        <v>0.22750601254976238</v>
      </c>
      <c r="E307" s="4" t="s">
        <v>88</v>
      </c>
      <c r="F307">
        <v>5.5</v>
      </c>
      <c r="G307" s="4" t="s">
        <v>88</v>
      </c>
    </row>
    <row r="308" spans="1:7" x14ac:dyDescent="0.35">
      <c r="A308" t="s">
        <v>29</v>
      </c>
      <c r="B308">
        <v>1</v>
      </c>
      <c r="C308" s="8" t="s">
        <v>91</v>
      </c>
      <c r="D308" s="4">
        <v>0.15664705522223588</v>
      </c>
      <c r="E308" s="4">
        <v>0.16191284478537621</v>
      </c>
      <c r="F308">
        <v>4</v>
      </c>
      <c r="G308" s="4">
        <f t="shared" si="4"/>
        <v>1.0145268135313654</v>
      </c>
    </row>
    <row r="309" spans="1:7" x14ac:dyDescent="0.35">
      <c r="A309" t="s">
        <v>29</v>
      </c>
      <c r="B309">
        <v>1</v>
      </c>
      <c r="C309" s="8" t="s">
        <v>90</v>
      </c>
      <c r="D309" s="4">
        <v>1.7010956197132761</v>
      </c>
      <c r="E309" s="4">
        <v>0.15546262798862678</v>
      </c>
      <c r="F309">
        <v>6.5</v>
      </c>
      <c r="G309" s="4">
        <f t="shared" si="4"/>
        <v>17.189691707536891</v>
      </c>
    </row>
    <row r="310" spans="1:7" x14ac:dyDescent="0.35">
      <c r="A310" t="s">
        <v>29</v>
      </c>
      <c r="B310">
        <v>2</v>
      </c>
      <c r="C310" s="9" t="s">
        <v>93</v>
      </c>
      <c r="D310" s="4">
        <v>1.1009721987042196</v>
      </c>
      <c r="E310" s="4">
        <v>4.4880015865670517E-2</v>
      </c>
      <c r="F310">
        <v>43</v>
      </c>
      <c r="G310" s="4">
        <f t="shared" si="4"/>
        <v>21.247009390568238</v>
      </c>
    </row>
    <row r="311" spans="1:7" x14ac:dyDescent="0.35">
      <c r="A311" t="s">
        <v>29</v>
      </c>
      <c r="B311">
        <v>2</v>
      </c>
      <c r="C311" s="8" t="s">
        <v>92</v>
      </c>
      <c r="D311" s="4">
        <v>0.97421974632083919</v>
      </c>
      <c r="E311" s="4">
        <v>7.0325126855854181E-2</v>
      </c>
      <c r="F311">
        <v>38</v>
      </c>
      <c r="G311" s="4">
        <f t="shared" si="4"/>
        <v>26.034608353286615</v>
      </c>
    </row>
    <row r="312" spans="1:7" x14ac:dyDescent="0.35">
      <c r="A312" t="s">
        <v>29</v>
      </c>
      <c r="B312">
        <v>2</v>
      </c>
      <c r="C312" s="8" t="s">
        <v>91</v>
      </c>
      <c r="D312" s="4">
        <v>0.97492060953603887</v>
      </c>
      <c r="E312" s="4">
        <v>8.0202807017543787E-2</v>
      </c>
      <c r="F312" t="s">
        <v>33</v>
      </c>
      <c r="G312" s="4" t="s">
        <v>88</v>
      </c>
    </row>
    <row r="313" spans="1:7" x14ac:dyDescent="0.35">
      <c r="A313" t="s">
        <v>29</v>
      </c>
      <c r="B313">
        <v>2</v>
      </c>
      <c r="C313" s="8" t="s">
        <v>90</v>
      </c>
      <c r="D313" s="4">
        <v>0.37039205125765573</v>
      </c>
      <c r="E313" s="4">
        <v>7.7511658265053088E-2</v>
      </c>
      <c r="F313">
        <v>0</v>
      </c>
      <c r="G313" s="4">
        <f t="shared" si="4"/>
        <v>0</v>
      </c>
    </row>
    <row r="314" spans="1:7" x14ac:dyDescent="0.35">
      <c r="A314" t="s">
        <v>29</v>
      </c>
      <c r="B314">
        <v>3</v>
      </c>
      <c r="C314" s="9" t="s">
        <v>93</v>
      </c>
      <c r="D314" s="4" t="s">
        <v>33</v>
      </c>
      <c r="E314" s="4" t="s">
        <v>88</v>
      </c>
      <c r="F314" t="s">
        <v>33</v>
      </c>
      <c r="G314" s="4" t="s">
        <v>33</v>
      </c>
    </row>
    <row r="315" spans="1:7" x14ac:dyDescent="0.35">
      <c r="A315" t="s">
        <v>29</v>
      </c>
      <c r="B315">
        <v>3</v>
      </c>
      <c r="C315" s="8" t="s">
        <v>92</v>
      </c>
      <c r="D315" s="4">
        <v>1.5736812375514537</v>
      </c>
      <c r="E315" s="4">
        <v>4.4712963494157917E-2</v>
      </c>
      <c r="F315">
        <v>0</v>
      </c>
      <c r="G315" s="4">
        <f t="shared" si="4"/>
        <v>0</v>
      </c>
    </row>
    <row r="316" spans="1:7" x14ac:dyDescent="0.35">
      <c r="A316" t="s">
        <v>29</v>
      </c>
      <c r="B316">
        <v>3</v>
      </c>
      <c r="C316" s="8" t="s">
        <v>91</v>
      </c>
      <c r="D316" s="4" t="s">
        <v>33</v>
      </c>
      <c r="E316" s="4" t="s">
        <v>88</v>
      </c>
      <c r="F316" t="s">
        <v>33</v>
      </c>
      <c r="G316" s="4" t="s">
        <v>33</v>
      </c>
    </row>
    <row r="317" spans="1:7" x14ac:dyDescent="0.35">
      <c r="A317" t="s">
        <v>29</v>
      </c>
      <c r="B317">
        <v>3</v>
      </c>
      <c r="C317" s="8" t="s">
        <v>90</v>
      </c>
      <c r="D317" s="4" t="s">
        <v>33</v>
      </c>
      <c r="E317" s="4" t="s">
        <v>88</v>
      </c>
      <c r="F317" t="s">
        <v>33</v>
      </c>
      <c r="G317" s="4" t="s">
        <v>33</v>
      </c>
    </row>
    <row r="318" spans="1:7" x14ac:dyDescent="0.35">
      <c r="A318" t="s">
        <v>29</v>
      </c>
      <c r="B318">
        <v>4</v>
      </c>
      <c r="C318" s="9" t="s">
        <v>93</v>
      </c>
      <c r="D318" s="4" t="s">
        <v>33</v>
      </c>
      <c r="E318" s="4" t="s">
        <v>88</v>
      </c>
      <c r="F318" t="s">
        <v>33</v>
      </c>
      <c r="G318" s="4" t="s">
        <v>33</v>
      </c>
    </row>
    <row r="319" spans="1:7" x14ac:dyDescent="0.35">
      <c r="A319" t="s">
        <v>29</v>
      </c>
      <c r="B319">
        <v>4</v>
      </c>
      <c r="C319" s="8" t="s">
        <v>92</v>
      </c>
      <c r="D319" s="4" t="s">
        <v>33</v>
      </c>
      <c r="E319" s="4" t="s">
        <v>88</v>
      </c>
      <c r="F319">
        <v>8</v>
      </c>
      <c r="G319" s="4" t="s">
        <v>33</v>
      </c>
    </row>
    <row r="320" spans="1:7" x14ac:dyDescent="0.35">
      <c r="A320" t="s">
        <v>29</v>
      </c>
      <c r="B320">
        <v>4</v>
      </c>
      <c r="C320" s="8" t="s">
        <v>91</v>
      </c>
      <c r="D320" s="4" t="s">
        <v>33</v>
      </c>
      <c r="E320" s="4" t="s">
        <v>88</v>
      </c>
      <c r="F320" t="s">
        <v>33</v>
      </c>
      <c r="G320" s="4" t="s">
        <v>33</v>
      </c>
    </row>
    <row r="321" spans="1:7" x14ac:dyDescent="0.35">
      <c r="A321" t="s">
        <v>29</v>
      </c>
      <c r="B321">
        <v>4</v>
      </c>
      <c r="C321" s="8" t="s">
        <v>90</v>
      </c>
      <c r="D321" s="4" t="s">
        <v>33</v>
      </c>
      <c r="E321" s="4" t="s">
        <v>88</v>
      </c>
      <c r="F321" t="s">
        <v>33</v>
      </c>
      <c r="G321" s="4" t="s">
        <v>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Metadata</vt:lpstr>
      <vt:lpstr>Locations</vt:lpstr>
      <vt:lpstr>Thickness</vt:lpstr>
      <vt:lpstr>Bulk density</vt:lpstr>
      <vt:lpstr>%C</vt:lpstr>
      <vt:lpstr>Stocks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Naomi Housego Day</dc:creator>
  <cp:lastModifiedBy>Naomi Housego Day</cp:lastModifiedBy>
  <dcterms:created xsi:type="dcterms:W3CDTF">2024-06-03T13:58:44Z</dcterms:created>
  <dcterms:modified xsi:type="dcterms:W3CDTF">2024-08-05T14:23:30Z</dcterms:modified>
</cp:coreProperties>
</file>