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3.xml" ContentType="application/vnd.openxmlformats-officedocument.drawing+xml"/>
  <Override PartName="/xl/charts/chart1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drawings/drawing4.xml" ContentType="application/vnd.openxmlformats-officedocument.drawing+xml"/>
  <Override PartName="/xl/charts/chart1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1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0" documentId="13_ncr:1_{117E9FC8-E2AF-4C7D-95E9-07B4AE572D46}" xr6:coauthVersionLast="47" xr6:coauthVersionMax="47" xr10:uidLastSave="{00000000-0000-0000-0000-000000000000}"/>
  <bookViews>
    <workbookView xWindow="30510" yWindow="1710" windowWidth="14115" windowHeight="12195" tabRatio="837" activeTab="5" xr2:uid="{00000000-000D-0000-FFFF-FFFF00000000}"/>
  </bookViews>
  <sheets>
    <sheet name="Info" sheetId="22" r:id="rId1"/>
    <sheet name="Graphs" sheetId="10" r:id="rId2"/>
    <sheet name="ALL_2022" sheetId="3" r:id="rId3"/>
    <sheet name="VESS" sheetId="2" r:id="rId4"/>
    <sheet name="WormsCanopeoKhPlantChloro" sheetId="4" r:id="rId5"/>
    <sheet name="BD_biomass" sheetId="6" r:id="rId6"/>
    <sheet name="atLeaf" sheetId="14" r:id="rId7"/>
    <sheet name="ALL_2021" sheetId="23" r:id="rId8"/>
    <sheet name="ALL_2020" sheetId="21" r:id="rId9"/>
    <sheet name="2019" sheetId="1" r:id="rId10"/>
    <sheet name="VESS_profile" sheetId="15" r:id="rId11"/>
  </sheets>
  <definedNames>
    <definedName name="_xlnm._FilterDatabase" localSheetId="9" hidden="1">'2019'!$A$3:$R$55</definedName>
    <definedName name="_xlnm._FilterDatabase" localSheetId="7" hidden="1">ALL_2021!$A$3:$Y$3</definedName>
    <definedName name="_xlnm._FilterDatabase" localSheetId="2" hidden="1">ALL_2022!$A$3:$U$3</definedName>
    <definedName name="_xlnm._FilterDatabase" localSheetId="3" hidden="1">VESS!$A$3:$O$203</definedName>
    <definedName name="_xlnm._FilterDatabase" localSheetId="4" hidden="1">WormsCanopeoKhPlantChloro!$A$3:$V$203</definedName>
    <definedName name="Uusi">#REF!</definedName>
    <definedName name="Vanh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R9" i="2" l="1"/>
  <c r="G35" i="3"/>
  <c r="AN9" i="10"/>
  <c r="AM9" i="10" a="1"/>
  <c r="AM9" i="10" s="1"/>
  <c r="AL9" i="10"/>
  <c r="AK9" i="10" a="1"/>
  <c r="AK9" i="10" s="1"/>
  <c r="AJ9" i="10"/>
  <c r="AI9" i="10" a="1"/>
  <c r="AI9" i="10" s="1"/>
  <c r="AH9" i="10"/>
  <c r="AG9" i="10" a="1"/>
  <c r="AG9" i="10" s="1"/>
  <c r="AF9" i="10"/>
  <c r="AE9" i="10"/>
  <c r="AE9" i="10" a="1"/>
  <c r="AD9" i="10"/>
  <c r="AC9" i="10" a="1"/>
  <c r="AC9" i="10" s="1"/>
  <c r="AB9" i="10"/>
  <c r="AA9" i="10"/>
  <c r="AA9" i="10" a="1"/>
  <c r="Z9" i="10"/>
  <c r="Y9" i="10" a="1"/>
  <c r="Y9" i="10" s="1"/>
  <c r="X9" i="10"/>
  <c r="W9" i="10" a="1"/>
  <c r="W9" i="10" s="1"/>
  <c r="V9" i="10"/>
  <c r="AN5" i="10"/>
  <c r="AM5" i="10" a="1"/>
  <c r="AM5" i="10" s="1"/>
  <c r="AL5" i="10"/>
  <c r="AK5" i="10" a="1"/>
  <c r="AK5" i="10" s="1"/>
  <c r="AJ5" i="10"/>
  <c r="AI5" i="10"/>
  <c r="AI5" i="10" a="1"/>
  <c r="AH5" i="10"/>
  <c r="AG5" i="10" a="1"/>
  <c r="AG5" i="10" s="1"/>
  <c r="AF5" i="10"/>
  <c r="AE5" i="10" a="1"/>
  <c r="AE5" i="10" s="1"/>
  <c r="AD5" i="10"/>
  <c r="AC5" i="10" a="1"/>
  <c r="AC5" i="10" s="1"/>
  <c r="AB5" i="10"/>
  <c r="AA5" i="10"/>
  <c r="AA5" i="10" a="1"/>
  <c r="Z5" i="10"/>
  <c r="Y5" i="10" a="1"/>
  <c r="Y5" i="10" s="1"/>
  <c r="X5" i="10"/>
  <c r="W5" i="10"/>
  <c r="W5" i="10" a="1"/>
  <c r="V5" i="10"/>
  <c r="V5" i="10" a="1"/>
  <c r="AN6" i="10"/>
  <c r="AM6" i="10" a="1"/>
  <c r="AM6" i="10" s="1"/>
  <c r="AL6" i="10"/>
  <c r="AK6" i="10" a="1"/>
  <c r="AK6" i="10" s="1"/>
  <c r="AJ6" i="10"/>
  <c r="AI6" i="10"/>
  <c r="AI6" i="10" a="1"/>
  <c r="AH6" i="10"/>
  <c r="AG6" i="10" a="1"/>
  <c r="AG6" i="10" s="1"/>
  <c r="AF6" i="10"/>
  <c r="AE6" i="10" a="1"/>
  <c r="AE6" i="10" s="1"/>
  <c r="AD6" i="10"/>
  <c r="AC6" i="10" a="1"/>
  <c r="AC6" i="10" s="1"/>
  <c r="AB6" i="10"/>
  <c r="AA6" i="10"/>
  <c r="AA6" i="10" a="1"/>
  <c r="Z6" i="10"/>
  <c r="Y6" i="10" a="1"/>
  <c r="Y6" i="10" s="1"/>
  <c r="X6" i="10"/>
  <c r="W6" i="10" a="1"/>
  <c r="W6" i="10" s="1"/>
  <c r="V6" i="10" a="1"/>
  <c r="V6" i="10" s="1"/>
  <c r="AN10" i="10"/>
  <c r="AM10" i="10" a="1"/>
  <c r="AM10" i="10" s="1"/>
  <c r="AL10" i="10"/>
  <c r="AK10" i="10" a="1"/>
  <c r="AK10" i="10" s="1"/>
  <c r="AJ10" i="10"/>
  <c r="AI10" i="10"/>
  <c r="AI10" i="10" a="1"/>
  <c r="AH10" i="10"/>
  <c r="AG10" i="10"/>
  <c r="AG10" i="10" a="1"/>
  <c r="AF10" i="10"/>
  <c r="AE10" i="10" a="1"/>
  <c r="AE10" i="10" s="1"/>
  <c r="AD10" i="10"/>
  <c r="AC10" i="10" a="1"/>
  <c r="AC10" i="10" s="1"/>
  <c r="AB10" i="10"/>
  <c r="AA10" i="10" a="1"/>
  <c r="AA10" i="10" s="1"/>
  <c r="Z10" i="10"/>
  <c r="Y10" i="10" a="1"/>
  <c r="Y10" i="10" s="1"/>
  <c r="X10" i="10"/>
  <c r="W10" i="10" a="1"/>
  <c r="W10" i="10" s="1"/>
  <c r="V10" i="10"/>
  <c r="AI11" i="10" a="1"/>
  <c r="AI11" i="10" s="1"/>
  <c r="AH11" i="10" a="1"/>
  <c r="AH11" i="10" s="1"/>
  <c r="AG11" i="10" a="1"/>
  <c r="AG11" i="10" s="1"/>
  <c r="AF11" i="10" a="1"/>
  <c r="AF11" i="10" s="1"/>
  <c r="AE11" i="10" a="1"/>
  <c r="AE11" i="10" s="1"/>
  <c r="AD11" i="10" a="1"/>
  <c r="AD11" i="10" s="1"/>
  <c r="AC11" i="10" a="1"/>
  <c r="AC11" i="10" s="1"/>
  <c r="AB11" i="10" a="1"/>
  <c r="AB11" i="10" s="1"/>
  <c r="AA11" i="10" a="1"/>
  <c r="AA11" i="10" s="1"/>
  <c r="Z11" i="10" a="1"/>
  <c r="Z11" i="10" s="1"/>
  <c r="Y11" i="10" a="1"/>
  <c r="Y11" i="10" s="1"/>
  <c r="X11" i="10" a="1"/>
  <c r="X11" i="10" s="1"/>
  <c r="W11" i="10" a="1"/>
  <c r="W11" i="10" s="1"/>
  <c r="V11" i="10" a="1"/>
  <c r="V11" i="10" s="1"/>
  <c r="AI7" i="10" a="1"/>
  <c r="AI7" i="10" s="1"/>
  <c r="AH7" i="10" a="1"/>
  <c r="AH7" i="10" s="1"/>
  <c r="AG7" i="10" a="1"/>
  <c r="AG7" i="10" s="1"/>
  <c r="AF7" i="10" a="1"/>
  <c r="AF7" i="10" s="1"/>
  <c r="AE7" i="10" a="1"/>
  <c r="AE7" i="10" s="1"/>
  <c r="AD7" i="10" a="1"/>
  <c r="AD7" i="10" s="1"/>
  <c r="AC7" i="10" a="1"/>
  <c r="AC7" i="10" s="1"/>
  <c r="AB7" i="10" a="1"/>
  <c r="AB7" i="10" s="1"/>
  <c r="AA7" i="10" a="1"/>
  <c r="AA7" i="10" s="1"/>
  <c r="Z7" i="10" a="1"/>
  <c r="Z7" i="10" s="1"/>
  <c r="Y7" i="10" a="1"/>
  <c r="Y7" i="10" s="1"/>
  <c r="X7" i="10" a="1"/>
  <c r="X7" i="10" s="1"/>
  <c r="W7" i="10" a="1"/>
  <c r="W7" i="10" s="1"/>
  <c r="V7" i="10" a="1"/>
  <c r="V7" i="10" s="1"/>
  <c r="S9" i="10"/>
  <c r="R9" i="10"/>
  <c r="Q9" i="10"/>
  <c r="P9" i="10"/>
  <c r="O9" i="10"/>
  <c r="N9" i="10"/>
  <c r="M9" i="10"/>
  <c r="L9" i="10"/>
  <c r="K9" i="10"/>
  <c r="J9" i="10"/>
  <c r="I9" i="10"/>
  <c r="H9" i="10"/>
  <c r="G9" i="10"/>
  <c r="F9" i="10"/>
  <c r="E9" i="10"/>
  <c r="D9" i="10"/>
  <c r="C9" i="10"/>
  <c r="S10" i="10"/>
  <c r="R10" i="10"/>
  <c r="Q10" i="10"/>
  <c r="P10" i="10"/>
  <c r="O10" i="10"/>
  <c r="N10" i="10"/>
  <c r="M10" i="10"/>
  <c r="L10" i="10"/>
  <c r="K10" i="10"/>
  <c r="J10" i="10"/>
  <c r="I10" i="10"/>
  <c r="H10" i="10"/>
  <c r="G10" i="10"/>
  <c r="F10" i="10"/>
  <c r="E10" i="10"/>
  <c r="D10" i="10"/>
  <c r="C10" i="10"/>
  <c r="S6" i="10"/>
  <c r="R6" i="10"/>
  <c r="Q6" i="10"/>
  <c r="P6" i="10"/>
  <c r="O6" i="10"/>
  <c r="N6" i="10"/>
  <c r="M6" i="10"/>
  <c r="L6" i="10"/>
  <c r="K6" i="10"/>
  <c r="J6" i="10"/>
  <c r="I6" i="10"/>
  <c r="H6" i="10"/>
  <c r="G6" i="10"/>
  <c r="F6" i="10"/>
  <c r="E6" i="10"/>
  <c r="D6" i="10"/>
  <c r="C6" i="10"/>
  <c r="M11" i="10"/>
  <c r="L11" i="10"/>
  <c r="K11" i="10"/>
  <c r="J11" i="10"/>
  <c r="I11" i="10"/>
  <c r="H11" i="10"/>
  <c r="G11" i="10"/>
  <c r="F11" i="10"/>
  <c r="E11" i="10"/>
  <c r="D11" i="10"/>
  <c r="C11" i="10"/>
  <c r="M7" i="10"/>
  <c r="L7" i="10"/>
  <c r="K7" i="10"/>
  <c r="J7" i="10"/>
  <c r="I7" i="10"/>
  <c r="H7" i="10"/>
  <c r="G7" i="10"/>
  <c r="F7" i="10"/>
  <c r="E7" i="10"/>
  <c r="D7" i="10"/>
  <c r="C7" i="10"/>
  <c r="S5" i="10"/>
  <c r="R5" i="10"/>
  <c r="Q5" i="10"/>
  <c r="P5" i="10"/>
  <c r="O5" i="10"/>
  <c r="N5" i="10"/>
  <c r="M5" i="10"/>
  <c r="L5" i="10"/>
  <c r="K5" i="10"/>
  <c r="J5" i="10"/>
  <c r="I5" i="10"/>
  <c r="H5" i="10"/>
  <c r="G5" i="10"/>
  <c r="F5" i="10"/>
  <c r="E5" i="10"/>
  <c r="D5" i="10"/>
  <c r="C5" i="10"/>
  <c r="A7" i="10"/>
  <c r="A11" i="10"/>
  <c r="P1" i="6" l="1"/>
  <c r="AC193" i="4" l="1"/>
  <c r="AB193" i="4"/>
  <c r="AC192" i="4"/>
  <c r="AB192" i="4"/>
  <c r="AC191" i="4"/>
  <c r="AB191" i="4"/>
  <c r="AC190" i="4"/>
  <c r="AB190" i="4"/>
  <c r="AC189" i="4"/>
  <c r="AB189" i="4"/>
  <c r="AC188" i="4"/>
  <c r="AB188" i="4"/>
  <c r="AC187" i="4"/>
  <c r="AB187" i="4"/>
  <c r="AC186" i="4"/>
  <c r="AB186" i="4"/>
  <c r="AC185" i="4"/>
  <c r="AB185" i="4"/>
  <c r="AC184" i="4"/>
  <c r="AB184" i="4"/>
  <c r="AC183" i="4"/>
  <c r="AB183" i="4"/>
  <c r="AC182" i="4"/>
  <c r="AB182" i="4"/>
  <c r="AC181" i="4"/>
  <c r="AB181" i="4"/>
  <c r="AC180" i="4"/>
  <c r="AB180" i="4"/>
  <c r="AC179" i="4"/>
  <c r="AB179" i="4"/>
  <c r="AC178" i="4"/>
  <c r="AB178" i="4"/>
  <c r="AC177" i="4"/>
  <c r="AB177" i="4"/>
  <c r="AC176" i="4"/>
  <c r="AB176" i="4"/>
  <c r="AC175" i="4"/>
  <c r="AB175" i="4"/>
  <c r="AC174" i="4"/>
  <c r="AB174" i="4"/>
  <c r="AC173" i="4"/>
  <c r="AB173" i="4"/>
  <c r="AC172" i="4"/>
  <c r="AB172" i="4"/>
  <c r="AC171" i="4"/>
  <c r="AB171" i="4"/>
  <c r="AC170" i="4"/>
  <c r="AB170" i="4"/>
  <c r="AC169" i="4"/>
  <c r="AB169" i="4"/>
  <c r="AC168" i="4"/>
  <c r="AB168" i="4"/>
  <c r="AC167" i="4"/>
  <c r="AB167" i="4"/>
  <c r="AC166" i="4"/>
  <c r="AB166" i="4"/>
  <c r="AC165" i="4"/>
  <c r="AB165" i="4"/>
  <c r="AC164" i="4"/>
  <c r="AB164" i="4"/>
  <c r="AC163" i="4"/>
  <c r="AB163" i="4"/>
  <c r="AC162" i="4"/>
  <c r="AB162" i="4"/>
  <c r="AC161" i="4"/>
  <c r="AB161" i="4"/>
  <c r="AC160" i="4"/>
  <c r="AB160" i="4"/>
  <c r="AC159" i="4"/>
  <c r="AB159" i="4"/>
  <c r="AC158" i="4"/>
  <c r="AB158" i="4"/>
  <c r="AC157" i="4"/>
  <c r="AB157" i="4"/>
  <c r="AC156" i="4"/>
  <c r="AB156" i="4"/>
  <c r="AC155" i="4"/>
  <c r="AB155" i="4"/>
  <c r="AC154" i="4"/>
  <c r="AB154" i="4"/>
  <c r="AC153" i="4"/>
  <c r="AB153" i="4"/>
  <c r="AC152" i="4"/>
  <c r="AB152" i="4"/>
  <c r="AC151" i="4"/>
  <c r="AB151" i="4"/>
  <c r="AC150" i="4"/>
  <c r="AB150" i="4"/>
  <c r="AC149" i="4"/>
  <c r="AB149" i="4"/>
  <c r="AC148" i="4"/>
  <c r="AB148" i="4"/>
  <c r="AC147" i="4"/>
  <c r="AB147" i="4"/>
  <c r="AC146" i="4"/>
  <c r="AB146" i="4"/>
  <c r="AC145" i="4"/>
  <c r="AB145" i="4"/>
  <c r="AC144" i="4"/>
  <c r="AB144" i="4"/>
  <c r="AC143" i="4"/>
  <c r="AB143" i="4"/>
  <c r="AC142" i="4"/>
  <c r="AB142" i="4"/>
  <c r="AC141" i="4"/>
  <c r="AB141" i="4"/>
  <c r="AC140" i="4"/>
  <c r="AB140" i="4"/>
  <c r="AC139" i="4"/>
  <c r="AB139" i="4"/>
  <c r="AC138" i="4"/>
  <c r="AB138" i="4"/>
  <c r="AC137" i="4"/>
  <c r="AB137" i="4"/>
  <c r="AC136" i="4"/>
  <c r="AB136" i="4"/>
  <c r="AC135" i="4"/>
  <c r="AB135" i="4"/>
  <c r="AC134" i="4"/>
  <c r="AB134" i="4"/>
  <c r="AC123" i="4"/>
  <c r="AB123" i="4"/>
  <c r="AC122" i="4"/>
  <c r="AB122" i="4"/>
  <c r="AC121" i="4"/>
  <c r="AB121" i="4"/>
  <c r="AC120" i="4"/>
  <c r="AB120" i="4"/>
  <c r="AC119" i="4"/>
  <c r="AB119" i="4"/>
  <c r="AC118" i="4"/>
  <c r="AB118" i="4"/>
  <c r="AC117" i="4"/>
  <c r="AB117" i="4"/>
  <c r="AC116" i="4"/>
  <c r="AB116" i="4"/>
  <c r="AC115" i="4"/>
  <c r="AB115" i="4"/>
  <c r="AC114" i="4"/>
  <c r="AB114" i="4"/>
  <c r="AC113" i="4"/>
  <c r="AB113" i="4"/>
  <c r="AC112" i="4"/>
  <c r="AB112" i="4"/>
  <c r="AC111" i="4"/>
  <c r="AB111" i="4"/>
  <c r="AC110" i="4"/>
  <c r="AB110" i="4"/>
  <c r="AC109" i="4"/>
  <c r="AB109" i="4"/>
  <c r="AC107" i="4"/>
  <c r="AB107" i="4"/>
  <c r="AC106" i="4"/>
  <c r="AB106" i="4"/>
  <c r="AC105" i="4"/>
  <c r="AB105" i="4"/>
  <c r="AC104" i="4"/>
  <c r="AB104" i="4"/>
  <c r="AC103" i="4"/>
  <c r="AB103" i="4"/>
  <c r="AC102" i="4"/>
  <c r="AB102" i="4"/>
  <c r="AC101" i="4"/>
  <c r="AB101" i="4"/>
  <c r="AC100" i="4"/>
  <c r="AB100" i="4"/>
  <c r="AC99" i="4"/>
  <c r="AB99" i="4"/>
  <c r="AC98" i="4"/>
  <c r="AB98" i="4"/>
  <c r="AC97" i="4"/>
  <c r="AB97" i="4"/>
  <c r="AC96" i="4"/>
  <c r="AB96" i="4"/>
  <c r="AC95" i="4"/>
  <c r="AB95" i="4"/>
  <c r="AC94" i="4"/>
  <c r="AB94" i="4"/>
  <c r="AC92" i="4"/>
  <c r="AB92" i="4"/>
  <c r="AC91" i="4"/>
  <c r="AB91" i="4"/>
  <c r="AC90" i="4"/>
  <c r="AB90" i="4"/>
  <c r="AC89" i="4"/>
  <c r="AB89" i="4"/>
  <c r="AC88" i="4"/>
  <c r="AB88" i="4"/>
  <c r="AC87" i="4"/>
  <c r="AB87" i="4"/>
  <c r="AC86" i="4"/>
  <c r="AB86" i="4"/>
  <c r="AC85" i="4"/>
  <c r="AB85" i="4"/>
  <c r="AC84" i="4"/>
  <c r="AB84" i="4"/>
  <c r="AC83" i="4"/>
  <c r="AB83" i="4"/>
  <c r="AC82" i="4"/>
  <c r="AB82" i="4"/>
  <c r="AC81" i="4"/>
  <c r="AB81" i="4"/>
  <c r="AC80" i="4"/>
  <c r="AB80" i="4"/>
  <c r="AC79" i="4"/>
  <c r="AB79" i="4"/>
  <c r="AC78" i="4"/>
  <c r="AB78" i="4"/>
  <c r="AC77" i="4"/>
  <c r="AB77" i="4"/>
  <c r="AC76" i="4"/>
  <c r="AB76" i="4"/>
  <c r="AC75" i="4"/>
  <c r="AB75" i="4"/>
  <c r="AC74" i="4"/>
  <c r="AB74" i="4"/>
  <c r="AC73" i="4"/>
  <c r="AB73" i="4"/>
  <c r="AC72" i="4"/>
  <c r="AB72" i="4"/>
  <c r="AC71" i="4"/>
  <c r="AB71" i="4"/>
  <c r="AC70" i="4"/>
  <c r="AB70" i="4"/>
  <c r="AC69" i="4"/>
  <c r="AB69" i="4"/>
  <c r="AC68" i="4"/>
  <c r="AB68" i="4"/>
  <c r="AC67" i="4"/>
  <c r="AB67" i="4"/>
  <c r="AC66" i="4"/>
  <c r="AB66" i="4"/>
  <c r="AC65" i="4"/>
  <c r="AB65" i="4"/>
  <c r="AC64" i="4"/>
  <c r="AB64" i="4"/>
  <c r="AC43" i="4"/>
  <c r="AB43" i="4"/>
  <c r="AC42" i="4"/>
  <c r="AB42" i="4"/>
  <c r="AC41" i="4"/>
  <c r="AB41" i="4"/>
  <c r="AC40" i="4"/>
  <c r="AB40" i="4"/>
  <c r="AC39" i="4"/>
  <c r="AB39" i="4"/>
  <c r="AC38" i="4"/>
  <c r="AB38" i="4"/>
  <c r="AC37" i="4"/>
  <c r="AB37" i="4"/>
  <c r="AC36" i="4"/>
  <c r="AB36" i="4"/>
  <c r="AC35" i="4"/>
  <c r="AB35" i="4"/>
  <c r="AC34" i="4"/>
  <c r="AB34" i="4"/>
  <c r="AC13" i="4"/>
  <c r="AB13" i="4"/>
  <c r="AC12" i="4"/>
  <c r="AB12" i="4"/>
  <c r="AC11" i="4"/>
  <c r="AB11" i="4"/>
  <c r="AC10" i="4"/>
  <c r="AB10" i="4"/>
  <c r="AC9" i="4"/>
  <c r="AB9" i="4"/>
  <c r="AC8" i="4"/>
  <c r="AB8" i="4"/>
  <c r="AC7" i="4"/>
  <c r="AB7" i="4"/>
  <c r="AC6" i="4"/>
  <c r="AB6" i="4"/>
  <c r="AC5" i="4"/>
  <c r="AB5" i="4"/>
  <c r="AC4" i="4"/>
  <c r="AB4" i="4"/>
  <c r="O199" i="2" l="1"/>
  <c r="N199" i="2"/>
  <c r="O194" i="2"/>
  <c r="N194" i="2"/>
  <c r="O189" i="2"/>
  <c r="N189" i="2"/>
  <c r="O184" i="2"/>
  <c r="N184" i="2"/>
  <c r="O179" i="2"/>
  <c r="N179" i="2"/>
  <c r="O174" i="2"/>
  <c r="N174" i="2"/>
  <c r="O119" i="2"/>
  <c r="N119" i="2"/>
  <c r="O114" i="2"/>
  <c r="N114" i="2"/>
  <c r="O109" i="2"/>
  <c r="N109" i="2"/>
  <c r="O104" i="2"/>
  <c r="N104" i="2"/>
  <c r="O99" i="2"/>
  <c r="N99" i="2"/>
  <c r="O94" i="2"/>
  <c r="N94" i="2"/>
  <c r="O59" i="2"/>
  <c r="N59" i="2"/>
  <c r="O44" i="2"/>
  <c r="N44" i="2"/>
  <c r="O39" i="2"/>
  <c r="N39" i="2"/>
  <c r="O19" i="2"/>
  <c r="N19" i="2"/>
  <c r="O14" i="2"/>
  <c r="N14" i="2"/>
  <c r="G6" i="3"/>
  <c r="G9" i="3"/>
  <c r="G14" i="3"/>
  <c r="G17" i="3"/>
  <c r="G22" i="3"/>
  <c r="G25" i="3"/>
  <c r="G30" i="3"/>
  <c r="G33" i="3"/>
  <c r="G38" i="3"/>
  <c r="G41" i="3"/>
  <c r="N5" i="6"/>
  <c r="N6" i="6"/>
  <c r="N7" i="6"/>
  <c r="N8" i="6"/>
  <c r="N9" i="6"/>
  <c r="N10" i="6"/>
  <c r="N11" i="6"/>
  <c r="S11" i="6" s="1"/>
  <c r="N12" i="6"/>
  <c r="N13" i="6"/>
  <c r="N14" i="6"/>
  <c r="N15" i="6"/>
  <c r="N16" i="6"/>
  <c r="N17" i="6"/>
  <c r="N18" i="6"/>
  <c r="N19" i="6"/>
  <c r="S19" i="6" s="1"/>
  <c r="N20" i="6"/>
  <c r="N21" i="6"/>
  <c r="N22" i="6"/>
  <c r="N23" i="6"/>
  <c r="N24" i="6"/>
  <c r="N25" i="6"/>
  <c r="N26" i="6"/>
  <c r="N27" i="6"/>
  <c r="N28" i="6"/>
  <c r="N29" i="6"/>
  <c r="N30" i="6"/>
  <c r="N31" i="6"/>
  <c r="N32" i="6"/>
  <c r="N33" i="6"/>
  <c r="N34" i="6"/>
  <c r="N35" i="6"/>
  <c r="N36" i="6"/>
  <c r="N37" i="6"/>
  <c r="N38" i="6"/>
  <c r="N39" i="6"/>
  <c r="N40" i="6"/>
  <c r="N41" i="6"/>
  <c r="N42" i="6"/>
  <c r="N43" i="6"/>
  <c r="S6" i="6"/>
  <c r="S7" i="6"/>
  <c r="S10" i="6"/>
  <c r="S14" i="6"/>
  <c r="S15" i="6"/>
  <c r="S18" i="6"/>
  <c r="S28" i="6"/>
  <c r="S29" i="6"/>
  <c r="S38" i="6"/>
  <c r="S39" i="6"/>
  <c r="A4" i="3"/>
  <c r="G4" i="3" s="1"/>
  <c r="A5" i="3"/>
  <c r="G5" i="3" s="1"/>
  <c r="A6" i="3"/>
  <c r="A7" i="3"/>
  <c r="G7" i="3" s="1"/>
  <c r="A8" i="3"/>
  <c r="G8" i="3" s="1"/>
  <c r="A9" i="3"/>
  <c r="A10" i="3"/>
  <c r="G10" i="3" s="1"/>
  <c r="A11" i="3"/>
  <c r="G11" i="3" s="1"/>
  <c r="A12" i="3"/>
  <c r="G12" i="3" s="1"/>
  <c r="A13" i="3"/>
  <c r="G13" i="3" s="1"/>
  <c r="A14" i="3"/>
  <c r="A15" i="3"/>
  <c r="G15" i="3" s="1"/>
  <c r="A16" i="3"/>
  <c r="G16" i="3" s="1"/>
  <c r="A17" i="3"/>
  <c r="A18" i="3"/>
  <c r="G18" i="3" s="1"/>
  <c r="A19" i="3"/>
  <c r="G19" i="3" s="1"/>
  <c r="A20" i="3"/>
  <c r="G20" i="3" s="1"/>
  <c r="A21" i="3"/>
  <c r="G21" i="3" s="1"/>
  <c r="A22" i="3"/>
  <c r="A23" i="3"/>
  <c r="G23" i="3" s="1"/>
  <c r="A24" i="3"/>
  <c r="G24" i="3" s="1"/>
  <c r="A25" i="3"/>
  <c r="A26" i="3"/>
  <c r="G26" i="3" s="1"/>
  <c r="A27" i="3"/>
  <c r="G27" i="3" s="1"/>
  <c r="A28" i="3"/>
  <c r="G28" i="3" s="1"/>
  <c r="A29" i="3"/>
  <c r="G29" i="3" s="1"/>
  <c r="A30" i="3"/>
  <c r="A31" i="3"/>
  <c r="G31" i="3" s="1"/>
  <c r="A32" i="3"/>
  <c r="G32" i="3" s="1"/>
  <c r="A33" i="3"/>
  <c r="A34" i="3"/>
  <c r="G34" i="3" s="1"/>
  <c r="A35" i="3"/>
  <c r="A36" i="3"/>
  <c r="G36" i="3" s="1"/>
  <c r="A37" i="3"/>
  <c r="G37" i="3" s="1"/>
  <c r="A38" i="3"/>
  <c r="A39" i="3"/>
  <c r="G39" i="3" s="1"/>
  <c r="A40" i="3"/>
  <c r="G40" i="3" s="1"/>
  <c r="A41" i="3"/>
  <c r="A42" i="3"/>
  <c r="G42" i="3" s="1"/>
  <c r="A43" i="3"/>
  <c r="G43" i="3" s="1"/>
  <c r="P4" i="2" l="1"/>
  <c r="A9" i="10"/>
  <c r="A5" i="10"/>
  <c r="J44" i="23" l="1"/>
  <c r="F169" i="4" l="1"/>
  <c r="F164" i="4"/>
  <c r="AC14" i="2" l="1"/>
  <c r="AC19" i="2"/>
  <c r="AC24" i="2"/>
  <c r="AC29" i="2"/>
  <c r="AC34" i="2"/>
  <c r="AC39" i="2"/>
  <c r="AC44" i="2"/>
  <c r="AC49" i="2"/>
  <c r="AC54" i="2"/>
  <c r="AC59" i="2"/>
  <c r="AC64" i="2"/>
  <c r="AC69" i="2"/>
  <c r="AC74" i="2"/>
  <c r="AC79" i="2"/>
  <c r="AC84" i="2"/>
  <c r="AC89" i="2"/>
  <c r="AC94" i="2"/>
  <c r="AC99" i="2"/>
  <c r="AC104" i="2"/>
  <c r="AC109" i="2"/>
  <c r="AC114" i="2"/>
  <c r="AC119" i="2"/>
  <c r="AC124" i="2"/>
  <c r="AC129" i="2"/>
  <c r="AC134" i="2"/>
  <c r="AC139" i="2"/>
  <c r="AC144" i="2"/>
  <c r="AC149" i="2"/>
  <c r="AC154" i="2"/>
  <c r="AC159" i="2"/>
  <c r="AC164" i="2"/>
  <c r="AC169" i="2"/>
  <c r="AC174" i="2"/>
  <c r="AC179" i="2"/>
  <c r="AC184" i="2"/>
  <c r="AC189" i="2"/>
  <c r="AC194" i="2"/>
  <c r="AC199" i="2"/>
  <c r="AC9" i="2"/>
  <c r="AC4" i="2"/>
  <c r="S194" i="2" l="1"/>
  <c r="G160" i="15" l="1" a="1"/>
  <c r="G160" i="15" s="1"/>
  <c r="D160" i="15" a="1"/>
  <c r="D160" i="15" s="1"/>
  <c r="D4" i="15" a="1"/>
  <c r="D4" i="15" s="1"/>
  <c r="R1" i="6" l="1"/>
  <c r="S1" i="6" s="1"/>
  <c r="S21" i="6"/>
  <c r="S20" i="6"/>
  <c r="S17" i="6"/>
  <c r="S16" i="6"/>
  <c r="S9" i="6"/>
  <c r="S8" i="6"/>
  <c r="S37" i="6"/>
  <c r="S12" i="6"/>
  <c r="S13" i="6"/>
  <c r="S36" i="6"/>
  <c r="S34" i="6"/>
  <c r="S35" i="6"/>
  <c r="S5" i="6"/>
  <c r="S32" i="6"/>
  <c r="S33" i="6"/>
  <c r="S31" i="6"/>
  <c r="Q30" i="6"/>
  <c r="S30" i="6"/>
  <c r="Q11" i="6"/>
  <c r="R11" i="6" l="1"/>
  <c r="F11" i="3" s="1"/>
  <c r="E11" i="3"/>
  <c r="R30" i="6"/>
  <c r="F30" i="3" s="1"/>
  <c r="E30" i="3"/>
  <c r="E34" i="14"/>
  <c r="E35" i="14"/>
  <c r="E36" i="14"/>
  <c r="E37" i="14"/>
  <c r="E38" i="14"/>
  <c r="E39" i="14"/>
  <c r="E40" i="14"/>
  <c r="E41" i="14"/>
  <c r="E42" i="14"/>
  <c r="E43" i="14"/>
  <c r="D34" i="14"/>
  <c r="D35" i="14"/>
  <c r="D36" i="14"/>
  <c r="D37" i="14"/>
  <c r="D38" i="14"/>
  <c r="D39" i="14"/>
  <c r="D40" i="14"/>
  <c r="D41" i="14"/>
  <c r="D42" i="14"/>
  <c r="D43" i="14"/>
  <c r="Q20" i="6" l="1"/>
  <c r="S24" i="6"/>
  <c r="S25" i="6"/>
  <c r="S26" i="6"/>
  <c r="S27" i="6"/>
  <c r="S40" i="6"/>
  <c r="S41" i="6"/>
  <c r="S42" i="6"/>
  <c r="S43" i="6"/>
  <c r="S22" i="6"/>
  <c r="S23" i="6"/>
  <c r="S4" i="6"/>
  <c r="Q21" i="6"/>
  <c r="Q38" i="6"/>
  <c r="Q39" i="6"/>
  <c r="Q34" i="6"/>
  <c r="Q35" i="6"/>
  <c r="Q4" i="6"/>
  <c r="Q5" i="6"/>
  <c r="Q14" i="6"/>
  <c r="Q15" i="6"/>
  <c r="Q28" i="6"/>
  <c r="Q29" i="6"/>
  <c r="Q36" i="6"/>
  <c r="Q37" i="6"/>
  <c r="Q12" i="6"/>
  <c r="Q13" i="6"/>
  <c r="Q24" i="6"/>
  <c r="Q25" i="6"/>
  <c r="Q8" i="6"/>
  <c r="Q9" i="6"/>
  <c r="Q26" i="6"/>
  <c r="Q27" i="6"/>
  <c r="Q6" i="6"/>
  <c r="Q7" i="6"/>
  <c r="Q10" i="6"/>
  <c r="Q32" i="6"/>
  <c r="Q33" i="6"/>
  <c r="Q31" i="6"/>
  <c r="Q40" i="6"/>
  <c r="Q41" i="6"/>
  <c r="Q42" i="6"/>
  <c r="Q43" i="6"/>
  <c r="Q22" i="6"/>
  <c r="Q23" i="6"/>
  <c r="Q16" i="6"/>
  <c r="Q17" i="6"/>
  <c r="Q18" i="6"/>
  <c r="Q19" i="6"/>
  <c r="R13" i="6" l="1"/>
  <c r="F13" i="3" s="1"/>
  <c r="E13" i="3"/>
  <c r="R5" i="6"/>
  <c r="F5" i="3" s="1"/>
  <c r="E5" i="3"/>
  <c r="R42" i="6"/>
  <c r="F42" i="3" s="1"/>
  <c r="E42" i="3"/>
  <c r="R19" i="6"/>
  <c r="F19" i="3" s="1"/>
  <c r="E19" i="3"/>
  <c r="R37" i="6"/>
  <c r="F37" i="3" s="1"/>
  <c r="E37" i="3"/>
  <c r="R20" i="6"/>
  <c r="F20" i="3" s="1"/>
  <c r="E20" i="3"/>
  <c r="R40" i="6"/>
  <c r="F40" i="3" s="1"/>
  <c r="E40" i="3"/>
  <c r="R36" i="6"/>
  <c r="F36" i="3" s="1"/>
  <c r="E36" i="3"/>
  <c r="R17" i="6"/>
  <c r="F17" i="3" s="1"/>
  <c r="E17" i="3"/>
  <c r="R31" i="6"/>
  <c r="F31" i="3" s="1"/>
  <c r="E31" i="3"/>
  <c r="R9" i="6"/>
  <c r="F9" i="3" s="1"/>
  <c r="E9" i="3"/>
  <c r="R29" i="6"/>
  <c r="F29" i="3" s="1"/>
  <c r="E29" i="3"/>
  <c r="R39" i="6"/>
  <c r="F39" i="3" s="1"/>
  <c r="E39" i="3"/>
  <c r="R7" i="6"/>
  <c r="F7" i="3" s="1"/>
  <c r="E7" i="3"/>
  <c r="R12" i="6"/>
  <c r="F12" i="3" s="1"/>
  <c r="E12" i="3"/>
  <c r="R27" i="6"/>
  <c r="F27" i="3" s="1"/>
  <c r="E27" i="3"/>
  <c r="R35" i="6"/>
  <c r="F35" i="3" s="1"/>
  <c r="E35" i="3"/>
  <c r="R18" i="6"/>
  <c r="F18" i="3" s="1"/>
  <c r="E18" i="3"/>
  <c r="R33" i="6"/>
  <c r="F33" i="3" s="1"/>
  <c r="E33" i="3"/>
  <c r="R8" i="6"/>
  <c r="F8" i="3" s="1"/>
  <c r="E8" i="3"/>
  <c r="R28" i="6"/>
  <c r="F28" i="3" s="1"/>
  <c r="E28" i="3"/>
  <c r="R38" i="6"/>
  <c r="F38" i="3" s="1"/>
  <c r="E38" i="3"/>
  <c r="R43" i="6"/>
  <c r="F43" i="3" s="1"/>
  <c r="E43" i="3"/>
  <c r="R6" i="6"/>
  <c r="F6" i="3" s="1"/>
  <c r="E6" i="3"/>
  <c r="R41" i="6"/>
  <c r="F41" i="3" s="1"/>
  <c r="E41" i="3"/>
  <c r="R26" i="6"/>
  <c r="F26" i="3" s="1"/>
  <c r="E26" i="3"/>
  <c r="R34" i="6"/>
  <c r="F34" i="3" s="1"/>
  <c r="E34" i="3"/>
  <c r="R16" i="6"/>
  <c r="F16" i="3" s="1"/>
  <c r="E16" i="3"/>
  <c r="R23" i="6"/>
  <c r="F23" i="3" s="1"/>
  <c r="E23" i="3"/>
  <c r="R32" i="6"/>
  <c r="F32" i="3" s="1"/>
  <c r="E32" i="3"/>
  <c r="R25" i="6"/>
  <c r="F25" i="3" s="1"/>
  <c r="E25" i="3"/>
  <c r="R15" i="6"/>
  <c r="F15" i="3" s="1"/>
  <c r="E15" i="3"/>
  <c r="R21" i="6"/>
  <c r="F21" i="3" s="1"/>
  <c r="E21" i="3"/>
  <c r="R22" i="6"/>
  <c r="F22" i="3" s="1"/>
  <c r="E22" i="3"/>
  <c r="R10" i="6"/>
  <c r="F10" i="3" s="1"/>
  <c r="E10" i="3"/>
  <c r="R24" i="6"/>
  <c r="F24" i="3" s="1"/>
  <c r="E24" i="3"/>
  <c r="R14" i="6"/>
  <c r="F14" i="3" s="1"/>
  <c r="E14" i="3"/>
  <c r="E4" i="3"/>
  <c r="D173" i="14"/>
  <c r="E173" i="14"/>
  <c r="D172" i="14"/>
  <c r="E172" i="14"/>
  <c r="D171" i="14"/>
  <c r="E171" i="14"/>
  <c r="D170" i="14"/>
  <c r="E170" i="14"/>
  <c r="D169" i="14"/>
  <c r="E169" i="14"/>
  <c r="D168" i="14"/>
  <c r="E168" i="14"/>
  <c r="R31" i="10" l="1"/>
  <c r="T31" i="10" s="1"/>
  <c r="R32" i="10"/>
  <c r="T32" i="10" s="1"/>
  <c r="R33" i="10"/>
  <c r="T33" i="10" s="1"/>
  <c r="R34" i="10"/>
  <c r="T34" i="10" s="1"/>
  <c r="R30" i="10"/>
  <c r="T30" i="10" s="1"/>
  <c r="R26" i="10"/>
  <c r="T26" i="10" s="1"/>
  <c r="R27" i="10"/>
  <c r="T27" i="10" s="1"/>
  <c r="R28" i="10"/>
  <c r="T28" i="10" s="1"/>
  <c r="R29" i="10"/>
  <c r="T29" i="10" s="1"/>
  <c r="R25" i="10"/>
  <c r="T25" i="10" s="1"/>
  <c r="U25" i="10" s="1"/>
  <c r="U31" i="10" l="1"/>
  <c r="U30" i="10"/>
  <c r="U29" i="10"/>
  <c r="U27" i="10"/>
  <c r="U28" i="10"/>
  <c r="U34" i="10"/>
  <c r="U33" i="10"/>
  <c r="U32" i="10"/>
  <c r="U26" i="10"/>
  <c r="D5" i="15" a="1"/>
  <c r="D5" i="15" s="1"/>
  <c r="E5" i="15" s="1" a="1"/>
  <c r="E5" i="15" s="1"/>
  <c r="F5" i="15" s="1" a="1"/>
  <c r="F5" i="15" s="1"/>
  <c r="D6" i="15" a="1"/>
  <c r="D6" i="15" s="1"/>
  <c r="E6" i="15" s="1" a="1"/>
  <c r="E6" i="15" s="1"/>
  <c r="F6" i="15" s="1" a="1"/>
  <c r="F6" i="15" s="1"/>
  <c r="D7" i="15" a="1"/>
  <c r="D7" i="15" s="1"/>
  <c r="E7" i="15" s="1" a="1"/>
  <c r="E7" i="15" s="1"/>
  <c r="F7" i="15" s="1" a="1"/>
  <c r="F7" i="15" s="1"/>
  <c r="D8" i="15" a="1"/>
  <c r="D8" i="15" s="1"/>
  <c r="E8" i="15" s="1" a="1"/>
  <c r="E8" i="15" s="1"/>
  <c r="F8" i="15" s="1" a="1"/>
  <c r="F8" i="15" s="1"/>
  <c r="D9" i="15" a="1"/>
  <c r="D9" i="15" s="1"/>
  <c r="E9" i="15" s="1" a="1"/>
  <c r="E9" i="15" s="1"/>
  <c r="F9" i="15" s="1" a="1"/>
  <c r="F9" i="15" s="1"/>
  <c r="D10" i="15" a="1"/>
  <c r="D10" i="15" s="1"/>
  <c r="E10" i="15" s="1" a="1"/>
  <c r="E10" i="15" s="1"/>
  <c r="F10" i="15" s="1" a="1"/>
  <c r="F10" i="15" s="1"/>
  <c r="D11" i="15" a="1"/>
  <c r="D11" i="15" s="1"/>
  <c r="E11" i="15" s="1" a="1"/>
  <c r="E11" i="15" s="1"/>
  <c r="F11" i="15" s="1" a="1"/>
  <c r="F11" i="15" s="1"/>
  <c r="D12" i="15" a="1"/>
  <c r="D12" i="15" s="1"/>
  <c r="E12" i="15" s="1" a="1"/>
  <c r="E12" i="15" s="1"/>
  <c r="F12" i="15" s="1" a="1"/>
  <c r="F12" i="15" s="1"/>
  <c r="D13" i="15" a="1"/>
  <c r="D13" i="15" s="1"/>
  <c r="E13" i="15" s="1" a="1"/>
  <c r="E13" i="15" s="1"/>
  <c r="F13" i="15" s="1" a="1"/>
  <c r="F13" i="15" s="1"/>
  <c r="D14" i="15" a="1"/>
  <c r="D14" i="15" s="1"/>
  <c r="E14" i="15" s="1" a="1"/>
  <c r="E14" i="15" s="1"/>
  <c r="F14" i="15" s="1" a="1"/>
  <c r="F14" i="15" s="1"/>
  <c r="D15" i="15" a="1"/>
  <c r="D15" i="15" s="1"/>
  <c r="E15" i="15" s="1" a="1"/>
  <c r="E15" i="15" s="1"/>
  <c r="F15" i="15" s="1" a="1"/>
  <c r="F15" i="15" s="1"/>
  <c r="D16" i="15" a="1"/>
  <c r="D16" i="15" s="1"/>
  <c r="E16" i="15" s="1" a="1"/>
  <c r="E16" i="15" s="1"/>
  <c r="F16" i="15" s="1" a="1"/>
  <c r="F16" i="15" s="1"/>
  <c r="D17" i="15" a="1"/>
  <c r="D17" i="15" s="1"/>
  <c r="E17" i="15" s="1" a="1"/>
  <c r="E17" i="15" s="1"/>
  <c r="F17" i="15" s="1" a="1"/>
  <c r="F17" i="15" s="1"/>
  <c r="D18" i="15" a="1"/>
  <c r="D18" i="15" s="1"/>
  <c r="E18" i="15" s="1" a="1"/>
  <c r="E18" i="15" s="1"/>
  <c r="F18" i="15" s="1" a="1"/>
  <c r="F18" i="15" s="1"/>
  <c r="D19" i="15" a="1"/>
  <c r="D19" i="15" s="1"/>
  <c r="E19" i="15" s="1" a="1"/>
  <c r="E19" i="15" s="1"/>
  <c r="F19" i="15" s="1" a="1"/>
  <c r="F19" i="15" s="1"/>
  <c r="D20" i="15" a="1"/>
  <c r="D20" i="15" s="1"/>
  <c r="E20" i="15" s="1" a="1"/>
  <c r="E20" i="15" s="1"/>
  <c r="F20" i="15" s="1" a="1"/>
  <c r="F20" i="15" s="1"/>
  <c r="D21" i="15" a="1"/>
  <c r="D21" i="15"/>
  <c r="E21" i="15" s="1" a="1"/>
  <c r="E21" i="15" s="1"/>
  <c r="F21" i="15" s="1" a="1"/>
  <c r="F21" i="15" s="1"/>
  <c r="D22" i="15" a="1"/>
  <c r="D22" i="15" s="1"/>
  <c r="E22" i="15" s="1" a="1"/>
  <c r="E22" i="15" s="1"/>
  <c r="F22" i="15" s="1" a="1"/>
  <c r="F22" i="15" s="1"/>
  <c r="D23" i="15" a="1"/>
  <c r="D23" i="15" s="1"/>
  <c r="E23" i="15" s="1" a="1"/>
  <c r="E23" i="15" s="1"/>
  <c r="F23" i="15" s="1" a="1"/>
  <c r="F23" i="15" s="1"/>
  <c r="D24" i="15" a="1"/>
  <c r="D24" i="15"/>
  <c r="E24" i="15" s="1" a="1"/>
  <c r="E24" i="15" s="1"/>
  <c r="F24" i="15" s="1" a="1"/>
  <c r="F24" i="15" s="1"/>
  <c r="D25" i="15" a="1"/>
  <c r="D25" i="15" s="1"/>
  <c r="E25" i="15" s="1" a="1"/>
  <c r="E25" i="15" s="1"/>
  <c r="F25" i="15" s="1" a="1"/>
  <c r="F25" i="15" s="1"/>
  <c r="D26" i="15" a="1"/>
  <c r="D26" i="15" s="1"/>
  <c r="E26" i="15" s="1" a="1"/>
  <c r="E26" i="15" s="1"/>
  <c r="F26" i="15" s="1" a="1"/>
  <c r="F26" i="15" s="1"/>
  <c r="D27" i="15" a="1"/>
  <c r="D27" i="15" s="1"/>
  <c r="E27" i="15" s="1" a="1"/>
  <c r="E27" i="15" s="1"/>
  <c r="F27" i="15" s="1" a="1"/>
  <c r="F27" i="15" s="1"/>
  <c r="D28" i="15" a="1"/>
  <c r="D28" i="15" s="1"/>
  <c r="E28" i="15" s="1" a="1"/>
  <c r="E28" i="15" s="1"/>
  <c r="F28" i="15" s="1" a="1"/>
  <c r="F28" i="15" s="1"/>
  <c r="D29" i="15" a="1"/>
  <c r="D29" i="15" s="1"/>
  <c r="E29" i="15" s="1" a="1"/>
  <c r="E29" i="15" s="1"/>
  <c r="F29" i="15" s="1" a="1"/>
  <c r="F29" i="15" s="1"/>
  <c r="D30" i="15" a="1"/>
  <c r="D30" i="15" s="1"/>
  <c r="E30" i="15" s="1" a="1"/>
  <c r="E30" i="15" s="1"/>
  <c r="F30" i="15" s="1" a="1"/>
  <c r="F30" i="15" s="1"/>
  <c r="D31" i="15" a="1"/>
  <c r="D31" i="15" s="1"/>
  <c r="E31" i="15" s="1" a="1"/>
  <c r="E31" i="15" s="1"/>
  <c r="F31" i="15" s="1" a="1"/>
  <c r="F31" i="15" s="1"/>
  <c r="D32" i="15" a="1"/>
  <c r="D32" i="15" s="1"/>
  <c r="E32" i="15" s="1" a="1"/>
  <c r="E32" i="15" s="1"/>
  <c r="F32" i="15" s="1" a="1"/>
  <c r="F32" i="15" s="1"/>
  <c r="D33" i="15" a="1"/>
  <c r="D33" i="15" s="1"/>
  <c r="E33" i="15" s="1" a="1"/>
  <c r="E33" i="15" s="1"/>
  <c r="F33" i="15" s="1" a="1"/>
  <c r="F33" i="15" s="1"/>
  <c r="D34" i="15" a="1"/>
  <c r="D34" i="15" s="1"/>
  <c r="E34" i="15" s="1" a="1"/>
  <c r="E34" i="15" s="1"/>
  <c r="F34" i="15" s="1" a="1"/>
  <c r="F34" i="15" s="1"/>
  <c r="D35" i="15" a="1"/>
  <c r="D35" i="15" s="1"/>
  <c r="E35" i="15" s="1" a="1"/>
  <c r="E35" i="15" s="1"/>
  <c r="F35" i="15" s="1" a="1"/>
  <c r="F35" i="15" s="1"/>
  <c r="D36" i="15" a="1"/>
  <c r="D36" i="15" s="1"/>
  <c r="E36" i="15" s="1" a="1"/>
  <c r="E36" i="15" s="1"/>
  <c r="F36" i="15" s="1" a="1"/>
  <c r="F36" i="15" s="1"/>
  <c r="D37" i="15" a="1"/>
  <c r="D37" i="15" s="1"/>
  <c r="E37" i="15" s="1" a="1"/>
  <c r="E37" i="15" s="1"/>
  <c r="F37" i="15" s="1" a="1"/>
  <c r="F37" i="15" s="1"/>
  <c r="D38" i="15" a="1"/>
  <c r="D38" i="15" s="1"/>
  <c r="E38" i="15" s="1" a="1"/>
  <c r="E38" i="15" s="1"/>
  <c r="F38" i="15" s="1" a="1"/>
  <c r="F38" i="15" s="1"/>
  <c r="D39" i="15" a="1"/>
  <c r="D39" i="15" s="1"/>
  <c r="E39" i="15" s="1" a="1"/>
  <c r="E39" i="15" s="1"/>
  <c r="F39" i="15" s="1" a="1"/>
  <c r="F39" i="15" s="1"/>
  <c r="D40" i="15" a="1"/>
  <c r="D40" i="15" s="1"/>
  <c r="E40" i="15" s="1" a="1"/>
  <c r="E40" i="15" s="1"/>
  <c r="F40" i="15" s="1" a="1"/>
  <c r="F40" i="15" s="1"/>
  <c r="D41" i="15" a="1"/>
  <c r="D41" i="15" s="1"/>
  <c r="E41" i="15" s="1" a="1"/>
  <c r="E41" i="15" s="1"/>
  <c r="F41" i="15" s="1" a="1"/>
  <c r="F41" i="15" s="1"/>
  <c r="D42" i="15" a="1"/>
  <c r="D42" i="15" s="1"/>
  <c r="E42" i="15" s="1" a="1"/>
  <c r="E42" i="15" s="1"/>
  <c r="F42" i="15" s="1" a="1"/>
  <c r="F42" i="15" s="1"/>
  <c r="D43" i="15" a="1"/>
  <c r="D43" i="15" s="1"/>
  <c r="E43" i="15" s="1" a="1"/>
  <c r="E43" i="15" s="1"/>
  <c r="F43" i="15" s="1" a="1"/>
  <c r="F43" i="15" s="1"/>
  <c r="D44" i="15" a="1"/>
  <c r="D44" i="15" s="1"/>
  <c r="E44" i="15" s="1" a="1"/>
  <c r="E44" i="15" s="1"/>
  <c r="F44" i="15" s="1" a="1"/>
  <c r="F44" i="15" s="1"/>
  <c r="D45" i="15" a="1"/>
  <c r="D45" i="15" s="1"/>
  <c r="E45" i="15" s="1" a="1"/>
  <c r="E45" i="15" s="1"/>
  <c r="F45" i="15" s="1" a="1"/>
  <c r="F45" i="15" s="1"/>
  <c r="D46" i="15" a="1"/>
  <c r="D46" i="15" s="1"/>
  <c r="E46" i="15" s="1" a="1"/>
  <c r="E46" i="15" s="1"/>
  <c r="F46" i="15" s="1" a="1"/>
  <c r="F46" i="15" s="1"/>
  <c r="D47" i="15" a="1"/>
  <c r="D47" i="15" s="1"/>
  <c r="E47" i="15" s="1" a="1"/>
  <c r="E47" i="15" s="1"/>
  <c r="F47" i="15" s="1" a="1"/>
  <c r="F47" i="15" s="1"/>
  <c r="D48" i="15" a="1"/>
  <c r="D48" i="15" s="1"/>
  <c r="E48" i="15" s="1" a="1"/>
  <c r="E48" i="15" s="1"/>
  <c r="F48" i="15" s="1" a="1"/>
  <c r="F48" i="15" s="1"/>
  <c r="D49" i="15" a="1"/>
  <c r="D49" i="15"/>
  <c r="E49" i="15" s="1" a="1"/>
  <c r="E49" i="15" s="1"/>
  <c r="F49" i="15" s="1" a="1"/>
  <c r="F49" i="15" s="1"/>
  <c r="D50" i="15" a="1"/>
  <c r="D50" i="15" s="1"/>
  <c r="E50" i="15" s="1" a="1"/>
  <c r="E50" i="15" s="1"/>
  <c r="F50" i="15" s="1" a="1"/>
  <c r="F50" i="15" s="1"/>
  <c r="D51" i="15" a="1"/>
  <c r="D51" i="15" s="1"/>
  <c r="E51" i="15" s="1" a="1"/>
  <c r="E51" i="15" s="1"/>
  <c r="F51" i="15" s="1" a="1"/>
  <c r="F51" i="15" s="1"/>
  <c r="D52" i="15" a="1"/>
  <c r="D52" i="15" s="1"/>
  <c r="E52" i="15" s="1" a="1"/>
  <c r="E52" i="15" s="1"/>
  <c r="F52" i="15" s="1" a="1"/>
  <c r="F52" i="15" s="1"/>
  <c r="D53" i="15" a="1"/>
  <c r="D53" i="15" s="1"/>
  <c r="E53" i="15" s="1" a="1"/>
  <c r="E53" i="15" s="1"/>
  <c r="F53" i="15" s="1" a="1"/>
  <c r="F53" i="15" s="1"/>
  <c r="D54" i="15" a="1"/>
  <c r="D54" i="15" s="1"/>
  <c r="E54" i="15" s="1" a="1"/>
  <c r="E54" i="15" s="1"/>
  <c r="F54" i="15" s="1" a="1"/>
  <c r="F54" i="15" s="1"/>
  <c r="D55" i="15" a="1"/>
  <c r="D55" i="15" s="1"/>
  <c r="E55" i="15" s="1" a="1"/>
  <c r="E55" i="15" s="1"/>
  <c r="F55" i="15" s="1" a="1"/>
  <c r="F55" i="15" s="1"/>
  <c r="D56" i="15" a="1"/>
  <c r="D56" i="15" s="1"/>
  <c r="E56" i="15" s="1" a="1"/>
  <c r="E56" i="15" s="1"/>
  <c r="F56" i="15" s="1" a="1"/>
  <c r="F56" i="15" s="1"/>
  <c r="D57" i="15" a="1"/>
  <c r="D57" i="15" s="1"/>
  <c r="E57" i="15" s="1" a="1"/>
  <c r="E57" i="15" s="1"/>
  <c r="F57" i="15" s="1" a="1"/>
  <c r="F57" i="15" s="1"/>
  <c r="D58" i="15" a="1"/>
  <c r="D58" i="15" s="1"/>
  <c r="E58" i="15" s="1" a="1"/>
  <c r="E58" i="15" s="1"/>
  <c r="F58" i="15" s="1" a="1"/>
  <c r="F58" i="15" s="1"/>
  <c r="D59" i="15" a="1"/>
  <c r="D59" i="15" s="1"/>
  <c r="E59" i="15" s="1" a="1"/>
  <c r="E59" i="15" s="1"/>
  <c r="F59" i="15" s="1" a="1"/>
  <c r="F59" i="15" s="1"/>
  <c r="D60" i="15" a="1"/>
  <c r="D60" i="15" s="1"/>
  <c r="E60" i="15" s="1" a="1"/>
  <c r="E60" i="15" s="1"/>
  <c r="F60" i="15" s="1" a="1"/>
  <c r="F60" i="15" s="1"/>
  <c r="D61" i="15" a="1"/>
  <c r="D61" i="15" s="1"/>
  <c r="E61" i="15" s="1" a="1"/>
  <c r="E61" i="15" s="1"/>
  <c r="F61" i="15" s="1" a="1"/>
  <c r="F61" i="15" s="1"/>
  <c r="D62" i="15" a="1"/>
  <c r="D62" i="15" s="1"/>
  <c r="E62" i="15" s="1" a="1"/>
  <c r="E62" i="15" s="1"/>
  <c r="F62" i="15" s="1" a="1"/>
  <c r="F62" i="15" s="1"/>
  <c r="D63" i="15" a="1"/>
  <c r="D63" i="15" s="1"/>
  <c r="E63" i="15" s="1" a="1"/>
  <c r="E63" i="15" s="1"/>
  <c r="F63" i="15" s="1" a="1"/>
  <c r="F63" i="15" s="1"/>
  <c r="D64" i="15" a="1"/>
  <c r="D64" i="15"/>
  <c r="E64" i="15" s="1" a="1"/>
  <c r="E64" i="15" s="1"/>
  <c r="F64" i="15" s="1" a="1"/>
  <c r="F64" i="15" s="1"/>
  <c r="D65" i="15" a="1"/>
  <c r="D65" i="15" s="1"/>
  <c r="E65" i="15" s="1" a="1"/>
  <c r="E65" i="15" s="1"/>
  <c r="F65" i="15" s="1" a="1"/>
  <c r="F65" i="15" s="1"/>
  <c r="D66" i="15" a="1"/>
  <c r="D66" i="15" s="1"/>
  <c r="E66" i="15" s="1" a="1"/>
  <c r="E66" i="15" s="1"/>
  <c r="F66" i="15" s="1" a="1"/>
  <c r="F66" i="15" s="1"/>
  <c r="D67" i="15" a="1"/>
  <c r="D67" i="15" s="1"/>
  <c r="E67" i="15" s="1" a="1"/>
  <c r="E67" i="15" s="1"/>
  <c r="F67" i="15" s="1" a="1"/>
  <c r="F67" i="15" s="1"/>
  <c r="D68" i="15" a="1"/>
  <c r="D68" i="15" s="1"/>
  <c r="E68" i="15" s="1" a="1"/>
  <c r="E68" i="15" s="1"/>
  <c r="F68" i="15" s="1" a="1"/>
  <c r="F68" i="15" s="1"/>
  <c r="D69" i="15" a="1"/>
  <c r="D69" i="15" s="1"/>
  <c r="E69" i="15" s="1" a="1"/>
  <c r="E69" i="15" s="1"/>
  <c r="F69" i="15" s="1" a="1"/>
  <c r="F69" i="15" s="1"/>
  <c r="D70" i="15" a="1"/>
  <c r="D70" i="15" s="1"/>
  <c r="E70" i="15" s="1" a="1"/>
  <c r="E70" i="15" s="1"/>
  <c r="F70" i="15" s="1" a="1"/>
  <c r="F70" i="15" s="1"/>
  <c r="D71" i="15" a="1"/>
  <c r="D71" i="15" s="1"/>
  <c r="E71" i="15" s="1" a="1"/>
  <c r="E71" i="15" s="1"/>
  <c r="F71" i="15" s="1" a="1"/>
  <c r="F71" i="15" s="1"/>
  <c r="D72" i="15" a="1"/>
  <c r="D72" i="15" s="1"/>
  <c r="E72" i="15" s="1" a="1"/>
  <c r="E72" i="15" s="1"/>
  <c r="F72" i="15" s="1" a="1"/>
  <c r="F72" i="15" s="1"/>
  <c r="D73" i="15" a="1"/>
  <c r="D73" i="15" s="1"/>
  <c r="E73" i="15" s="1" a="1"/>
  <c r="E73" i="15" s="1"/>
  <c r="F73" i="15" s="1" a="1"/>
  <c r="F73" i="15" s="1"/>
  <c r="D74" i="15" a="1"/>
  <c r="D74" i="15" s="1"/>
  <c r="E74" i="15" s="1" a="1"/>
  <c r="E74" i="15" s="1"/>
  <c r="F74" i="15" s="1" a="1"/>
  <c r="F74" i="15" s="1"/>
  <c r="D75" i="15" a="1"/>
  <c r="D75" i="15" s="1"/>
  <c r="E75" i="15" s="1" a="1"/>
  <c r="E75" i="15" s="1"/>
  <c r="F75" i="15" s="1" a="1"/>
  <c r="F75" i="15" s="1"/>
  <c r="D76" i="15" a="1"/>
  <c r="D76" i="15" s="1"/>
  <c r="E76" i="15" s="1" a="1"/>
  <c r="E76" i="15" s="1"/>
  <c r="F76" i="15" s="1" a="1"/>
  <c r="F76" i="15" s="1"/>
  <c r="D77" i="15" a="1"/>
  <c r="D77" i="15" s="1"/>
  <c r="E77" i="15" s="1" a="1"/>
  <c r="E77" i="15" s="1"/>
  <c r="F77" i="15" s="1" a="1"/>
  <c r="F77" i="15" s="1"/>
  <c r="D78" i="15" a="1"/>
  <c r="D78" i="15" s="1"/>
  <c r="E78" i="15" s="1" a="1"/>
  <c r="E78" i="15" s="1"/>
  <c r="F78" i="15" s="1" a="1"/>
  <c r="F78" i="15" s="1"/>
  <c r="D79" i="15" a="1"/>
  <c r="D79" i="15" s="1"/>
  <c r="E79" i="15" s="1" a="1"/>
  <c r="E79" i="15" s="1"/>
  <c r="F79" i="15" s="1" a="1"/>
  <c r="F79" i="15" s="1"/>
  <c r="D80" i="15" a="1"/>
  <c r="D80" i="15"/>
  <c r="E80" i="15" s="1" a="1"/>
  <c r="E80" i="15" s="1"/>
  <c r="F80" i="15" s="1" a="1"/>
  <c r="F80" i="15" s="1"/>
  <c r="D81" i="15" a="1"/>
  <c r="D81" i="15" s="1"/>
  <c r="E81" i="15" s="1" a="1"/>
  <c r="E81" i="15" s="1"/>
  <c r="F81" i="15" s="1" a="1"/>
  <c r="F81" i="15" s="1"/>
  <c r="D82" i="15" a="1"/>
  <c r="D82" i="15" s="1"/>
  <c r="E82" i="15" s="1" a="1"/>
  <c r="E82" i="15" s="1"/>
  <c r="F82" i="15" s="1" a="1"/>
  <c r="F82" i="15" s="1"/>
  <c r="D83" i="15" a="1"/>
  <c r="D83" i="15" s="1"/>
  <c r="E83" i="15" s="1" a="1"/>
  <c r="E83" i="15" s="1"/>
  <c r="F83" i="15" s="1" a="1"/>
  <c r="F83" i="15" s="1"/>
  <c r="D84" i="15" a="1"/>
  <c r="D84" i="15" s="1"/>
  <c r="E84" i="15" s="1" a="1"/>
  <c r="E84" i="15" s="1"/>
  <c r="F84" i="15" s="1" a="1"/>
  <c r="F84" i="15" s="1"/>
  <c r="D85" i="15" a="1"/>
  <c r="D85" i="15" s="1"/>
  <c r="E85" i="15" s="1" a="1"/>
  <c r="E85" i="15" s="1"/>
  <c r="F85" i="15" s="1" a="1"/>
  <c r="F85" i="15" s="1"/>
  <c r="D86" i="15" a="1"/>
  <c r="D86" i="15" s="1"/>
  <c r="E86" i="15" s="1" a="1"/>
  <c r="E86" i="15" s="1"/>
  <c r="F86" i="15" s="1" a="1"/>
  <c r="F86" i="15" s="1"/>
  <c r="D87" i="15" a="1"/>
  <c r="D87" i="15" s="1"/>
  <c r="E87" i="15" s="1" a="1"/>
  <c r="E87" i="15" s="1"/>
  <c r="F87" i="15" s="1" a="1"/>
  <c r="F87" i="15" s="1"/>
  <c r="D88" i="15" a="1"/>
  <c r="D88" i="15" s="1"/>
  <c r="E88" i="15" s="1" a="1"/>
  <c r="E88" i="15" s="1"/>
  <c r="F88" i="15" s="1" a="1"/>
  <c r="F88" i="15" s="1"/>
  <c r="D89" i="15" a="1"/>
  <c r="D89" i="15" s="1"/>
  <c r="E89" i="15" s="1" a="1"/>
  <c r="E89" i="15" s="1"/>
  <c r="F89" i="15" s="1" a="1"/>
  <c r="F89" i="15" s="1"/>
  <c r="D90" i="15" a="1"/>
  <c r="D90" i="15" s="1"/>
  <c r="E90" i="15" s="1" a="1"/>
  <c r="E90" i="15" s="1"/>
  <c r="F90" i="15" s="1" a="1"/>
  <c r="F90" i="15" s="1"/>
  <c r="D91" i="15" a="1"/>
  <c r="D91" i="15" s="1"/>
  <c r="E91" i="15" s="1" a="1"/>
  <c r="E91" i="15" s="1"/>
  <c r="F91" i="15" s="1" a="1"/>
  <c r="F91" i="15" s="1"/>
  <c r="D92" i="15" a="1"/>
  <c r="D92" i="15" s="1"/>
  <c r="E92" i="15" s="1" a="1"/>
  <c r="E92" i="15" s="1"/>
  <c r="F92" i="15" s="1" a="1"/>
  <c r="F92" i="15" s="1"/>
  <c r="D93" i="15" a="1"/>
  <c r="D93" i="15" s="1"/>
  <c r="E93" i="15" s="1" a="1"/>
  <c r="E93" i="15" s="1"/>
  <c r="F93" i="15" s="1" a="1"/>
  <c r="F93" i="15" s="1"/>
  <c r="D94" i="15" a="1"/>
  <c r="D94" i="15" s="1"/>
  <c r="E94" i="15" s="1" a="1"/>
  <c r="E94" i="15" s="1"/>
  <c r="F94" i="15" s="1" a="1"/>
  <c r="F94" i="15" s="1"/>
  <c r="D95" i="15" a="1"/>
  <c r="D95" i="15" s="1"/>
  <c r="E95" i="15" s="1" a="1"/>
  <c r="E95" i="15" s="1"/>
  <c r="F95" i="15" s="1" a="1"/>
  <c r="F95" i="15" s="1"/>
  <c r="D96" i="15" a="1"/>
  <c r="D96" i="15" s="1"/>
  <c r="E96" i="15" s="1" a="1"/>
  <c r="E96" i="15" s="1"/>
  <c r="F96" i="15" s="1" a="1"/>
  <c r="F96" i="15" s="1"/>
  <c r="D97" i="15" a="1"/>
  <c r="D97" i="15" s="1"/>
  <c r="E97" i="15" s="1" a="1"/>
  <c r="E97" i="15" s="1"/>
  <c r="F97" i="15" s="1" a="1"/>
  <c r="F97" i="15" s="1"/>
  <c r="D98" i="15" a="1"/>
  <c r="D98" i="15" s="1"/>
  <c r="E98" i="15" s="1" a="1"/>
  <c r="E98" i="15" s="1"/>
  <c r="F98" i="15" s="1" a="1"/>
  <c r="F98" i="15" s="1"/>
  <c r="D99" i="15" a="1"/>
  <c r="D99" i="15" s="1"/>
  <c r="E99" i="15" s="1" a="1"/>
  <c r="E99" i="15" s="1"/>
  <c r="F99" i="15" s="1" a="1"/>
  <c r="F99" i="15" s="1"/>
  <c r="D100" i="15" a="1"/>
  <c r="D100" i="15" s="1"/>
  <c r="E100" i="15" s="1" a="1"/>
  <c r="E100" i="15" s="1"/>
  <c r="F100" i="15" s="1" a="1"/>
  <c r="F100" i="15" s="1"/>
  <c r="D101" i="15" a="1"/>
  <c r="D101" i="15" s="1"/>
  <c r="E101" i="15" s="1" a="1"/>
  <c r="E101" i="15" s="1"/>
  <c r="F101" i="15" s="1" a="1"/>
  <c r="F101" i="15" s="1"/>
  <c r="D102" i="15" a="1"/>
  <c r="D102" i="15" s="1"/>
  <c r="E102" i="15" s="1" a="1"/>
  <c r="E102" i="15" s="1"/>
  <c r="F102" i="15" s="1" a="1"/>
  <c r="F102" i="15" s="1"/>
  <c r="D103" i="15" a="1"/>
  <c r="D103" i="15" s="1"/>
  <c r="E103" i="15" s="1" a="1"/>
  <c r="E103" i="15" s="1"/>
  <c r="F103" i="15" s="1" a="1"/>
  <c r="F103" i="15" s="1"/>
  <c r="D104" i="15" a="1"/>
  <c r="D104" i="15" s="1"/>
  <c r="E104" i="15" s="1" a="1"/>
  <c r="E104" i="15" s="1"/>
  <c r="F104" i="15" s="1" a="1"/>
  <c r="F104" i="15" s="1"/>
  <c r="D105" i="15" a="1"/>
  <c r="D105" i="15" s="1"/>
  <c r="E105" i="15" s="1" a="1"/>
  <c r="E105" i="15" s="1"/>
  <c r="F105" i="15" s="1" a="1"/>
  <c r="F105" i="15" s="1"/>
  <c r="D106" i="15" a="1"/>
  <c r="D106" i="15" s="1"/>
  <c r="E106" i="15" s="1" a="1"/>
  <c r="E106" i="15" s="1"/>
  <c r="F106" i="15" s="1" a="1"/>
  <c r="F106" i="15" s="1"/>
  <c r="D107" i="15" a="1"/>
  <c r="D107" i="15" s="1"/>
  <c r="E107" i="15" s="1" a="1"/>
  <c r="E107" i="15" s="1"/>
  <c r="F107" i="15" s="1" a="1"/>
  <c r="F107" i="15" s="1"/>
  <c r="D108" i="15" a="1"/>
  <c r="D108" i="15" s="1"/>
  <c r="E108" i="15" s="1" a="1"/>
  <c r="E108" i="15" s="1"/>
  <c r="F108" i="15" s="1" a="1"/>
  <c r="F108" i="15" s="1"/>
  <c r="D109" i="15" a="1"/>
  <c r="D109" i="15" s="1"/>
  <c r="E109" i="15" s="1" a="1"/>
  <c r="E109" i="15" s="1"/>
  <c r="F109" i="15" s="1" a="1"/>
  <c r="F109" i="15" s="1"/>
  <c r="D110" i="15" a="1"/>
  <c r="D110" i="15" s="1"/>
  <c r="E110" i="15" s="1" a="1"/>
  <c r="E110" i="15" s="1"/>
  <c r="F110" i="15" s="1" a="1"/>
  <c r="F110" i="15" s="1"/>
  <c r="D111" i="15" a="1"/>
  <c r="D111" i="15" s="1"/>
  <c r="E111" i="15" s="1" a="1"/>
  <c r="E111" i="15" s="1"/>
  <c r="F111" i="15" s="1" a="1"/>
  <c r="F111" i="15" s="1"/>
  <c r="D112" i="15" a="1"/>
  <c r="D112" i="15" s="1"/>
  <c r="E112" i="15" s="1" a="1"/>
  <c r="E112" i="15" s="1"/>
  <c r="F112" i="15" s="1" a="1"/>
  <c r="F112" i="15" s="1"/>
  <c r="D113" i="15" a="1"/>
  <c r="D113" i="15" s="1"/>
  <c r="E113" i="15" s="1" a="1"/>
  <c r="E113" i="15" s="1"/>
  <c r="F113" i="15" s="1" a="1"/>
  <c r="F113" i="15" s="1"/>
  <c r="D114" i="15" a="1"/>
  <c r="D114" i="15" s="1"/>
  <c r="E114" i="15" s="1" a="1"/>
  <c r="E114" i="15" s="1"/>
  <c r="F114" i="15" s="1" a="1"/>
  <c r="F114" i="15" s="1"/>
  <c r="D115" i="15" a="1"/>
  <c r="D115" i="15" s="1"/>
  <c r="E115" i="15" s="1" a="1"/>
  <c r="E115" i="15" s="1"/>
  <c r="F115" i="15" s="1" a="1"/>
  <c r="F115" i="15" s="1"/>
  <c r="D116" i="15" a="1"/>
  <c r="D116" i="15" s="1"/>
  <c r="E116" i="15" s="1" a="1"/>
  <c r="E116" i="15" s="1"/>
  <c r="F116" i="15" s="1" a="1"/>
  <c r="F116" i="15" s="1"/>
  <c r="D117" i="15" a="1"/>
  <c r="D117" i="15" s="1"/>
  <c r="E117" i="15" s="1" a="1"/>
  <c r="E117" i="15" s="1"/>
  <c r="F117" i="15" s="1" a="1"/>
  <c r="F117" i="15" s="1"/>
  <c r="D118" i="15" a="1"/>
  <c r="D118" i="15" s="1"/>
  <c r="E118" i="15" s="1" a="1"/>
  <c r="E118" i="15" s="1"/>
  <c r="F118" i="15" s="1" a="1"/>
  <c r="F118" i="15" s="1"/>
  <c r="D119" i="15" a="1"/>
  <c r="D119" i="15" s="1"/>
  <c r="E119" i="15" s="1" a="1"/>
  <c r="E119" i="15" s="1"/>
  <c r="F119" i="15" s="1" a="1"/>
  <c r="F119" i="15" s="1"/>
  <c r="D120" i="15" a="1"/>
  <c r="D120" i="15" s="1"/>
  <c r="E120" i="15" s="1" a="1"/>
  <c r="E120" i="15" s="1"/>
  <c r="F120" i="15" s="1" a="1"/>
  <c r="F120" i="15" s="1"/>
  <c r="D121" i="15" a="1"/>
  <c r="D121" i="15" s="1"/>
  <c r="E121" i="15" s="1" a="1"/>
  <c r="E121" i="15" s="1"/>
  <c r="F121" i="15" s="1" a="1"/>
  <c r="F121" i="15" s="1"/>
  <c r="D122" i="15" a="1"/>
  <c r="D122" i="15" s="1"/>
  <c r="E122" i="15" s="1" a="1"/>
  <c r="E122" i="15" s="1"/>
  <c r="F122" i="15" s="1" a="1"/>
  <c r="F122" i="15" s="1"/>
  <c r="D123" i="15" a="1"/>
  <c r="D123" i="15" s="1"/>
  <c r="E123" i="15" s="1" a="1"/>
  <c r="E123" i="15" s="1"/>
  <c r="F123" i="15" s="1" a="1"/>
  <c r="F123" i="15" s="1"/>
  <c r="D124" i="15" a="1"/>
  <c r="D124" i="15" s="1"/>
  <c r="E124" i="15" s="1" a="1"/>
  <c r="E124" i="15" s="1"/>
  <c r="F124" i="15" s="1" a="1"/>
  <c r="F124" i="15" s="1"/>
  <c r="D125" i="15" a="1"/>
  <c r="D125" i="15" s="1"/>
  <c r="E125" i="15" s="1" a="1"/>
  <c r="E125" i="15" s="1"/>
  <c r="F125" i="15" s="1" a="1"/>
  <c r="F125" i="15" s="1"/>
  <c r="D126" i="15" a="1"/>
  <c r="D126" i="15" s="1"/>
  <c r="E126" i="15" s="1" a="1"/>
  <c r="E126" i="15" s="1"/>
  <c r="F126" i="15" s="1" a="1"/>
  <c r="F126" i="15" s="1"/>
  <c r="D127" i="15" a="1"/>
  <c r="D127" i="15" s="1"/>
  <c r="E127" i="15" s="1" a="1"/>
  <c r="E127" i="15" s="1"/>
  <c r="F127" i="15" s="1" a="1"/>
  <c r="F127" i="15" s="1"/>
  <c r="D128" i="15" a="1"/>
  <c r="D128" i="15"/>
  <c r="E128" i="15" s="1" a="1"/>
  <c r="E128" i="15" s="1"/>
  <c r="F128" i="15" s="1" a="1"/>
  <c r="F128" i="15" s="1"/>
  <c r="D129" i="15" a="1"/>
  <c r="D129" i="15" s="1"/>
  <c r="E129" i="15" s="1" a="1"/>
  <c r="E129" i="15" s="1"/>
  <c r="F129" i="15" s="1" a="1"/>
  <c r="F129" i="15" s="1"/>
  <c r="D130" i="15" a="1"/>
  <c r="D130" i="15" s="1"/>
  <c r="E130" i="15" s="1" a="1"/>
  <c r="E130" i="15" s="1"/>
  <c r="F130" i="15" s="1" a="1"/>
  <c r="F130" i="15" s="1"/>
  <c r="D131" i="15" a="1"/>
  <c r="D131" i="15" s="1"/>
  <c r="E131" i="15" s="1" a="1"/>
  <c r="E131" i="15" s="1"/>
  <c r="F131" i="15" s="1" a="1"/>
  <c r="F131" i="15" s="1"/>
  <c r="D132" i="15" a="1"/>
  <c r="D132" i="15" s="1"/>
  <c r="E132" i="15" s="1" a="1"/>
  <c r="E132" i="15" s="1"/>
  <c r="F132" i="15" s="1" a="1"/>
  <c r="F132" i="15" s="1"/>
  <c r="D133" i="15" a="1"/>
  <c r="D133" i="15" s="1"/>
  <c r="E133" i="15" s="1" a="1"/>
  <c r="E133" i="15" s="1"/>
  <c r="F133" i="15" s="1" a="1"/>
  <c r="F133" i="15" s="1"/>
  <c r="D134" i="15" a="1"/>
  <c r="D134" i="15" s="1"/>
  <c r="E134" i="15" s="1" a="1"/>
  <c r="E134" i="15" s="1"/>
  <c r="F134" i="15" s="1" a="1"/>
  <c r="F134" i="15" s="1"/>
  <c r="D135" i="15" a="1"/>
  <c r="D135" i="15" s="1"/>
  <c r="E135" i="15" s="1" a="1"/>
  <c r="E135" i="15" s="1"/>
  <c r="F135" i="15" s="1" a="1"/>
  <c r="F135" i="15" s="1"/>
  <c r="D136" i="15" a="1"/>
  <c r="D136" i="15" s="1"/>
  <c r="E136" i="15" s="1" a="1"/>
  <c r="E136" i="15" s="1"/>
  <c r="F136" i="15" s="1" a="1"/>
  <c r="F136" i="15" s="1"/>
  <c r="D137" i="15" a="1"/>
  <c r="D137" i="15" s="1"/>
  <c r="E137" i="15" s="1" a="1"/>
  <c r="E137" i="15" s="1"/>
  <c r="F137" i="15" s="1" a="1"/>
  <c r="F137" i="15" s="1"/>
  <c r="D138" i="15" a="1"/>
  <c r="D138" i="15" s="1"/>
  <c r="E138" i="15" s="1" a="1"/>
  <c r="E138" i="15" s="1"/>
  <c r="F138" i="15" s="1" a="1"/>
  <c r="F138" i="15" s="1"/>
  <c r="D139" i="15" a="1"/>
  <c r="D139" i="15" s="1"/>
  <c r="E139" i="15" s="1" a="1"/>
  <c r="E139" i="15" s="1"/>
  <c r="F139" i="15" s="1" a="1"/>
  <c r="F139" i="15" s="1"/>
  <c r="D140" i="15" a="1"/>
  <c r="D140" i="15" s="1"/>
  <c r="E140" i="15" s="1" a="1"/>
  <c r="E140" i="15" s="1"/>
  <c r="F140" i="15" s="1" a="1"/>
  <c r="F140" i="15" s="1"/>
  <c r="D141" i="15" a="1"/>
  <c r="D141" i="15" s="1"/>
  <c r="E141" i="15" s="1" a="1"/>
  <c r="E141" i="15" s="1"/>
  <c r="F141" i="15" s="1" a="1"/>
  <c r="F141" i="15" s="1"/>
  <c r="D142" i="15" a="1"/>
  <c r="D142" i="15" s="1"/>
  <c r="E142" i="15" s="1" a="1"/>
  <c r="E142" i="15" s="1"/>
  <c r="F142" i="15" s="1" a="1"/>
  <c r="F142" i="15" s="1"/>
  <c r="D143" i="15" a="1"/>
  <c r="D143" i="15" s="1"/>
  <c r="E143" i="15" s="1" a="1"/>
  <c r="E143" i="15" s="1"/>
  <c r="F143" i="15" s="1" a="1"/>
  <c r="F143" i="15" s="1"/>
  <c r="D144" i="15" a="1"/>
  <c r="D144" i="15" s="1"/>
  <c r="E144" i="15" s="1" a="1"/>
  <c r="E144" i="15" s="1"/>
  <c r="F144" i="15" s="1" a="1"/>
  <c r="F144" i="15" s="1"/>
  <c r="D145" i="15" a="1"/>
  <c r="D145" i="15" s="1"/>
  <c r="E145" i="15" s="1" a="1"/>
  <c r="E145" i="15" s="1"/>
  <c r="F145" i="15" s="1" a="1"/>
  <c r="F145" i="15" s="1"/>
  <c r="D146" i="15" a="1"/>
  <c r="D146" i="15" s="1"/>
  <c r="E146" i="15" s="1" a="1"/>
  <c r="E146" i="15" s="1"/>
  <c r="F146" i="15" s="1" a="1"/>
  <c r="F146" i="15" s="1"/>
  <c r="D147" i="15" a="1"/>
  <c r="D147" i="15" s="1"/>
  <c r="E147" i="15" s="1" a="1"/>
  <c r="E147" i="15" s="1"/>
  <c r="F147" i="15" s="1" a="1"/>
  <c r="F147" i="15" s="1"/>
  <c r="D148" i="15" a="1"/>
  <c r="D148" i="15" s="1"/>
  <c r="E148" i="15" s="1" a="1"/>
  <c r="E148" i="15" s="1"/>
  <c r="F148" i="15" s="1" a="1"/>
  <c r="F148" i="15" s="1"/>
  <c r="D149" i="15" a="1"/>
  <c r="D149" i="15" s="1"/>
  <c r="E149" i="15" s="1" a="1"/>
  <c r="E149" i="15" s="1"/>
  <c r="F149" i="15" s="1" a="1"/>
  <c r="F149" i="15" s="1"/>
  <c r="D150" i="15" a="1"/>
  <c r="D150" i="15" s="1"/>
  <c r="E150" i="15" s="1" a="1"/>
  <c r="E150" i="15" s="1"/>
  <c r="F150" i="15" s="1" a="1"/>
  <c r="F150" i="15" s="1"/>
  <c r="D151" i="15" a="1"/>
  <c r="D151" i="15" s="1"/>
  <c r="E151" i="15" s="1" a="1"/>
  <c r="E151" i="15" s="1"/>
  <c r="F151" i="15" s="1" a="1"/>
  <c r="F151" i="15" s="1"/>
  <c r="D152" i="15" a="1"/>
  <c r="D152" i="15" s="1"/>
  <c r="E152" i="15" s="1" a="1"/>
  <c r="E152" i="15" s="1"/>
  <c r="F152" i="15" s="1" a="1"/>
  <c r="F152" i="15" s="1"/>
  <c r="D153" i="15" a="1"/>
  <c r="D153" i="15" s="1"/>
  <c r="E153" i="15" s="1" a="1"/>
  <c r="E153" i="15" s="1"/>
  <c r="F153" i="15" s="1" a="1"/>
  <c r="F153" i="15" s="1"/>
  <c r="D154" i="15" a="1"/>
  <c r="D154" i="15" s="1"/>
  <c r="E154" i="15" s="1" a="1"/>
  <c r="E154" i="15" s="1"/>
  <c r="F154" i="15" s="1" a="1"/>
  <c r="F154" i="15" s="1"/>
  <c r="D155" i="15" a="1"/>
  <c r="D155" i="15" s="1"/>
  <c r="E155" i="15" s="1" a="1"/>
  <c r="E155" i="15" s="1"/>
  <c r="F155" i="15" s="1" a="1"/>
  <c r="F155" i="15" s="1"/>
  <c r="D156" i="15" a="1"/>
  <c r="D156" i="15" s="1"/>
  <c r="E156" i="15" s="1" a="1"/>
  <c r="E156" i="15" s="1"/>
  <c r="F156" i="15" s="1" a="1"/>
  <c r="F156" i="15" s="1"/>
  <c r="D157" i="15" a="1"/>
  <c r="D157" i="15" s="1"/>
  <c r="E157" i="15" s="1" a="1"/>
  <c r="E157" i="15" s="1"/>
  <c r="F157" i="15" s="1" a="1"/>
  <c r="F157" i="15" s="1"/>
  <c r="D158" i="15" a="1"/>
  <c r="D158" i="15" s="1"/>
  <c r="E158" i="15" s="1" a="1"/>
  <c r="E158" i="15" s="1"/>
  <c r="F158" i="15" s="1" a="1"/>
  <c r="F158" i="15" s="1"/>
  <c r="D159" i="15" a="1"/>
  <c r="D159" i="15" s="1"/>
  <c r="E159" i="15" s="1" a="1"/>
  <c r="E159" i="15" s="1"/>
  <c r="F159" i="15" s="1" a="1"/>
  <c r="F159" i="15" s="1"/>
  <c r="E160" i="15" a="1"/>
  <c r="E160" i="15" s="1"/>
  <c r="F160" i="15" s="1" a="1"/>
  <c r="F160" i="15" s="1"/>
  <c r="D161" i="15" a="1"/>
  <c r="D161" i="15" s="1"/>
  <c r="E161" i="15" s="1" a="1"/>
  <c r="E161" i="15" s="1"/>
  <c r="F161" i="15" s="1" a="1"/>
  <c r="F161" i="15" s="1"/>
  <c r="D162" i="15" a="1"/>
  <c r="D162" i="15" s="1"/>
  <c r="E162" i="15" s="1" a="1"/>
  <c r="E162" i="15" s="1"/>
  <c r="F162" i="15" s="1" a="1"/>
  <c r="F162" i="15" s="1"/>
  <c r="D163" i="15" a="1"/>
  <c r="D163" i="15" s="1"/>
  <c r="E163" i="15" s="1" a="1"/>
  <c r="E163" i="15" s="1"/>
  <c r="F163" i="15" s="1" a="1"/>
  <c r="F163" i="15" s="1"/>
  <c r="D164" i="15" a="1"/>
  <c r="D164" i="15" s="1"/>
  <c r="E164" i="15" s="1" a="1"/>
  <c r="E164" i="15" s="1"/>
  <c r="F164" i="15" s="1" a="1"/>
  <c r="F164" i="15" s="1"/>
  <c r="D165" i="15" a="1"/>
  <c r="D165" i="15" s="1"/>
  <c r="E165" i="15" s="1" a="1"/>
  <c r="E165" i="15" s="1"/>
  <c r="F165" i="15" s="1" a="1"/>
  <c r="F165" i="15" s="1"/>
  <c r="D166" i="15" a="1"/>
  <c r="D166" i="15" s="1"/>
  <c r="E166" i="15" s="1" a="1"/>
  <c r="E166" i="15" s="1"/>
  <c r="F166" i="15" s="1" a="1"/>
  <c r="F166" i="15" s="1"/>
  <c r="D167" i="15" a="1"/>
  <c r="D167" i="15" s="1"/>
  <c r="E167" i="15" s="1" a="1"/>
  <c r="E167" i="15" s="1"/>
  <c r="F167" i="15" s="1" a="1"/>
  <c r="F167" i="15" s="1"/>
  <c r="D168" i="15" a="1"/>
  <c r="D168" i="15"/>
  <c r="E168" i="15" s="1" a="1"/>
  <c r="E168" i="15" s="1"/>
  <c r="F168" i="15" s="1" a="1"/>
  <c r="F168" i="15" s="1"/>
  <c r="D169" i="15" a="1"/>
  <c r="D169" i="15" s="1"/>
  <c r="E169" i="15" s="1" a="1"/>
  <c r="E169" i="15" s="1"/>
  <c r="F169" i="15" s="1" a="1"/>
  <c r="F169" i="15" s="1"/>
  <c r="D170" i="15" a="1"/>
  <c r="D170" i="15" s="1"/>
  <c r="E170" i="15" s="1" a="1"/>
  <c r="E170" i="15" s="1"/>
  <c r="F170" i="15" s="1" a="1"/>
  <c r="F170" i="15" s="1"/>
  <c r="D171" i="15" a="1"/>
  <c r="D171" i="15" s="1"/>
  <c r="E171" i="15" s="1" a="1"/>
  <c r="E171" i="15" s="1"/>
  <c r="F171" i="15" s="1" a="1"/>
  <c r="F171" i="15" s="1"/>
  <c r="D172" i="15" a="1"/>
  <c r="D172" i="15" s="1"/>
  <c r="E172" i="15" s="1" a="1"/>
  <c r="E172" i="15" s="1"/>
  <c r="F172" i="15" s="1" a="1"/>
  <c r="F172" i="15" s="1"/>
  <c r="D173" i="15" a="1"/>
  <c r="D173" i="15" s="1"/>
  <c r="E173" i="15" s="1" a="1"/>
  <c r="E173" i="15" s="1"/>
  <c r="F173" i="15" s="1" a="1"/>
  <c r="F173" i="15" s="1"/>
  <c r="D174" i="15" a="1"/>
  <c r="D174" i="15" s="1"/>
  <c r="E174" i="15" s="1" a="1"/>
  <c r="E174" i="15" s="1"/>
  <c r="F174" i="15" s="1" a="1"/>
  <c r="F174" i="15" s="1"/>
  <c r="D175" i="15" a="1"/>
  <c r="D175" i="15" s="1"/>
  <c r="E175" i="15" s="1" a="1"/>
  <c r="E175" i="15" s="1"/>
  <c r="F175" i="15" s="1" a="1"/>
  <c r="F175" i="15" s="1"/>
  <c r="D176" i="15" a="1"/>
  <c r="D176" i="15" s="1"/>
  <c r="E176" i="15" s="1" a="1"/>
  <c r="E176" i="15" s="1"/>
  <c r="F176" i="15" s="1" a="1"/>
  <c r="F176" i="15" s="1"/>
  <c r="D177" i="15" a="1"/>
  <c r="D177" i="15" s="1"/>
  <c r="E177" i="15" s="1" a="1"/>
  <c r="E177" i="15" s="1"/>
  <c r="F177" i="15" s="1" a="1"/>
  <c r="F177" i="15" s="1"/>
  <c r="D178" i="15" a="1"/>
  <c r="D178" i="15" s="1"/>
  <c r="E178" i="15" s="1" a="1"/>
  <c r="E178" i="15" s="1"/>
  <c r="F178" i="15" s="1" a="1"/>
  <c r="F178" i="15" s="1"/>
  <c r="D179" i="15" a="1"/>
  <c r="D179" i="15" s="1"/>
  <c r="E179" i="15" s="1" a="1"/>
  <c r="E179" i="15" s="1"/>
  <c r="F179" i="15" s="1" a="1"/>
  <c r="F179" i="15" s="1"/>
  <c r="D180" i="15" a="1"/>
  <c r="D180" i="15" s="1"/>
  <c r="E180" i="15" s="1" a="1"/>
  <c r="E180" i="15" s="1"/>
  <c r="F180" i="15" s="1" a="1"/>
  <c r="F180" i="15" s="1"/>
  <c r="D181" i="15" a="1"/>
  <c r="D181" i="15" s="1"/>
  <c r="E181" i="15" s="1" a="1"/>
  <c r="E181" i="15" s="1"/>
  <c r="F181" i="15" s="1" a="1"/>
  <c r="F181" i="15" s="1"/>
  <c r="D182" i="15" a="1"/>
  <c r="D182" i="15" s="1"/>
  <c r="E182" i="15" s="1" a="1"/>
  <c r="E182" i="15" s="1"/>
  <c r="F182" i="15" s="1" a="1"/>
  <c r="F182" i="15" s="1"/>
  <c r="D183" i="15" a="1"/>
  <c r="D183" i="15" s="1"/>
  <c r="E183" i="15" s="1" a="1"/>
  <c r="E183" i="15" s="1"/>
  <c r="F183" i="15" s="1" a="1"/>
  <c r="F183" i="15" s="1"/>
  <c r="D184" i="15" a="1"/>
  <c r="D184" i="15" s="1"/>
  <c r="E184" i="15" s="1" a="1"/>
  <c r="E184" i="15" s="1"/>
  <c r="F184" i="15" s="1" a="1"/>
  <c r="F184" i="15" s="1"/>
  <c r="D185" i="15" a="1"/>
  <c r="D185" i="15" s="1"/>
  <c r="E185" i="15" s="1" a="1"/>
  <c r="E185" i="15" s="1"/>
  <c r="F185" i="15" s="1" a="1"/>
  <c r="F185" i="15" s="1"/>
  <c r="D186" i="15" a="1"/>
  <c r="D186" i="15" s="1"/>
  <c r="E186" i="15" s="1" a="1"/>
  <c r="E186" i="15" s="1"/>
  <c r="F186" i="15" s="1" a="1"/>
  <c r="F186" i="15" s="1"/>
  <c r="D187" i="15" a="1"/>
  <c r="D187" i="15" s="1"/>
  <c r="E187" i="15" s="1" a="1"/>
  <c r="E187" i="15" s="1"/>
  <c r="F187" i="15" s="1" a="1"/>
  <c r="F187" i="15" s="1"/>
  <c r="D188" i="15" a="1"/>
  <c r="D188" i="15" s="1"/>
  <c r="E188" i="15" s="1" a="1"/>
  <c r="E188" i="15" s="1"/>
  <c r="F188" i="15" s="1" a="1"/>
  <c r="F188" i="15" s="1"/>
  <c r="D189" i="15" a="1"/>
  <c r="D189" i="15" s="1"/>
  <c r="E189" i="15" s="1" a="1"/>
  <c r="E189" i="15" s="1"/>
  <c r="F189" i="15" s="1" a="1"/>
  <c r="F189" i="15" s="1"/>
  <c r="D190" i="15" a="1"/>
  <c r="D190" i="15" s="1"/>
  <c r="E190" i="15" s="1" a="1"/>
  <c r="E190" i="15" s="1"/>
  <c r="F190" i="15" s="1" a="1"/>
  <c r="F190" i="15" s="1"/>
  <c r="D191" i="15" a="1"/>
  <c r="D191" i="15" s="1"/>
  <c r="E191" i="15" s="1" a="1"/>
  <c r="E191" i="15" s="1"/>
  <c r="F191" i="15" s="1" a="1"/>
  <c r="F191" i="15" s="1"/>
  <c r="D192" i="15" a="1"/>
  <c r="D192" i="15" s="1"/>
  <c r="E192" i="15" s="1" a="1"/>
  <c r="E192" i="15" s="1"/>
  <c r="F192" i="15" s="1" a="1"/>
  <c r="F192" i="15" s="1"/>
  <c r="D193" i="15" a="1"/>
  <c r="D193" i="15" s="1"/>
  <c r="E193" i="15" s="1" a="1"/>
  <c r="E193" i="15" s="1"/>
  <c r="F193" i="15" s="1" a="1"/>
  <c r="F193" i="15" s="1"/>
  <c r="D194" i="15" a="1"/>
  <c r="D194" i="15" s="1"/>
  <c r="E194" i="15" s="1" a="1"/>
  <c r="E194" i="15" s="1"/>
  <c r="F194" i="15" s="1" a="1"/>
  <c r="F194" i="15" s="1"/>
  <c r="D195" i="15" a="1"/>
  <c r="D195" i="15" s="1"/>
  <c r="E195" i="15" s="1" a="1"/>
  <c r="E195" i="15" s="1"/>
  <c r="F195" i="15" s="1" a="1"/>
  <c r="F195" i="15" s="1"/>
  <c r="D196" i="15" a="1"/>
  <c r="D196" i="15" s="1"/>
  <c r="E196" i="15" s="1" a="1"/>
  <c r="E196" i="15" s="1"/>
  <c r="F196" i="15" s="1" a="1"/>
  <c r="F196" i="15" s="1"/>
  <c r="D197" i="15" a="1"/>
  <c r="D197" i="15" s="1"/>
  <c r="E197" i="15" s="1" a="1"/>
  <c r="E197" i="15" s="1"/>
  <c r="F197" i="15" s="1" a="1"/>
  <c r="F197" i="15" s="1"/>
  <c r="D198" i="15" a="1"/>
  <c r="D198" i="15" s="1"/>
  <c r="E198" i="15" s="1" a="1"/>
  <c r="E198" i="15" s="1"/>
  <c r="F198" i="15" s="1" a="1"/>
  <c r="F198" i="15" s="1"/>
  <c r="D199" i="15" a="1"/>
  <c r="D199" i="15" s="1"/>
  <c r="E199" i="15" s="1" a="1"/>
  <c r="E199" i="15" s="1"/>
  <c r="F199" i="15" s="1" a="1"/>
  <c r="F199" i="15" s="1"/>
  <c r="D200" i="15" a="1"/>
  <c r="D200" i="15" s="1"/>
  <c r="E200" i="15" s="1" a="1"/>
  <c r="E200" i="15" s="1"/>
  <c r="F200" i="15" s="1" a="1"/>
  <c r="F200" i="15" s="1"/>
  <c r="D201" i="15" a="1"/>
  <c r="D201" i="15" s="1"/>
  <c r="E201" i="15" s="1" a="1"/>
  <c r="E201" i="15" s="1"/>
  <c r="F201" i="15" s="1" a="1"/>
  <c r="F201" i="15" s="1"/>
  <c r="D202" i="15" a="1"/>
  <c r="D202" i="15" s="1"/>
  <c r="E202" i="15" s="1" a="1"/>
  <c r="E202" i="15" s="1"/>
  <c r="F202" i="15" s="1" a="1"/>
  <c r="F202" i="15" s="1"/>
  <c r="D203" i="15" a="1"/>
  <c r="D203" i="15" s="1"/>
  <c r="E203" i="15" s="1" a="1"/>
  <c r="E203" i="15" s="1"/>
  <c r="F203" i="15" s="1" a="1"/>
  <c r="F203" i="15" s="1"/>
  <c r="E4" i="15" a="1"/>
  <c r="E4" i="15" s="1"/>
  <c r="F4" i="15" s="1" a="1"/>
  <c r="F4" i="15" s="1"/>
  <c r="I5" i="15" a="1"/>
  <c r="I5" i="15" s="1"/>
  <c r="J5" i="15" s="1"/>
  <c r="I6" i="15" a="1"/>
  <c r="I6" i="15" s="1"/>
  <c r="J6" i="15" s="1"/>
  <c r="I7" i="15" a="1"/>
  <c r="I7" i="15" s="1"/>
  <c r="J7" i="15" s="1"/>
  <c r="I8" i="15" a="1"/>
  <c r="I8" i="15" s="1"/>
  <c r="J8" i="15" s="1"/>
  <c r="I9" i="15" a="1"/>
  <c r="I9" i="15" s="1"/>
  <c r="J9" i="15" s="1"/>
  <c r="I10" i="15" a="1"/>
  <c r="I10" i="15" s="1"/>
  <c r="J10" i="15" s="1"/>
  <c r="I11" i="15" a="1"/>
  <c r="I11" i="15" s="1"/>
  <c r="J11" i="15" s="1"/>
  <c r="I12" i="15" a="1"/>
  <c r="I12" i="15" s="1"/>
  <c r="J12" i="15" s="1"/>
  <c r="I13" i="15" a="1"/>
  <c r="I13" i="15" s="1"/>
  <c r="J13" i="15" s="1"/>
  <c r="I14" i="15" a="1"/>
  <c r="I14" i="15" s="1"/>
  <c r="J14" i="15" s="1"/>
  <c r="I15" i="15" a="1"/>
  <c r="I15" i="15" s="1"/>
  <c r="J15" i="15" s="1"/>
  <c r="I16" i="15" a="1"/>
  <c r="I16" i="15" s="1"/>
  <c r="J16" i="15" s="1"/>
  <c r="I17" i="15" a="1"/>
  <c r="I17" i="15" s="1"/>
  <c r="J17" i="15" s="1"/>
  <c r="I18" i="15" a="1"/>
  <c r="I18" i="15" s="1"/>
  <c r="J18" i="15" s="1"/>
  <c r="I19" i="15" a="1"/>
  <c r="I19" i="15" s="1"/>
  <c r="J19" i="15" s="1"/>
  <c r="I20" i="15" a="1"/>
  <c r="I20" i="15" s="1"/>
  <c r="J20" i="15" s="1"/>
  <c r="I21" i="15" a="1"/>
  <c r="I21" i="15" s="1"/>
  <c r="J21" i="15" s="1"/>
  <c r="I22" i="15" a="1"/>
  <c r="I22" i="15" s="1"/>
  <c r="J22" i="15" s="1"/>
  <c r="I23" i="15" a="1"/>
  <c r="I23" i="15" s="1"/>
  <c r="J23" i="15" s="1"/>
  <c r="I24" i="15" a="1"/>
  <c r="I24" i="15" s="1"/>
  <c r="J24" i="15" s="1"/>
  <c r="I25" i="15" a="1"/>
  <c r="I25" i="15" s="1"/>
  <c r="J25" i="15" s="1"/>
  <c r="I26" i="15" a="1"/>
  <c r="I26" i="15" s="1"/>
  <c r="J26" i="15" s="1"/>
  <c r="I27" i="15" a="1"/>
  <c r="I27" i="15" s="1"/>
  <c r="J27" i="15" s="1"/>
  <c r="I28" i="15" a="1"/>
  <c r="I28" i="15" s="1"/>
  <c r="J28" i="15" s="1"/>
  <c r="I29" i="15" a="1"/>
  <c r="I29" i="15" s="1"/>
  <c r="J29" i="15" s="1"/>
  <c r="I30" i="15" a="1"/>
  <c r="I30" i="15" s="1"/>
  <c r="J30" i="15" s="1"/>
  <c r="I31" i="15" a="1"/>
  <c r="I31" i="15" s="1"/>
  <c r="J31" i="15" s="1"/>
  <c r="I32" i="15" a="1"/>
  <c r="I32" i="15" s="1"/>
  <c r="J32" i="15" s="1"/>
  <c r="I33" i="15" a="1"/>
  <c r="I33" i="15" s="1"/>
  <c r="J33" i="15" s="1"/>
  <c r="I34" i="15" a="1"/>
  <c r="I34" i="15" s="1"/>
  <c r="J34" i="15" s="1"/>
  <c r="I35" i="15" a="1"/>
  <c r="I35" i="15" s="1"/>
  <c r="J35" i="15" s="1"/>
  <c r="I36" i="15" a="1"/>
  <c r="I36" i="15" s="1"/>
  <c r="J36" i="15" s="1"/>
  <c r="I37" i="15" a="1"/>
  <c r="I37" i="15" s="1"/>
  <c r="J37" i="15" s="1"/>
  <c r="I38" i="15" a="1"/>
  <c r="I38" i="15" s="1"/>
  <c r="J38" i="15" s="1"/>
  <c r="I39" i="15" a="1"/>
  <c r="I39" i="15" s="1"/>
  <c r="J39" i="15" s="1"/>
  <c r="I40" i="15" a="1"/>
  <c r="I40" i="15" s="1"/>
  <c r="J40" i="15" s="1"/>
  <c r="I41" i="15" a="1"/>
  <c r="I41" i="15" s="1"/>
  <c r="J41" i="15" s="1"/>
  <c r="I42" i="15" a="1"/>
  <c r="I42" i="15" s="1"/>
  <c r="J42" i="15" s="1"/>
  <c r="I43" i="15" a="1"/>
  <c r="I43" i="15" s="1"/>
  <c r="J43" i="15" s="1"/>
  <c r="I44" i="15" a="1"/>
  <c r="I44" i="15" s="1"/>
  <c r="J44" i="15" s="1"/>
  <c r="I45" i="15" a="1"/>
  <c r="I45" i="15" s="1"/>
  <c r="J45" i="15" s="1"/>
  <c r="I46" i="15" a="1"/>
  <c r="I46" i="15" s="1"/>
  <c r="J46" i="15" s="1"/>
  <c r="I47" i="15" a="1"/>
  <c r="I47" i="15" s="1"/>
  <c r="J47" i="15" s="1"/>
  <c r="I48" i="15" a="1"/>
  <c r="I48" i="15" s="1"/>
  <c r="J48" i="15" s="1"/>
  <c r="I49" i="15" a="1"/>
  <c r="I49" i="15" s="1"/>
  <c r="J49" i="15" s="1"/>
  <c r="I50" i="15" a="1"/>
  <c r="I50" i="15" s="1"/>
  <c r="J50" i="15" s="1"/>
  <c r="I51" i="15" a="1"/>
  <c r="I51" i="15" s="1"/>
  <c r="J51" i="15" s="1"/>
  <c r="I52" i="15" a="1"/>
  <c r="I52" i="15" s="1"/>
  <c r="J52" i="15" s="1"/>
  <c r="I53" i="15" a="1"/>
  <c r="I53" i="15" s="1"/>
  <c r="J53" i="15" s="1"/>
  <c r="I54" i="15" a="1"/>
  <c r="I54" i="15" s="1"/>
  <c r="J54" i="15" s="1"/>
  <c r="I55" i="15" a="1"/>
  <c r="I55" i="15" s="1"/>
  <c r="J55" i="15" s="1"/>
  <c r="I56" i="15" a="1"/>
  <c r="I56" i="15" s="1"/>
  <c r="J56" i="15" s="1"/>
  <c r="I57" i="15" a="1"/>
  <c r="I57" i="15" s="1"/>
  <c r="J57" i="15" s="1"/>
  <c r="I58" i="15" a="1"/>
  <c r="I58" i="15" s="1"/>
  <c r="J58" i="15" s="1"/>
  <c r="I59" i="15" a="1"/>
  <c r="I59" i="15" s="1"/>
  <c r="J59" i="15" s="1"/>
  <c r="I60" i="15" a="1"/>
  <c r="I60" i="15" s="1"/>
  <c r="J60" i="15" s="1"/>
  <c r="I61" i="15" a="1"/>
  <c r="I61" i="15" s="1"/>
  <c r="J61" i="15" s="1"/>
  <c r="I62" i="15" a="1"/>
  <c r="I62" i="15" s="1"/>
  <c r="J62" i="15" s="1"/>
  <c r="I63" i="15" a="1"/>
  <c r="I63" i="15" s="1"/>
  <c r="J63" i="15" s="1"/>
  <c r="I64" i="15" a="1"/>
  <c r="I64" i="15" s="1"/>
  <c r="J64" i="15" s="1"/>
  <c r="I65" i="15" a="1"/>
  <c r="I65" i="15" s="1"/>
  <c r="J65" i="15" s="1"/>
  <c r="I66" i="15" a="1"/>
  <c r="I66" i="15" s="1"/>
  <c r="J66" i="15" s="1"/>
  <c r="I67" i="15" a="1"/>
  <c r="I67" i="15" s="1"/>
  <c r="J67" i="15" s="1"/>
  <c r="I68" i="15" a="1"/>
  <c r="I68" i="15" s="1"/>
  <c r="J68" i="15" s="1"/>
  <c r="I69" i="15" a="1"/>
  <c r="I69" i="15" s="1"/>
  <c r="J69" i="15" s="1"/>
  <c r="I70" i="15" a="1"/>
  <c r="I70" i="15" s="1"/>
  <c r="J70" i="15" s="1"/>
  <c r="I71" i="15" a="1"/>
  <c r="I71" i="15" s="1"/>
  <c r="J71" i="15" s="1"/>
  <c r="I72" i="15" a="1"/>
  <c r="I72" i="15" s="1"/>
  <c r="J72" i="15" s="1"/>
  <c r="I73" i="15" a="1"/>
  <c r="I73" i="15" s="1"/>
  <c r="J73" i="15" s="1"/>
  <c r="I74" i="15" a="1"/>
  <c r="I74" i="15" s="1"/>
  <c r="J74" i="15" s="1"/>
  <c r="I75" i="15" a="1"/>
  <c r="I75" i="15" s="1"/>
  <c r="J75" i="15" s="1"/>
  <c r="I76" i="15" a="1"/>
  <c r="I76" i="15" s="1"/>
  <c r="J76" i="15" s="1"/>
  <c r="I77" i="15" a="1"/>
  <c r="I77" i="15" s="1"/>
  <c r="J77" i="15" s="1"/>
  <c r="I78" i="15" a="1"/>
  <c r="I78" i="15" s="1"/>
  <c r="J78" i="15" s="1"/>
  <c r="I79" i="15" a="1"/>
  <c r="I79" i="15" s="1"/>
  <c r="J79" i="15" s="1"/>
  <c r="I80" i="15" a="1"/>
  <c r="I80" i="15" s="1"/>
  <c r="J80" i="15" s="1"/>
  <c r="I81" i="15" a="1"/>
  <c r="I81" i="15" s="1"/>
  <c r="J81" i="15" s="1"/>
  <c r="I82" i="15" a="1"/>
  <c r="I82" i="15" s="1"/>
  <c r="J82" i="15" s="1"/>
  <c r="I83" i="15" a="1"/>
  <c r="I83" i="15" s="1"/>
  <c r="J83" i="15" s="1"/>
  <c r="I84" i="15" a="1"/>
  <c r="I84" i="15" s="1"/>
  <c r="J84" i="15" s="1"/>
  <c r="I85" i="15" a="1"/>
  <c r="I85" i="15" s="1"/>
  <c r="J85" i="15" s="1"/>
  <c r="I86" i="15" a="1"/>
  <c r="I86" i="15" s="1"/>
  <c r="J86" i="15" s="1"/>
  <c r="I87" i="15" a="1"/>
  <c r="I87" i="15" s="1"/>
  <c r="J87" i="15" s="1"/>
  <c r="I88" i="15" a="1"/>
  <c r="I88" i="15" s="1"/>
  <c r="J88" i="15" s="1"/>
  <c r="I89" i="15" a="1"/>
  <c r="I89" i="15" s="1"/>
  <c r="J89" i="15" s="1"/>
  <c r="I90" i="15" a="1"/>
  <c r="I90" i="15" s="1"/>
  <c r="J90" i="15" s="1"/>
  <c r="I91" i="15" a="1"/>
  <c r="I91" i="15" s="1"/>
  <c r="J91" i="15" s="1"/>
  <c r="I92" i="15" a="1"/>
  <c r="I92" i="15" s="1"/>
  <c r="J92" i="15" s="1"/>
  <c r="I93" i="15" a="1"/>
  <c r="I93" i="15" s="1"/>
  <c r="J93" i="15" s="1"/>
  <c r="I94" i="15" a="1"/>
  <c r="I94" i="15" s="1"/>
  <c r="J94" i="15" s="1"/>
  <c r="I95" i="15" a="1"/>
  <c r="I95" i="15" s="1"/>
  <c r="J95" i="15" s="1"/>
  <c r="I96" i="15" a="1"/>
  <c r="I96" i="15" s="1"/>
  <c r="J96" i="15" s="1"/>
  <c r="I97" i="15" a="1"/>
  <c r="I97" i="15" s="1"/>
  <c r="J97" i="15" s="1"/>
  <c r="I98" i="15" a="1"/>
  <c r="I98" i="15" s="1"/>
  <c r="J98" i="15" s="1"/>
  <c r="I99" i="15" a="1"/>
  <c r="I99" i="15" s="1"/>
  <c r="J99" i="15" s="1"/>
  <c r="I100" i="15" a="1"/>
  <c r="I100" i="15" s="1"/>
  <c r="J100" i="15" s="1"/>
  <c r="I101" i="15" a="1"/>
  <c r="I101" i="15" s="1"/>
  <c r="J101" i="15" s="1"/>
  <c r="I102" i="15" a="1"/>
  <c r="I102" i="15" s="1"/>
  <c r="J102" i="15" s="1"/>
  <c r="I103" i="15" a="1"/>
  <c r="I103" i="15" s="1"/>
  <c r="J103" i="15" s="1"/>
  <c r="I104" i="15" a="1"/>
  <c r="I104" i="15" s="1"/>
  <c r="J104" i="15" s="1"/>
  <c r="I105" i="15" a="1"/>
  <c r="I105" i="15" s="1"/>
  <c r="J105" i="15" s="1"/>
  <c r="I106" i="15" a="1"/>
  <c r="I106" i="15" s="1"/>
  <c r="J106" i="15" s="1"/>
  <c r="I107" i="15" a="1"/>
  <c r="I107" i="15" s="1"/>
  <c r="J107" i="15" s="1"/>
  <c r="I108" i="15" a="1"/>
  <c r="I108" i="15" s="1"/>
  <c r="J108" i="15" s="1"/>
  <c r="I109" i="15" a="1"/>
  <c r="I109" i="15" s="1"/>
  <c r="J109" i="15" s="1"/>
  <c r="I110" i="15" a="1"/>
  <c r="I110" i="15" s="1"/>
  <c r="J110" i="15" s="1"/>
  <c r="I111" i="15" a="1"/>
  <c r="I111" i="15" s="1"/>
  <c r="J111" i="15" s="1"/>
  <c r="I112" i="15" a="1"/>
  <c r="I112" i="15" s="1"/>
  <c r="J112" i="15" s="1"/>
  <c r="I113" i="15" a="1"/>
  <c r="I113" i="15" s="1"/>
  <c r="J113" i="15" s="1"/>
  <c r="I114" i="15" a="1"/>
  <c r="I114" i="15" s="1"/>
  <c r="J114" i="15" s="1"/>
  <c r="I115" i="15" a="1"/>
  <c r="I115" i="15" s="1"/>
  <c r="J115" i="15" s="1"/>
  <c r="I116" i="15" a="1"/>
  <c r="I116" i="15" s="1"/>
  <c r="J116" i="15" s="1"/>
  <c r="I117" i="15" a="1"/>
  <c r="I117" i="15" s="1"/>
  <c r="J117" i="15" s="1"/>
  <c r="I118" i="15" a="1"/>
  <c r="I118" i="15" s="1"/>
  <c r="J118" i="15" s="1"/>
  <c r="I119" i="15" a="1"/>
  <c r="I119" i="15" s="1"/>
  <c r="J119" i="15" s="1"/>
  <c r="I120" i="15" a="1"/>
  <c r="I120" i="15" s="1"/>
  <c r="J120" i="15" s="1"/>
  <c r="I121" i="15" a="1"/>
  <c r="I121" i="15" s="1"/>
  <c r="J121" i="15" s="1"/>
  <c r="I122" i="15" a="1"/>
  <c r="I122" i="15" s="1"/>
  <c r="J122" i="15" s="1"/>
  <c r="I123" i="15" a="1"/>
  <c r="I123" i="15" s="1"/>
  <c r="J123" i="15" s="1"/>
  <c r="I124" i="15" a="1"/>
  <c r="I124" i="15" s="1"/>
  <c r="J124" i="15" s="1"/>
  <c r="I125" i="15" a="1"/>
  <c r="I125" i="15" s="1"/>
  <c r="J125" i="15" s="1"/>
  <c r="I126" i="15" a="1"/>
  <c r="I126" i="15" s="1"/>
  <c r="J126" i="15" s="1"/>
  <c r="I127" i="15" a="1"/>
  <c r="I127" i="15" s="1"/>
  <c r="J127" i="15" s="1"/>
  <c r="I128" i="15" a="1"/>
  <c r="I128" i="15" s="1"/>
  <c r="J128" i="15" s="1"/>
  <c r="I129" i="15" a="1"/>
  <c r="I129" i="15" s="1"/>
  <c r="J129" i="15" s="1"/>
  <c r="I130" i="15" a="1"/>
  <c r="I130" i="15" s="1"/>
  <c r="J130" i="15" s="1"/>
  <c r="I131" i="15" a="1"/>
  <c r="I131" i="15" s="1"/>
  <c r="J131" i="15" s="1"/>
  <c r="I132" i="15" a="1"/>
  <c r="I132" i="15" s="1"/>
  <c r="J132" i="15" s="1"/>
  <c r="I133" i="15" a="1"/>
  <c r="I133" i="15" s="1"/>
  <c r="J133" i="15" s="1"/>
  <c r="I134" i="15" a="1"/>
  <c r="I134" i="15" s="1"/>
  <c r="J134" i="15" s="1"/>
  <c r="I135" i="15" a="1"/>
  <c r="I135" i="15" s="1"/>
  <c r="J135" i="15" s="1"/>
  <c r="I136" i="15" a="1"/>
  <c r="I136" i="15" s="1"/>
  <c r="J136" i="15" s="1"/>
  <c r="I137" i="15" a="1"/>
  <c r="I137" i="15" s="1"/>
  <c r="J137" i="15" s="1"/>
  <c r="I138" i="15" a="1"/>
  <c r="I138" i="15" s="1"/>
  <c r="J138" i="15" s="1"/>
  <c r="I139" i="15" a="1"/>
  <c r="I139" i="15" s="1"/>
  <c r="J139" i="15" s="1"/>
  <c r="I140" i="15" a="1"/>
  <c r="I140" i="15" s="1"/>
  <c r="J140" i="15" s="1"/>
  <c r="I141" i="15" a="1"/>
  <c r="I141" i="15" s="1"/>
  <c r="J141" i="15" s="1"/>
  <c r="I142" i="15" a="1"/>
  <c r="I142" i="15" s="1"/>
  <c r="J142" i="15" s="1"/>
  <c r="I143" i="15" a="1"/>
  <c r="I143" i="15" s="1"/>
  <c r="J143" i="15" s="1"/>
  <c r="I144" i="15" a="1"/>
  <c r="I144" i="15" s="1"/>
  <c r="J144" i="15" s="1"/>
  <c r="I145" i="15" a="1"/>
  <c r="I145" i="15" s="1"/>
  <c r="J145" i="15" s="1"/>
  <c r="I146" i="15" a="1"/>
  <c r="I146" i="15" s="1"/>
  <c r="J146" i="15" s="1"/>
  <c r="I147" i="15" a="1"/>
  <c r="I147" i="15" s="1"/>
  <c r="J147" i="15" s="1"/>
  <c r="I148" i="15" a="1"/>
  <c r="I148" i="15" s="1"/>
  <c r="J148" i="15" s="1"/>
  <c r="I149" i="15" a="1"/>
  <c r="I149" i="15" s="1"/>
  <c r="J149" i="15" s="1"/>
  <c r="I150" i="15" a="1"/>
  <c r="I150" i="15" s="1"/>
  <c r="J150" i="15" s="1"/>
  <c r="I151" i="15" a="1"/>
  <c r="I151" i="15" s="1"/>
  <c r="J151" i="15" s="1"/>
  <c r="I152" i="15" a="1"/>
  <c r="I152" i="15" s="1"/>
  <c r="J152" i="15" s="1"/>
  <c r="I153" i="15" a="1"/>
  <c r="I153" i="15" s="1"/>
  <c r="J153" i="15" s="1"/>
  <c r="I154" i="15" a="1"/>
  <c r="I154" i="15" s="1"/>
  <c r="J154" i="15" s="1"/>
  <c r="I155" i="15" a="1"/>
  <c r="I155" i="15" s="1"/>
  <c r="J155" i="15" s="1"/>
  <c r="I156" i="15" a="1"/>
  <c r="I156" i="15" s="1"/>
  <c r="J156" i="15" s="1"/>
  <c r="I157" i="15" a="1"/>
  <c r="I157" i="15" s="1"/>
  <c r="J157" i="15" s="1"/>
  <c r="I158" i="15" a="1"/>
  <c r="I158" i="15" s="1"/>
  <c r="J158" i="15" s="1"/>
  <c r="I159" i="15" a="1"/>
  <c r="I159" i="15" s="1"/>
  <c r="J159" i="15" s="1"/>
  <c r="I160" i="15" a="1"/>
  <c r="I160" i="15" s="1"/>
  <c r="J160" i="15" s="1"/>
  <c r="I161" i="15" a="1"/>
  <c r="I161" i="15" s="1"/>
  <c r="J161" i="15" s="1"/>
  <c r="I162" i="15" a="1"/>
  <c r="I162" i="15" s="1"/>
  <c r="J162" i="15" s="1"/>
  <c r="I163" i="15" a="1"/>
  <c r="I163" i="15" s="1"/>
  <c r="J163" i="15" s="1"/>
  <c r="I164" i="15" a="1"/>
  <c r="I164" i="15" s="1"/>
  <c r="J164" i="15" s="1"/>
  <c r="I165" i="15" a="1"/>
  <c r="I165" i="15" s="1"/>
  <c r="J165" i="15" s="1"/>
  <c r="I166" i="15" a="1"/>
  <c r="I166" i="15" s="1"/>
  <c r="J166" i="15" s="1"/>
  <c r="I167" i="15" a="1"/>
  <c r="I167" i="15" s="1"/>
  <c r="J167" i="15" s="1"/>
  <c r="I168" i="15" a="1"/>
  <c r="I168" i="15" s="1"/>
  <c r="J168" i="15" s="1"/>
  <c r="I169" i="15" a="1"/>
  <c r="I169" i="15" s="1"/>
  <c r="J169" i="15" s="1"/>
  <c r="I170" i="15" a="1"/>
  <c r="I170" i="15" s="1"/>
  <c r="J170" i="15" s="1"/>
  <c r="I171" i="15" a="1"/>
  <c r="I171" i="15" s="1"/>
  <c r="J171" i="15" s="1"/>
  <c r="I172" i="15" a="1"/>
  <c r="I172" i="15" s="1"/>
  <c r="J172" i="15" s="1"/>
  <c r="I173" i="15" a="1"/>
  <c r="I173" i="15" s="1"/>
  <c r="J173" i="15" s="1"/>
  <c r="I174" i="15" a="1"/>
  <c r="I174" i="15" s="1"/>
  <c r="J174" i="15" s="1"/>
  <c r="I175" i="15" a="1"/>
  <c r="I175" i="15" s="1"/>
  <c r="J175" i="15" s="1"/>
  <c r="I176" i="15" a="1"/>
  <c r="I176" i="15" s="1"/>
  <c r="J176" i="15" s="1"/>
  <c r="I177" i="15" a="1"/>
  <c r="I177" i="15" s="1"/>
  <c r="J177" i="15" s="1"/>
  <c r="I178" i="15" a="1"/>
  <c r="I178" i="15" s="1"/>
  <c r="J178" i="15" s="1"/>
  <c r="I179" i="15" a="1"/>
  <c r="I179" i="15" s="1"/>
  <c r="J179" i="15" s="1"/>
  <c r="I180" i="15" a="1"/>
  <c r="I180" i="15" s="1"/>
  <c r="J180" i="15" s="1"/>
  <c r="I181" i="15" a="1"/>
  <c r="I181" i="15" s="1"/>
  <c r="J181" i="15" s="1"/>
  <c r="I182" i="15" a="1"/>
  <c r="I182" i="15" s="1"/>
  <c r="J182" i="15" s="1"/>
  <c r="I183" i="15" a="1"/>
  <c r="I183" i="15" s="1"/>
  <c r="J183" i="15" s="1"/>
  <c r="I184" i="15" a="1"/>
  <c r="I184" i="15" s="1"/>
  <c r="J184" i="15" s="1"/>
  <c r="I185" i="15" a="1"/>
  <c r="I185" i="15" s="1"/>
  <c r="J185" i="15" s="1"/>
  <c r="I186" i="15" a="1"/>
  <c r="I186" i="15" s="1"/>
  <c r="J186" i="15" s="1"/>
  <c r="I187" i="15" a="1"/>
  <c r="I187" i="15" s="1"/>
  <c r="J187" i="15" s="1"/>
  <c r="I188" i="15" a="1"/>
  <c r="I188" i="15" s="1"/>
  <c r="J188" i="15" s="1"/>
  <c r="I189" i="15" a="1"/>
  <c r="I189" i="15" s="1"/>
  <c r="J189" i="15" s="1"/>
  <c r="I190" i="15" a="1"/>
  <c r="I190" i="15" s="1"/>
  <c r="J190" i="15" s="1"/>
  <c r="I191" i="15" a="1"/>
  <c r="I191" i="15" s="1"/>
  <c r="J191" i="15" s="1"/>
  <c r="I192" i="15" a="1"/>
  <c r="I192" i="15" s="1"/>
  <c r="J192" i="15" s="1"/>
  <c r="I193" i="15" a="1"/>
  <c r="I193" i="15" s="1"/>
  <c r="J193" i="15" s="1"/>
  <c r="I194" i="15" a="1"/>
  <c r="I194" i="15" s="1"/>
  <c r="J194" i="15" s="1"/>
  <c r="I195" i="15" a="1"/>
  <c r="I195" i="15" s="1"/>
  <c r="J195" i="15" s="1"/>
  <c r="I196" i="15" a="1"/>
  <c r="I196" i="15" s="1"/>
  <c r="J196" i="15" s="1"/>
  <c r="I197" i="15" a="1"/>
  <c r="I197" i="15" s="1"/>
  <c r="J197" i="15" s="1"/>
  <c r="I198" i="15" a="1"/>
  <c r="I198" i="15" s="1"/>
  <c r="J198" i="15" s="1"/>
  <c r="I199" i="15" a="1"/>
  <c r="I199" i="15" s="1"/>
  <c r="J199" i="15" s="1"/>
  <c r="I200" i="15" a="1"/>
  <c r="I200" i="15" s="1"/>
  <c r="J200" i="15" s="1"/>
  <c r="I201" i="15" a="1"/>
  <c r="I201" i="15" s="1"/>
  <c r="J201" i="15" s="1"/>
  <c r="I202" i="15" a="1"/>
  <c r="I202" i="15" s="1"/>
  <c r="J202" i="15" s="1"/>
  <c r="I203" i="15" a="1"/>
  <c r="I203" i="15" s="1"/>
  <c r="J203" i="15" s="1"/>
  <c r="I4" i="15" a="1"/>
  <c r="I4" i="15" s="1"/>
  <c r="H5" i="15" a="1"/>
  <c r="H5" i="15" s="1"/>
  <c r="H6" i="15" a="1"/>
  <c r="H6" i="15" s="1"/>
  <c r="H7" i="15" a="1"/>
  <c r="H7" i="15" s="1"/>
  <c r="H8" i="15" a="1"/>
  <c r="H8" i="15" s="1"/>
  <c r="H9" i="15" a="1"/>
  <c r="H9" i="15" s="1"/>
  <c r="H10" i="15" a="1"/>
  <c r="H10" i="15" s="1"/>
  <c r="H11" i="15" a="1"/>
  <c r="H11" i="15" s="1"/>
  <c r="H12" i="15" a="1"/>
  <c r="H12" i="15" s="1"/>
  <c r="H13" i="15" a="1"/>
  <c r="H13" i="15" s="1"/>
  <c r="H14" i="15" a="1"/>
  <c r="H14" i="15" s="1"/>
  <c r="H15" i="15" a="1"/>
  <c r="H15" i="15" s="1"/>
  <c r="H16" i="15" a="1"/>
  <c r="H16" i="15" s="1"/>
  <c r="H17" i="15" a="1"/>
  <c r="H17" i="15" s="1"/>
  <c r="H18" i="15" a="1"/>
  <c r="H18" i="15" s="1"/>
  <c r="H19" i="15" a="1"/>
  <c r="H19" i="15" s="1"/>
  <c r="H20" i="15" a="1"/>
  <c r="H20" i="15" s="1"/>
  <c r="H21" i="15" a="1"/>
  <c r="H21" i="15" s="1"/>
  <c r="H22" i="15" a="1"/>
  <c r="H22" i="15" s="1"/>
  <c r="H23" i="15" a="1"/>
  <c r="H23" i="15" s="1"/>
  <c r="H24" i="15" a="1"/>
  <c r="H24" i="15" s="1"/>
  <c r="H25" i="15" a="1"/>
  <c r="H25" i="15" s="1"/>
  <c r="H26" i="15" a="1"/>
  <c r="H26" i="15" s="1"/>
  <c r="H27" i="15" a="1"/>
  <c r="H27" i="15" s="1"/>
  <c r="H28" i="15" a="1"/>
  <c r="H28" i="15" s="1"/>
  <c r="H29" i="15" a="1"/>
  <c r="H29" i="15" s="1"/>
  <c r="H30" i="15" a="1"/>
  <c r="H30" i="15" s="1"/>
  <c r="H31" i="15" a="1"/>
  <c r="H31" i="15" s="1"/>
  <c r="H32" i="15" a="1"/>
  <c r="H32" i="15" s="1"/>
  <c r="H33" i="15" a="1"/>
  <c r="H33" i="15" s="1"/>
  <c r="H34" i="15" a="1"/>
  <c r="H34" i="15" s="1"/>
  <c r="H35" i="15" a="1"/>
  <c r="H35" i="15" s="1"/>
  <c r="H36" i="15" a="1"/>
  <c r="H36" i="15" s="1"/>
  <c r="H37" i="15" a="1"/>
  <c r="H37" i="15" s="1"/>
  <c r="H38" i="15" a="1"/>
  <c r="H38" i="15" s="1"/>
  <c r="H39" i="15" a="1"/>
  <c r="H39" i="15" s="1"/>
  <c r="H40" i="15" a="1"/>
  <c r="H40" i="15" s="1"/>
  <c r="H41" i="15" a="1"/>
  <c r="H41" i="15" s="1"/>
  <c r="H42" i="15" a="1"/>
  <c r="H42" i="15" s="1"/>
  <c r="H43" i="15" a="1"/>
  <c r="H43" i="15" s="1"/>
  <c r="H44" i="15" a="1"/>
  <c r="H44" i="15" s="1"/>
  <c r="H45" i="15" a="1"/>
  <c r="H45" i="15" s="1"/>
  <c r="H46" i="15" a="1"/>
  <c r="H46" i="15" s="1"/>
  <c r="H47" i="15" a="1"/>
  <c r="H47" i="15" s="1"/>
  <c r="H48" i="15" a="1"/>
  <c r="H48" i="15" s="1"/>
  <c r="H49" i="15" a="1"/>
  <c r="H49" i="15" s="1"/>
  <c r="H50" i="15" a="1"/>
  <c r="H50" i="15" s="1"/>
  <c r="H51" i="15" a="1"/>
  <c r="H51" i="15" s="1"/>
  <c r="H52" i="15" a="1"/>
  <c r="H52" i="15" s="1"/>
  <c r="H53" i="15" a="1"/>
  <c r="H53" i="15" s="1"/>
  <c r="H54" i="15" a="1"/>
  <c r="H54" i="15" s="1"/>
  <c r="H55" i="15" a="1"/>
  <c r="H55" i="15" s="1"/>
  <c r="H56" i="15" a="1"/>
  <c r="H56" i="15" s="1"/>
  <c r="H57" i="15" a="1"/>
  <c r="H57" i="15" s="1"/>
  <c r="H58" i="15" a="1"/>
  <c r="H58" i="15" s="1"/>
  <c r="H59" i="15" a="1"/>
  <c r="H59" i="15" s="1"/>
  <c r="H60" i="15" a="1"/>
  <c r="H60" i="15" s="1"/>
  <c r="H61" i="15" a="1"/>
  <c r="H61" i="15" s="1"/>
  <c r="H62" i="15" a="1"/>
  <c r="H62" i="15" s="1"/>
  <c r="H63" i="15" a="1"/>
  <c r="H63" i="15" s="1"/>
  <c r="H64" i="15" a="1"/>
  <c r="H64" i="15" s="1"/>
  <c r="H65" i="15" a="1"/>
  <c r="H65" i="15" s="1"/>
  <c r="H66" i="15" a="1"/>
  <c r="H66" i="15" s="1"/>
  <c r="H67" i="15" a="1"/>
  <c r="H67" i="15" s="1"/>
  <c r="H68" i="15" a="1"/>
  <c r="H68" i="15" s="1"/>
  <c r="H69" i="15" a="1"/>
  <c r="H69" i="15" s="1"/>
  <c r="H70" i="15" a="1"/>
  <c r="H70" i="15" s="1"/>
  <c r="H71" i="15" a="1"/>
  <c r="H71" i="15" s="1"/>
  <c r="H72" i="15" a="1"/>
  <c r="H72" i="15" s="1"/>
  <c r="H73" i="15" a="1"/>
  <c r="H73" i="15" s="1"/>
  <c r="H74" i="15" a="1"/>
  <c r="H74" i="15" s="1"/>
  <c r="H75" i="15" a="1"/>
  <c r="H75" i="15" s="1"/>
  <c r="H76" i="15" a="1"/>
  <c r="H76" i="15" s="1"/>
  <c r="H77" i="15" a="1"/>
  <c r="H77" i="15" s="1"/>
  <c r="H78" i="15" a="1"/>
  <c r="H78" i="15" s="1"/>
  <c r="H79" i="15" a="1"/>
  <c r="H79" i="15" s="1"/>
  <c r="H80" i="15" a="1"/>
  <c r="H80" i="15" s="1"/>
  <c r="H81" i="15" a="1"/>
  <c r="H81" i="15" s="1"/>
  <c r="H82" i="15" a="1"/>
  <c r="H82" i="15" s="1"/>
  <c r="H83" i="15" a="1"/>
  <c r="H83" i="15" s="1"/>
  <c r="H84" i="15" a="1"/>
  <c r="H84" i="15" s="1"/>
  <c r="H85" i="15" a="1"/>
  <c r="H85" i="15" s="1"/>
  <c r="H86" i="15" a="1"/>
  <c r="H86" i="15" s="1"/>
  <c r="H87" i="15" a="1"/>
  <c r="H87" i="15" s="1"/>
  <c r="H88" i="15" a="1"/>
  <c r="H88" i="15" s="1"/>
  <c r="H89" i="15" a="1"/>
  <c r="H89" i="15" s="1"/>
  <c r="H90" i="15" a="1"/>
  <c r="H90" i="15" s="1"/>
  <c r="H91" i="15" a="1"/>
  <c r="H91" i="15" s="1"/>
  <c r="H92" i="15" a="1"/>
  <c r="H92" i="15" s="1"/>
  <c r="H93" i="15" a="1"/>
  <c r="H93" i="15" s="1"/>
  <c r="H94" i="15" a="1"/>
  <c r="H94" i="15" s="1"/>
  <c r="H95" i="15" a="1"/>
  <c r="H95" i="15" s="1"/>
  <c r="H96" i="15" a="1"/>
  <c r="H96" i="15" s="1"/>
  <c r="H97" i="15" a="1"/>
  <c r="H97" i="15" s="1"/>
  <c r="H98" i="15" a="1"/>
  <c r="H98" i="15" s="1"/>
  <c r="H99" i="15" a="1"/>
  <c r="H99" i="15" s="1"/>
  <c r="H100" i="15" a="1"/>
  <c r="H100" i="15" s="1"/>
  <c r="H101" i="15" a="1"/>
  <c r="H101" i="15" s="1"/>
  <c r="H102" i="15" a="1"/>
  <c r="H102" i="15" s="1"/>
  <c r="H103" i="15" a="1"/>
  <c r="H103" i="15" s="1"/>
  <c r="H104" i="15" a="1"/>
  <c r="H104" i="15" s="1"/>
  <c r="H105" i="15" a="1"/>
  <c r="H105" i="15" s="1"/>
  <c r="H106" i="15" a="1"/>
  <c r="H106" i="15" s="1"/>
  <c r="H107" i="15" a="1"/>
  <c r="H107" i="15" s="1"/>
  <c r="H108" i="15" a="1"/>
  <c r="H108" i="15" s="1"/>
  <c r="H109" i="15" a="1"/>
  <c r="H109" i="15" s="1"/>
  <c r="H110" i="15" a="1"/>
  <c r="H110" i="15" s="1"/>
  <c r="H111" i="15" a="1"/>
  <c r="H111" i="15" s="1"/>
  <c r="H112" i="15" a="1"/>
  <c r="H112" i="15" s="1"/>
  <c r="H113" i="15" a="1"/>
  <c r="H113" i="15" s="1"/>
  <c r="H114" i="15" a="1"/>
  <c r="H114" i="15" s="1"/>
  <c r="H115" i="15" a="1"/>
  <c r="H115" i="15" s="1"/>
  <c r="H116" i="15" a="1"/>
  <c r="H116" i="15" s="1"/>
  <c r="H117" i="15" a="1"/>
  <c r="H117" i="15" s="1"/>
  <c r="H118" i="15" a="1"/>
  <c r="H118" i="15" s="1"/>
  <c r="H119" i="15" a="1"/>
  <c r="H119" i="15" s="1"/>
  <c r="H120" i="15" a="1"/>
  <c r="H120" i="15" s="1"/>
  <c r="H121" i="15" a="1"/>
  <c r="H121" i="15" s="1"/>
  <c r="H122" i="15" a="1"/>
  <c r="H122" i="15" s="1"/>
  <c r="H123" i="15" a="1"/>
  <c r="H123" i="15" s="1"/>
  <c r="H124" i="15" a="1"/>
  <c r="H124" i="15" s="1"/>
  <c r="H125" i="15" a="1"/>
  <c r="H125" i="15" s="1"/>
  <c r="H126" i="15" a="1"/>
  <c r="H126" i="15" s="1"/>
  <c r="H127" i="15" a="1"/>
  <c r="H127" i="15" s="1"/>
  <c r="H128" i="15" a="1"/>
  <c r="H128" i="15" s="1"/>
  <c r="H129" i="15" a="1"/>
  <c r="H129" i="15" s="1"/>
  <c r="H130" i="15" a="1"/>
  <c r="H130" i="15" s="1"/>
  <c r="H131" i="15" a="1"/>
  <c r="H131" i="15" s="1"/>
  <c r="H132" i="15" a="1"/>
  <c r="H132" i="15" s="1"/>
  <c r="H133" i="15" a="1"/>
  <c r="H133" i="15" s="1"/>
  <c r="H134" i="15" a="1"/>
  <c r="H134" i="15" s="1"/>
  <c r="H135" i="15" a="1"/>
  <c r="H135" i="15" s="1"/>
  <c r="H136" i="15" a="1"/>
  <c r="H136" i="15" s="1"/>
  <c r="H137" i="15" a="1"/>
  <c r="H137" i="15" s="1"/>
  <c r="H138" i="15" a="1"/>
  <c r="H138" i="15" s="1"/>
  <c r="H139" i="15" a="1"/>
  <c r="H139" i="15" s="1"/>
  <c r="H140" i="15" a="1"/>
  <c r="H140" i="15" s="1"/>
  <c r="H141" i="15" a="1"/>
  <c r="H141" i="15" s="1"/>
  <c r="H142" i="15" a="1"/>
  <c r="H142" i="15" s="1"/>
  <c r="H143" i="15" a="1"/>
  <c r="H143" i="15" s="1"/>
  <c r="H144" i="15" a="1"/>
  <c r="H144" i="15" s="1"/>
  <c r="H145" i="15" a="1"/>
  <c r="H145" i="15" s="1"/>
  <c r="H146" i="15" a="1"/>
  <c r="H146" i="15" s="1"/>
  <c r="H147" i="15" a="1"/>
  <c r="H147" i="15" s="1"/>
  <c r="H148" i="15" a="1"/>
  <c r="H148" i="15" s="1"/>
  <c r="H149" i="15" a="1"/>
  <c r="H149" i="15" s="1"/>
  <c r="H150" i="15" a="1"/>
  <c r="H150" i="15" s="1"/>
  <c r="H151" i="15" a="1"/>
  <c r="H151" i="15" s="1"/>
  <c r="H152" i="15" a="1"/>
  <c r="H152" i="15" s="1"/>
  <c r="H153" i="15" a="1"/>
  <c r="H153" i="15" s="1"/>
  <c r="H154" i="15" a="1"/>
  <c r="H154" i="15" s="1"/>
  <c r="H155" i="15" a="1"/>
  <c r="H155" i="15" s="1"/>
  <c r="H156" i="15" a="1"/>
  <c r="H156" i="15" s="1"/>
  <c r="H157" i="15" a="1"/>
  <c r="H157" i="15" s="1"/>
  <c r="H158" i="15" a="1"/>
  <c r="H158" i="15" s="1"/>
  <c r="H159" i="15" a="1"/>
  <c r="H159" i="15" s="1"/>
  <c r="H160" i="15" a="1"/>
  <c r="H160" i="15" s="1"/>
  <c r="H161" i="15" a="1"/>
  <c r="H161" i="15" s="1"/>
  <c r="H162" i="15" a="1"/>
  <c r="H162" i="15" s="1"/>
  <c r="H163" i="15" a="1"/>
  <c r="H163" i="15" s="1"/>
  <c r="H164" i="15" a="1"/>
  <c r="H164" i="15" s="1"/>
  <c r="H165" i="15" a="1"/>
  <c r="H165" i="15" s="1"/>
  <c r="H166" i="15" a="1"/>
  <c r="H166" i="15" s="1"/>
  <c r="H167" i="15" a="1"/>
  <c r="H167" i="15" s="1"/>
  <c r="H168" i="15" a="1"/>
  <c r="H168" i="15" s="1"/>
  <c r="H169" i="15" a="1"/>
  <c r="H169" i="15" s="1"/>
  <c r="H170" i="15" a="1"/>
  <c r="H170" i="15" s="1"/>
  <c r="H171" i="15" a="1"/>
  <c r="H171" i="15" s="1"/>
  <c r="H172" i="15" a="1"/>
  <c r="H172" i="15" s="1"/>
  <c r="H173" i="15" a="1"/>
  <c r="H173" i="15" s="1"/>
  <c r="H174" i="15" a="1"/>
  <c r="H174" i="15" s="1"/>
  <c r="H175" i="15" a="1"/>
  <c r="H175" i="15" s="1"/>
  <c r="H176" i="15" a="1"/>
  <c r="H176" i="15" s="1"/>
  <c r="H177" i="15" a="1"/>
  <c r="H177" i="15" s="1"/>
  <c r="H178" i="15" a="1"/>
  <c r="H178" i="15" s="1"/>
  <c r="H179" i="15" a="1"/>
  <c r="H179" i="15" s="1"/>
  <c r="H180" i="15" a="1"/>
  <c r="H180" i="15" s="1"/>
  <c r="H181" i="15" a="1"/>
  <c r="H181" i="15" s="1"/>
  <c r="H182" i="15" a="1"/>
  <c r="H182" i="15" s="1"/>
  <c r="H183" i="15" a="1"/>
  <c r="H183" i="15" s="1"/>
  <c r="H184" i="15" a="1"/>
  <c r="H184" i="15" s="1"/>
  <c r="H185" i="15" a="1"/>
  <c r="H185" i="15" s="1"/>
  <c r="H186" i="15" a="1"/>
  <c r="H186" i="15" s="1"/>
  <c r="H187" i="15" a="1"/>
  <c r="H187" i="15" s="1"/>
  <c r="H188" i="15" a="1"/>
  <c r="H188" i="15" s="1"/>
  <c r="H189" i="15" a="1"/>
  <c r="H189" i="15" s="1"/>
  <c r="H190" i="15" a="1"/>
  <c r="H190" i="15" s="1"/>
  <c r="H191" i="15" a="1"/>
  <c r="H191" i="15" s="1"/>
  <c r="H192" i="15" a="1"/>
  <c r="H192" i="15" s="1"/>
  <c r="H193" i="15" a="1"/>
  <c r="H193" i="15" s="1"/>
  <c r="H194" i="15" a="1"/>
  <c r="H194" i="15" s="1"/>
  <c r="H195" i="15" a="1"/>
  <c r="H195" i="15" s="1"/>
  <c r="H196" i="15" a="1"/>
  <c r="H196" i="15" s="1"/>
  <c r="H197" i="15" a="1"/>
  <c r="H197" i="15" s="1"/>
  <c r="H198" i="15" a="1"/>
  <c r="H198" i="15" s="1"/>
  <c r="H199" i="15" a="1"/>
  <c r="H199" i="15" s="1"/>
  <c r="H200" i="15" a="1"/>
  <c r="H200" i="15" s="1"/>
  <c r="H201" i="15" a="1"/>
  <c r="H201" i="15" s="1"/>
  <c r="H202" i="15" a="1"/>
  <c r="H202" i="15" s="1"/>
  <c r="H203" i="15" a="1"/>
  <c r="H203" i="15" s="1"/>
  <c r="H4" i="15" a="1"/>
  <c r="H4" i="15" s="1"/>
  <c r="G4" i="15" a="1"/>
  <c r="G4" i="15" s="1"/>
  <c r="G5" i="15" a="1"/>
  <c r="G5" i="15" s="1"/>
  <c r="G6" i="15" a="1"/>
  <c r="G6" i="15" s="1"/>
  <c r="G7" i="15" a="1"/>
  <c r="G7" i="15" s="1"/>
  <c r="G8" i="15" a="1"/>
  <c r="G8" i="15" s="1"/>
  <c r="G9" i="15" a="1"/>
  <c r="G9" i="15" s="1"/>
  <c r="G10" i="15" a="1"/>
  <c r="G10" i="15" s="1"/>
  <c r="G11" i="15" a="1"/>
  <c r="G11" i="15" s="1"/>
  <c r="G12" i="15" a="1"/>
  <c r="G12" i="15" s="1"/>
  <c r="G13" i="15" a="1"/>
  <c r="G13" i="15" s="1"/>
  <c r="G14" i="15" a="1"/>
  <c r="G14" i="15" s="1"/>
  <c r="G15" i="15" a="1"/>
  <c r="G15" i="15" s="1"/>
  <c r="G16" i="15" a="1"/>
  <c r="G16" i="15" s="1"/>
  <c r="G17" i="15" a="1"/>
  <c r="G17" i="15" s="1"/>
  <c r="G18" i="15" a="1"/>
  <c r="G18" i="15" s="1"/>
  <c r="G19" i="15" a="1"/>
  <c r="G19" i="15" s="1"/>
  <c r="G20" i="15" a="1"/>
  <c r="G20" i="15" s="1"/>
  <c r="G21" i="15" a="1"/>
  <c r="G21" i="15" s="1"/>
  <c r="G22" i="15" a="1"/>
  <c r="G22" i="15" s="1"/>
  <c r="G23" i="15" a="1"/>
  <c r="G23" i="15" s="1"/>
  <c r="G24" i="15" a="1"/>
  <c r="G24" i="15" s="1"/>
  <c r="G25" i="15" a="1"/>
  <c r="G25" i="15" s="1"/>
  <c r="G26" i="15" a="1"/>
  <c r="G26" i="15" s="1"/>
  <c r="G27" i="15" a="1"/>
  <c r="G27" i="15" s="1"/>
  <c r="G28" i="15" a="1"/>
  <c r="G28" i="15" s="1"/>
  <c r="G29" i="15" a="1"/>
  <c r="G29" i="15" s="1"/>
  <c r="G30" i="15" a="1"/>
  <c r="G30" i="15" s="1"/>
  <c r="G31" i="15" a="1"/>
  <c r="G31" i="15" s="1"/>
  <c r="G32" i="15" a="1"/>
  <c r="G32" i="15" s="1"/>
  <c r="G33" i="15" a="1"/>
  <c r="G33" i="15" s="1"/>
  <c r="G34" i="15" a="1"/>
  <c r="G34" i="15" s="1"/>
  <c r="G35" i="15" a="1"/>
  <c r="G35" i="15" s="1"/>
  <c r="G36" i="15" a="1"/>
  <c r="G36" i="15" s="1"/>
  <c r="G37" i="15" a="1"/>
  <c r="G37" i="15" s="1"/>
  <c r="G38" i="15" a="1"/>
  <c r="G38" i="15" s="1"/>
  <c r="G39" i="15" a="1"/>
  <c r="G39" i="15" s="1"/>
  <c r="G40" i="15" a="1"/>
  <c r="G40" i="15" s="1"/>
  <c r="G41" i="15" a="1"/>
  <c r="G41" i="15" s="1"/>
  <c r="G42" i="15" a="1"/>
  <c r="G42" i="15" s="1"/>
  <c r="G43" i="15" a="1"/>
  <c r="G43" i="15" s="1"/>
  <c r="G44" i="15" a="1"/>
  <c r="G44" i="15" s="1"/>
  <c r="G45" i="15" a="1"/>
  <c r="G45" i="15" s="1"/>
  <c r="G46" i="15" a="1"/>
  <c r="G46" i="15" s="1"/>
  <c r="G47" i="15" a="1"/>
  <c r="G47" i="15" s="1"/>
  <c r="G48" i="15" a="1"/>
  <c r="G48" i="15" s="1"/>
  <c r="G49" i="15" a="1"/>
  <c r="G49" i="15" s="1"/>
  <c r="G50" i="15" a="1"/>
  <c r="G50" i="15" s="1"/>
  <c r="G51" i="15" a="1"/>
  <c r="G51" i="15" s="1"/>
  <c r="G52" i="15" a="1"/>
  <c r="G52" i="15" s="1"/>
  <c r="G53" i="15" a="1"/>
  <c r="G53" i="15" s="1"/>
  <c r="G54" i="15" a="1"/>
  <c r="G54" i="15" s="1"/>
  <c r="G55" i="15" a="1"/>
  <c r="G55" i="15" s="1"/>
  <c r="G56" i="15" a="1"/>
  <c r="G56" i="15" s="1"/>
  <c r="G57" i="15" a="1"/>
  <c r="G57" i="15" s="1"/>
  <c r="G58" i="15" a="1"/>
  <c r="G58" i="15" s="1"/>
  <c r="G59" i="15" a="1"/>
  <c r="G59" i="15" s="1"/>
  <c r="G60" i="15" a="1"/>
  <c r="G60" i="15" s="1"/>
  <c r="G61" i="15" a="1"/>
  <c r="G61" i="15" s="1"/>
  <c r="G62" i="15" a="1"/>
  <c r="G62" i="15" s="1"/>
  <c r="G63" i="15" a="1"/>
  <c r="G63" i="15" s="1"/>
  <c r="G64" i="15" a="1"/>
  <c r="G64" i="15" s="1"/>
  <c r="G65" i="15" a="1"/>
  <c r="G65" i="15" s="1"/>
  <c r="G66" i="15" a="1"/>
  <c r="G66" i="15" s="1"/>
  <c r="G67" i="15" a="1"/>
  <c r="G67" i="15" s="1"/>
  <c r="G68" i="15" a="1"/>
  <c r="G68" i="15" s="1"/>
  <c r="G69" i="15" a="1"/>
  <c r="G69" i="15" s="1"/>
  <c r="G70" i="15" a="1"/>
  <c r="G70" i="15" s="1"/>
  <c r="G71" i="15" a="1"/>
  <c r="G71" i="15" s="1"/>
  <c r="G72" i="15" a="1"/>
  <c r="G72" i="15" s="1"/>
  <c r="G73" i="15" a="1"/>
  <c r="G73" i="15" s="1"/>
  <c r="G74" i="15" a="1"/>
  <c r="G74" i="15" s="1"/>
  <c r="G75" i="15" a="1"/>
  <c r="G75" i="15" s="1"/>
  <c r="G76" i="15" a="1"/>
  <c r="G76" i="15" s="1"/>
  <c r="G77" i="15" a="1"/>
  <c r="G77" i="15" s="1"/>
  <c r="G78" i="15" a="1"/>
  <c r="G78" i="15" s="1"/>
  <c r="G79" i="15" a="1"/>
  <c r="G79" i="15" s="1"/>
  <c r="G80" i="15" a="1"/>
  <c r="G80" i="15" s="1"/>
  <c r="G81" i="15" a="1"/>
  <c r="G81" i="15" s="1"/>
  <c r="G82" i="15" a="1"/>
  <c r="G82" i="15" s="1"/>
  <c r="G83" i="15" a="1"/>
  <c r="G83" i="15" s="1"/>
  <c r="G84" i="15" a="1"/>
  <c r="G84" i="15" s="1"/>
  <c r="G85" i="15" a="1"/>
  <c r="G85" i="15" s="1"/>
  <c r="G86" i="15" a="1"/>
  <c r="G86" i="15" s="1"/>
  <c r="G87" i="15" a="1"/>
  <c r="G87" i="15" s="1"/>
  <c r="G88" i="15" a="1"/>
  <c r="G88" i="15" s="1"/>
  <c r="G89" i="15" a="1"/>
  <c r="G89" i="15" s="1"/>
  <c r="G90" i="15" a="1"/>
  <c r="G90" i="15" s="1"/>
  <c r="G91" i="15" a="1"/>
  <c r="G91" i="15" s="1"/>
  <c r="G92" i="15" a="1"/>
  <c r="G92" i="15" s="1"/>
  <c r="G93" i="15" a="1"/>
  <c r="G93" i="15" s="1"/>
  <c r="G94" i="15" a="1"/>
  <c r="G94" i="15" s="1"/>
  <c r="G95" i="15" a="1"/>
  <c r="G95" i="15" s="1"/>
  <c r="G96" i="15" a="1"/>
  <c r="G96" i="15" s="1"/>
  <c r="G97" i="15" a="1"/>
  <c r="G97" i="15" s="1"/>
  <c r="G98" i="15" a="1"/>
  <c r="G98" i="15" s="1"/>
  <c r="G99" i="15" a="1"/>
  <c r="G99" i="15" s="1"/>
  <c r="G100" i="15" a="1"/>
  <c r="G100" i="15" s="1"/>
  <c r="G101" i="15" a="1"/>
  <c r="G101" i="15" s="1"/>
  <c r="G102" i="15" a="1"/>
  <c r="G102" i="15" s="1"/>
  <c r="G103" i="15" a="1"/>
  <c r="G103" i="15" s="1"/>
  <c r="G104" i="15" a="1"/>
  <c r="G104" i="15" s="1"/>
  <c r="G105" i="15" a="1"/>
  <c r="G105" i="15" s="1"/>
  <c r="G106" i="15" a="1"/>
  <c r="G106" i="15" s="1"/>
  <c r="G107" i="15" a="1"/>
  <c r="G107" i="15" s="1"/>
  <c r="G108" i="15" a="1"/>
  <c r="G108" i="15" s="1"/>
  <c r="G109" i="15" a="1"/>
  <c r="G109" i="15" s="1"/>
  <c r="G110" i="15" a="1"/>
  <c r="G110" i="15" s="1"/>
  <c r="G111" i="15" a="1"/>
  <c r="G111" i="15" s="1"/>
  <c r="G112" i="15" a="1"/>
  <c r="G112" i="15" s="1"/>
  <c r="G113" i="15" a="1"/>
  <c r="G113" i="15" s="1"/>
  <c r="G114" i="15" a="1"/>
  <c r="G114" i="15" s="1"/>
  <c r="G115" i="15" a="1"/>
  <c r="G115" i="15" s="1"/>
  <c r="G116" i="15" a="1"/>
  <c r="G116" i="15" s="1"/>
  <c r="G117" i="15" a="1"/>
  <c r="G117" i="15" s="1"/>
  <c r="G118" i="15" a="1"/>
  <c r="G118" i="15" s="1"/>
  <c r="G119" i="15" a="1"/>
  <c r="G119" i="15" s="1"/>
  <c r="G120" i="15" a="1"/>
  <c r="G120" i="15" s="1"/>
  <c r="G121" i="15" a="1"/>
  <c r="G121" i="15" s="1"/>
  <c r="G122" i="15" a="1"/>
  <c r="G122" i="15" s="1"/>
  <c r="G123" i="15" a="1"/>
  <c r="G123" i="15" s="1"/>
  <c r="G124" i="15" a="1"/>
  <c r="G124" i="15" s="1"/>
  <c r="G125" i="15" a="1"/>
  <c r="G125" i="15" s="1"/>
  <c r="G126" i="15" a="1"/>
  <c r="G126" i="15" s="1"/>
  <c r="G127" i="15" a="1"/>
  <c r="G127" i="15" s="1"/>
  <c r="G128" i="15" a="1"/>
  <c r="G128" i="15" s="1"/>
  <c r="G129" i="15" a="1"/>
  <c r="G129" i="15" s="1"/>
  <c r="G130" i="15" a="1"/>
  <c r="G130" i="15" s="1"/>
  <c r="G131" i="15" a="1"/>
  <c r="G131" i="15" s="1"/>
  <c r="G132" i="15" a="1"/>
  <c r="G132" i="15" s="1"/>
  <c r="G133" i="15" a="1"/>
  <c r="G133" i="15" s="1"/>
  <c r="G134" i="15" a="1"/>
  <c r="G134" i="15" s="1"/>
  <c r="G135" i="15" a="1"/>
  <c r="G135" i="15" s="1"/>
  <c r="G136" i="15" a="1"/>
  <c r="G136" i="15" s="1"/>
  <c r="G137" i="15" a="1"/>
  <c r="G137" i="15" s="1"/>
  <c r="G138" i="15" a="1"/>
  <c r="G138" i="15" s="1"/>
  <c r="G139" i="15" a="1"/>
  <c r="G139" i="15" s="1"/>
  <c r="G140" i="15" a="1"/>
  <c r="G140" i="15" s="1"/>
  <c r="G141" i="15" a="1"/>
  <c r="G141" i="15" s="1"/>
  <c r="G142" i="15" a="1"/>
  <c r="G142" i="15" s="1"/>
  <c r="G143" i="15" a="1"/>
  <c r="G143" i="15" s="1"/>
  <c r="G144" i="15" a="1"/>
  <c r="G144" i="15" s="1"/>
  <c r="G145" i="15" a="1"/>
  <c r="G145" i="15" s="1"/>
  <c r="G146" i="15" a="1"/>
  <c r="G146" i="15" s="1"/>
  <c r="G147" i="15" a="1"/>
  <c r="G147" i="15" s="1"/>
  <c r="G148" i="15" a="1"/>
  <c r="G148" i="15" s="1"/>
  <c r="G149" i="15" a="1"/>
  <c r="G149" i="15" s="1"/>
  <c r="G150" i="15" a="1"/>
  <c r="G150" i="15" s="1"/>
  <c r="G151" i="15" a="1"/>
  <c r="G151" i="15" s="1"/>
  <c r="G152" i="15" a="1"/>
  <c r="G152" i="15" s="1"/>
  <c r="G153" i="15" a="1"/>
  <c r="G153" i="15" s="1"/>
  <c r="G154" i="15" a="1"/>
  <c r="G154" i="15" s="1"/>
  <c r="G155" i="15" a="1"/>
  <c r="G155" i="15" s="1"/>
  <c r="G156" i="15" a="1"/>
  <c r="G156" i="15" s="1"/>
  <c r="G157" i="15" a="1"/>
  <c r="G157" i="15" s="1"/>
  <c r="G158" i="15" a="1"/>
  <c r="G158" i="15" s="1"/>
  <c r="G159" i="15" a="1"/>
  <c r="G159" i="15" s="1"/>
  <c r="G161" i="15" a="1"/>
  <c r="G161" i="15" s="1"/>
  <c r="G162" i="15" a="1"/>
  <c r="G162" i="15" s="1"/>
  <c r="G163" i="15" a="1"/>
  <c r="G163" i="15" s="1"/>
  <c r="G164" i="15" a="1"/>
  <c r="G164" i="15" s="1"/>
  <c r="G165" i="15" a="1"/>
  <c r="G165" i="15" s="1"/>
  <c r="G166" i="15" a="1"/>
  <c r="G166" i="15" s="1"/>
  <c r="G167" i="15" a="1"/>
  <c r="G167" i="15" s="1"/>
  <c r="G168" i="15" a="1"/>
  <c r="G168" i="15" s="1"/>
  <c r="G169" i="15" a="1"/>
  <c r="G169" i="15" s="1"/>
  <c r="G170" i="15" a="1"/>
  <c r="G170" i="15" s="1"/>
  <c r="G171" i="15" a="1"/>
  <c r="G171" i="15" s="1"/>
  <c r="G172" i="15" a="1"/>
  <c r="G172" i="15" s="1"/>
  <c r="G173" i="15" a="1"/>
  <c r="G173" i="15" s="1"/>
  <c r="G174" i="15" a="1"/>
  <c r="G174" i="15" s="1"/>
  <c r="G175" i="15" a="1"/>
  <c r="G175" i="15" s="1"/>
  <c r="G176" i="15" a="1"/>
  <c r="G176" i="15" s="1"/>
  <c r="G177" i="15" a="1"/>
  <c r="G177" i="15" s="1"/>
  <c r="G178" i="15" a="1"/>
  <c r="G178" i="15" s="1"/>
  <c r="G179" i="15" a="1"/>
  <c r="G179" i="15" s="1"/>
  <c r="G180" i="15" a="1"/>
  <c r="G180" i="15" s="1"/>
  <c r="G181" i="15" a="1"/>
  <c r="G181" i="15" s="1"/>
  <c r="G182" i="15" a="1"/>
  <c r="G182" i="15" s="1"/>
  <c r="G183" i="15" a="1"/>
  <c r="G183" i="15" s="1"/>
  <c r="G184" i="15" a="1"/>
  <c r="G184" i="15" s="1"/>
  <c r="G185" i="15" a="1"/>
  <c r="G185" i="15" s="1"/>
  <c r="G186" i="15" a="1"/>
  <c r="G186" i="15" s="1"/>
  <c r="G187" i="15" a="1"/>
  <c r="G187" i="15" s="1"/>
  <c r="G188" i="15" a="1"/>
  <c r="G188" i="15" s="1"/>
  <c r="G189" i="15" a="1"/>
  <c r="G189" i="15" s="1"/>
  <c r="G190" i="15" a="1"/>
  <c r="G190" i="15" s="1"/>
  <c r="G191" i="15" a="1"/>
  <c r="G191" i="15" s="1"/>
  <c r="G192" i="15" a="1"/>
  <c r="G192" i="15" s="1"/>
  <c r="G193" i="15" a="1"/>
  <c r="G193" i="15" s="1"/>
  <c r="G194" i="15" a="1"/>
  <c r="G194" i="15" s="1"/>
  <c r="G195" i="15" a="1"/>
  <c r="G195" i="15" s="1"/>
  <c r="G196" i="15" a="1"/>
  <c r="G196" i="15" s="1"/>
  <c r="G197" i="15" a="1"/>
  <c r="G197" i="15" s="1"/>
  <c r="G198" i="15" a="1"/>
  <c r="G198" i="15" s="1"/>
  <c r="G199" i="15" a="1"/>
  <c r="G199" i="15" s="1"/>
  <c r="G200" i="15" a="1"/>
  <c r="G200" i="15" s="1"/>
  <c r="G201" i="15" a="1"/>
  <c r="G201" i="15" s="1"/>
  <c r="G202" i="15" a="1"/>
  <c r="G202" i="15" s="1"/>
  <c r="G203" i="15" a="1"/>
  <c r="G203" i="15" s="1"/>
  <c r="L169" i="15" l="1"/>
  <c r="L164" i="15"/>
  <c r="X34" i="10"/>
  <c r="AB26" i="10"/>
  <c r="AB30" i="10"/>
  <c r="Z25" i="10"/>
  <c r="AB25" i="10"/>
  <c r="X26" i="10"/>
  <c r="AB29" i="10"/>
  <c r="AB28" i="10"/>
  <c r="AA25" i="10"/>
  <c r="J4" i="15"/>
  <c r="AB33" i="10"/>
  <c r="X25" i="10"/>
  <c r="Y31" i="10"/>
  <c r="Z32" i="10"/>
  <c r="AB32" i="10"/>
  <c r="Y30" i="10"/>
  <c r="Z31" i="10"/>
  <c r="AB31" i="10"/>
  <c r="Y33" i="10"/>
  <c r="Y25" i="10"/>
  <c r="Z34" i="10"/>
  <c r="Z26" i="10"/>
  <c r="AB34" i="10"/>
  <c r="AA26" i="10"/>
  <c r="X30" i="10"/>
  <c r="Y32" i="10"/>
  <c r="Z33" i="10"/>
  <c r="X29" i="10"/>
  <c r="X28" i="10"/>
  <c r="X27" i="10"/>
  <c r="Y29" i="10"/>
  <c r="Z30" i="10"/>
  <c r="AA30" i="10"/>
  <c r="Y28" i="10"/>
  <c r="Z29" i="10"/>
  <c r="X33" i="10"/>
  <c r="Y27" i="10"/>
  <c r="Z28" i="10"/>
  <c r="X32" i="10"/>
  <c r="Y34" i="10"/>
  <c r="Y26" i="10"/>
  <c r="Z27" i="10"/>
  <c r="AB27" i="10"/>
  <c r="X31" i="10"/>
  <c r="V28" i="10"/>
  <c r="AA27" i="10"/>
  <c r="AA29" i="10"/>
  <c r="V30" i="10"/>
  <c r="W26" i="10"/>
  <c r="W28" i="10"/>
  <c r="AA31" i="10"/>
  <c r="V32" i="10"/>
  <c r="W34" i="10"/>
  <c r="W31" i="10"/>
  <c r="W33" i="10"/>
  <c r="V33" i="10"/>
  <c r="W30" i="10"/>
  <c r="V31" i="10"/>
  <c r="W25" i="10"/>
  <c r="V26" i="10"/>
  <c r="AA28" i="10"/>
  <c r="V27" i="10"/>
  <c r="W29" i="10"/>
  <c r="W32" i="10"/>
  <c r="V25" i="10"/>
  <c r="AA32" i="10"/>
  <c r="V34" i="10"/>
  <c r="W27" i="10"/>
  <c r="V29" i="10"/>
  <c r="AA33" i="10"/>
  <c r="AA34" i="10"/>
  <c r="AA199" i="2" l="1"/>
  <c r="Z199" i="2"/>
  <c r="Y199" i="2"/>
  <c r="X199" i="2"/>
  <c r="AA194" i="2"/>
  <c r="Z194" i="2"/>
  <c r="Y194" i="2"/>
  <c r="X194" i="2"/>
  <c r="AA189" i="2"/>
  <c r="Z189" i="2"/>
  <c r="Y189" i="2"/>
  <c r="X189" i="2"/>
  <c r="AA184" i="2"/>
  <c r="Z184" i="2"/>
  <c r="Y184" i="2"/>
  <c r="X184" i="2"/>
  <c r="AA179" i="2"/>
  <c r="Z179" i="2"/>
  <c r="Y179" i="2"/>
  <c r="X179" i="2"/>
  <c r="AA174" i="2"/>
  <c r="Z174" i="2"/>
  <c r="Y174" i="2"/>
  <c r="X174" i="2"/>
  <c r="AA169" i="2"/>
  <c r="Z169" i="2"/>
  <c r="Y169" i="2"/>
  <c r="X169" i="2"/>
  <c r="AA164" i="2"/>
  <c r="Z164" i="2"/>
  <c r="Y164" i="2"/>
  <c r="X164" i="2"/>
  <c r="AA159" i="2"/>
  <c r="Z159" i="2"/>
  <c r="Y159" i="2"/>
  <c r="X159" i="2"/>
  <c r="AA154" i="2"/>
  <c r="Z154" i="2"/>
  <c r="Y154" i="2"/>
  <c r="X154" i="2"/>
  <c r="AA149" i="2"/>
  <c r="Z149" i="2"/>
  <c r="Y149" i="2"/>
  <c r="X149" i="2"/>
  <c r="AA144" i="2"/>
  <c r="Z144" i="2"/>
  <c r="Y144" i="2"/>
  <c r="X144" i="2"/>
  <c r="AA139" i="2"/>
  <c r="Z139" i="2"/>
  <c r="Y139" i="2"/>
  <c r="X139" i="2"/>
  <c r="AA134" i="2"/>
  <c r="Z134" i="2"/>
  <c r="Y134" i="2"/>
  <c r="X134" i="2"/>
  <c r="AA129" i="2"/>
  <c r="Z129" i="2"/>
  <c r="Y129" i="2"/>
  <c r="X129" i="2"/>
  <c r="AA124" i="2"/>
  <c r="Z124" i="2"/>
  <c r="Y124" i="2"/>
  <c r="X124" i="2"/>
  <c r="AA119" i="2"/>
  <c r="Z119" i="2"/>
  <c r="Y119" i="2"/>
  <c r="X119" i="2"/>
  <c r="AA114" i="2"/>
  <c r="Z114" i="2"/>
  <c r="Y114" i="2"/>
  <c r="X114" i="2"/>
  <c r="AA109" i="2"/>
  <c r="Z109" i="2"/>
  <c r="Y109" i="2"/>
  <c r="X109" i="2"/>
  <c r="AA104" i="2"/>
  <c r="Z104" i="2"/>
  <c r="Y104" i="2"/>
  <c r="X104" i="2"/>
  <c r="AA99" i="2"/>
  <c r="Z99" i="2"/>
  <c r="Y99" i="2"/>
  <c r="X99" i="2"/>
  <c r="AA94" i="2"/>
  <c r="Z94" i="2"/>
  <c r="Y94" i="2"/>
  <c r="X94" i="2"/>
  <c r="AA89" i="2"/>
  <c r="Z89" i="2"/>
  <c r="Y89" i="2"/>
  <c r="X89" i="2"/>
  <c r="AA84" i="2"/>
  <c r="Z84" i="2"/>
  <c r="Y84" i="2"/>
  <c r="X84" i="2"/>
  <c r="AA79" i="2"/>
  <c r="Z79" i="2"/>
  <c r="Y79" i="2"/>
  <c r="X79" i="2"/>
  <c r="AA74" i="2"/>
  <c r="Z74" i="2"/>
  <c r="Y74" i="2"/>
  <c r="X74" i="2"/>
  <c r="AA69" i="2"/>
  <c r="Z69" i="2"/>
  <c r="Y69" i="2"/>
  <c r="X69" i="2"/>
  <c r="AA64" i="2"/>
  <c r="Z64" i="2"/>
  <c r="Y64" i="2"/>
  <c r="X64" i="2"/>
  <c r="AA59" i="2"/>
  <c r="Z59" i="2"/>
  <c r="Y59" i="2"/>
  <c r="X59" i="2"/>
  <c r="AA54" i="2"/>
  <c r="Z54" i="2"/>
  <c r="Y54" i="2"/>
  <c r="X54" i="2"/>
  <c r="AA49" i="2"/>
  <c r="Z49" i="2"/>
  <c r="Y49" i="2"/>
  <c r="X49" i="2"/>
  <c r="AA44" i="2"/>
  <c r="Z44" i="2"/>
  <c r="Y44" i="2"/>
  <c r="X44" i="2"/>
  <c r="AA39" i="2"/>
  <c r="Z39" i="2"/>
  <c r="Y39" i="2"/>
  <c r="X39" i="2"/>
  <c r="AA34" i="2"/>
  <c r="Z34" i="2"/>
  <c r="Y34" i="2"/>
  <c r="X34" i="2"/>
  <c r="AA29" i="2"/>
  <c r="Z29" i="2"/>
  <c r="Y29" i="2"/>
  <c r="X29" i="2"/>
  <c r="AA24" i="2"/>
  <c r="Z24" i="2"/>
  <c r="Y24" i="2"/>
  <c r="X24" i="2"/>
  <c r="AA19" i="2"/>
  <c r="Z19" i="2"/>
  <c r="Y19" i="2"/>
  <c r="X19" i="2"/>
  <c r="AA14" i="2"/>
  <c r="Z14" i="2"/>
  <c r="Y14" i="2"/>
  <c r="X14" i="2"/>
  <c r="AA9" i="2"/>
  <c r="Z9" i="2"/>
  <c r="Y9" i="2"/>
  <c r="X9" i="2"/>
  <c r="Y4" i="2"/>
  <c r="Z4" i="2"/>
  <c r="AA4" i="2"/>
  <c r="X4" i="2"/>
  <c r="S199" i="2"/>
  <c r="S179" i="2"/>
  <c r="S174" i="2"/>
  <c r="S129" i="2"/>
  <c r="S79" i="2"/>
  <c r="S74" i="2"/>
  <c r="S59" i="2"/>
  <c r="S54" i="2"/>
  <c r="S39" i="2"/>
  <c r="S34" i="2"/>
  <c r="T4" i="2"/>
  <c r="D44" i="14" l="1"/>
  <c r="D45" i="14"/>
  <c r="D46" i="14"/>
  <c r="E44" i="14"/>
  <c r="E45" i="14"/>
  <c r="E46" i="14"/>
  <c r="E5" i="14" l="1"/>
  <c r="E6" i="14"/>
  <c r="E7" i="14"/>
  <c r="E8" i="14"/>
  <c r="E9" i="14"/>
  <c r="E10" i="14"/>
  <c r="E11" i="14"/>
  <c r="E12" i="14"/>
  <c r="E13" i="14"/>
  <c r="E14" i="14"/>
  <c r="E15" i="14"/>
  <c r="E16" i="14"/>
  <c r="E17" i="14"/>
  <c r="E18" i="14"/>
  <c r="E19" i="14"/>
  <c r="E20" i="14"/>
  <c r="E21" i="14"/>
  <c r="E22" i="14"/>
  <c r="E23" i="14"/>
  <c r="E24" i="14"/>
  <c r="E25" i="14"/>
  <c r="E26" i="14"/>
  <c r="E27" i="14"/>
  <c r="E28" i="14"/>
  <c r="E29" i="14"/>
  <c r="E30" i="14"/>
  <c r="E31" i="14"/>
  <c r="E32" i="14"/>
  <c r="E33" i="14"/>
  <c r="E47" i="14"/>
  <c r="E48" i="14"/>
  <c r="E49" i="14"/>
  <c r="E50" i="14"/>
  <c r="E51" i="14"/>
  <c r="E52" i="14"/>
  <c r="E53" i="14"/>
  <c r="E54" i="14"/>
  <c r="E55" i="14"/>
  <c r="E56" i="14"/>
  <c r="E57" i="14"/>
  <c r="E58" i="14"/>
  <c r="E59" i="14"/>
  <c r="E60" i="14"/>
  <c r="E61" i="14"/>
  <c r="E62" i="14"/>
  <c r="E63" i="14"/>
  <c r="E74" i="14"/>
  <c r="E75" i="14"/>
  <c r="E76" i="14"/>
  <c r="E77" i="14"/>
  <c r="E78" i="14"/>
  <c r="E79" i="14"/>
  <c r="E80" i="14"/>
  <c r="E81" i="14"/>
  <c r="E82" i="14"/>
  <c r="E83" i="14"/>
  <c r="E84" i="14"/>
  <c r="E85" i="14"/>
  <c r="E86" i="14"/>
  <c r="E87" i="14"/>
  <c r="E88" i="14"/>
  <c r="E89" i="14"/>
  <c r="E90" i="14"/>
  <c r="E91" i="14"/>
  <c r="E92" i="14"/>
  <c r="E93" i="14"/>
  <c r="E94" i="14"/>
  <c r="E95" i="14"/>
  <c r="E96" i="14"/>
  <c r="E97" i="14"/>
  <c r="E99" i="14"/>
  <c r="E100" i="14"/>
  <c r="E101" i="14"/>
  <c r="E102" i="14"/>
  <c r="E103" i="14"/>
  <c r="E104" i="14"/>
  <c r="E105" i="14"/>
  <c r="E106" i="14"/>
  <c r="E107" i="14"/>
  <c r="E108" i="14"/>
  <c r="E109" i="14"/>
  <c r="E110" i="14"/>
  <c r="E111" i="14"/>
  <c r="E112" i="14"/>
  <c r="E113" i="14"/>
  <c r="E114" i="14"/>
  <c r="E115" i="14"/>
  <c r="E116" i="14"/>
  <c r="E117" i="14"/>
  <c r="E119" i="14"/>
  <c r="E120" i="14"/>
  <c r="E121" i="14"/>
  <c r="E122" i="14"/>
  <c r="E123" i="14"/>
  <c r="E124" i="14"/>
  <c r="E125" i="14"/>
  <c r="E126" i="14"/>
  <c r="E127" i="14"/>
  <c r="E128" i="14"/>
  <c r="E129" i="14"/>
  <c r="E130" i="14"/>
  <c r="E131" i="14"/>
  <c r="E132" i="14"/>
  <c r="E133" i="14"/>
  <c r="E134" i="14"/>
  <c r="E135" i="14"/>
  <c r="E136" i="14"/>
  <c r="E137" i="14"/>
  <c r="E138" i="14"/>
  <c r="E139" i="14"/>
  <c r="E140" i="14"/>
  <c r="E141" i="14"/>
  <c r="E142" i="14"/>
  <c r="E143" i="14"/>
  <c r="E144" i="14"/>
  <c r="E145" i="14"/>
  <c r="E146" i="14"/>
  <c r="E147" i="14"/>
  <c r="E148" i="14"/>
  <c r="E149" i="14"/>
  <c r="E150" i="14"/>
  <c r="E151" i="14"/>
  <c r="E152" i="14"/>
  <c r="E153" i="14"/>
  <c r="E154" i="14"/>
  <c r="E155" i="14"/>
  <c r="E156" i="14"/>
  <c r="E157" i="14"/>
  <c r="E158" i="14"/>
  <c r="E159" i="14"/>
  <c r="E160" i="14"/>
  <c r="E163" i="14"/>
  <c r="E164" i="14"/>
  <c r="E165" i="14"/>
  <c r="E166" i="14"/>
  <c r="E167" i="14"/>
  <c r="E174" i="14"/>
  <c r="E175" i="14"/>
  <c r="E176" i="14"/>
  <c r="E177" i="14"/>
  <c r="E178" i="14"/>
  <c r="E179" i="14"/>
  <c r="E180" i="14"/>
  <c r="E181" i="14"/>
  <c r="E182" i="14"/>
  <c r="E183" i="14"/>
  <c r="E184" i="14"/>
  <c r="E185" i="14"/>
  <c r="E186" i="14"/>
  <c r="E187" i="14"/>
  <c r="E188" i="14"/>
  <c r="E189" i="14"/>
  <c r="E190" i="14"/>
  <c r="E191" i="14"/>
  <c r="E192" i="14"/>
  <c r="E193" i="14"/>
  <c r="E194" i="14"/>
  <c r="E195" i="14"/>
  <c r="E196" i="14"/>
  <c r="E197" i="14"/>
  <c r="E198" i="14"/>
  <c r="E199" i="14"/>
  <c r="E200" i="14"/>
  <c r="E201" i="14"/>
  <c r="E202" i="14"/>
  <c r="E203" i="14"/>
  <c r="E4" i="14"/>
  <c r="D5" i="14"/>
  <c r="D6" i="14"/>
  <c r="D7" i="14"/>
  <c r="D8" i="14"/>
  <c r="D9" i="14"/>
  <c r="D10" i="14"/>
  <c r="D11" i="14"/>
  <c r="D12" i="14"/>
  <c r="D13" i="14"/>
  <c r="D14" i="14"/>
  <c r="D15" i="14"/>
  <c r="D16" i="14"/>
  <c r="D17" i="14"/>
  <c r="D18" i="14"/>
  <c r="D19" i="14"/>
  <c r="D20" i="14"/>
  <c r="D21" i="14"/>
  <c r="D22" i="14"/>
  <c r="D23" i="14"/>
  <c r="D24" i="14"/>
  <c r="D25" i="14"/>
  <c r="D26" i="14"/>
  <c r="D27" i="14"/>
  <c r="D28" i="14"/>
  <c r="D29" i="14"/>
  <c r="D30" i="14"/>
  <c r="D31" i="14"/>
  <c r="D32" i="14"/>
  <c r="D33" i="14"/>
  <c r="D47" i="14"/>
  <c r="D48" i="14"/>
  <c r="D49" i="14"/>
  <c r="D50" i="14"/>
  <c r="D51" i="14"/>
  <c r="D52" i="14"/>
  <c r="D53" i="14"/>
  <c r="D54" i="14"/>
  <c r="D55" i="14"/>
  <c r="D56" i="14"/>
  <c r="D57" i="14"/>
  <c r="D58" i="14"/>
  <c r="D59" i="14"/>
  <c r="D60" i="14"/>
  <c r="D61" i="14"/>
  <c r="D62" i="14"/>
  <c r="D63" i="14"/>
  <c r="D74" i="14"/>
  <c r="D75" i="14"/>
  <c r="D76" i="14"/>
  <c r="D77" i="14"/>
  <c r="D78" i="14"/>
  <c r="D79" i="14"/>
  <c r="D80" i="14"/>
  <c r="D81" i="14"/>
  <c r="D82" i="14"/>
  <c r="D83" i="14"/>
  <c r="D84" i="14"/>
  <c r="D85" i="14"/>
  <c r="D86" i="14"/>
  <c r="D87" i="14"/>
  <c r="D88" i="14"/>
  <c r="D89" i="14"/>
  <c r="D90" i="14"/>
  <c r="D91" i="14"/>
  <c r="D92" i="14"/>
  <c r="D93" i="14"/>
  <c r="D94" i="14"/>
  <c r="D95" i="14"/>
  <c r="D96" i="14"/>
  <c r="D97" i="14"/>
  <c r="D99" i="14"/>
  <c r="D100" i="14"/>
  <c r="D101" i="14"/>
  <c r="D102" i="14"/>
  <c r="D103" i="14"/>
  <c r="D104" i="14"/>
  <c r="D105" i="14"/>
  <c r="D106" i="14"/>
  <c r="D107" i="14"/>
  <c r="D108" i="14"/>
  <c r="D109" i="14"/>
  <c r="D110" i="14"/>
  <c r="D111" i="14"/>
  <c r="D112" i="14"/>
  <c r="D113" i="14"/>
  <c r="D114" i="14"/>
  <c r="D115" i="14"/>
  <c r="D116" i="14"/>
  <c r="D117" i="14"/>
  <c r="D119" i="14"/>
  <c r="D120" i="14"/>
  <c r="D121" i="14"/>
  <c r="D122" i="14"/>
  <c r="D123" i="14"/>
  <c r="D124" i="14"/>
  <c r="D125" i="14"/>
  <c r="D126" i="14"/>
  <c r="D127" i="14"/>
  <c r="D128" i="14"/>
  <c r="D129" i="14"/>
  <c r="D130" i="14"/>
  <c r="D131" i="14"/>
  <c r="D132" i="14"/>
  <c r="D133" i="14"/>
  <c r="D134" i="14"/>
  <c r="D135" i="14"/>
  <c r="D136" i="14"/>
  <c r="D137" i="14"/>
  <c r="D138" i="14"/>
  <c r="D139" i="14"/>
  <c r="D140" i="14"/>
  <c r="D141" i="14"/>
  <c r="D142" i="14"/>
  <c r="D143" i="14"/>
  <c r="D144" i="14"/>
  <c r="D145" i="14"/>
  <c r="D146" i="14"/>
  <c r="D147" i="14"/>
  <c r="D148" i="14"/>
  <c r="D149" i="14"/>
  <c r="D150" i="14"/>
  <c r="D151" i="14"/>
  <c r="D152" i="14"/>
  <c r="D153" i="14"/>
  <c r="D154" i="14"/>
  <c r="D155" i="14"/>
  <c r="D156" i="14"/>
  <c r="D157" i="14"/>
  <c r="D158" i="14"/>
  <c r="D159" i="14"/>
  <c r="D160" i="14"/>
  <c r="D163" i="14"/>
  <c r="D164" i="14"/>
  <c r="D165" i="14"/>
  <c r="D166" i="14"/>
  <c r="D167" i="14"/>
  <c r="D174" i="14"/>
  <c r="D175" i="14"/>
  <c r="D176" i="14"/>
  <c r="D177" i="14"/>
  <c r="D178" i="14"/>
  <c r="D179" i="14"/>
  <c r="D180" i="14"/>
  <c r="D181" i="14"/>
  <c r="D182" i="14"/>
  <c r="D183" i="14"/>
  <c r="D184" i="14"/>
  <c r="D185" i="14"/>
  <c r="D186" i="14"/>
  <c r="D187" i="14"/>
  <c r="D188" i="14"/>
  <c r="D189" i="14"/>
  <c r="D190" i="14"/>
  <c r="D191" i="14"/>
  <c r="D192" i="14"/>
  <c r="D193" i="14"/>
  <c r="D194" i="14"/>
  <c r="D195" i="14"/>
  <c r="D196" i="14"/>
  <c r="D197" i="14"/>
  <c r="D198" i="14"/>
  <c r="D199" i="14"/>
  <c r="D200" i="14"/>
  <c r="D201" i="14"/>
  <c r="D202" i="14"/>
  <c r="D203" i="14"/>
  <c r="D4" i="14"/>
  <c r="F49" i="4" l="1"/>
  <c r="G49" i="4"/>
  <c r="S4" i="2"/>
  <c r="W199" i="2"/>
  <c r="W194" i="2"/>
  <c r="W189" i="2"/>
  <c r="W184" i="2"/>
  <c r="W179" i="2"/>
  <c r="W174" i="2"/>
  <c r="W169" i="2"/>
  <c r="W164" i="2"/>
  <c r="W159" i="2"/>
  <c r="W154" i="2"/>
  <c r="W149" i="2"/>
  <c r="W144" i="2"/>
  <c r="W139" i="2"/>
  <c r="W134" i="2"/>
  <c r="W129" i="2"/>
  <c r="W124" i="2"/>
  <c r="W119" i="2"/>
  <c r="W114" i="2"/>
  <c r="W109" i="2"/>
  <c r="W104" i="2"/>
  <c r="W99" i="2"/>
  <c r="W94" i="2"/>
  <c r="W89" i="2"/>
  <c r="W84" i="2"/>
  <c r="W79" i="2"/>
  <c r="W74" i="2"/>
  <c r="W69" i="2"/>
  <c r="W64" i="2"/>
  <c r="W59" i="2"/>
  <c r="W54" i="2"/>
  <c r="W49" i="2"/>
  <c r="W44" i="2"/>
  <c r="W34" i="2"/>
  <c r="W29" i="2"/>
  <c r="W24" i="2"/>
  <c r="W19" i="2"/>
  <c r="W39" i="2"/>
  <c r="W9" i="2"/>
  <c r="W14" i="2"/>
  <c r="W4" i="2"/>
  <c r="M137" i="2" a="1"/>
  <c r="M137" i="2" s="1"/>
  <c r="F179" i="4" l="1"/>
  <c r="M94" i="2" a="1"/>
  <c r="M94" i="2" s="1"/>
  <c r="P94" i="2"/>
  <c r="S9" i="2" l="1"/>
  <c r="S14" i="2"/>
  <c r="S19" i="2"/>
  <c r="S24" i="2"/>
  <c r="S29" i="2"/>
  <c r="S44" i="2"/>
  <c r="S49" i="2"/>
  <c r="S64" i="2"/>
  <c r="S69" i="2"/>
  <c r="S84" i="2"/>
  <c r="S89" i="2"/>
  <c r="S94" i="2"/>
  <c r="S99" i="2"/>
  <c r="S104" i="2"/>
  <c r="S109" i="2"/>
  <c r="S114" i="2"/>
  <c r="S119" i="2"/>
  <c r="S124" i="2"/>
  <c r="S134" i="2"/>
  <c r="S139" i="2"/>
  <c r="S144" i="2"/>
  <c r="S149" i="2"/>
  <c r="S154" i="2"/>
  <c r="S159" i="2"/>
  <c r="S164" i="2"/>
  <c r="S169" i="2"/>
  <c r="S184" i="2"/>
  <c r="S189" i="2"/>
  <c r="R20" i="10"/>
  <c r="R19" i="10"/>
  <c r="R18" i="10" l="1"/>
  <c r="R17" i="10"/>
  <c r="V199" i="2"/>
  <c r="U199" i="2"/>
  <c r="T199" i="2"/>
  <c r="R199" i="2"/>
  <c r="Q199" i="2"/>
  <c r="P199" i="2"/>
  <c r="V194" i="2"/>
  <c r="U194" i="2"/>
  <c r="T194" i="2"/>
  <c r="R194" i="2"/>
  <c r="Q194" i="2"/>
  <c r="P194" i="2"/>
  <c r="V189" i="2"/>
  <c r="U189" i="2"/>
  <c r="T189" i="2"/>
  <c r="R189" i="2"/>
  <c r="Q189" i="2"/>
  <c r="P189" i="2"/>
  <c r="V184" i="2"/>
  <c r="U184" i="2"/>
  <c r="T184" i="2"/>
  <c r="R184" i="2"/>
  <c r="Q184" i="2"/>
  <c r="P184" i="2"/>
  <c r="V179" i="2"/>
  <c r="U179" i="2"/>
  <c r="T179" i="2"/>
  <c r="R179" i="2"/>
  <c r="Q179" i="2"/>
  <c r="P179" i="2"/>
  <c r="V174" i="2"/>
  <c r="U174" i="2"/>
  <c r="T174" i="2"/>
  <c r="R174" i="2"/>
  <c r="Q174" i="2"/>
  <c r="P174" i="2"/>
  <c r="V169" i="2"/>
  <c r="U169" i="2"/>
  <c r="T169" i="2"/>
  <c r="R169" i="2"/>
  <c r="Q169" i="2"/>
  <c r="P169" i="2"/>
  <c r="V164" i="2"/>
  <c r="U164" i="2"/>
  <c r="T164" i="2"/>
  <c r="R164" i="2"/>
  <c r="Q164" i="2"/>
  <c r="P164" i="2"/>
  <c r="V159" i="2"/>
  <c r="U159" i="2"/>
  <c r="T159" i="2"/>
  <c r="R159" i="2"/>
  <c r="Q159" i="2"/>
  <c r="P159" i="2"/>
  <c r="V154" i="2"/>
  <c r="U154" i="2"/>
  <c r="T154" i="2"/>
  <c r="R154" i="2"/>
  <c r="Q154" i="2"/>
  <c r="P154" i="2"/>
  <c r="V149" i="2"/>
  <c r="U149" i="2"/>
  <c r="T149" i="2"/>
  <c r="R149" i="2"/>
  <c r="Q149" i="2"/>
  <c r="P149" i="2"/>
  <c r="V144" i="2"/>
  <c r="U144" i="2"/>
  <c r="T144" i="2"/>
  <c r="R144" i="2"/>
  <c r="Q144" i="2"/>
  <c r="P144" i="2"/>
  <c r="V139" i="2"/>
  <c r="U139" i="2"/>
  <c r="T139" i="2"/>
  <c r="R139" i="2"/>
  <c r="Q139" i="2"/>
  <c r="P139" i="2"/>
  <c r="V134" i="2"/>
  <c r="U134" i="2"/>
  <c r="T134" i="2"/>
  <c r="R134" i="2"/>
  <c r="Q134" i="2"/>
  <c r="P134" i="2"/>
  <c r="V129" i="2"/>
  <c r="U129" i="2"/>
  <c r="T129" i="2"/>
  <c r="R129" i="2"/>
  <c r="Q129" i="2"/>
  <c r="P129" i="2"/>
  <c r="V124" i="2"/>
  <c r="U124" i="2"/>
  <c r="T124" i="2"/>
  <c r="R124" i="2"/>
  <c r="Q124" i="2"/>
  <c r="P124" i="2"/>
  <c r="V119" i="2"/>
  <c r="U119" i="2"/>
  <c r="T119" i="2"/>
  <c r="R119" i="2"/>
  <c r="Q119" i="2"/>
  <c r="P119" i="2"/>
  <c r="V114" i="2"/>
  <c r="U114" i="2"/>
  <c r="T114" i="2"/>
  <c r="R114" i="2"/>
  <c r="Q114" i="2"/>
  <c r="P114" i="2"/>
  <c r="V109" i="2"/>
  <c r="U109" i="2"/>
  <c r="T109" i="2"/>
  <c r="R109" i="2"/>
  <c r="Q109" i="2"/>
  <c r="P109" i="2"/>
  <c r="V104" i="2"/>
  <c r="U104" i="2"/>
  <c r="T104" i="2"/>
  <c r="R104" i="2"/>
  <c r="Q104" i="2"/>
  <c r="P104" i="2"/>
  <c r="V99" i="2"/>
  <c r="U99" i="2"/>
  <c r="T99" i="2"/>
  <c r="R99" i="2"/>
  <c r="Q99" i="2"/>
  <c r="P99" i="2"/>
  <c r="V94" i="2"/>
  <c r="U94" i="2"/>
  <c r="T94" i="2"/>
  <c r="R94" i="2"/>
  <c r="Q94" i="2"/>
  <c r="V89" i="2"/>
  <c r="U89" i="2"/>
  <c r="T89" i="2"/>
  <c r="R89" i="2"/>
  <c r="Q89" i="2"/>
  <c r="P89" i="2"/>
  <c r="V84" i="2"/>
  <c r="U84" i="2"/>
  <c r="T84" i="2"/>
  <c r="R84" i="2"/>
  <c r="Q84" i="2"/>
  <c r="P84" i="2"/>
  <c r="V79" i="2"/>
  <c r="U79" i="2"/>
  <c r="T79" i="2"/>
  <c r="R79" i="2"/>
  <c r="Q79" i="2"/>
  <c r="P79" i="2"/>
  <c r="V74" i="2"/>
  <c r="U74" i="2"/>
  <c r="T74" i="2"/>
  <c r="R74" i="2"/>
  <c r="Q74" i="2"/>
  <c r="P74" i="2"/>
  <c r="V69" i="2"/>
  <c r="U69" i="2"/>
  <c r="T69" i="2"/>
  <c r="R69" i="2"/>
  <c r="Q69" i="2"/>
  <c r="P69" i="2"/>
  <c r="V64" i="2"/>
  <c r="U64" i="2"/>
  <c r="T64" i="2"/>
  <c r="R64" i="2"/>
  <c r="Q64" i="2"/>
  <c r="P64" i="2"/>
  <c r="V59" i="2"/>
  <c r="U59" i="2"/>
  <c r="T59" i="2"/>
  <c r="R59" i="2"/>
  <c r="Q59" i="2"/>
  <c r="P59" i="2"/>
  <c r="V54" i="2"/>
  <c r="U54" i="2"/>
  <c r="T54" i="2"/>
  <c r="R54" i="2"/>
  <c r="Q54" i="2"/>
  <c r="P54" i="2"/>
  <c r="V49" i="2"/>
  <c r="U49" i="2"/>
  <c r="T49" i="2"/>
  <c r="R49" i="2"/>
  <c r="Q49" i="2"/>
  <c r="P49" i="2"/>
  <c r="V44" i="2"/>
  <c r="U44" i="2"/>
  <c r="T44" i="2"/>
  <c r="R44" i="2"/>
  <c r="Q44" i="2"/>
  <c r="P44" i="2"/>
  <c r="V39" i="2"/>
  <c r="U39" i="2"/>
  <c r="T39" i="2"/>
  <c r="R39" i="2"/>
  <c r="Q39" i="2"/>
  <c r="P39" i="2"/>
  <c r="V34" i="2"/>
  <c r="U34" i="2"/>
  <c r="T34" i="2"/>
  <c r="R34" i="2"/>
  <c r="Q34" i="2"/>
  <c r="P34" i="2"/>
  <c r="V29" i="2"/>
  <c r="U29" i="2"/>
  <c r="T29" i="2"/>
  <c r="R29" i="2"/>
  <c r="Q29" i="2"/>
  <c r="P29" i="2"/>
  <c r="V24" i="2"/>
  <c r="U24" i="2"/>
  <c r="T24" i="2"/>
  <c r="R24" i="2"/>
  <c r="Q24" i="2"/>
  <c r="P24" i="2"/>
  <c r="V19" i="2"/>
  <c r="U19" i="2"/>
  <c r="T19" i="2"/>
  <c r="R19" i="2"/>
  <c r="Q19" i="2"/>
  <c r="P19" i="2"/>
  <c r="V14" i="2"/>
  <c r="U14" i="2"/>
  <c r="T14" i="2"/>
  <c r="R14" i="2"/>
  <c r="Q14" i="2"/>
  <c r="P14" i="2"/>
  <c r="V9" i="2"/>
  <c r="U9" i="2"/>
  <c r="T9" i="2"/>
  <c r="Q9" i="2"/>
  <c r="P9" i="2"/>
  <c r="U4" i="2"/>
  <c r="V4" i="2"/>
  <c r="Q4" i="2"/>
  <c r="R4" i="2"/>
  <c r="Q43" i="10" l="1"/>
  <c r="Q42" i="10"/>
  <c r="M194" i="2" a="1"/>
  <c r="M194" i="2" s="1"/>
  <c r="Q46" i="10" l="1"/>
  <c r="Q44" i="10"/>
  <c r="Q47" i="10"/>
  <c r="Q45" i="10"/>
  <c r="Y45" i="10" s="1"/>
  <c r="A10" i="10"/>
  <c r="A6" i="10"/>
  <c r="A38" i="4"/>
  <c r="G79" i="4"/>
  <c r="F79" i="4"/>
  <c r="G74" i="4"/>
  <c r="F74" i="4"/>
  <c r="G69" i="4"/>
  <c r="F69" i="4"/>
  <c r="G64" i="4"/>
  <c r="F64" i="4"/>
  <c r="G99" i="4"/>
  <c r="F99" i="4"/>
  <c r="G94" i="4"/>
  <c r="F94" i="4"/>
  <c r="G199" i="4"/>
  <c r="F199" i="4"/>
  <c r="G194" i="4"/>
  <c r="F194" i="4"/>
  <c r="G189" i="4"/>
  <c r="F189" i="4"/>
  <c r="G184" i="4"/>
  <c r="F184" i="4"/>
  <c r="G139" i="4"/>
  <c r="F139" i="4"/>
  <c r="G134" i="4"/>
  <c r="F134" i="4"/>
  <c r="G149" i="4"/>
  <c r="F149" i="4"/>
  <c r="G144" i="4"/>
  <c r="F144" i="4"/>
  <c r="G39" i="4"/>
  <c r="F39" i="4"/>
  <c r="G34" i="4"/>
  <c r="F34" i="4"/>
  <c r="G19" i="4"/>
  <c r="F19" i="4"/>
  <c r="G14" i="4"/>
  <c r="F14" i="4"/>
  <c r="G119" i="4"/>
  <c r="F119" i="4"/>
  <c r="G114" i="4"/>
  <c r="F114" i="4"/>
  <c r="G29" i="4"/>
  <c r="F29" i="4"/>
  <c r="G24" i="4"/>
  <c r="F24" i="4"/>
  <c r="G109" i="4"/>
  <c r="F109" i="4"/>
  <c r="G104" i="4"/>
  <c r="F104" i="4"/>
  <c r="G44" i="4"/>
  <c r="F44" i="4"/>
  <c r="G169" i="4"/>
  <c r="G164" i="4"/>
  <c r="G129" i="4"/>
  <c r="F129" i="4"/>
  <c r="G124" i="4"/>
  <c r="F124" i="4"/>
  <c r="G59" i="4"/>
  <c r="F59" i="4"/>
  <c r="G54" i="4"/>
  <c r="F54" i="4"/>
  <c r="G9" i="4"/>
  <c r="F9" i="4"/>
  <c r="G4" i="4"/>
  <c r="F4" i="4"/>
  <c r="G154" i="4"/>
  <c r="F154" i="4"/>
  <c r="G159" i="4"/>
  <c r="F159" i="4"/>
  <c r="G179" i="4"/>
  <c r="G174" i="4"/>
  <c r="F174" i="4"/>
  <c r="G84" i="4"/>
  <c r="F84" i="4"/>
  <c r="G89" i="4"/>
  <c r="F89" i="4"/>
  <c r="T44" i="10" l="1"/>
  <c r="Y44" i="10"/>
  <c r="R44" i="10"/>
  <c r="Z44" i="10"/>
  <c r="X44" i="10"/>
  <c r="V44" i="10"/>
  <c r="AB44" i="10"/>
  <c r="AA44" i="10"/>
  <c r="U44" i="10"/>
  <c r="W44" i="10"/>
  <c r="S44" i="10"/>
  <c r="R45" i="10"/>
  <c r="T45" i="10"/>
  <c r="X45" i="10"/>
  <c r="S45" i="10"/>
  <c r="V45" i="10"/>
  <c r="AA45" i="10"/>
  <c r="AB45" i="10"/>
  <c r="Z45" i="10"/>
  <c r="U45" i="10"/>
  <c r="W45" i="10"/>
  <c r="A85" i="4"/>
  <c r="A86" i="4"/>
  <c r="A87" i="4"/>
  <c r="A88" i="4"/>
  <c r="A89" i="4"/>
  <c r="A90" i="4"/>
  <c r="A91" i="4"/>
  <c r="A92" i="4"/>
  <c r="A93" i="4"/>
  <c r="A174" i="4"/>
  <c r="X174" i="4" s="1"/>
  <c r="A175" i="4"/>
  <c r="A176" i="4"/>
  <c r="A177" i="4"/>
  <c r="A178" i="4"/>
  <c r="A179" i="4"/>
  <c r="A180" i="4"/>
  <c r="A181" i="4"/>
  <c r="A182" i="4"/>
  <c r="X182" i="4" s="1"/>
  <c r="A183" i="4"/>
  <c r="A159" i="4"/>
  <c r="A160" i="4"/>
  <c r="A161" i="4"/>
  <c r="A162" i="4"/>
  <c r="A163" i="4"/>
  <c r="A154" i="4"/>
  <c r="A155" i="4"/>
  <c r="X155" i="4" s="1"/>
  <c r="A156" i="4"/>
  <c r="A157" i="4"/>
  <c r="A158" i="4"/>
  <c r="A4" i="4"/>
  <c r="A5" i="4"/>
  <c r="X5" i="4" s="1"/>
  <c r="A6" i="4"/>
  <c r="A7" i="4"/>
  <c r="X7" i="4" s="1"/>
  <c r="A8" i="4"/>
  <c r="X8" i="4" s="1"/>
  <c r="A9" i="4"/>
  <c r="X9" i="4" s="1"/>
  <c r="A10" i="4"/>
  <c r="X10" i="4" s="1"/>
  <c r="A11" i="4"/>
  <c r="X11" i="4" s="1"/>
  <c r="A12" i="4"/>
  <c r="X12" i="4" s="1"/>
  <c r="A13" i="4"/>
  <c r="X13" i="4" s="1"/>
  <c r="A54" i="4"/>
  <c r="A55" i="4"/>
  <c r="A56" i="4"/>
  <c r="X56" i="4" s="1"/>
  <c r="A57" i="4"/>
  <c r="A58" i="4"/>
  <c r="X58" i="4" s="1"/>
  <c r="A59" i="4"/>
  <c r="A60" i="4"/>
  <c r="A61" i="4"/>
  <c r="A62" i="4"/>
  <c r="A63" i="4"/>
  <c r="A124" i="4"/>
  <c r="X124" i="4" s="1"/>
  <c r="A125" i="4"/>
  <c r="A126" i="4"/>
  <c r="A127" i="4"/>
  <c r="A128" i="4"/>
  <c r="X128" i="4" s="1"/>
  <c r="A129" i="4"/>
  <c r="A130" i="4"/>
  <c r="A131" i="4"/>
  <c r="A132" i="4"/>
  <c r="X132" i="4" s="1"/>
  <c r="A133" i="4"/>
  <c r="A164" i="4"/>
  <c r="A165" i="4"/>
  <c r="A166" i="4"/>
  <c r="A167" i="4"/>
  <c r="A168" i="4"/>
  <c r="A169" i="4"/>
  <c r="A170" i="4"/>
  <c r="X170" i="4" s="1"/>
  <c r="A171" i="4"/>
  <c r="A172" i="4"/>
  <c r="A173" i="4"/>
  <c r="A44" i="4"/>
  <c r="X44" i="4" s="1"/>
  <c r="A45" i="4"/>
  <c r="X45" i="4" s="1"/>
  <c r="A46" i="4"/>
  <c r="A47" i="4"/>
  <c r="X47" i="4" s="1"/>
  <c r="A48" i="4"/>
  <c r="X48" i="4" s="1"/>
  <c r="A49" i="4"/>
  <c r="X49" i="4" s="1"/>
  <c r="A50" i="4"/>
  <c r="X50" i="4" s="1"/>
  <c r="A51" i="4"/>
  <c r="X51" i="4" s="1"/>
  <c r="A52" i="4"/>
  <c r="X52" i="4" s="1"/>
  <c r="A53" i="4"/>
  <c r="X53" i="4" s="1"/>
  <c r="A104" i="4"/>
  <c r="A105" i="4"/>
  <c r="A106" i="4"/>
  <c r="X106" i="4" s="1"/>
  <c r="A107" i="4"/>
  <c r="A108" i="4"/>
  <c r="X108" i="4" s="1"/>
  <c r="A109" i="4"/>
  <c r="A110" i="4"/>
  <c r="A111" i="4"/>
  <c r="A112" i="4"/>
  <c r="A113" i="4"/>
  <c r="A24" i="4"/>
  <c r="X24" i="4" s="1"/>
  <c r="A25" i="4"/>
  <c r="X25" i="4" s="1"/>
  <c r="A26" i="4"/>
  <c r="X26" i="4" s="1"/>
  <c r="A27" i="4"/>
  <c r="X27" i="4" s="1"/>
  <c r="A28" i="4"/>
  <c r="X28" i="4" s="1"/>
  <c r="A29" i="4"/>
  <c r="X29" i="4" s="1"/>
  <c r="A30" i="4"/>
  <c r="A31" i="4"/>
  <c r="X31" i="4" s="1"/>
  <c r="A32" i="4"/>
  <c r="X32" i="4" s="1"/>
  <c r="A33" i="4"/>
  <c r="X33" i="4" s="1"/>
  <c r="A114" i="4"/>
  <c r="X114" i="4" s="1"/>
  <c r="A115" i="4"/>
  <c r="A116" i="4"/>
  <c r="X116" i="4" s="1"/>
  <c r="A117" i="4"/>
  <c r="A118" i="4"/>
  <c r="A119" i="4"/>
  <c r="A120" i="4"/>
  <c r="X120" i="4" s="1"/>
  <c r="A121" i="4"/>
  <c r="A122" i="4"/>
  <c r="X122" i="4" s="1"/>
  <c r="A123" i="4"/>
  <c r="A14" i="4"/>
  <c r="A15" i="4"/>
  <c r="X15" i="4" s="1"/>
  <c r="A16" i="4"/>
  <c r="X16" i="4" s="1"/>
  <c r="A17" i="4"/>
  <c r="X17" i="4" s="1"/>
  <c r="A18" i="4"/>
  <c r="X18" i="4" s="1"/>
  <c r="A19" i="4"/>
  <c r="X19" i="4" s="1"/>
  <c r="A20" i="4"/>
  <c r="X20" i="4" s="1"/>
  <c r="A21" i="4"/>
  <c r="X21" i="4" s="1"/>
  <c r="A22" i="4"/>
  <c r="A23" i="4"/>
  <c r="X23" i="4" s="1"/>
  <c r="A34" i="4"/>
  <c r="X34" i="4" s="1"/>
  <c r="A35" i="4"/>
  <c r="X35" i="4" s="1"/>
  <c r="A36" i="4"/>
  <c r="X36" i="4" s="1"/>
  <c r="A37" i="4"/>
  <c r="X37" i="4" s="1"/>
  <c r="A39" i="4"/>
  <c r="X39" i="4" s="1"/>
  <c r="A40" i="4"/>
  <c r="X40" i="4" s="1"/>
  <c r="A41" i="4"/>
  <c r="X41" i="4" s="1"/>
  <c r="A42" i="4"/>
  <c r="X42" i="4" s="1"/>
  <c r="A43" i="4"/>
  <c r="X43" i="4" s="1"/>
  <c r="A144" i="4"/>
  <c r="A145" i="4"/>
  <c r="X145" i="4" s="1"/>
  <c r="A146" i="4"/>
  <c r="A147" i="4"/>
  <c r="X147" i="4" s="1"/>
  <c r="A148" i="4"/>
  <c r="A149" i="4"/>
  <c r="A150" i="4"/>
  <c r="A151" i="4"/>
  <c r="A152" i="4"/>
  <c r="A153" i="4"/>
  <c r="X153" i="4" s="1"/>
  <c r="A134" i="4"/>
  <c r="X134" i="4" s="1"/>
  <c r="A135" i="4"/>
  <c r="A136" i="4"/>
  <c r="X136" i="4" s="1"/>
  <c r="A137" i="4"/>
  <c r="A138" i="4"/>
  <c r="X138" i="4" s="1"/>
  <c r="A139" i="4"/>
  <c r="X139" i="4" s="1"/>
  <c r="A140" i="4"/>
  <c r="X140" i="4" s="1"/>
  <c r="A141" i="4"/>
  <c r="X141" i="4" s="1"/>
  <c r="A142" i="4"/>
  <c r="X142" i="4" s="1"/>
  <c r="A143" i="4"/>
  <c r="A184" i="4"/>
  <c r="A185" i="4"/>
  <c r="A186" i="4"/>
  <c r="A187" i="4"/>
  <c r="A188" i="4"/>
  <c r="A189" i="4"/>
  <c r="X189" i="4" s="1"/>
  <c r="A190" i="4"/>
  <c r="A191" i="4"/>
  <c r="A192" i="4"/>
  <c r="A193" i="4"/>
  <c r="A194" i="4"/>
  <c r="A195" i="4"/>
  <c r="A196" i="4"/>
  <c r="A197" i="4"/>
  <c r="X197" i="4" s="1"/>
  <c r="A198" i="4"/>
  <c r="A199" i="4"/>
  <c r="A200" i="4"/>
  <c r="A201" i="4"/>
  <c r="A202" i="4"/>
  <c r="A203" i="4"/>
  <c r="A94" i="4"/>
  <c r="A95" i="4"/>
  <c r="X95" i="4" s="1"/>
  <c r="A96" i="4"/>
  <c r="X96" i="4" s="1"/>
  <c r="A97" i="4"/>
  <c r="X97" i="4" s="1"/>
  <c r="A98" i="4"/>
  <c r="X98" i="4" s="1"/>
  <c r="A99" i="4"/>
  <c r="X99" i="4" s="1"/>
  <c r="A100" i="4"/>
  <c r="X100" i="4" s="1"/>
  <c r="A101" i="4"/>
  <c r="X101" i="4" s="1"/>
  <c r="A102" i="4"/>
  <c r="A103" i="4"/>
  <c r="X103" i="4" s="1"/>
  <c r="A64" i="4"/>
  <c r="X64" i="4" s="1"/>
  <c r="A65" i="4"/>
  <c r="X65" i="4" s="1"/>
  <c r="A66" i="4"/>
  <c r="X66" i="4" s="1"/>
  <c r="A67" i="4"/>
  <c r="X67" i="4" s="1"/>
  <c r="A68" i="4"/>
  <c r="X68" i="4" s="1"/>
  <c r="A69" i="4"/>
  <c r="X69" i="4" s="1"/>
  <c r="A70" i="4"/>
  <c r="A71" i="4"/>
  <c r="X71" i="4" s="1"/>
  <c r="A72" i="4"/>
  <c r="X72" i="4" s="1"/>
  <c r="A73" i="4"/>
  <c r="X73" i="4" s="1"/>
  <c r="A74" i="4"/>
  <c r="X74" i="4" s="1"/>
  <c r="A75" i="4"/>
  <c r="X75" i="4" s="1"/>
  <c r="A76" i="4"/>
  <c r="X76" i="4" s="1"/>
  <c r="A77" i="4"/>
  <c r="X77" i="4" s="1"/>
  <c r="A78" i="4"/>
  <c r="A79" i="4"/>
  <c r="X79" i="4" s="1"/>
  <c r="A80" i="4"/>
  <c r="X80" i="4" s="1"/>
  <c r="A81" i="4"/>
  <c r="X81" i="4" s="1"/>
  <c r="A82" i="4"/>
  <c r="X82" i="4" s="1"/>
  <c r="A83" i="4"/>
  <c r="X83" i="4" s="1"/>
  <c r="A84" i="4"/>
  <c r="X84" i="4" s="1"/>
  <c r="A21" i="6"/>
  <c r="A38" i="6"/>
  <c r="A39" i="6"/>
  <c r="A34" i="6"/>
  <c r="A35" i="6"/>
  <c r="A4" i="6"/>
  <c r="A5" i="6"/>
  <c r="A14" i="6"/>
  <c r="A15" i="6"/>
  <c r="A28" i="6"/>
  <c r="A29" i="6"/>
  <c r="A36" i="6"/>
  <c r="A37" i="6"/>
  <c r="A12" i="6"/>
  <c r="A13" i="6"/>
  <c r="A24" i="6"/>
  <c r="A25" i="6"/>
  <c r="A8" i="6"/>
  <c r="A9" i="6"/>
  <c r="A26" i="6"/>
  <c r="A27" i="6"/>
  <c r="A6" i="6"/>
  <c r="A7" i="6"/>
  <c r="A10" i="6"/>
  <c r="A11" i="6"/>
  <c r="A32" i="6"/>
  <c r="A33" i="6"/>
  <c r="A30" i="6"/>
  <c r="A31" i="6"/>
  <c r="A40" i="6"/>
  <c r="A41" i="6"/>
  <c r="A42" i="6"/>
  <c r="A43" i="6"/>
  <c r="A22" i="6"/>
  <c r="A23" i="6"/>
  <c r="A16" i="6"/>
  <c r="A17" i="6"/>
  <c r="A18" i="6"/>
  <c r="A19" i="6"/>
  <c r="A20" i="6"/>
  <c r="A174" i="2"/>
  <c r="A175" i="2"/>
  <c r="A176" i="2"/>
  <c r="A177" i="2"/>
  <c r="A178" i="2"/>
  <c r="A179" i="2"/>
  <c r="A180" i="2"/>
  <c r="A181" i="2"/>
  <c r="A182" i="2"/>
  <c r="A183" i="2"/>
  <c r="A154" i="2"/>
  <c r="A155" i="2"/>
  <c r="A156" i="2"/>
  <c r="A157" i="2"/>
  <c r="A158" i="2"/>
  <c r="A159" i="2"/>
  <c r="A160" i="2"/>
  <c r="A161" i="2"/>
  <c r="A162" i="2"/>
  <c r="A163" i="2"/>
  <c r="A4" i="2"/>
  <c r="A5" i="2"/>
  <c r="A6" i="2"/>
  <c r="A7" i="2"/>
  <c r="A8" i="2"/>
  <c r="A9" i="2"/>
  <c r="A10" i="2"/>
  <c r="A11" i="2"/>
  <c r="A12" i="2"/>
  <c r="A13" i="2"/>
  <c r="A54" i="2"/>
  <c r="A55" i="2"/>
  <c r="A56" i="2"/>
  <c r="A57" i="2"/>
  <c r="A58" i="2"/>
  <c r="A59" i="2"/>
  <c r="A60" i="2"/>
  <c r="A61" i="2"/>
  <c r="A62" i="2"/>
  <c r="A63" i="2"/>
  <c r="A124" i="2"/>
  <c r="A125" i="2"/>
  <c r="A126" i="2"/>
  <c r="A127" i="2"/>
  <c r="A128" i="2"/>
  <c r="A129" i="2"/>
  <c r="A130" i="2"/>
  <c r="A131" i="2"/>
  <c r="A132" i="2"/>
  <c r="A133" i="2"/>
  <c r="A164" i="2"/>
  <c r="A165" i="2"/>
  <c r="A166" i="2"/>
  <c r="A167" i="2"/>
  <c r="A168" i="2"/>
  <c r="A169" i="2"/>
  <c r="A170" i="2"/>
  <c r="A171" i="2"/>
  <c r="A172" i="2"/>
  <c r="A173" i="2"/>
  <c r="A44" i="2"/>
  <c r="A45" i="2"/>
  <c r="A46" i="2"/>
  <c r="A47" i="2"/>
  <c r="A48" i="2"/>
  <c r="A49" i="2"/>
  <c r="A50" i="2"/>
  <c r="A51" i="2"/>
  <c r="A52" i="2"/>
  <c r="A53" i="2"/>
  <c r="A104" i="2"/>
  <c r="A105" i="2"/>
  <c r="A106" i="2"/>
  <c r="A107" i="2"/>
  <c r="A108" i="2"/>
  <c r="A109" i="2"/>
  <c r="A110" i="2"/>
  <c r="A111" i="2"/>
  <c r="A112" i="2"/>
  <c r="A113" i="2"/>
  <c r="A24" i="2"/>
  <c r="A25" i="2"/>
  <c r="A26" i="2"/>
  <c r="A27" i="2"/>
  <c r="A28" i="2"/>
  <c r="A29" i="2"/>
  <c r="A30" i="2"/>
  <c r="A31" i="2"/>
  <c r="A32" i="2"/>
  <c r="A33" i="2"/>
  <c r="A114" i="2"/>
  <c r="A115" i="2"/>
  <c r="A116" i="2"/>
  <c r="A117" i="2"/>
  <c r="A118" i="2"/>
  <c r="A119" i="2"/>
  <c r="A120" i="2"/>
  <c r="A121" i="2"/>
  <c r="A122" i="2"/>
  <c r="A123" i="2"/>
  <c r="A14" i="2"/>
  <c r="A15" i="2"/>
  <c r="A16" i="2"/>
  <c r="A17" i="2"/>
  <c r="A18" i="2"/>
  <c r="A19" i="2"/>
  <c r="A20" i="2"/>
  <c r="A21" i="2"/>
  <c r="A22" i="2"/>
  <c r="A23" i="2"/>
  <c r="A34" i="2"/>
  <c r="A35" i="2"/>
  <c r="A36" i="2"/>
  <c r="A37" i="2"/>
  <c r="A42" i="2"/>
  <c r="A38" i="2"/>
  <c r="A39" i="2"/>
  <c r="A40" i="2"/>
  <c r="A41" i="2"/>
  <c r="A43" i="2"/>
  <c r="A144" i="2"/>
  <c r="A145" i="2"/>
  <c r="A146" i="2"/>
  <c r="A147" i="2"/>
  <c r="A148" i="2"/>
  <c r="A149" i="2"/>
  <c r="A150" i="2"/>
  <c r="A151" i="2"/>
  <c r="A152" i="2"/>
  <c r="A153" i="2"/>
  <c r="A134" i="2"/>
  <c r="A135" i="2"/>
  <c r="A136" i="2"/>
  <c r="A137" i="2"/>
  <c r="A138" i="2"/>
  <c r="A139" i="2"/>
  <c r="A140" i="2"/>
  <c r="A141" i="2"/>
  <c r="A142" i="2"/>
  <c r="A143" i="2"/>
  <c r="A184" i="2"/>
  <c r="A185" i="2"/>
  <c r="A186" i="2"/>
  <c r="A187" i="2"/>
  <c r="A188" i="2"/>
  <c r="A189" i="2"/>
  <c r="A190" i="2"/>
  <c r="A191" i="2"/>
  <c r="A192" i="2"/>
  <c r="A193" i="2"/>
  <c r="A194" i="2"/>
  <c r="A195" i="2"/>
  <c r="A196" i="2"/>
  <c r="A197" i="2"/>
  <c r="A198" i="2"/>
  <c r="A199" i="2"/>
  <c r="A200" i="2"/>
  <c r="A201" i="2"/>
  <c r="A202" i="2"/>
  <c r="A203" i="2"/>
  <c r="A94" i="2"/>
  <c r="A95" i="2"/>
  <c r="A96" i="2"/>
  <c r="A97" i="2"/>
  <c r="A98" i="2"/>
  <c r="A99" i="2"/>
  <c r="A100" i="2"/>
  <c r="A101" i="2"/>
  <c r="A102" i="2"/>
  <c r="A103" i="2"/>
  <c r="A64" i="2"/>
  <c r="A65" i="2"/>
  <c r="A66" i="2"/>
  <c r="A67" i="2"/>
  <c r="A68" i="2"/>
  <c r="A69" i="2"/>
  <c r="A70" i="2"/>
  <c r="A71" i="2"/>
  <c r="A72" i="2"/>
  <c r="A73" i="2"/>
  <c r="A74" i="2"/>
  <c r="A75" i="2"/>
  <c r="A76" i="2"/>
  <c r="A77" i="2"/>
  <c r="A78" i="2"/>
  <c r="A79" i="2"/>
  <c r="A80" i="2"/>
  <c r="A81" i="2"/>
  <c r="A82" i="2"/>
  <c r="A83" i="2"/>
  <c r="A85" i="2"/>
  <c r="A86" i="2"/>
  <c r="A87" i="2"/>
  <c r="A88" i="2"/>
  <c r="A89" i="2"/>
  <c r="A90" i="2"/>
  <c r="A91" i="2"/>
  <c r="A92" i="2"/>
  <c r="A93" i="2"/>
  <c r="A84" i="2"/>
  <c r="X199" i="4" l="1"/>
  <c r="X191" i="4"/>
  <c r="X143" i="4"/>
  <c r="X135" i="4"/>
  <c r="X172" i="4"/>
  <c r="X164" i="4"/>
  <c r="X126" i="4"/>
  <c r="X157" i="4"/>
  <c r="X159" i="4"/>
  <c r="X176" i="4"/>
  <c r="X88" i="4"/>
  <c r="X86" i="4"/>
  <c r="X198" i="4"/>
  <c r="X190" i="4"/>
  <c r="X146" i="4"/>
  <c r="X121" i="4"/>
  <c r="X107" i="4"/>
  <c r="X171" i="4"/>
  <c r="X133" i="4"/>
  <c r="X125" i="4"/>
  <c r="X57" i="4"/>
  <c r="X156" i="4"/>
  <c r="X183" i="4"/>
  <c r="X175" i="4"/>
  <c r="X87" i="4"/>
  <c r="X78" i="4"/>
  <c r="X70" i="4"/>
  <c r="X102" i="4"/>
  <c r="X94" i="4"/>
  <c r="X196" i="4"/>
  <c r="X188" i="4"/>
  <c r="X152" i="4"/>
  <c r="X144" i="4"/>
  <c r="X119" i="4"/>
  <c r="X113" i="4"/>
  <c r="X105" i="4"/>
  <c r="X169" i="4"/>
  <c r="X131" i="4"/>
  <c r="X63" i="4"/>
  <c r="X55" i="4"/>
  <c r="X154" i="4"/>
  <c r="X181" i="4"/>
  <c r="X93" i="4"/>
  <c r="X85" i="4"/>
  <c r="X203" i="4"/>
  <c r="X195" i="4"/>
  <c r="X187" i="4"/>
  <c r="X151" i="4"/>
  <c r="X118" i="4"/>
  <c r="X30" i="4"/>
  <c r="X112" i="4"/>
  <c r="X104" i="4"/>
  <c r="X46" i="4"/>
  <c r="X168" i="4"/>
  <c r="X130" i="4"/>
  <c r="X62" i="4"/>
  <c r="X54" i="4"/>
  <c r="X6" i="4"/>
  <c r="X163" i="4"/>
  <c r="X180" i="4"/>
  <c r="X92" i="4"/>
  <c r="X202" i="4"/>
  <c r="X194" i="4"/>
  <c r="X186" i="4"/>
  <c r="X150" i="4"/>
  <c r="X117" i="4"/>
  <c r="X111" i="4"/>
  <c r="X167" i="4"/>
  <c r="X129" i="4"/>
  <c r="X61" i="4"/>
  <c r="X162" i="4"/>
  <c r="X179" i="4"/>
  <c r="X91" i="4"/>
  <c r="X201" i="4"/>
  <c r="X193" i="4"/>
  <c r="X185" i="4"/>
  <c r="X137" i="4"/>
  <c r="X149" i="4"/>
  <c r="X22" i="4"/>
  <c r="X14" i="4"/>
  <c r="X110" i="4"/>
  <c r="X166" i="4"/>
  <c r="X60" i="4"/>
  <c r="X161" i="4"/>
  <c r="X178" i="4"/>
  <c r="X90" i="4"/>
  <c r="X200" i="4"/>
  <c r="X192" i="4"/>
  <c r="X184" i="4"/>
  <c r="X148" i="4"/>
  <c r="X123" i="4"/>
  <c r="X115" i="4"/>
  <c r="X109" i="4"/>
  <c r="X173" i="4"/>
  <c r="X165" i="4"/>
  <c r="X127" i="4"/>
  <c r="X59" i="4"/>
  <c r="X158" i="4"/>
  <c r="X160" i="4"/>
  <c r="X177" i="4"/>
  <c r="X89" i="4"/>
  <c r="X38" i="4"/>
  <c r="J4" i="3"/>
  <c r="R4" i="3"/>
  <c r="K5" i="3"/>
  <c r="S5" i="3"/>
  <c r="K6" i="3"/>
  <c r="S6" i="3"/>
  <c r="L7" i="3"/>
  <c r="T7" i="3"/>
  <c r="M8" i="3"/>
  <c r="U8" i="3"/>
  <c r="N9" i="3"/>
  <c r="O10" i="3"/>
  <c r="P11" i="3"/>
  <c r="R12" i="3"/>
  <c r="T13" i="3"/>
  <c r="O14" i="3"/>
  <c r="P15" i="3"/>
  <c r="Q16" i="3"/>
  <c r="J17" i="3"/>
  <c r="R17" i="3"/>
  <c r="K18" i="3"/>
  <c r="S18" i="3"/>
  <c r="L19" i="3"/>
  <c r="T19" i="3"/>
  <c r="Q20" i="3"/>
  <c r="T22" i="3"/>
  <c r="K24" i="3"/>
  <c r="T24" i="3"/>
  <c r="M25" i="3"/>
  <c r="U25" i="3"/>
  <c r="M26" i="3"/>
  <c r="R27" i="3"/>
  <c r="K28" i="3"/>
  <c r="T28" i="3"/>
  <c r="M29" i="3"/>
  <c r="U29" i="3"/>
  <c r="N30" i="3"/>
  <c r="O31" i="3"/>
  <c r="L34" i="3"/>
  <c r="N36" i="3"/>
  <c r="T38" i="3"/>
  <c r="N39" i="3"/>
  <c r="J41" i="3"/>
  <c r="T41" i="3"/>
  <c r="M42" i="3"/>
  <c r="S43" i="3"/>
  <c r="O24" i="3"/>
  <c r="S31" i="3"/>
  <c r="N41" i="3"/>
  <c r="P18" i="3"/>
  <c r="R25" i="3"/>
  <c r="L31" i="3"/>
  <c r="S39" i="3"/>
  <c r="K4" i="3"/>
  <c r="S4" i="3"/>
  <c r="L5" i="3"/>
  <c r="T5" i="3"/>
  <c r="L6" i="3"/>
  <c r="J4" i="10" s="1"/>
  <c r="T6" i="3"/>
  <c r="M7" i="3"/>
  <c r="U7" i="3"/>
  <c r="N8" i="3"/>
  <c r="O9" i="3"/>
  <c r="P10" i="3"/>
  <c r="Q11" i="3"/>
  <c r="J12" i="3"/>
  <c r="S12" i="3"/>
  <c r="P14" i="3"/>
  <c r="Q15" i="3"/>
  <c r="J16" i="3"/>
  <c r="R16" i="3"/>
  <c r="K17" i="3"/>
  <c r="S17" i="3"/>
  <c r="L18" i="3"/>
  <c r="T18" i="3"/>
  <c r="M19" i="3"/>
  <c r="U19" i="3"/>
  <c r="S20" i="3"/>
  <c r="U22" i="3"/>
  <c r="L24" i="3"/>
  <c r="U24" i="3"/>
  <c r="N25" i="3"/>
  <c r="N26" i="3"/>
  <c r="S27" i="3"/>
  <c r="L28" i="3"/>
  <c r="U28" i="3"/>
  <c r="N29" i="3"/>
  <c r="O30" i="3"/>
  <c r="P31" i="3"/>
  <c r="M34" i="3"/>
  <c r="L35" i="3"/>
  <c r="O36" i="3"/>
  <c r="K38" i="3"/>
  <c r="U38" i="3"/>
  <c r="O39" i="3"/>
  <c r="K41" i="3"/>
  <c r="U41" i="3"/>
  <c r="N42" i="3"/>
  <c r="J43" i="3"/>
  <c r="T43" i="3"/>
  <c r="O28" i="3"/>
  <c r="O32" i="3"/>
  <c r="N38" i="3"/>
  <c r="T42" i="3"/>
  <c r="T23" i="3"/>
  <c r="J26" i="3"/>
  <c r="K30" i="3"/>
  <c r="T34" i="3"/>
  <c r="U42" i="3"/>
  <c r="L4" i="3"/>
  <c r="T4" i="3"/>
  <c r="M5" i="3"/>
  <c r="U5" i="3"/>
  <c r="M6" i="3"/>
  <c r="K4" i="10" s="1"/>
  <c r="U6" i="3"/>
  <c r="N7" i="3"/>
  <c r="O8" i="3"/>
  <c r="P9" i="3"/>
  <c r="Q10" i="3"/>
  <c r="J11" i="3"/>
  <c r="R11" i="3"/>
  <c r="K12" i="3"/>
  <c r="T12" i="3"/>
  <c r="Q14" i="3"/>
  <c r="J15" i="3"/>
  <c r="R15" i="3"/>
  <c r="K16" i="3"/>
  <c r="S16" i="3"/>
  <c r="L17" i="3"/>
  <c r="T17" i="3"/>
  <c r="M18" i="3"/>
  <c r="U18" i="3"/>
  <c r="N19" i="3"/>
  <c r="T20" i="3"/>
  <c r="J22" i="3"/>
  <c r="M24" i="3"/>
  <c r="O25" i="3"/>
  <c r="O26" i="3"/>
  <c r="J27" i="3"/>
  <c r="T27" i="3"/>
  <c r="M28" i="3"/>
  <c r="O29" i="3"/>
  <c r="P30" i="3"/>
  <c r="Q31" i="3"/>
  <c r="K32" i="3"/>
  <c r="L33" i="3"/>
  <c r="O34" i="3"/>
  <c r="T35" i="3"/>
  <c r="P36" i="3"/>
  <c r="L38" i="3"/>
  <c r="P39" i="3"/>
  <c r="L41" i="3"/>
  <c r="R42" i="3"/>
  <c r="K43" i="3"/>
  <c r="U43" i="3"/>
  <c r="Q25" i="3"/>
  <c r="K31" i="3"/>
  <c r="J39" i="3"/>
  <c r="M43" i="3"/>
  <c r="K20" i="3"/>
  <c r="M27" i="3"/>
  <c r="T31" i="3"/>
  <c r="K39" i="3"/>
  <c r="X4" i="4"/>
  <c r="M4" i="3"/>
  <c r="U4" i="3"/>
  <c r="N5" i="3"/>
  <c r="N6" i="3"/>
  <c r="O7" i="3"/>
  <c r="P8" i="3"/>
  <c r="Q9" i="3"/>
  <c r="J10" i="3"/>
  <c r="R10" i="3"/>
  <c r="K11" i="3"/>
  <c r="S11" i="3"/>
  <c r="L12" i="3"/>
  <c r="U12" i="3"/>
  <c r="J14" i="3"/>
  <c r="R14" i="3"/>
  <c r="K15" i="3"/>
  <c r="S15" i="3"/>
  <c r="L16" i="3"/>
  <c r="T16" i="3"/>
  <c r="M17" i="3"/>
  <c r="U17" i="3"/>
  <c r="N18" i="3"/>
  <c r="O19" i="3"/>
  <c r="L22" i="3"/>
  <c r="N24" i="3"/>
  <c r="P25" i="3"/>
  <c r="R26" i="3"/>
  <c r="K27" i="3"/>
  <c r="U27" i="3"/>
  <c r="N28" i="3"/>
  <c r="P29" i="3"/>
  <c r="Q30" i="3"/>
  <c r="J31" i="3"/>
  <c r="R31" i="3"/>
  <c r="L32" i="3"/>
  <c r="N33" i="3"/>
  <c r="Q34" i="3"/>
  <c r="M38" i="3"/>
  <c r="Q39" i="3"/>
  <c r="K40" i="3"/>
  <c r="M41" i="3"/>
  <c r="S42" i="3"/>
  <c r="L43" i="3"/>
  <c r="L23" i="3"/>
  <c r="J30" i="3"/>
  <c r="R34" i="3"/>
  <c r="R39" i="3"/>
  <c r="O17" i="3"/>
  <c r="P24" i="3"/>
  <c r="J29" i="3"/>
  <c r="P38" i="3"/>
  <c r="J42" i="3"/>
  <c r="N4" i="3"/>
  <c r="O5" i="3"/>
  <c r="O6" i="3"/>
  <c r="P7" i="3"/>
  <c r="Q8" i="3"/>
  <c r="J9" i="3"/>
  <c r="R9" i="3"/>
  <c r="K10" i="3"/>
  <c r="S10" i="3"/>
  <c r="L11" i="3"/>
  <c r="T11" i="3"/>
  <c r="M12" i="3"/>
  <c r="K14" i="3"/>
  <c r="S14" i="3"/>
  <c r="L15" i="3"/>
  <c r="T15" i="3"/>
  <c r="M16" i="3"/>
  <c r="U16" i="3"/>
  <c r="N17" i="3"/>
  <c r="O18" i="3"/>
  <c r="P19" i="3"/>
  <c r="M22" i="3"/>
  <c r="O4" i="3"/>
  <c r="P5" i="3"/>
  <c r="P6" i="3"/>
  <c r="Q7" i="3"/>
  <c r="J8" i="3"/>
  <c r="R8" i="3"/>
  <c r="K9" i="3"/>
  <c r="S9" i="3"/>
  <c r="L10" i="3"/>
  <c r="T10" i="3"/>
  <c r="M11" i="3"/>
  <c r="U11" i="3"/>
  <c r="O12" i="3"/>
  <c r="L14" i="3"/>
  <c r="T14" i="3"/>
  <c r="M15" i="3"/>
  <c r="U15" i="3"/>
  <c r="N16" i="3"/>
  <c r="Q19" i="3"/>
  <c r="S30" i="3"/>
  <c r="U40" i="3"/>
  <c r="P4" i="3"/>
  <c r="Q5" i="3"/>
  <c r="Q6" i="3"/>
  <c r="J7" i="3"/>
  <c r="H8" i="10" s="1"/>
  <c r="R7" i="3"/>
  <c r="K8" i="3"/>
  <c r="S8" i="3"/>
  <c r="L9" i="3"/>
  <c r="T9" i="3"/>
  <c r="M10" i="3"/>
  <c r="U10" i="3"/>
  <c r="N11" i="3"/>
  <c r="P12" i="3"/>
  <c r="L13" i="3"/>
  <c r="M14" i="3"/>
  <c r="U14" i="3"/>
  <c r="N15" i="3"/>
  <c r="O16" i="3"/>
  <c r="P17" i="3"/>
  <c r="Q18" i="3"/>
  <c r="J19" i="3"/>
  <c r="R19" i="3"/>
  <c r="L20" i="3"/>
  <c r="N21" i="3"/>
  <c r="Q22" i="3"/>
  <c r="R24" i="3"/>
  <c r="K25" i="3"/>
  <c r="S25" i="3"/>
  <c r="K26" i="3"/>
  <c r="U26" i="3"/>
  <c r="N27" i="3"/>
  <c r="R28" i="3"/>
  <c r="K29" i="3"/>
  <c r="S29" i="3"/>
  <c r="L30" i="3"/>
  <c r="T30" i="3"/>
  <c r="M31" i="3"/>
  <c r="U31" i="3"/>
  <c r="S32" i="3"/>
  <c r="U34" i="3"/>
  <c r="L36" i="3"/>
  <c r="L37" i="3"/>
  <c r="Q38" i="3"/>
  <c r="L39" i="3"/>
  <c r="T39" i="3"/>
  <c r="R41" i="3"/>
  <c r="K42" i="3"/>
  <c r="O43" i="3"/>
  <c r="S26" i="3"/>
  <c r="R30" i="3"/>
  <c r="J36" i="3"/>
  <c r="O22" i="3"/>
  <c r="T26" i="3"/>
  <c r="R29" i="3"/>
  <c r="K36" i="3"/>
  <c r="N43" i="3"/>
  <c r="Q4" i="3"/>
  <c r="J5" i="3"/>
  <c r="R5" i="3"/>
  <c r="J6" i="3"/>
  <c r="R6" i="3"/>
  <c r="K7" i="3"/>
  <c r="S7" i="3"/>
  <c r="L8" i="3"/>
  <c r="T8" i="3"/>
  <c r="M9" i="3"/>
  <c r="U9" i="3"/>
  <c r="N10" i="3"/>
  <c r="O11" i="3"/>
  <c r="Q12" i="3"/>
  <c r="N13" i="3"/>
  <c r="N14" i="3"/>
  <c r="O15" i="3"/>
  <c r="P16" i="3"/>
  <c r="Q17" i="3"/>
  <c r="J18" i="3"/>
  <c r="R18" i="3"/>
  <c r="K19" i="3"/>
  <c r="S19" i="3"/>
  <c r="O20" i="3"/>
  <c r="T21" i="3"/>
  <c r="R22" i="3"/>
  <c r="J24" i="3"/>
  <c r="S24" i="3"/>
  <c r="L25" i="3"/>
  <c r="T25" i="3"/>
  <c r="L26" i="3"/>
  <c r="O27" i="3"/>
  <c r="J28" i="3"/>
  <c r="S28" i="3"/>
  <c r="L29" i="3"/>
  <c r="T29" i="3"/>
  <c r="M30" i="3"/>
  <c r="U30" i="3"/>
  <c r="N31" i="3"/>
  <c r="T32" i="3"/>
  <c r="J34" i="3"/>
  <c r="M36" i="3"/>
  <c r="N37" i="3"/>
  <c r="S38" i="3"/>
  <c r="M39" i="3"/>
  <c r="U39" i="3"/>
  <c r="S41" i="3"/>
  <c r="L42" i="3"/>
  <c r="R43" i="3"/>
  <c r="L27" i="3"/>
  <c r="Q29" i="3"/>
  <c r="T33" i="3"/>
  <c r="L40" i="3"/>
  <c r="L21" i="3"/>
  <c r="J25" i="3"/>
  <c r="P28" i="3"/>
  <c r="Q32" i="3"/>
  <c r="O41" i="3"/>
  <c r="K34" i="3"/>
  <c r="U33" i="3"/>
  <c r="M21" i="3"/>
  <c r="Q23" i="3"/>
  <c r="R23" i="3"/>
  <c r="J13" i="3"/>
  <c r="R35" i="3"/>
  <c r="S34" i="3"/>
  <c r="S22" i="3"/>
  <c r="K22" i="3"/>
  <c r="M33" i="3"/>
  <c r="R20" i="3"/>
  <c r="K37" i="3"/>
  <c r="J23" i="3"/>
  <c r="S40" i="3"/>
  <c r="O23" i="3"/>
  <c r="J35" i="3"/>
  <c r="M40" i="3"/>
  <c r="P33" i="3"/>
  <c r="P21" i="3"/>
  <c r="O33" i="3"/>
  <c r="O13" i="3"/>
  <c r="T40" i="3"/>
  <c r="R32" i="3"/>
  <c r="J20" i="3"/>
  <c r="Q35" i="3"/>
  <c r="N22" i="3"/>
  <c r="R33" i="3"/>
  <c r="Q21" i="3"/>
  <c r="O40" i="3"/>
  <c r="U32" i="3"/>
  <c r="U20" i="3"/>
  <c r="U23" i="3"/>
  <c r="O21" i="3"/>
  <c r="J40" i="3"/>
  <c r="J32" i="3"/>
  <c r="U13" i="3"/>
  <c r="S21" i="3"/>
  <c r="J37" i="3"/>
  <c r="J33" i="3"/>
  <c r="P35" i="3"/>
  <c r="O38" i="3"/>
  <c r="M32" i="3"/>
  <c r="M20" i="3"/>
  <c r="M23" i="3"/>
  <c r="M37" i="3"/>
  <c r="S23" i="3"/>
  <c r="M13" i="3"/>
  <c r="N34" i="3"/>
  <c r="K21" i="3"/>
  <c r="P23" i="3"/>
  <c r="N40" i="3"/>
  <c r="N20" i="3"/>
  <c r="Q37" i="3"/>
  <c r="P37" i="3"/>
  <c r="Q28" i="3"/>
  <c r="P13" i="3"/>
  <c r="S35" i="3"/>
  <c r="K23" i="3"/>
  <c r="R40" i="3"/>
  <c r="S33" i="3"/>
  <c r="P20" i="3"/>
  <c r="R21" i="3"/>
  <c r="Q33" i="3"/>
  <c r="Q13" i="3"/>
  <c r="Q36" i="3"/>
  <c r="Q24" i="3"/>
  <c r="O37" i="3"/>
  <c r="K35" i="3"/>
  <c r="P22" i="3"/>
  <c r="R38" i="3"/>
  <c r="K33" i="3"/>
  <c r="S13" i="3"/>
  <c r="J21" i="3"/>
  <c r="O35" i="3"/>
  <c r="U35" i="3"/>
  <c r="N23" i="3"/>
  <c r="P34" i="3"/>
  <c r="U21" i="3"/>
  <c r="J38" i="3"/>
  <c r="P32" i="3"/>
  <c r="K13" i="3"/>
  <c r="R13" i="3"/>
  <c r="N32" i="3"/>
  <c r="N12" i="3"/>
  <c r="O42" i="3"/>
  <c r="N35" i="3"/>
  <c r="M35" i="3"/>
  <c r="Z43" i="10"/>
  <c r="Z47" i="10" s="1"/>
  <c r="AD20" i="10"/>
  <c r="AE20" i="10"/>
  <c r="AC20" i="10"/>
  <c r="AB20" i="10"/>
  <c r="AD19" i="10"/>
  <c r="AC19" i="10"/>
  <c r="AB19" i="10"/>
  <c r="AE19" i="10"/>
  <c r="AE18" i="10"/>
  <c r="AD17" i="10"/>
  <c r="AD18" i="10"/>
  <c r="AC18" i="10"/>
  <c r="AB18" i="10"/>
  <c r="T17" i="10"/>
  <c r="U19" i="10" s="1"/>
  <c r="AE17" i="10"/>
  <c r="AB17" i="10"/>
  <c r="AC17" i="10"/>
  <c r="J8" i="10"/>
  <c r="W18" i="10"/>
  <c r="Z17" i="10"/>
  <c r="Z19" i="10" s="1"/>
  <c r="Y17" i="10"/>
  <c r="Y19" i="10" s="1"/>
  <c r="U17" i="10"/>
  <c r="AA18" i="10"/>
  <c r="AA20" i="10" s="1"/>
  <c r="AA17" i="10"/>
  <c r="AA19" i="10" s="1"/>
  <c r="X18" i="10"/>
  <c r="X20" i="10" s="1"/>
  <c r="V17" i="10"/>
  <c r="T18" i="10"/>
  <c r="U20" i="10" s="1"/>
  <c r="V18" i="10"/>
  <c r="X17" i="10"/>
  <c r="X19" i="10" s="1"/>
  <c r="U18" i="10"/>
  <c r="Y18" i="10"/>
  <c r="Y20" i="10" s="1"/>
  <c r="Z18" i="10"/>
  <c r="Z20" i="10" s="1"/>
  <c r="W17" i="10"/>
  <c r="R4" i="6"/>
  <c r="F4" i="3" s="1"/>
  <c r="M85" i="2" a="1"/>
  <c r="M85" i="2" s="1"/>
  <c r="M86" i="2" a="1"/>
  <c r="M86" i="2" s="1"/>
  <c r="M87" i="2" a="1"/>
  <c r="M87" i="2" s="1"/>
  <c r="M88" i="2" a="1"/>
  <c r="M88" i="2" s="1"/>
  <c r="M89" i="2" a="1"/>
  <c r="M89" i="2" s="1"/>
  <c r="M90" i="2" a="1"/>
  <c r="M90" i="2" s="1"/>
  <c r="M91" i="2" a="1"/>
  <c r="M91" i="2" s="1"/>
  <c r="M92" i="2" a="1"/>
  <c r="M92" i="2" s="1"/>
  <c r="M93" i="2" a="1"/>
  <c r="M93" i="2" s="1"/>
  <c r="M174" i="2" a="1"/>
  <c r="M174" i="2" s="1"/>
  <c r="M175" i="2" a="1"/>
  <c r="M175" i="2" s="1"/>
  <c r="M176" i="2" a="1"/>
  <c r="M176" i="2" s="1"/>
  <c r="M177" i="2" a="1"/>
  <c r="M177" i="2" s="1"/>
  <c r="M178" i="2" a="1"/>
  <c r="M178" i="2" s="1"/>
  <c r="M179" i="2" a="1"/>
  <c r="M179" i="2" s="1"/>
  <c r="M180" i="2" a="1"/>
  <c r="M180" i="2" s="1"/>
  <c r="M181" i="2" a="1"/>
  <c r="M181" i="2" s="1"/>
  <c r="M182" i="2" a="1"/>
  <c r="M182" i="2" s="1"/>
  <c r="M183" i="2" a="1"/>
  <c r="M183" i="2" s="1"/>
  <c r="M154" i="2" a="1"/>
  <c r="M154" i="2" s="1"/>
  <c r="M155" i="2" a="1"/>
  <c r="M155" i="2" s="1"/>
  <c r="M156" i="2" a="1"/>
  <c r="M156" i="2" s="1"/>
  <c r="M157" i="2" a="1"/>
  <c r="M157" i="2" s="1"/>
  <c r="M158" i="2" a="1"/>
  <c r="M158" i="2" s="1"/>
  <c r="M159" i="2" a="1"/>
  <c r="M159" i="2" s="1"/>
  <c r="M160" i="2" a="1"/>
  <c r="M160" i="2" s="1"/>
  <c r="M161" i="2" a="1"/>
  <c r="M161" i="2" s="1"/>
  <c r="M162" i="2" a="1"/>
  <c r="M162" i="2" s="1"/>
  <c r="M163" i="2" a="1"/>
  <c r="M163" i="2" s="1"/>
  <c r="M4" i="2" a="1"/>
  <c r="M4" i="2" s="1"/>
  <c r="M5" i="2" a="1"/>
  <c r="M5" i="2" s="1"/>
  <c r="M6" i="2" a="1"/>
  <c r="M6" i="2" s="1"/>
  <c r="M7" i="2" a="1"/>
  <c r="M7" i="2" s="1"/>
  <c r="M8" i="2" a="1"/>
  <c r="M8" i="2" s="1"/>
  <c r="M9" i="2" a="1"/>
  <c r="M9" i="2" s="1"/>
  <c r="M10" i="2" a="1"/>
  <c r="M10" i="2" s="1"/>
  <c r="M11" i="2" a="1"/>
  <c r="M11" i="2" s="1"/>
  <c r="M12" i="2" a="1"/>
  <c r="M12" i="2" s="1"/>
  <c r="M13" i="2" a="1"/>
  <c r="M13" i="2" s="1"/>
  <c r="M54" i="2" a="1"/>
  <c r="M54" i="2" s="1"/>
  <c r="M55" i="2" a="1"/>
  <c r="M55" i="2" s="1"/>
  <c r="M56" i="2" a="1"/>
  <c r="M56" i="2" s="1"/>
  <c r="M57" i="2" a="1"/>
  <c r="M57" i="2" s="1"/>
  <c r="M58" i="2" a="1"/>
  <c r="M58" i="2" s="1"/>
  <c r="M59" i="2" a="1"/>
  <c r="M59" i="2" s="1"/>
  <c r="M60" i="2" a="1"/>
  <c r="M60" i="2" s="1"/>
  <c r="M61" i="2" a="1"/>
  <c r="M61" i="2" s="1"/>
  <c r="M62" i="2" a="1"/>
  <c r="M62" i="2" s="1"/>
  <c r="M63" i="2" a="1"/>
  <c r="M63" i="2" s="1"/>
  <c r="M124" i="2" a="1"/>
  <c r="M124" i="2" s="1"/>
  <c r="M125" i="2" a="1"/>
  <c r="M125" i="2" s="1"/>
  <c r="M126" i="2" a="1"/>
  <c r="M126" i="2" s="1"/>
  <c r="M127" i="2" a="1"/>
  <c r="M127" i="2" s="1"/>
  <c r="M128" i="2" a="1"/>
  <c r="M128" i="2" s="1"/>
  <c r="M129" i="2" a="1"/>
  <c r="M129" i="2" s="1"/>
  <c r="M130" i="2" a="1"/>
  <c r="M130" i="2" s="1"/>
  <c r="M131" i="2" a="1"/>
  <c r="M131" i="2" s="1"/>
  <c r="M132" i="2" a="1"/>
  <c r="M132" i="2" s="1"/>
  <c r="M133" i="2" a="1"/>
  <c r="M133" i="2" s="1"/>
  <c r="M164" i="2" a="1"/>
  <c r="M164" i="2" s="1"/>
  <c r="M165" i="2" a="1"/>
  <c r="M165" i="2" s="1"/>
  <c r="M166" i="2" a="1"/>
  <c r="M166" i="2" s="1"/>
  <c r="M167" i="2" a="1"/>
  <c r="M167" i="2" s="1"/>
  <c r="M168" i="2" a="1"/>
  <c r="M168" i="2"/>
  <c r="M169" i="2" a="1"/>
  <c r="M169" i="2" s="1"/>
  <c r="M170" i="2" a="1"/>
  <c r="M170" i="2" s="1"/>
  <c r="M171" i="2" a="1"/>
  <c r="M171" i="2" s="1"/>
  <c r="M172" i="2" a="1"/>
  <c r="M172" i="2" s="1"/>
  <c r="M173" i="2" a="1"/>
  <c r="M173" i="2" s="1"/>
  <c r="M44" i="2" a="1"/>
  <c r="M44" i="2" s="1"/>
  <c r="M45" i="2" a="1"/>
  <c r="M45" i="2" s="1"/>
  <c r="M46" i="2" a="1"/>
  <c r="M46" i="2" s="1"/>
  <c r="M47" i="2" a="1"/>
  <c r="M47" i="2" s="1"/>
  <c r="M48" i="2" a="1"/>
  <c r="M48" i="2" s="1"/>
  <c r="M49" i="2" a="1"/>
  <c r="M49" i="2" s="1"/>
  <c r="M50" i="2" a="1"/>
  <c r="M50" i="2" s="1"/>
  <c r="M51" i="2" a="1"/>
  <c r="M51" i="2" s="1"/>
  <c r="M52" i="2" a="1"/>
  <c r="M52" i="2" s="1"/>
  <c r="M53" i="2" a="1"/>
  <c r="M53" i="2" s="1"/>
  <c r="M104" i="2" a="1"/>
  <c r="M104" i="2" s="1"/>
  <c r="M105" i="2" a="1"/>
  <c r="M105" i="2" s="1"/>
  <c r="M106" i="2" a="1"/>
  <c r="M106" i="2" s="1"/>
  <c r="M107" i="2" a="1"/>
  <c r="M107" i="2" s="1"/>
  <c r="M108" i="2" a="1"/>
  <c r="M108" i="2" s="1"/>
  <c r="M109" i="2" a="1"/>
  <c r="M109" i="2" s="1"/>
  <c r="M110" i="2" a="1"/>
  <c r="M110" i="2" s="1"/>
  <c r="M111" i="2" a="1"/>
  <c r="M111" i="2" s="1"/>
  <c r="M112" i="2" a="1"/>
  <c r="M112" i="2" s="1"/>
  <c r="M113" i="2" a="1"/>
  <c r="M113" i="2" s="1"/>
  <c r="M24" i="2" a="1"/>
  <c r="M24" i="2" s="1"/>
  <c r="M25" i="2" a="1"/>
  <c r="M25" i="2" s="1"/>
  <c r="M26" i="2" a="1"/>
  <c r="M26" i="2" s="1"/>
  <c r="M27" i="2" a="1"/>
  <c r="M27" i="2" s="1"/>
  <c r="M28" i="2" a="1"/>
  <c r="M28" i="2" s="1"/>
  <c r="M29" i="2" a="1"/>
  <c r="M29" i="2" s="1"/>
  <c r="M30" i="2" a="1"/>
  <c r="M30" i="2" s="1"/>
  <c r="M31" i="2" a="1"/>
  <c r="M31" i="2" s="1"/>
  <c r="M32" i="2" a="1"/>
  <c r="M32" i="2" s="1"/>
  <c r="M33" i="2" a="1"/>
  <c r="M33" i="2" s="1"/>
  <c r="M114" i="2" a="1"/>
  <c r="M114" i="2" s="1"/>
  <c r="M115" i="2" a="1"/>
  <c r="M115" i="2" s="1"/>
  <c r="M116" i="2" a="1"/>
  <c r="M116" i="2" s="1"/>
  <c r="M117" i="2" a="1"/>
  <c r="M117" i="2" s="1"/>
  <c r="M118" i="2" a="1"/>
  <c r="M118" i="2" s="1"/>
  <c r="M119" i="2" a="1"/>
  <c r="M119" i="2" s="1"/>
  <c r="M120" i="2" a="1"/>
  <c r="M120" i="2" s="1"/>
  <c r="M121" i="2" a="1"/>
  <c r="M121" i="2" s="1"/>
  <c r="M122" i="2" a="1"/>
  <c r="M122" i="2" s="1"/>
  <c r="M123" i="2" a="1"/>
  <c r="M123" i="2" s="1"/>
  <c r="M14" i="2" a="1"/>
  <c r="M14" i="2" s="1"/>
  <c r="M15" i="2" a="1"/>
  <c r="M15" i="2" s="1"/>
  <c r="M16" i="2" a="1"/>
  <c r="M16" i="2" s="1"/>
  <c r="M17" i="2" a="1"/>
  <c r="M17" i="2" s="1"/>
  <c r="M18" i="2" a="1"/>
  <c r="M18" i="2" s="1"/>
  <c r="M19" i="2" a="1"/>
  <c r="M19" i="2" s="1"/>
  <c r="M20" i="2" a="1"/>
  <c r="M20" i="2" s="1"/>
  <c r="M21" i="2" a="1"/>
  <c r="M21" i="2" s="1"/>
  <c r="M22" i="2" a="1"/>
  <c r="M22" i="2" s="1"/>
  <c r="M23" i="2" a="1"/>
  <c r="M23" i="2" s="1"/>
  <c r="M34" i="2" a="1"/>
  <c r="M34" i="2" s="1"/>
  <c r="M35" i="2" a="1"/>
  <c r="M35" i="2" s="1"/>
  <c r="M36" i="2" a="1"/>
  <c r="M36" i="2" s="1"/>
  <c r="M37" i="2" a="1"/>
  <c r="M37" i="2" s="1"/>
  <c r="M42" i="2" a="1"/>
  <c r="M42" i="2" s="1"/>
  <c r="M38" i="2" a="1"/>
  <c r="M38" i="2" s="1"/>
  <c r="M39" i="2" a="1"/>
  <c r="M39" i="2" s="1"/>
  <c r="M40" i="2" a="1"/>
  <c r="M40" i="2" s="1"/>
  <c r="M41" i="2" a="1"/>
  <c r="M41" i="2" s="1"/>
  <c r="M43" i="2" a="1"/>
  <c r="M43" i="2" s="1"/>
  <c r="M144" i="2" a="1"/>
  <c r="M144" i="2" s="1"/>
  <c r="M145" i="2" a="1"/>
  <c r="M145" i="2" s="1"/>
  <c r="M146" i="2" a="1"/>
  <c r="M146" i="2" s="1"/>
  <c r="M147" i="2" a="1"/>
  <c r="M147" i="2" s="1"/>
  <c r="M148" i="2" a="1"/>
  <c r="M148" i="2" s="1"/>
  <c r="M149" i="2" a="1"/>
  <c r="M149" i="2" s="1"/>
  <c r="M150" i="2" a="1"/>
  <c r="M150" i="2"/>
  <c r="M151" i="2" a="1"/>
  <c r="M151" i="2" s="1"/>
  <c r="M152" i="2" a="1"/>
  <c r="M152" i="2" s="1"/>
  <c r="M153" i="2" a="1"/>
  <c r="M153" i="2" s="1"/>
  <c r="M134" i="2" a="1"/>
  <c r="M134" i="2" s="1"/>
  <c r="M135" i="2" a="1"/>
  <c r="M135" i="2" s="1"/>
  <c r="M136" i="2" a="1"/>
  <c r="M136" i="2" s="1"/>
  <c r="M138" i="2" a="1"/>
  <c r="M138" i="2" s="1"/>
  <c r="M139" i="2" a="1"/>
  <c r="M139" i="2" s="1"/>
  <c r="M140" i="2" a="1"/>
  <c r="M140" i="2" s="1"/>
  <c r="M141" i="2" a="1"/>
  <c r="M141" i="2" s="1"/>
  <c r="M142" i="2" a="1"/>
  <c r="M142" i="2" s="1"/>
  <c r="M143" i="2" a="1"/>
  <c r="M143" i="2" s="1"/>
  <c r="M184" i="2" a="1"/>
  <c r="M184" i="2" s="1"/>
  <c r="M185" i="2" a="1"/>
  <c r="M185" i="2" s="1"/>
  <c r="M186" i="2" a="1"/>
  <c r="M186" i="2" s="1"/>
  <c r="M187" i="2" a="1"/>
  <c r="M187" i="2" s="1"/>
  <c r="M188" i="2" a="1"/>
  <c r="M188" i="2" s="1"/>
  <c r="M189" i="2" a="1"/>
  <c r="M189" i="2" s="1"/>
  <c r="M190" i="2" a="1"/>
  <c r="M190" i="2" s="1"/>
  <c r="M191" i="2" a="1"/>
  <c r="M191" i="2" s="1"/>
  <c r="M192" i="2" a="1"/>
  <c r="M192" i="2" s="1"/>
  <c r="M193" i="2" a="1"/>
  <c r="M193" i="2" s="1"/>
  <c r="M195" i="2" a="1"/>
  <c r="M195" i="2" s="1"/>
  <c r="M196" i="2" a="1"/>
  <c r="M196" i="2" s="1"/>
  <c r="M197" i="2" a="1"/>
  <c r="M197" i="2" s="1"/>
  <c r="M198" i="2" a="1"/>
  <c r="M198" i="2" s="1"/>
  <c r="M199" i="2" a="1"/>
  <c r="M199" i="2" s="1"/>
  <c r="M200" i="2" a="1"/>
  <c r="M200" i="2" s="1"/>
  <c r="M201" i="2" a="1"/>
  <c r="M201" i="2" s="1"/>
  <c r="M202" i="2" a="1"/>
  <c r="M202" i="2" s="1"/>
  <c r="M203" i="2" a="1"/>
  <c r="M203" i="2" s="1"/>
  <c r="M95" i="2" a="1"/>
  <c r="M95" i="2" s="1"/>
  <c r="M96" i="2" a="1"/>
  <c r="M96" i="2" s="1"/>
  <c r="M97" i="2" a="1"/>
  <c r="M97" i="2" s="1"/>
  <c r="M98" i="2" a="1"/>
  <c r="M98" i="2" s="1"/>
  <c r="M99" i="2" a="1"/>
  <c r="M99" i="2" s="1"/>
  <c r="M100" i="2" a="1"/>
  <c r="M100" i="2" s="1"/>
  <c r="M101" i="2" a="1"/>
  <c r="M101" i="2" s="1"/>
  <c r="M102" i="2" a="1"/>
  <c r="M102" i="2" s="1"/>
  <c r="M103" i="2" a="1"/>
  <c r="M103" i="2" s="1"/>
  <c r="M64" i="2" a="1"/>
  <c r="M64" i="2"/>
  <c r="M65" i="2" a="1"/>
  <c r="M65" i="2" s="1"/>
  <c r="M66" i="2" a="1"/>
  <c r="M66" i="2" s="1"/>
  <c r="M67" i="2" a="1"/>
  <c r="M67" i="2" s="1"/>
  <c r="M68" i="2" a="1"/>
  <c r="M68" i="2" s="1"/>
  <c r="M69" i="2" a="1"/>
  <c r="M69" i="2" s="1"/>
  <c r="M70" i="2" a="1"/>
  <c r="M70" i="2" s="1"/>
  <c r="M71" i="2" a="1"/>
  <c r="M71" i="2" s="1"/>
  <c r="M72" i="2" a="1"/>
  <c r="M72" i="2" s="1"/>
  <c r="M73" i="2" a="1"/>
  <c r="M73" i="2" s="1"/>
  <c r="M74" i="2" a="1"/>
  <c r="M74" i="2" s="1"/>
  <c r="M75" i="2" a="1"/>
  <c r="M75" i="2" s="1"/>
  <c r="M76" i="2" a="1"/>
  <c r="M76" i="2" s="1"/>
  <c r="M77" i="2" a="1"/>
  <c r="M77" i="2" s="1"/>
  <c r="M78" i="2" a="1"/>
  <c r="M78" i="2" s="1"/>
  <c r="M79" i="2" a="1"/>
  <c r="M79" i="2" s="1"/>
  <c r="M80" i="2" a="1"/>
  <c r="M80" i="2" s="1"/>
  <c r="M81" i="2" a="1"/>
  <c r="M81" i="2" s="1"/>
  <c r="M82" i="2" a="1"/>
  <c r="M82" i="2" s="1"/>
  <c r="M83" i="2" a="1"/>
  <c r="M83" i="2" s="1"/>
  <c r="M84" i="2" a="1"/>
  <c r="M84" i="2" s="1"/>
  <c r="Z42" i="10" l="1"/>
  <c r="Z46" i="10" s="1"/>
  <c r="Y42" i="10"/>
  <c r="Y46" i="10" s="1"/>
  <c r="O169" i="2"/>
  <c r="I37" i="3" s="1"/>
  <c r="N169" i="2"/>
  <c r="H37" i="3" s="1"/>
  <c r="N164" i="2"/>
  <c r="H36" i="3" s="1"/>
  <c r="O164" i="2"/>
  <c r="I36" i="3" s="1"/>
  <c r="O129" i="2"/>
  <c r="I29" i="3" s="1"/>
  <c r="N129" i="2"/>
  <c r="H29" i="3" s="1"/>
  <c r="I23" i="3"/>
  <c r="H23" i="3"/>
  <c r="N54" i="2"/>
  <c r="H14" i="3" s="1"/>
  <c r="O49" i="2"/>
  <c r="I13" i="3" s="1"/>
  <c r="N49" i="2"/>
  <c r="H13" i="3" s="1"/>
  <c r="J44" i="3"/>
  <c r="I4" i="10"/>
  <c r="K8" i="10"/>
  <c r="S8" i="10"/>
  <c r="Y43" i="10"/>
  <c r="Y47" i="10" s="1"/>
  <c r="P8" i="10"/>
  <c r="M8" i="10"/>
  <c r="AF8" i="10"/>
  <c r="AF4" i="10"/>
  <c r="I8" i="10"/>
  <c r="W42" i="10"/>
  <c r="W46" i="10" s="1"/>
  <c r="L4" i="10"/>
  <c r="N84" i="2"/>
  <c r="H20" i="3" s="1"/>
  <c r="O84" i="2"/>
  <c r="I20" i="3" s="1"/>
  <c r="O89" i="2"/>
  <c r="I21" i="3" s="1"/>
  <c r="N89" i="2"/>
  <c r="H21" i="3" s="1"/>
  <c r="N64" i="2"/>
  <c r="H16" i="3" s="1"/>
  <c r="O64" i="2"/>
  <c r="I16" i="3" s="1"/>
  <c r="N69" i="2"/>
  <c r="H17" i="3" s="1"/>
  <c r="O69" i="2"/>
  <c r="I17" i="3" s="1"/>
  <c r="O159" i="2"/>
  <c r="I35" i="3" s="1"/>
  <c r="N159" i="2"/>
  <c r="H35" i="3" s="1"/>
  <c r="N29" i="2"/>
  <c r="H9" i="3" s="1"/>
  <c r="O29" i="2"/>
  <c r="I9" i="3" s="1"/>
  <c r="O24" i="2"/>
  <c r="I8" i="3" s="1"/>
  <c r="N24" i="2"/>
  <c r="H8" i="3" s="1"/>
  <c r="N9" i="2"/>
  <c r="H5" i="3" s="1"/>
  <c r="O9" i="2"/>
  <c r="I5" i="3" s="1"/>
  <c r="I12" i="3"/>
  <c r="H12" i="3"/>
  <c r="O149" i="2"/>
  <c r="I33" i="3" s="1"/>
  <c r="N149" i="2"/>
  <c r="H33" i="3" s="1"/>
  <c r="O4" i="2"/>
  <c r="I4" i="3" s="1"/>
  <c r="N4" i="2"/>
  <c r="H4" i="3" s="1"/>
  <c r="O144" i="2"/>
  <c r="I32" i="3" s="1"/>
  <c r="N144" i="2"/>
  <c r="H32" i="3" s="1"/>
  <c r="O154" i="2"/>
  <c r="I34" i="3" s="1"/>
  <c r="N154" i="2"/>
  <c r="H34" i="3" s="1"/>
  <c r="N139" i="2"/>
  <c r="H31" i="3" s="1"/>
  <c r="O139" i="2"/>
  <c r="I31" i="3" s="1"/>
  <c r="N134" i="2"/>
  <c r="H30" i="3" s="1"/>
  <c r="O134" i="2"/>
  <c r="I30" i="3" s="1"/>
  <c r="O54" i="2"/>
  <c r="I14" i="3" s="1"/>
  <c r="I15" i="3"/>
  <c r="H15" i="3"/>
  <c r="N34" i="2"/>
  <c r="H10" i="3" s="1"/>
  <c r="O34" i="2"/>
  <c r="I10" i="3" s="1"/>
  <c r="H11" i="3"/>
  <c r="I11" i="3"/>
  <c r="I38" i="3"/>
  <c r="H38" i="3"/>
  <c r="I39" i="3"/>
  <c r="H39" i="3"/>
  <c r="H6" i="3"/>
  <c r="I6" i="3"/>
  <c r="I7" i="3"/>
  <c r="H7" i="3"/>
  <c r="O124" i="2"/>
  <c r="I28" i="3" s="1"/>
  <c r="N124" i="2"/>
  <c r="H28" i="3" s="1"/>
  <c r="H22" i="3"/>
  <c r="I22" i="3"/>
  <c r="I27" i="3"/>
  <c r="H27" i="3"/>
  <c r="O79" i="2"/>
  <c r="I19" i="3" s="1"/>
  <c r="N79" i="2"/>
  <c r="H19" i="3" s="1"/>
  <c r="I42" i="3"/>
  <c r="H42" i="3"/>
  <c r="H24" i="3"/>
  <c r="I24" i="3"/>
  <c r="H43" i="3"/>
  <c r="I43" i="3"/>
  <c r="I40" i="3"/>
  <c r="H40" i="3"/>
  <c r="N74" i="2"/>
  <c r="H18" i="3" s="1"/>
  <c r="O74" i="2"/>
  <c r="I18" i="3" s="1"/>
  <c r="H25" i="3"/>
  <c r="I25" i="3"/>
  <c r="H26" i="3"/>
  <c r="I26" i="3"/>
  <c r="AB43" i="10"/>
  <c r="AB47" i="10" s="1"/>
  <c r="AB42" i="10"/>
  <c r="AB46" i="10" s="1"/>
  <c r="R4" i="10"/>
  <c r="R8" i="10"/>
  <c r="W43" i="10"/>
  <c r="W47" i="10" s="1"/>
  <c r="Q4" i="10"/>
  <c r="S4" i="10"/>
  <c r="AA43" i="10"/>
  <c r="AA47" i="10" s="1"/>
  <c r="Q8" i="10"/>
  <c r="N8" i="10"/>
  <c r="O8" i="10"/>
  <c r="H4" i="10"/>
  <c r="X43" i="10"/>
  <c r="X47" i="10" s="1"/>
  <c r="O4" i="10"/>
  <c r="N4" i="10"/>
  <c r="L8" i="10"/>
  <c r="AH8" i="10"/>
  <c r="P4" i="10"/>
  <c r="AA42" i="10"/>
  <c r="AA46" i="10" s="1"/>
  <c r="AJ8" i="10"/>
  <c r="V19" i="10"/>
  <c r="W19" i="10" s="1"/>
  <c r="V20" i="10"/>
  <c r="W20" i="10" s="1"/>
  <c r="AN4" i="10"/>
  <c r="AE8" i="10" a="1"/>
  <c r="AE8" i="10" s="1"/>
  <c r="AD4" i="10"/>
  <c r="AE4" i="10" a="1"/>
  <c r="AE4" i="10" s="1"/>
  <c r="AN8" i="10"/>
  <c r="AD8" i="10"/>
  <c r="M4" i="10"/>
  <c r="AM8" i="10" a="1"/>
  <c r="AM8" i="10" s="1"/>
  <c r="AM4" i="10" a="1"/>
  <c r="AM4" i="10" s="1"/>
  <c r="AL4" i="10"/>
  <c r="X42" i="10"/>
  <c r="X46" i="10" s="1"/>
  <c r="AL8" i="10"/>
  <c r="V4" i="10" a="1"/>
  <c r="V4" i="10" s="1"/>
  <c r="AK8" i="10" a="1"/>
  <c r="AK8" i="10" s="1"/>
  <c r="AK4" i="10" a="1"/>
  <c r="AK4" i="10" s="1"/>
  <c r="AJ4" i="10"/>
  <c r="AG8" i="10" a="1"/>
  <c r="AG8" i="10" s="1"/>
  <c r="AG4" i="10" a="1"/>
  <c r="AG4" i="10" s="1"/>
  <c r="Y8" i="10" a="1"/>
  <c r="Y8" i="10" s="1"/>
  <c r="Y4" i="10" a="1"/>
  <c r="Y4" i="10" s="1"/>
  <c r="X4" i="10"/>
  <c r="V8" i="10"/>
  <c r="Z8" i="10"/>
  <c r="X8" i="10"/>
  <c r="W8" i="10" a="1"/>
  <c r="W8" i="10" s="1"/>
  <c r="W4" i="10" a="1"/>
  <c r="W4" i="10" s="1"/>
  <c r="AA8" i="10" a="1"/>
  <c r="AA8" i="10" s="1"/>
  <c r="Z4" i="10"/>
  <c r="AA4" i="10" a="1"/>
  <c r="AA4" i="10" s="1"/>
  <c r="AI8" i="10" a="1"/>
  <c r="AI8" i="10" s="1"/>
  <c r="AH4" i="10"/>
  <c r="AI4" i="10" a="1"/>
  <c r="AI4" i="10" s="1"/>
  <c r="E8" i="10"/>
  <c r="E4" i="10"/>
  <c r="T42" i="10"/>
  <c r="T46" i="10" s="1"/>
  <c r="D8" i="10"/>
  <c r="S43" i="10"/>
  <c r="S47" i="10" s="1"/>
  <c r="D4" i="10"/>
  <c r="S42" i="10"/>
  <c r="S46" i="10" s="1"/>
  <c r="C4" i="10"/>
  <c r="R42" i="10"/>
  <c r="R46" i="10" s="1"/>
  <c r="T43" i="10"/>
  <c r="T47" i="10" s="1"/>
  <c r="C8" i="10"/>
  <c r="R43" i="10"/>
  <c r="R47" i="10" s="1"/>
  <c r="I41" i="3"/>
  <c r="H41" i="3"/>
  <c r="AC8" i="10" l="1" a="1"/>
  <c r="AC8" i="10" s="1"/>
  <c r="AC4" i="10" a="1"/>
  <c r="AC4" i="10" s="1"/>
  <c r="AB8" i="10"/>
  <c r="AB4" i="10"/>
  <c r="F4" i="10"/>
  <c r="G8" i="10"/>
  <c r="V43" i="10"/>
  <c r="V47" i="10" s="1"/>
  <c r="U42" i="10"/>
  <c r="U46" i="10" s="1"/>
  <c r="G4" i="10"/>
  <c r="V42" i="10"/>
  <c r="V46" i="10" s="1"/>
  <c r="U43" i="10"/>
  <c r="U47" i="10" s="1"/>
  <c r="F8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tc={0425EDC1-5A95-4416-84F9-3F021008E265}</author>
  </authors>
  <commentList>
    <comment ref="F141" authorId="0" shapeId="0" xr:uid="{0425EDC1-5A95-4416-84F9-3F021008E265}">
      <text>
        <t>[Threaded comment]
Your version of Excel allows you to read this threaded comment; however, any edits to it will get removed if the file is opened in a newer version of Excel. Learn more: https://go.microsoft.com/fwlink/?linkid=870924
Comment:
    hard to understand if it was a 4 or a 14 on the paper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tc={83DD5049-1190-4B6B-83D5-3026527FD932}</author>
    <author>tc={B1875EAD-B494-49A9-85B3-2C10221FEA94}</author>
    <author>tc={710D3161-03B3-4C03-B631-785E079FA5A3}</author>
  </authors>
  <commentList>
    <comment ref="A26" authorId="0" shapeId="0" xr:uid="{83DD5049-1190-4B6B-83D5-3026527FD932}">
      <text>
        <t>[Threaded comment]
Your version of Excel allows you to read this threaded comment; however, any edits to it will get removed if the file is opened in a newer version of Excel. Learn more: https://go.microsoft.com/fwlink/?linkid=870924
Comment:
    trial fields. data collected 20 m from the gps coordinates</t>
      </text>
    </comment>
    <comment ref="A114" authorId="1" shapeId="0" xr:uid="{B1875EAD-B494-49A9-85B3-2C10221FEA94}">
      <text>
        <t>[Threaded comment]
Your version of Excel allows you to read this threaded comment; however, any edits to it will get removed if the file is opened in a newer version of Excel. Learn more: https://go.microsoft.com/fwlink/?linkid=870924
Comment:
    did not measure plant height</t>
      </text>
    </comment>
    <comment ref="A194" authorId="2" shapeId="0" xr:uid="{710D3161-03B3-4C03-B631-785E079FA5A3}">
      <text>
        <t>[Threaded comment]
Your version of Excel allows you to read this threaded comment; however, any edits to it will get removed if the file is opened in a newer version of Excel. Learn more: https://go.microsoft.com/fwlink/?linkid=870924
Comment:
    Plant height not measured</t>
      </text>
    </comment>
  </commentList>
</comments>
</file>

<file path=xl/sharedStrings.xml><?xml version="1.0" encoding="utf-8"?>
<sst xmlns="http://schemas.openxmlformats.org/spreadsheetml/2006/main" count="2045" uniqueCount="451">
  <si>
    <t>avg VESS</t>
  </si>
  <si>
    <t>std VESS</t>
  </si>
  <si>
    <t>Earthworms avg per m2</t>
  </si>
  <si>
    <t>Earthworms k.h</t>
  </si>
  <si>
    <t>Canopeo avg</t>
  </si>
  <si>
    <t>Canopeo std</t>
  </si>
  <si>
    <t>Biomass kg/ha</t>
  </si>
  <si>
    <t>Bulk density kg/l</t>
  </si>
  <si>
    <t>Infiltrometer mm/h</t>
  </si>
  <si>
    <t>Infiltrometer std</t>
  </si>
  <si>
    <t>Porosity</t>
  </si>
  <si>
    <t>Water pores</t>
  </si>
  <si>
    <t>Air pores</t>
  </si>
  <si>
    <t>Solid earth</t>
  </si>
  <si>
    <t>Mi-0</t>
  </si>
  <si>
    <t>Mi-1</t>
  </si>
  <si>
    <t>Li-0</t>
  </si>
  <si>
    <t>Li-1</t>
  </si>
  <si>
    <t>Si-0</t>
  </si>
  <si>
    <t>Si-1</t>
  </si>
  <si>
    <t>Jo-0</t>
  </si>
  <si>
    <t>Jo-1</t>
  </si>
  <si>
    <t>Pa-0</t>
  </si>
  <si>
    <t>Pa-1</t>
  </si>
  <si>
    <t>Ki-1</t>
  </si>
  <si>
    <t>Ki-0</t>
  </si>
  <si>
    <t>Vi-1</t>
  </si>
  <si>
    <t>Vi-0</t>
  </si>
  <si>
    <t>Ja-1</t>
  </si>
  <si>
    <t>Ja-0</t>
  </si>
  <si>
    <t>Mu-1</t>
  </si>
  <si>
    <t>Mu-0</t>
  </si>
  <si>
    <t>Ru-1</t>
  </si>
  <si>
    <t>Ru-0</t>
  </si>
  <si>
    <t>ML-1</t>
  </si>
  <si>
    <t>ML-0</t>
  </si>
  <si>
    <t>Ai-1</t>
  </si>
  <si>
    <t>Ai-0</t>
  </si>
  <si>
    <t>Mä-1</t>
  </si>
  <si>
    <t>Mä-0</t>
  </si>
  <si>
    <t>Mo-1</t>
  </si>
  <si>
    <t>Mo-0</t>
  </si>
  <si>
    <t>Ko-1</t>
  </si>
  <si>
    <t>Ko-0</t>
  </si>
  <si>
    <t>Ky-1</t>
  </si>
  <si>
    <t>Ky-0</t>
  </si>
  <si>
    <t>Se-1</t>
  </si>
  <si>
    <t>Se-0</t>
  </si>
  <si>
    <t>Ni-1</t>
  </si>
  <si>
    <t>Ni-0</t>
  </si>
  <si>
    <t>At-1</t>
  </si>
  <si>
    <t>At-0</t>
  </si>
  <si>
    <t>Jn-1</t>
  </si>
  <si>
    <t>Jn-0</t>
  </si>
  <si>
    <t>Me-1</t>
  </si>
  <si>
    <t>Me-0</t>
  </si>
  <si>
    <t>Pu-1</t>
  </si>
  <si>
    <t>Pu-0</t>
  </si>
  <si>
    <t>Ka-1</t>
  </si>
  <si>
    <t>Ka-0</t>
  </si>
  <si>
    <t>KP-1</t>
  </si>
  <si>
    <t>KP-0</t>
  </si>
  <si>
    <t>La-1</t>
  </si>
  <si>
    <t>La-0</t>
  </si>
  <si>
    <t>Ke-1</t>
  </si>
  <si>
    <t>Ke-0</t>
  </si>
  <si>
    <t>Tila</t>
  </si>
  <si>
    <t>Rep</t>
  </si>
  <si>
    <t>Mi</t>
  </si>
  <si>
    <t>Li</t>
  </si>
  <si>
    <t>Si</t>
  </si>
  <si>
    <t>Pa</t>
  </si>
  <si>
    <t>Ki</t>
  </si>
  <si>
    <t>Ja</t>
  </si>
  <si>
    <t>Mu</t>
  </si>
  <si>
    <t>ML</t>
  </si>
  <si>
    <t>Ai</t>
  </si>
  <si>
    <t>Mä</t>
  </si>
  <si>
    <t>Mo</t>
  </si>
  <si>
    <t>Ko</t>
  </si>
  <si>
    <t>Ky</t>
  </si>
  <si>
    <t>Se</t>
  </si>
  <si>
    <t>Ni</t>
  </si>
  <si>
    <t>At</t>
  </si>
  <si>
    <t>Jn</t>
  </si>
  <si>
    <t>Me</t>
  </si>
  <si>
    <t>Pu</t>
  </si>
  <si>
    <t>Ka</t>
  </si>
  <si>
    <t>KP</t>
  </si>
  <si>
    <t>La</t>
  </si>
  <si>
    <t>Ke</t>
  </si>
  <si>
    <t>Treat</t>
  </si>
  <si>
    <t>VESS 1</t>
  </si>
  <si>
    <t>VESS 2</t>
  </si>
  <si>
    <t>VESS 3</t>
  </si>
  <si>
    <t>VESS 4</t>
  </si>
  <si>
    <t>VESS TOT</t>
  </si>
  <si>
    <t>Pi</t>
  </si>
  <si>
    <t>AE</t>
  </si>
  <si>
    <t>Ik</t>
  </si>
  <si>
    <t>Ne</t>
  </si>
  <si>
    <t>Na</t>
  </si>
  <si>
    <t>cm 1</t>
  </si>
  <si>
    <t>cm 2</t>
  </si>
  <si>
    <t>cm 3</t>
  </si>
  <si>
    <t>cm 4</t>
  </si>
  <si>
    <t>Lohko</t>
  </si>
  <si>
    <t>Earthworms</t>
  </si>
  <si>
    <t>Canopeo</t>
  </si>
  <si>
    <t>Jo</t>
  </si>
  <si>
    <t>Vi</t>
  </si>
  <si>
    <t>Ru</t>
  </si>
  <si>
    <t>VESS</t>
  </si>
  <si>
    <t>Std</t>
  </si>
  <si>
    <t>Container (g)</t>
  </si>
  <si>
    <t>Biomass (kg/ha)</t>
  </si>
  <si>
    <t>BD (kg/l)</t>
  </si>
  <si>
    <t xml:space="preserve">BIOMASS   </t>
  </si>
  <si>
    <t>BD</t>
  </si>
  <si>
    <t>Group</t>
  </si>
  <si>
    <t>Worms</t>
  </si>
  <si>
    <t>Kh</t>
  </si>
  <si>
    <t>Average</t>
  </si>
  <si>
    <t>Porosity (%)</t>
  </si>
  <si>
    <t>Moisture (vol-%)</t>
  </si>
  <si>
    <t>Sd</t>
  </si>
  <si>
    <t>Ave</t>
  </si>
  <si>
    <t>AE-0</t>
  </si>
  <si>
    <t>AE-1</t>
  </si>
  <si>
    <t>Ik-0</t>
  </si>
  <si>
    <t>Ik-1</t>
  </si>
  <si>
    <t>Na-0</t>
  </si>
  <si>
    <t>Na-1</t>
  </si>
  <si>
    <t>Ne-0</t>
  </si>
  <si>
    <t>Ne-1</t>
  </si>
  <si>
    <t>Pi-0</t>
  </si>
  <si>
    <t>Pi-1</t>
  </si>
  <si>
    <t>Ave VESS  1</t>
  </si>
  <si>
    <t>Ave VESS  2</t>
  </si>
  <si>
    <t>Ave VESS  3</t>
  </si>
  <si>
    <t>Ave VESS  4</t>
  </si>
  <si>
    <t>Ave cm 1</t>
  </si>
  <si>
    <t>Ave cm 2</t>
  </si>
  <si>
    <t>Ave cm 3</t>
  </si>
  <si>
    <t>Ave cm 4</t>
  </si>
  <si>
    <t>AtLeaf</t>
  </si>
  <si>
    <t>Sdpad</t>
  </si>
  <si>
    <t>Tot Chloro</t>
  </si>
  <si>
    <t>atLeaf</t>
  </si>
  <si>
    <t>Tot Chlorophyl</t>
  </si>
  <si>
    <t>SPAD</t>
  </si>
  <si>
    <t>SD</t>
  </si>
  <si>
    <t>K(h) (mm/h)</t>
  </si>
  <si>
    <t>Kh (mm/h)</t>
  </si>
  <si>
    <t>Canopeo %</t>
  </si>
  <si>
    <t>SD VESS  1</t>
  </si>
  <si>
    <t>SD VESS  2</t>
  </si>
  <si>
    <t>SD VESS  3</t>
  </si>
  <si>
    <t>SD VESS  4</t>
  </si>
  <si>
    <t>SD VESS 1</t>
  </si>
  <si>
    <t>SD VESS 2</t>
  </si>
  <si>
    <t>SD VESS 3</t>
  </si>
  <si>
    <t>SD VESS 4</t>
  </si>
  <si>
    <t>SPAd</t>
  </si>
  <si>
    <t>ID</t>
  </si>
  <si>
    <t>AE-0 1</t>
  </si>
  <si>
    <t>AE-0 2</t>
  </si>
  <si>
    <t>AE-0 3</t>
  </si>
  <si>
    <t>AE-0 4</t>
  </si>
  <si>
    <t>AE-0 5</t>
  </si>
  <si>
    <t>AE-1 1</t>
  </si>
  <si>
    <t>AE-1 2</t>
  </si>
  <si>
    <t>AE-1 3</t>
  </si>
  <si>
    <t>AE-1 4</t>
  </si>
  <si>
    <t>AE-1 5</t>
  </si>
  <si>
    <t>Ai-0 1</t>
  </si>
  <si>
    <t>Ai-0 2</t>
  </si>
  <si>
    <t>Ai-0 3</t>
  </si>
  <si>
    <t>Ai-0 4</t>
  </si>
  <si>
    <t>Ai-0 5</t>
  </si>
  <si>
    <t>Ai-1 1</t>
  </si>
  <si>
    <t>Ai-1 2</t>
  </si>
  <si>
    <t>Ai-1 3</t>
  </si>
  <si>
    <t>Ai-1 4</t>
  </si>
  <si>
    <t>Ai-1 5</t>
  </si>
  <si>
    <t>Ik-0 1</t>
  </si>
  <si>
    <t>Ik-0 2</t>
  </si>
  <si>
    <t>Ik-0 3</t>
  </si>
  <si>
    <t>Ik-0 4</t>
  </si>
  <si>
    <t>Ik-0 5</t>
  </si>
  <si>
    <t>Ik-1 1</t>
  </si>
  <si>
    <t>Ik-1 2</t>
  </si>
  <si>
    <t>Ik-1 3</t>
  </si>
  <si>
    <t>Ik-1 4</t>
  </si>
  <si>
    <t>Ik-1 5</t>
  </si>
  <si>
    <t>Ja-0 1</t>
  </si>
  <si>
    <t>Ja-0 2</t>
  </si>
  <si>
    <t>Ja-0 3</t>
  </si>
  <si>
    <t>Ja-0 4</t>
  </si>
  <si>
    <t>Ja-0 5</t>
  </si>
  <si>
    <t>Ja-1 1</t>
  </si>
  <si>
    <t>Ja-1 2</t>
  </si>
  <si>
    <t>Ja-1 3</t>
  </si>
  <si>
    <t>Ja-1 4</t>
  </si>
  <si>
    <t>Ja-1 5</t>
  </si>
  <si>
    <t>Jn-0 1</t>
  </si>
  <si>
    <t>Jn-0 2</t>
  </si>
  <si>
    <t>Jn-0 3</t>
  </si>
  <si>
    <t>Jn-0 4</t>
  </si>
  <si>
    <t>Jn-0 5</t>
  </si>
  <si>
    <t>Jn-1 1</t>
  </si>
  <si>
    <t>Jn-1 2</t>
  </si>
  <si>
    <t>Jn-1 3</t>
  </si>
  <si>
    <t>Jn-1 4</t>
  </si>
  <si>
    <t>Jn-1 5</t>
  </si>
  <si>
    <t>Ki-0 1</t>
  </si>
  <si>
    <t>Ki-0 2</t>
  </si>
  <si>
    <t>Ki-0 3</t>
  </si>
  <si>
    <t>Ki-0 4</t>
  </si>
  <si>
    <t>Ki-0 5</t>
  </si>
  <si>
    <t>Ki-1 1</t>
  </si>
  <si>
    <t>Ki-1 2</t>
  </si>
  <si>
    <t>Ki-1 3</t>
  </si>
  <si>
    <t>Ki-1 4</t>
  </si>
  <si>
    <t>Ki-1 5</t>
  </si>
  <si>
    <t>Ko-0 1</t>
  </si>
  <si>
    <t>Ko-0 2</t>
  </si>
  <si>
    <t>Ko-0 3</t>
  </si>
  <si>
    <t>Ko-0 4</t>
  </si>
  <si>
    <t>Ko-0 5</t>
  </si>
  <si>
    <t>Ko-1 1</t>
  </si>
  <si>
    <t>Ko-1 2</t>
  </si>
  <si>
    <t>Ko-1 3</t>
  </si>
  <si>
    <t>Ko-1 4</t>
  </si>
  <si>
    <t>Ko-1 5</t>
  </si>
  <si>
    <t>KP-0 1</t>
  </si>
  <si>
    <t>KP-0 2</t>
  </si>
  <si>
    <t>KP-0 3</t>
  </si>
  <si>
    <t>KP-0 4</t>
  </si>
  <si>
    <t>KP-0 5</t>
  </si>
  <si>
    <t>KP-1 1</t>
  </si>
  <si>
    <t>KP-1 2</t>
  </si>
  <si>
    <t>KP-1 3</t>
  </si>
  <si>
    <t>KP-1 4</t>
  </si>
  <si>
    <t>KP-1 5</t>
  </si>
  <si>
    <t>La-0 1</t>
  </si>
  <si>
    <t>La-0 2</t>
  </si>
  <si>
    <t>La-0 3</t>
  </si>
  <si>
    <t>La-0 4</t>
  </si>
  <si>
    <t>La-0 5</t>
  </si>
  <si>
    <t>La-1 1</t>
  </si>
  <si>
    <t>La-1 2</t>
  </si>
  <si>
    <t>La-1 3</t>
  </si>
  <si>
    <t>La-1 4</t>
  </si>
  <si>
    <t>La-1 5</t>
  </si>
  <si>
    <t>Li-0 1</t>
  </si>
  <si>
    <t>Li-0 2</t>
  </si>
  <si>
    <t>Li-0 3</t>
  </si>
  <si>
    <t>Li-0 4</t>
  </si>
  <si>
    <t>Li-0 5</t>
  </si>
  <si>
    <t>Li-1 1</t>
  </si>
  <si>
    <t>Li-1 2</t>
  </si>
  <si>
    <t>Li-1 3</t>
  </si>
  <si>
    <t>Li-1 4</t>
  </si>
  <si>
    <t>Li-1 5</t>
  </si>
  <si>
    <t>Mi-0 1</t>
  </si>
  <si>
    <t>Mi-0 2</t>
  </si>
  <si>
    <t>Mi-0 3</t>
  </si>
  <si>
    <t>Mi-0 4</t>
  </si>
  <si>
    <t>Mi-0 5</t>
  </si>
  <si>
    <t>Mi-1 1</t>
  </si>
  <si>
    <t>Mi-1 2</t>
  </si>
  <si>
    <t>Mi-1 3</t>
  </si>
  <si>
    <t>Mi-1 4</t>
  </si>
  <si>
    <t>Mi-1 5</t>
  </si>
  <si>
    <t>Mo-0 1</t>
  </si>
  <si>
    <t>Mo-0 2</t>
  </si>
  <si>
    <t>Mo-0 3</t>
  </si>
  <si>
    <t>Mo-0 4</t>
  </si>
  <si>
    <t>Mo-0 5</t>
  </si>
  <si>
    <t>Mo-1 1</t>
  </si>
  <si>
    <t>Mo-1 2</t>
  </si>
  <si>
    <t>Mo-1 3</t>
  </si>
  <si>
    <t>Mo-1 4</t>
  </si>
  <si>
    <t>Mo-1 5</t>
  </si>
  <si>
    <t>Mu-0 1</t>
  </si>
  <si>
    <t>Mu-0 2</t>
  </si>
  <si>
    <t>Mu-0 3</t>
  </si>
  <si>
    <t>Mu-0 4</t>
  </si>
  <si>
    <t>Mu-0 5</t>
  </si>
  <si>
    <t>Mu-1 1</t>
  </si>
  <si>
    <t>Mu-1 2</t>
  </si>
  <si>
    <t>Mu-1 3</t>
  </si>
  <si>
    <t>Mu-1 4</t>
  </si>
  <si>
    <t>Mu-1 5</t>
  </si>
  <si>
    <t>Na-0 1</t>
  </si>
  <si>
    <t>Na-0 2</t>
  </si>
  <si>
    <t>Na-0 3</t>
  </si>
  <si>
    <t>Na-0 4</t>
  </si>
  <si>
    <t>Na-0 5</t>
  </si>
  <si>
    <t>Na-1 1</t>
  </si>
  <si>
    <t>Na-1 2</t>
  </si>
  <si>
    <t>Na-1 3</t>
  </si>
  <si>
    <t>Na-1 4</t>
  </si>
  <si>
    <t>Na-1 5</t>
  </si>
  <si>
    <t>Ne-0 1</t>
  </si>
  <si>
    <t>Ne-0 2</t>
  </si>
  <si>
    <t>Ne-0 3</t>
  </si>
  <si>
    <t>Ne-0 4</t>
  </si>
  <si>
    <t>Ne-0 5</t>
  </si>
  <si>
    <t>Ne-1 1</t>
  </si>
  <si>
    <t>Ne-1 2</t>
  </si>
  <si>
    <t>Ne-1 3</t>
  </si>
  <si>
    <t>Ne-1 4</t>
  </si>
  <si>
    <t>Ne-1 5</t>
  </si>
  <si>
    <t>Ni-0 1</t>
  </si>
  <si>
    <t>Ni-0 2</t>
  </si>
  <si>
    <t>Ni-0 3</t>
  </si>
  <si>
    <t>Ni-0 4</t>
  </si>
  <si>
    <t>Ni-0 5</t>
  </si>
  <si>
    <t>Ni-1 1</t>
  </si>
  <si>
    <t>Ni-1 2</t>
  </si>
  <si>
    <t>Ni-1 3</t>
  </si>
  <si>
    <t>Ni-1 4</t>
  </si>
  <si>
    <t>Ni-1 5</t>
  </si>
  <si>
    <t>Pa-0 1</t>
  </si>
  <si>
    <t>Pa-0 2</t>
  </si>
  <si>
    <t>Pa-0 3</t>
  </si>
  <si>
    <t>Pa-0 4</t>
  </si>
  <si>
    <t>Pa-0 5</t>
  </si>
  <si>
    <t>Pa-1 1</t>
  </si>
  <si>
    <t>Pa-1 2</t>
  </si>
  <si>
    <t>Pa-1 3</t>
  </si>
  <si>
    <t>Pa-1 4</t>
  </si>
  <si>
    <t>Pa-1 5</t>
  </si>
  <si>
    <t>Pi-0 1</t>
  </si>
  <si>
    <t>Pi-0 2</t>
  </si>
  <si>
    <t>Pi-0 3</t>
  </si>
  <si>
    <t>Pi-0 4</t>
  </si>
  <si>
    <t>Pi-0 5</t>
  </si>
  <si>
    <t>Pi-1 1</t>
  </si>
  <si>
    <t>Pi-1 2</t>
  </si>
  <si>
    <t>Pi-1 3</t>
  </si>
  <si>
    <t>Pi-1 4</t>
  </si>
  <si>
    <t>Pi-1 5</t>
  </si>
  <si>
    <t>Pu-0 1</t>
  </si>
  <si>
    <t>Pu-0 2</t>
  </si>
  <si>
    <t>Pu-0 3</t>
  </si>
  <si>
    <t>Pu-0 4</t>
  </si>
  <si>
    <t>Pu-0 5</t>
  </si>
  <si>
    <t>Pu-1 1</t>
  </si>
  <si>
    <t>Pu-1 2</t>
  </si>
  <si>
    <t>Pu-1 3</t>
  </si>
  <si>
    <t>Pu-1 4</t>
  </si>
  <si>
    <t>Pu-1 5</t>
  </si>
  <si>
    <t>Si-0 1</t>
  </si>
  <si>
    <t>Si-0 2</t>
  </si>
  <si>
    <t>Si-0 3</t>
  </si>
  <si>
    <t>Si-0 4</t>
  </si>
  <si>
    <t>Si-0 5</t>
  </si>
  <si>
    <t>Si-1 1</t>
  </si>
  <si>
    <t>Si-1 2</t>
  </si>
  <si>
    <t>Si-1 3</t>
  </si>
  <si>
    <t>Si-1 4</t>
  </si>
  <si>
    <t>Si-1 5</t>
  </si>
  <si>
    <t xml:space="preserve"> cm 2</t>
  </si>
  <si>
    <t xml:space="preserve"> cm 3</t>
  </si>
  <si>
    <t xml:space="preserve"> cm 4</t>
  </si>
  <si>
    <t xml:space="preserve"> VESS  1</t>
  </si>
  <si>
    <t xml:space="preserve"> VESS  2</t>
  </si>
  <si>
    <t xml:space="preserve"> VESS  3</t>
  </si>
  <si>
    <t xml:space="preserve"> VESS  4</t>
  </si>
  <si>
    <t>Treatment</t>
  </si>
  <si>
    <t>Grazing</t>
  </si>
  <si>
    <t>Org.amendments</t>
  </si>
  <si>
    <t>Cover crops</t>
  </si>
  <si>
    <t>Diverse grass</t>
  </si>
  <si>
    <t>Ley in rotation</t>
  </si>
  <si>
    <t>Subsoiling</t>
  </si>
  <si>
    <t>All in</t>
  </si>
  <si>
    <t>Change cells A4-A7 to draw charts</t>
  </si>
  <si>
    <t>Year</t>
  </si>
  <si>
    <t>Earthworms/m2</t>
  </si>
  <si>
    <t>Water cond. mm/h</t>
  </si>
  <si>
    <t>Crop height cm</t>
  </si>
  <si>
    <t>Cholrophyll</t>
  </si>
  <si>
    <t>Average of all fields</t>
  </si>
  <si>
    <t>Site</t>
  </si>
  <si>
    <t>Chlorophyll</t>
  </si>
  <si>
    <t xml:space="preserve">Different suction in mini disk infiltrometers for years: 2019 20 mm, 2020 15 mm. </t>
  </si>
  <si>
    <t>Soil structure in different pits</t>
  </si>
  <si>
    <t>Change</t>
  </si>
  <si>
    <t>Difference</t>
  </si>
  <si>
    <t>Carbon grazing</t>
  </si>
  <si>
    <t>N-poor soil amendments</t>
  </si>
  <si>
    <t>N-rich soil amendments</t>
  </si>
  <si>
    <r>
      <t xml:space="preserve">VESS tot = </t>
    </r>
    <r>
      <rPr>
        <b/>
        <sz val="11"/>
        <color theme="1"/>
        <rFont val="Calibri"/>
        <family val="2"/>
      </rPr>
      <t>∑ (VESS*layer depth) / total depth</t>
    </r>
  </si>
  <si>
    <t>Plant height (cm)</t>
  </si>
  <si>
    <t>m(g) container</t>
  </si>
  <si>
    <t>Data spots for fitting gathered from atleaf.com convertor</t>
  </si>
  <si>
    <t>Canopeo_leaf area %</t>
  </si>
  <si>
    <t>Earthworms /m2</t>
  </si>
  <si>
    <t>Chlorphyll</t>
  </si>
  <si>
    <t>Alu container (g)</t>
  </si>
  <si>
    <t>Dry soil + alu container (g)</t>
  </si>
  <si>
    <t>Wet soil + alu container (g)</t>
  </si>
  <si>
    <t>Wet soil (g)</t>
  </si>
  <si>
    <t>Slakes Score</t>
  </si>
  <si>
    <t>Nrich vs all</t>
  </si>
  <si>
    <t>Microplate score (%)</t>
  </si>
  <si>
    <t>avg vess 1</t>
  </si>
  <si>
    <t>Plot</t>
  </si>
  <si>
    <t>Farm</t>
  </si>
  <si>
    <t>Earthworms per spade</t>
  </si>
  <si>
    <t>Volume of 3 bulk density cylinders</t>
  </si>
  <si>
    <t>l</t>
  </si>
  <si>
    <t>dm3 per 3 cylinders</t>
  </si>
  <si>
    <t xml:space="preserve">Authors: Tuomas J. Mattila, Andrei Girz. </t>
  </si>
  <si>
    <t>Finnish Environment Institute SYKE</t>
  </si>
  <si>
    <t>The following worksheets describe the ecological soil monitoring results in an experiment</t>
  </si>
  <si>
    <t xml:space="preserve">where 20 farms test carbon farming practices. The fields are monitored annually in July, using a standardized </t>
  </si>
  <si>
    <t xml:space="preserve">monitoring protocol to detect change over time. In addition to monitoring, soil samples are taken </t>
  </si>
  <si>
    <t xml:space="preserve">for monitoring nutrient status and microbiological activity. </t>
  </si>
  <si>
    <t>Graphs</t>
  </si>
  <si>
    <t>Easy way to visualize the change over time on individual farms and compare to year average.</t>
  </si>
  <si>
    <t>A summary of the results, applicable for statistical analysis.</t>
  </si>
  <si>
    <t>Sheets in orange: detailed results of different sections</t>
  </si>
  <si>
    <t>Sheets in gray: additional sheets for calculating to the summary sheet.</t>
  </si>
  <si>
    <t>Licence: Creative Commons CC 4.0 BY</t>
  </si>
  <si>
    <t>Funded by Academy of Finland Strategic Research Council project MULTA.</t>
  </si>
  <si>
    <t xml:space="preserve">Details of monitoring protocols are presented in a separate pdf. </t>
  </si>
  <si>
    <t>www.carbonaction.org</t>
  </si>
  <si>
    <t>Crop</t>
  </si>
  <si>
    <t>Area (m2)</t>
  </si>
  <si>
    <t>Fresh weight (g)</t>
  </si>
  <si>
    <t>Subsample (g)</t>
  </si>
  <si>
    <t>Dried sample + container (g)</t>
  </si>
  <si>
    <t>Biomass g/m2</t>
  </si>
  <si>
    <t>Dry-%</t>
  </si>
  <si>
    <t>Barley</t>
  </si>
  <si>
    <t>Rapeseed</t>
  </si>
  <si>
    <t>Oats</t>
  </si>
  <si>
    <t>Pasture</t>
  </si>
  <si>
    <t>Grass</t>
  </si>
  <si>
    <t>Wheat</t>
  </si>
  <si>
    <t>Rye</t>
  </si>
  <si>
    <t>Peas</t>
  </si>
  <si>
    <t>Spelt</t>
  </si>
  <si>
    <t>Soil structure by layer 2022</t>
  </si>
  <si>
    <t>Carbon Action field monitoring results for 2022</t>
  </si>
  <si>
    <t>All_2022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</si>
</sst>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0.000"/>
    <numFmt numFmtId="165" formatCode="0.0"/>
    <numFmt numFmtId="166" formatCode="_-* #,##0.0_-;\-* #,##0.0_-;_-* &quot;-&quot;??_-;_-@_-"/>
    <numFmt numFmtId="167" formatCode="_-* #,##0_-;\-* #,##0_-;_-* &quot;-&quot;??_-;_-@_-"/>
    <numFmt numFmtId="168" formatCode="_(* #,##0_);_(* \(#,##0\);_(* &quot;-&quot;??_);_(@_)"/>
    <numFmt numFmtId="169" formatCode="_-* #,##0.0000_-;\-* #,##0.0000_-;_-* &quot;-&quot;??_-;_-@_-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 tint="-0.34998626667073579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169">
    <xf numFmtId="0" fontId="0" fillId="0" borderId="0" xfId="0"/>
    <xf numFmtId="0" fontId="1" fillId="0" borderId="0" xfId="0" applyFont="1"/>
    <xf numFmtId="0" fontId="0" fillId="0" borderId="0" xfId="0" applyFill="1"/>
    <xf numFmtId="0" fontId="0" fillId="0" borderId="0" xfId="0" applyNumberFormat="1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0" xfId="0" applyFont="1" applyBorder="1"/>
    <xf numFmtId="9" fontId="0" fillId="0" borderId="0" xfId="0" applyNumberFormat="1" applyBorder="1"/>
    <xf numFmtId="1" fontId="0" fillId="0" borderId="0" xfId="0" applyNumberFormat="1"/>
    <xf numFmtId="1" fontId="0" fillId="0" borderId="8" xfId="0" applyNumberFormat="1" applyBorder="1"/>
    <xf numFmtId="1" fontId="0" fillId="0" borderId="7" xfId="0" applyNumberFormat="1" applyBorder="1"/>
    <xf numFmtId="1" fontId="0" fillId="0" borderId="0" xfId="0" applyNumberFormat="1" applyBorder="1"/>
    <xf numFmtId="0" fontId="3" fillId="0" borderId="0" xfId="0" applyFont="1"/>
    <xf numFmtId="0" fontId="0" fillId="2" borderId="4" xfId="0" applyFill="1" applyBorder="1"/>
    <xf numFmtId="0" fontId="0" fillId="0" borderId="6" xfId="0" applyBorder="1"/>
    <xf numFmtId="0" fontId="0" fillId="0" borderId="10" xfId="0" applyBorder="1"/>
    <xf numFmtId="0" fontId="1" fillId="0" borderId="11" xfId="0" applyFont="1" applyBorder="1"/>
    <xf numFmtId="0" fontId="1" fillId="0" borderId="8" xfId="0" applyFont="1" applyBorder="1"/>
    <xf numFmtId="0" fontId="1" fillId="0" borderId="12" xfId="0" applyFont="1" applyBorder="1"/>
    <xf numFmtId="0" fontId="4" fillId="0" borderId="0" xfId="0" applyFont="1"/>
    <xf numFmtId="0" fontId="0" fillId="0" borderId="11" xfId="0" applyBorder="1"/>
    <xf numFmtId="0" fontId="0" fillId="0" borderId="12" xfId="0" applyBorder="1"/>
    <xf numFmtId="0" fontId="1" fillId="0" borderId="0" xfId="0" applyFont="1" applyFill="1" applyBorder="1"/>
    <xf numFmtId="0" fontId="1" fillId="0" borderId="2" xfId="0" applyFont="1" applyBorder="1"/>
    <xf numFmtId="0" fontId="1" fillId="0" borderId="3" xfId="0" applyFont="1" applyBorder="1"/>
    <xf numFmtId="0" fontId="1" fillId="0" borderId="9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0" xfId="0" applyFont="1" applyBorder="1" applyAlignment="1">
      <alignment wrapText="1"/>
    </xf>
    <xf numFmtId="0" fontId="0" fillId="0" borderId="7" xfId="0" applyBorder="1" applyAlignment="1">
      <alignment wrapText="1"/>
    </xf>
    <xf numFmtId="0" fontId="1" fillId="0" borderId="0" xfId="0" applyFont="1" applyBorder="1"/>
    <xf numFmtId="0" fontId="5" fillId="0" borderId="0" xfId="0" applyFont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0" xfId="0" applyFont="1" applyBorder="1"/>
    <xf numFmtId="0" fontId="0" fillId="2" borderId="6" xfId="0" applyFill="1" applyBorder="1"/>
    <xf numFmtId="2" fontId="0" fillId="0" borderId="0" xfId="0" applyNumberFormat="1" applyFill="1"/>
    <xf numFmtId="9" fontId="0" fillId="0" borderId="0" xfId="1" applyFont="1" applyFill="1"/>
    <xf numFmtId="1" fontId="0" fillId="0" borderId="0" xfId="0" applyNumberFormat="1" applyFill="1"/>
    <xf numFmtId="164" fontId="0" fillId="0" borderId="0" xfId="0" applyNumberFormat="1"/>
    <xf numFmtId="165" fontId="0" fillId="0" borderId="0" xfId="0" applyNumberFormat="1"/>
    <xf numFmtId="2" fontId="0" fillId="0" borderId="0" xfId="0" applyNumberFormat="1"/>
    <xf numFmtId="0" fontId="3" fillId="0" borderId="0" xfId="0" applyFont="1" applyFill="1"/>
    <xf numFmtId="9" fontId="0" fillId="0" borderId="7" xfId="1" applyFont="1" applyBorder="1"/>
    <xf numFmtId="0" fontId="1" fillId="0" borderId="0" xfId="0" applyFont="1" applyAlignment="1">
      <alignment horizontal="center" wrapText="1"/>
    </xf>
    <xf numFmtId="0" fontId="1" fillId="0" borderId="0" xfId="0" applyFont="1" applyFill="1" applyBorder="1" applyAlignment="1">
      <alignment horizontal="center" wrapText="1"/>
    </xf>
    <xf numFmtId="165" fontId="0" fillId="0" borderId="4" xfId="0" applyNumberFormat="1" applyBorder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3" fontId="0" fillId="0" borderId="0" xfId="2" applyFont="1"/>
    <xf numFmtId="43" fontId="0" fillId="0" borderId="0" xfId="2" applyFont="1" applyBorder="1"/>
    <xf numFmtId="43" fontId="0" fillId="0" borderId="7" xfId="2" applyFont="1" applyBorder="1"/>
    <xf numFmtId="0" fontId="5" fillId="2" borderId="0" xfId="0" applyFont="1" applyFill="1"/>
    <xf numFmtId="43" fontId="0" fillId="0" borderId="8" xfId="2" applyFont="1" applyBorder="1"/>
    <xf numFmtId="9" fontId="0" fillId="0" borderId="0" xfId="1" applyFont="1"/>
    <xf numFmtId="9" fontId="0" fillId="0" borderId="0" xfId="1" applyFont="1" applyBorder="1"/>
    <xf numFmtId="9" fontId="0" fillId="0" borderId="8" xfId="1" applyFont="1" applyBorder="1"/>
    <xf numFmtId="0" fontId="7" fillId="0" borderId="0" xfId="0" applyFont="1"/>
    <xf numFmtId="0" fontId="8" fillId="0" borderId="0" xfId="0" applyFont="1"/>
    <xf numFmtId="0" fontId="7" fillId="0" borderId="2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7" fillId="0" borderId="3" xfId="0" applyFont="1" applyBorder="1" applyAlignment="1">
      <alignment wrapText="1"/>
    </xf>
    <xf numFmtId="0" fontId="8" fillId="0" borderId="4" xfId="0" applyFont="1" applyBorder="1"/>
    <xf numFmtId="43" fontId="8" fillId="0" borderId="0" xfId="2" applyFont="1"/>
    <xf numFmtId="9" fontId="8" fillId="0" borderId="0" xfId="1" applyFont="1"/>
    <xf numFmtId="0" fontId="8" fillId="0" borderId="0" xfId="0" applyFont="1" applyBorder="1"/>
    <xf numFmtId="0" fontId="8" fillId="0" borderId="5" xfId="0" applyFont="1" applyBorder="1"/>
    <xf numFmtId="43" fontId="8" fillId="0" borderId="0" xfId="2" applyFont="1" applyBorder="1"/>
    <xf numFmtId="9" fontId="8" fillId="0" borderId="0" xfId="1" applyFont="1" applyBorder="1"/>
    <xf numFmtId="0" fontId="8" fillId="0" borderId="11" xfId="0" applyFont="1" applyBorder="1"/>
    <xf numFmtId="43" fontId="8" fillId="0" borderId="8" xfId="2" applyFont="1" applyBorder="1"/>
    <xf numFmtId="9" fontId="8" fillId="0" borderId="8" xfId="1" applyFont="1" applyBorder="1"/>
    <xf numFmtId="0" fontId="8" fillId="0" borderId="12" xfId="0" applyFont="1" applyBorder="1"/>
    <xf numFmtId="0" fontId="8" fillId="0" borderId="6" xfId="0" applyFont="1" applyBorder="1"/>
    <xf numFmtId="0" fontId="8" fillId="0" borderId="7" xfId="0" applyFont="1" applyBorder="1"/>
    <xf numFmtId="43" fontId="8" fillId="0" borderId="7" xfId="2" applyFont="1" applyBorder="1"/>
    <xf numFmtId="9" fontId="8" fillId="0" borderId="7" xfId="1" applyFont="1" applyBorder="1"/>
    <xf numFmtId="0" fontId="8" fillId="0" borderId="10" xfId="0" applyFont="1" applyBorder="1"/>
    <xf numFmtId="166" fontId="0" fillId="0" borderId="0" xfId="2" applyNumberFormat="1" applyFont="1"/>
    <xf numFmtId="166" fontId="0" fillId="0" borderId="0" xfId="2" applyNumberFormat="1" applyFont="1" applyBorder="1"/>
    <xf numFmtId="166" fontId="0" fillId="0" borderId="7" xfId="2" applyNumberFormat="1" applyFont="1" applyBorder="1"/>
    <xf numFmtId="167" fontId="0" fillId="0" borderId="0" xfId="2" applyNumberFormat="1" applyFont="1"/>
    <xf numFmtId="167" fontId="0" fillId="0" borderId="0" xfId="2" applyNumberFormat="1" applyFont="1" applyBorder="1"/>
    <xf numFmtId="167" fontId="0" fillId="0" borderId="7" xfId="2" applyNumberFormat="1" applyFont="1" applyBorder="1"/>
    <xf numFmtId="9" fontId="0" fillId="0" borderId="0" xfId="0" applyNumberFormat="1"/>
    <xf numFmtId="9" fontId="0" fillId="0" borderId="7" xfId="0" applyNumberFormat="1" applyBorder="1"/>
    <xf numFmtId="165" fontId="8" fillId="0" borderId="0" xfId="0" applyNumberFormat="1" applyFont="1"/>
    <xf numFmtId="165" fontId="8" fillId="0" borderId="0" xfId="0" applyNumberFormat="1" applyFont="1" applyBorder="1"/>
    <xf numFmtId="165" fontId="8" fillId="0" borderId="8" xfId="0" applyNumberFormat="1" applyFont="1" applyBorder="1"/>
    <xf numFmtId="165" fontId="8" fillId="0" borderId="7" xfId="0" applyNumberFormat="1" applyFont="1" applyBorder="1"/>
    <xf numFmtId="1" fontId="8" fillId="0" borderId="0" xfId="0" applyNumberFormat="1" applyFont="1"/>
    <xf numFmtId="1" fontId="8" fillId="0" borderId="0" xfId="0" applyNumberFormat="1" applyFont="1" applyBorder="1"/>
    <xf numFmtId="1" fontId="8" fillId="0" borderId="8" xfId="0" applyNumberFormat="1" applyFont="1" applyBorder="1"/>
    <xf numFmtId="1" fontId="8" fillId="0" borderId="7" xfId="0" applyNumberFormat="1" applyFont="1" applyBorder="1"/>
    <xf numFmtId="165" fontId="0" fillId="0" borderId="6" xfId="0" applyNumberFormat="1" applyBorder="1"/>
    <xf numFmtId="165" fontId="0" fillId="0" borderId="7" xfId="0" applyNumberFormat="1" applyBorder="1"/>
    <xf numFmtId="165" fontId="1" fillId="0" borderId="4" xfId="0" applyNumberFormat="1" applyFont="1" applyBorder="1"/>
    <xf numFmtId="165" fontId="1" fillId="0" borderId="0" xfId="0" applyNumberFormat="1" applyFont="1" applyBorder="1"/>
    <xf numFmtId="165" fontId="1" fillId="0" borderId="6" xfId="0" applyNumberFormat="1" applyFont="1" applyBorder="1"/>
    <xf numFmtId="165" fontId="1" fillId="0" borderId="7" xfId="0" applyNumberFormat="1" applyFont="1" applyBorder="1"/>
    <xf numFmtId="166" fontId="0" fillId="0" borderId="8" xfId="2" applyNumberFormat="1" applyFont="1" applyBorder="1"/>
    <xf numFmtId="167" fontId="0" fillId="0" borderId="8" xfId="2" applyNumberFormat="1" applyFont="1" applyBorder="1"/>
    <xf numFmtId="1" fontId="0" fillId="0" borderId="0" xfId="1" applyNumberFormat="1" applyFont="1"/>
    <xf numFmtId="9" fontId="1" fillId="0" borderId="1" xfId="1" applyFont="1" applyBorder="1" applyAlignment="1">
      <alignment wrapText="1"/>
    </xf>
    <xf numFmtId="166" fontId="1" fillId="0" borderId="1" xfId="2" applyNumberFormat="1" applyFont="1" applyBorder="1" applyAlignment="1">
      <alignment wrapText="1"/>
    </xf>
    <xf numFmtId="167" fontId="1" fillId="0" borderId="1" xfId="2" applyNumberFormat="1" applyFont="1" applyBorder="1" applyAlignment="1">
      <alignment wrapText="1"/>
    </xf>
    <xf numFmtId="43" fontId="1" fillId="0" borderId="1" xfId="2" applyFont="1" applyBorder="1"/>
    <xf numFmtId="43" fontId="3" fillId="0" borderId="0" xfId="2" applyFont="1"/>
    <xf numFmtId="0" fontId="1" fillId="3" borderId="0" xfId="0" applyFont="1" applyFill="1"/>
    <xf numFmtId="0" fontId="0" fillId="3" borderId="0" xfId="0" applyFill="1"/>
    <xf numFmtId="0" fontId="1" fillId="3" borderId="2" xfId="0" applyFont="1" applyFill="1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0" fillId="3" borderId="4" xfId="0" applyFill="1" applyBorder="1"/>
    <xf numFmtId="0" fontId="0" fillId="3" borderId="0" xfId="0" applyFill="1" applyBorder="1"/>
    <xf numFmtId="0" fontId="3" fillId="3" borderId="0" xfId="0" applyFont="1" applyFill="1" applyBorder="1"/>
    <xf numFmtId="0" fontId="3" fillId="3" borderId="4" xfId="0" applyFont="1" applyFill="1" applyBorder="1"/>
    <xf numFmtId="0" fontId="0" fillId="3" borderId="7" xfId="0" applyFill="1" applyBorder="1"/>
    <xf numFmtId="0" fontId="0" fillId="4" borderId="0" xfId="0" applyFill="1"/>
    <xf numFmtId="0" fontId="1" fillId="4" borderId="0" xfId="0" applyFont="1" applyFill="1"/>
    <xf numFmtId="0" fontId="1" fillId="4" borderId="1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0" fillId="4" borderId="0" xfId="0" applyFill="1" applyBorder="1"/>
    <xf numFmtId="9" fontId="0" fillId="4" borderId="0" xfId="0" applyNumberFormat="1" applyFill="1" applyBorder="1"/>
    <xf numFmtId="9" fontId="0" fillId="4" borderId="5" xfId="1" applyFont="1" applyFill="1" applyBorder="1"/>
    <xf numFmtId="0" fontId="3" fillId="4" borderId="0" xfId="0" applyFont="1" applyFill="1" applyBorder="1"/>
    <xf numFmtId="0" fontId="0" fillId="4" borderId="7" xfId="0" applyFill="1" applyBorder="1"/>
    <xf numFmtId="0" fontId="0" fillId="5" borderId="0" xfId="0" applyFill="1"/>
    <xf numFmtId="0" fontId="9" fillId="0" borderId="0" xfId="3"/>
    <xf numFmtId="2" fontId="0" fillId="0" borderId="4" xfId="0" applyNumberFormat="1" applyBorder="1"/>
    <xf numFmtId="164" fontId="0" fillId="0" borderId="4" xfId="0" applyNumberFormat="1" applyBorder="1"/>
    <xf numFmtId="10" fontId="0" fillId="0" borderId="0" xfId="1" applyNumberFormat="1" applyFont="1"/>
    <xf numFmtId="2" fontId="0" fillId="0" borderId="0" xfId="0" applyNumberFormat="1" applyBorder="1"/>
    <xf numFmtId="164" fontId="0" fillId="0" borderId="0" xfId="0" applyNumberFormat="1" applyBorder="1"/>
    <xf numFmtId="0" fontId="0" fillId="3" borderId="6" xfId="0" applyFill="1" applyBorder="1"/>
    <xf numFmtId="2" fontId="0" fillId="4" borderId="0" xfId="0" applyNumberFormat="1" applyFill="1" applyBorder="1"/>
    <xf numFmtId="2" fontId="0" fillId="4" borderId="7" xfId="0" applyNumberFormat="1" applyFill="1" applyBorder="1"/>
    <xf numFmtId="0" fontId="0" fillId="6" borderId="0" xfId="0" applyFill="1"/>
    <xf numFmtId="168" fontId="0" fillId="6" borderId="0" xfId="2" applyNumberFormat="1" applyFont="1" applyFill="1"/>
    <xf numFmtId="9" fontId="0" fillId="6" borderId="0" xfId="1" applyFont="1" applyFill="1"/>
    <xf numFmtId="0" fontId="0" fillId="7" borderId="0" xfId="0" applyFill="1"/>
    <xf numFmtId="168" fontId="0" fillId="7" borderId="0" xfId="2" applyNumberFormat="1" applyFont="1" applyFill="1"/>
    <xf numFmtId="43" fontId="0" fillId="3" borderId="0" xfId="2" applyFont="1" applyFill="1"/>
    <xf numFmtId="43" fontId="1" fillId="3" borderId="1" xfId="2" applyFont="1" applyFill="1" applyBorder="1" applyAlignment="1">
      <alignment wrapText="1"/>
    </xf>
    <xf numFmtId="9" fontId="0" fillId="3" borderId="0" xfId="1" applyFont="1" applyFill="1"/>
    <xf numFmtId="9" fontId="1" fillId="3" borderId="3" xfId="1" applyFont="1" applyFill="1" applyBorder="1" applyAlignment="1">
      <alignment wrapText="1"/>
    </xf>
    <xf numFmtId="9" fontId="0" fillId="3" borderId="5" xfId="1" applyFont="1" applyFill="1" applyBorder="1"/>
    <xf numFmtId="9" fontId="3" fillId="3" borderId="5" xfId="1" applyFont="1" applyFill="1" applyBorder="1"/>
    <xf numFmtId="9" fontId="0" fillId="3" borderId="0" xfId="1" applyFont="1" applyFill="1" applyBorder="1"/>
    <xf numFmtId="9" fontId="0" fillId="3" borderId="7" xfId="1" applyFont="1" applyFill="1" applyBorder="1"/>
    <xf numFmtId="167" fontId="1" fillId="0" borderId="1" xfId="2" applyNumberFormat="1" applyFont="1" applyBorder="1"/>
    <xf numFmtId="0" fontId="0" fillId="0" borderId="0" xfId="0"/>
    <xf numFmtId="10" fontId="0" fillId="0" borderId="1" xfId="1" applyNumberFormat="1" applyFont="1" applyBorder="1"/>
    <xf numFmtId="10" fontId="0" fillId="0" borderId="3" xfId="1" applyNumberFormat="1" applyFont="1" applyBorder="1"/>
    <xf numFmtId="169" fontId="0" fillId="0" borderId="0" xfId="2" applyNumberFormat="1" applyFont="1"/>
    <xf numFmtId="43" fontId="1" fillId="0" borderId="0" xfId="0" applyNumberFormat="1" applyFont="1"/>
    <xf numFmtId="0" fontId="0" fillId="0" borderId="0" xfId="0" applyFill="1" applyBorder="1"/>
    <xf numFmtId="0" fontId="0" fillId="3" borderId="0" xfId="2" applyNumberFormat="1" applyFont="1" applyFill="1" applyBorder="1"/>
    <xf numFmtId="168" fontId="3" fillId="3" borderId="0" xfId="2" applyNumberFormat="1" applyFont="1" applyFill="1" applyBorder="1"/>
    <xf numFmtId="0" fontId="3" fillId="3" borderId="0" xfId="2" applyNumberFormat="1" applyFont="1" applyFill="1" applyBorder="1"/>
    <xf numFmtId="168" fontId="0" fillId="3" borderId="0" xfId="2" applyNumberFormat="1" applyFont="1" applyFill="1" applyBorder="1"/>
    <xf numFmtId="168" fontId="0" fillId="3" borderId="7" xfId="2" applyNumberFormat="1" applyFont="1" applyFill="1" applyBorder="1"/>
    <xf numFmtId="0" fontId="0" fillId="0" borderId="7" xfId="0" applyBorder="1" applyAlignment="1">
      <alignment horizontal="center"/>
    </xf>
  </cellXfs>
  <cellStyles count="4">
    <cellStyle name="Comma" xfId="2" builtinId="3"/>
    <cellStyle name="Hyperlink" xfId="3" builtinId="8"/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E49F15"/>
      <color rgb="FF798F3A"/>
      <color rgb="FF10808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i-FI">
                <a:solidFill>
                  <a:schemeClr val="tx1"/>
                </a:solidFill>
              </a:rPr>
              <a:t>Porosity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Graphs!$A$4</c:f>
              <c:strCache>
                <c:ptCount val="1"/>
                <c:pt idx="0">
                  <c:v>Ai-0</c:v>
                </c:pt>
              </c:strCache>
            </c:strRef>
          </c:tx>
          <c:spPr>
            <a:solidFill>
              <a:srgbClr val="108082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numRef>
              <c:f>Graphs!$B$4:$B$7</c:f>
              <c:numCache>
                <c:formatCode>General</c:formatCode>
                <c:ptCount val="4"/>
                <c:pt idx="0">
                  <c:v>2022</c:v>
                </c:pt>
                <c:pt idx="1">
                  <c:v>2021</c:v>
                </c:pt>
                <c:pt idx="2">
                  <c:v>2020</c:v>
                </c:pt>
                <c:pt idx="3">
                  <c:v>2019</c:v>
                </c:pt>
              </c:numCache>
            </c:numRef>
          </c:cat>
          <c:val>
            <c:numRef>
              <c:f>Graphs!$D$4:$D$7</c:f>
              <c:numCache>
                <c:formatCode>0%</c:formatCode>
                <c:ptCount val="4"/>
                <c:pt idx="0">
                  <c:v>0.49225569255745971</c:v>
                </c:pt>
                <c:pt idx="1">
                  <c:v>0.47883270440251569</c:v>
                </c:pt>
                <c:pt idx="2">
                  <c:v>0.53112123183691173</c:v>
                </c:pt>
                <c:pt idx="3">
                  <c:v>0.47682273468436986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F-068E-49AC-A619-D534B3E358A5}"/>
            </c:ext>
          </c:extLst>
        </c:ser>
        <c:ser>
          <c:idx val="1"/>
          <c:order val="1"/>
          <c:tx>
            <c:strRef>
              <c:f>Graphs!$A$8</c:f>
              <c:strCache>
                <c:ptCount val="1"/>
                <c:pt idx="0">
                  <c:v>Ai-1</c:v>
                </c:pt>
              </c:strCache>
            </c:strRef>
          </c:tx>
          <c:spPr>
            <a:pattFill prst="pct2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cat>
            <c:numRef>
              <c:f>Graphs!$B$4:$B$7</c:f>
              <c:numCache>
                <c:formatCode>General</c:formatCode>
                <c:ptCount val="4"/>
                <c:pt idx="0">
                  <c:v>2022</c:v>
                </c:pt>
                <c:pt idx="1">
                  <c:v>2021</c:v>
                </c:pt>
                <c:pt idx="2">
                  <c:v>2020</c:v>
                </c:pt>
                <c:pt idx="3">
                  <c:v>2019</c:v>
                </c:pt>
              </c:numCache>
            </c:numRef>
          </c:cat>
          <c:val>
            <c:numRef>
              <c:f>Graphs!$D$8:$D$11</c:f>
              <c:numCache>
                <c:formatCode>0%</c:formatCode>
                <c:ptCount val="4"/>
                <c:pt idx="0">
                  <c:v>0.50368682117450025</c:v>
                </c:pt>
                <c:pt idx="1">
                  <c:v>0.53728805031446536</c:v>
                </c:pt>
                <c:pt idx="2">
                  <c:v>0.5573194534808068</c:v>
                </c:pt>
                <c:pt idx="3">
                  <c:v>0.54157931516422075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1-068E-49AC-A619-D534B3E358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360248159"/>
        <c:axId val="235903807"/>
      </c:barChart>
      <c:scatterChart>
        <c:scatterStyle val="lineMarker"/>
        <c:varyColors val="0"/>
        <c:ser>
          <c:idx val="2"/>
          <c:order val="2"/>
          <c:tx>
            <c:v>— Year average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errBars>
            <c:errDir val="x"/>
            <c:errBarType val="minus"/>
            <c:errValType val="fixedVal"/>
            <c:noEndCap val="1"/>
            <c:val val="0.24000000000000002"/>
            <c:spPr>
              <a:ln w="15875">
                <a:solidFill>
                  <a:schemeClr val="tx1"/>
                </a:solidFill>
              </a:ln>
            </c:spPr>
          </c:errBars>
          <c:yVal>
            <c:numRef>
              <c:f>Graphs!$X$4:$X$6</c:f>
              <c:numCache>
                <c:formatCode>0%</c:formatCode>
                <c:ptCount val="3"/>
                <c:pt idx="0">
                  <c:v>0.62694381631605178</c:v>
                </c:pt>
                <c:pt idx="1">
                  <c:v>0.58876769281694796</c:v>
                </c:pt>
                <c:pt idx="2">
                  <c:v>0.61824196144231747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33-068E-49AC-A619-D534B3E358A5}"/>
            </c:ext>
          </c:extLst>
        </c:ser>
        <c:ser>
          <c:idx val="3"/>
          <c:order val="3"/>
          <c:tx>
            <c:v>— 1-keskiarvo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35-068E-49AC-A619-D534B3E358A5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1-0D88-4118-B949-46CF65C14C47}"/>
              </c:ext>
            </c:extLst>
          </c:dPt>
          <c:errBars>
            <c:errDir val="x"/>
            <c:errBarType val="plus"/>
            <c:errValType val="fixedVal"/>
            <c:noEndCap val="1"/>
            <c:val val="0.24000000000000002"/>
            <c:spPr>
              <a:ln w="15875">
                <a:solidFill>
                  <a:schemeClr val="tx1">
                    <a:alpha val="96000"/>
                  </a:schemeClr>
                </a:solidFill>
              </a:ln>
            </c:spPr>
          </c:errBars>
          <c:yVal>
            <c:numRef>
              <c:f>Graphs!$X$8:$X$10</c:f>
              <c:numCache>
                <c:formatCode>0%</c:formatCode>
                <c:ptCount val="3"/>
                <c:pt idx="0">
                  <c:v>0.6344769000454471</c:v>
                </c:pt>
                <c:pt idx="1">
                  <c:v>0.59737459119496861</c:v>
                </c:pt>
                <c:pt idx="2">
                  <c:v>0.62297174297311186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37-068E-49AC-A619-D534B3E358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0248159"/>
        <c:axId val="235903807"/>
      </c:scatterChart>
      <c:catAx>
        <c:axId val="360248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235903807"/>
        <c:crosses val="autoZero"/>
        <c:auto val="1"/>
        <c:lblAlgn val="ctr"/>
        <c:lblOffset val="100"/>
        <c:noMultiLvlLbl val="0"/>
      </c:catAx>
      <c:valAx>
        <c:axId val="235903807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360248159"/>
        <c:crosses val="autoZero"/>
        <c:crossBetween val="between"/>
        <c:majorUnit val="0.2"/>
      </c:valAx>
    </c:plotArea>
    <c:legend>
      <c:legendPos val="b"/>
      <c:legendEntry>
        <c:idx val="3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fi-FI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i-FI">
                <a:solidFill>
                  <a:schemeClr val="tx1"/>
                </a:solidFill>
              </a:rPr>
              <a:t>Bulk density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Graphs!$A$4</c:f>
              <c:strCache>
                <c:ptCount val="1"/>
                <c:pt idx="0">
                  <c:v>Ai-0</c:v>
                </c:pt>
              </c:strCache>
            </c:strRef>
          </c:tx>
          <c:spPr>
            <a:solidFill>
              <a:srgbClr val="108082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numRef>
              <c:f>Graphs!$B$4:$B$7</c:f>
              <c:numCache>
                <c:formatCode>General</c:formatCode>
                <c:ptCount val="4"/>
                <c:pt idx="0">
                  <c:v>2022</c:v>
                </c:pt>
                <c:pt idx="1">
                  <c:v>2021</c:v>
                </c:pt>
                <c:pt idx="2">
                  <c:v>2020</c:v>
                </c:pt>
                <c:pt idx="3">
                  <c:v>2019</c:v>
                </c:pt>
              </c:numCache>
            </c:numRef>
          </c:cat>
          <c:val>
            <c:numRef>
              <c:f>Graphs!$C$4:$C$7</c:f>
              <c:numCache>
                <c:formatCode>_(* #,##0.00_);_(* \(#,##0.00\);_(* "-"??_);_(@_)</c:formatCode>
                <c:ptCount val="4"/>
                <c:pt idx="0">
                  <c:v>1.3455224147227316</c:v>
                </c:pt>
                <c:pt idx="1">
                  <c:v>1.3810933333333333</c:v>
                </c:pt>
                <c:pt idx="2">
                  <c:v>1.2425287356321839</c:v>
                </c:pt>
                <c:pt idx="3">
                  <c:v>1.3864197530864197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AED1-4EE2-A121-3A4DC65BA029}"/>
            </c:ext>
          </c:extLst>
        </c:ser>
        <c:ser>
          <c:idx val="1"/>
          <c:order val="1"/>
          <c:tx>
            <c:strRef>
              <c:f>Graphs!$A$8</c:f>
              <c:strCache>
                <c:ptCount val="1"/>
                <c:pt idx="0">
                  <c:v>Ai-1</c:v>
                </c:pt>
              </c:strCache>
            </c:strRef>
          </c:tx>
          <c:spPr>
            <a:pattFill prst="pct2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cat>
            <c:numRef>
              <c:f>Graphs!$B$4:$B$7</c:f>
              <c:numCache>
                <c:formatCode>General</c:formatCode>
                <c:ptCount val="4"/>
                <c:pt idx="0">
                  <c:v>2022</c:v>
                </c:pt>
                <c:pt idx="1">
                  <c:v>2021</c:v>
                </c:pt>
                <c:pt idx="2">
                  <c:v>2020</c:v>
                </c:pt>
                <c:pt idx="3">
                  <c:v>2019</c:v>
                </c:pt>
              </c:numCache>
            </c:numRef>
          </c:cat>
          <c:val>
            <c:numRef>
              <c:f>Graphs!$C$8:$C$11</c:f>
              <c:numCache>
                <c:formatCode>_(* #,##0.00_);_(* \(#,##0.00\);_(* "-"??_);_(@_)</c:formatCode>
                <c:ptCount val="4"/>
                <c:pt idx="0">
                  <c:v>1.3152299238875744</c:v>
                </c:pt>
                <c:pt idx="1">
                  <c:v>1.2261866666666668</c:v>
                </c:pt>
                <c:pt idx="2">
                  <c:v>1.173103448275862</c:v>
                </c:pt>
                <c:pt idx="3">
                  <c:v>1.2148148148148148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AED1-4EE2-A121-3A4DC65BA0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360248159"/>
        <c:axId val="235903807"/>
      </c:barChart>
      <c:scatterChart>
        <c:scatterStyle val="lineMarker"/>
        <c:varyColors val="0"/>
        <c:ser>
          <c:idx val="2"/>
          <c:order val="2"/>
          <c:tx>
            <c:v>— Year average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errBars>
            <c:errDir val="x"/>
            <c:errBarType val="minus"/>
            <c:errValType val="fixedVal"/>
            <c:noEndCap val="1"/>
            <c:val val="0.24000000000000002"/>
            <c:spPr>
              <a:ln w="15875">
                <a:solidFill>
                  <a:schemeClr val="tx1"/>
                </a:solidFill>
              </a:ln>
            </c:spPr>
          </c:errBars>
          <c:yVal>
            <c:numRef>
              <c:f>Graphs!$V$4:$V$6</c:f>
              <c:numCache>
                <c:formatCode>_(* #,##0.00_);_(* \(#,##0.00\);_(* "-"??_);_(@_)</c:formatCode>
                <c:ptCount val="3"/>
                <c:pt idx="0">
                  <c:v>0.98859888676246244</c:v>
                </c:pt>
                <c:pt idx="1">
                  <c:v>1.0897656140350875</c:v>
                </c:pt>
                <c:pt idx="2">
                  <c:v>1.0116588021778585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AED1-4EE2-A121-3A4DC65BA029}"/>
            </c:ext>
          </c:extLst>
        </c:ser>
        <c:ser>
          <c:idx val="3"/>
          <c:order val="3"/>
          <c:spPr>
            <a:ln w="25400" cap="rnd">
              <a:noFill/>
              <a:round/>
            </a:ln>
            <a:effectLst/>
          </c:spPr>
          <c:marker>
            <c:symbol val="none"/>
          </c:marke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D-AED1-4EE2-A121-3A4DC65BA029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1-7C58-4EED-A668-51FE60FE5618}"/>
              </c:ext>
            </c:extLst>
          </c:dPt>
          <c:errBars>
            <c:errDir val="x"/>
            <c:errBarType val="plus"/>
            <c:errValType val="fixedVal"/>
            <c:noEndCap val="1"/>
            <c:val val="0.24000000000000002"/>
            <c:spPr>
              <a:ln w="15875">
                <a:solidFill>
                  <a:schemeClr val="tx1">
                    <a:alpha val="96000"/>
                  </a:schemeClr>
                </a:solidFill>
              </a:ln>
            </c:spPr>
          </c:errBars>
          <c:yVal>
            <c:numRef>
              <c:f>Graphs!$V$8:$V$11</c:f>
              <c:numCache>
                <c:formatCode>_(* #,##0.00_);_(* \(#,##0.00\);_(* "-"??_);_(@_)</c:formatCode>
                <c:ptCount val="4"/>
                <c:pt idx="0">
                  <c:v>0.96863621487956519</c:v>
                </c:pt>
                <c:pt idx="1">
                  <c:v>1.0669573333333333</c:v>
                </c:pt>
                <c:pt idx="2">
                  <c:v>0.99912488112125375</c:v>
                </c:pt>
                <c:pt idx="3">
                  <c:v>1.0245990748387277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AED1-4EE2-A121-3A4DC65BA0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0248159"/>
        <c:axId val="235903807"/>
      </c:scatterChart>
      <c:catAx>
        <c:axId val="360248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235903807"/>
        <c:crosses val="autoZero"/>
        <c:auto val="1"/>
        <c:lblAlgn val="ctr"/>
        <c:lblOffset val="100"/>
        <c:noMultiLvlLbl val="0"/>
      </c:catAx>
      <c:valAx>
        <c:axId val="235903807"/>
        <c:scaling>
          <c:orientation val="minMax"/>
          <c:max val="1.6"/>
          <c:min val="0.4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i-FI">
                    <a:solidFill>
                      <a:schemeClr val="tx1"/>
                    </a:solidFill>
                  </a:rPr>
                  <a:t>kg/l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360248159"/>
        <c:crosses val="autoZero"/>
        <c:crossBetween val="between"/>
        <c:majorUnit val="0.2"/>
      </c:valAx>
    </c:plotArea>
    <c:legend>
      <c:legendPos val="b"/>
      <c:legendEntry>
        <c:idx val="3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fi-FI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i-FI">
                <a:solidFill>
                  <a:schemeClr val="tx1"/>
                </a:solidFill>
              </a:rPr>
              <a:t>Above ground biomass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Graphs!$A$4</c:f>
              <c:strCache>
                <c:ptCount val="1"/>
                <c:pt idx="0">
                  <c:v>Ai-0</c:v>
                </c:pt>
              </c:strCache>
            </c:strRef>
          </c:tx>
          <c:spPr>
            <a:solidFill>
              <a:srgbClr val="798F3A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numRef>
              <c:f>Graphs!$B$4:$B$7</c:f>
              <c:numCache>
                <c:formatCode>General</c:formatCode>
                <c:ptCount val="4"/>
                <c:pt idx="0">
                  <c:v>2022</c:v>
                </c:pt>
                <c:pt idx="1">
                  <c:v>2021</c:v>
                </c:pt>
                <c:pt idx="2">
                  <c:v>2020</c:v>
                </c:pt>
                <c:pt idx="3">
                  <c:v>2019</c:v>
                </c:pt>
              </c:numCache>
            </c:numRef>
          </c:cat>
          <c:val>
            <c:numRef>
              <c:f>Graphs!$E$4:$E$7</c:f>
              <c:numCache>
                <c:formatCode>_-* #\ ##0_-;\-* #\ ##0_-;_-* "-"??_-;_-@_-</c:formatCode>
                <c:ptCount val="4"/>
                <c:pt idx="0">
                  <c:v>1342.9888084265965</c:v>
                </c:pt>
                <c:pt idx="1">
                  <c:v>332.54141667602693</c:v>
                </c:pt>
                <c:pt idx="2">
                  <c:v>3040.1169882051004</c:v>
                </c:pt>
                <c:pt idx="3">
                  <c:v>6202.5669642857147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AB66-407F-9DFA-36312EB47E62}"/>
            </c:ext>
          </c:extLst>
        </c:ser>
        <c:ser>
          <c:idx val="1"/>
          <c:order val="1"/>
          <c:tx>
            <c:strRef>
              <c:f>Graphs!$A$8</c:f>
              <c:strCache>
                <c:ptCount val="1"/>
                <c:pt idx="0">
                  <c:v>Ai-1</c:v>
                </c:pt>
              </c:strCache>
            </c:strRef>
          </c:tx>
          <c:spPr>
            <a:pattFill prst="pct2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cat>
            <c:numRef>
              <c:f>Graphs!$B$4:$B$7</c:f>
              <c:numCache>
                <c:formatCode>General</c:formatCode>
                <c:ptCount val="4"/>
                <c:pt idx="0">
                  <c:v>2022</c:v>
                </c:pt>
                <c:pt idx="1">
                  <c:v>2021</c:v>
                </c:pt>
                <c:pt idx="2">
                  <c:v>2020</c:v>
                </c:pt>
                <c:pt idx="3">
                  <c:v>2019</c:v>
                </c:pt>
              </c:numCache>
            </c:numRef>
          </c:cat>
          <c:val>
            <c:numRef>
              <c:f>Graphs!$E$8:$E$11</c:f>
              <c:numCache>
                <c:formatCode>_-* #\ ##0_-;\-* #\ ##0_-;_-* "-"??_-;_-@_-</c:formatCode>
                <c:ptCount val="4"/>
                <c:pt idx="0">
                  <c:v>6316.1496564202071</c:v>
                </c:pt>
                <c:pt idx="1">
                  <c:v>542.07100162137328</c:v>
                </c:pt>
                <c:pt idx="2">
                  <c:v>5773.2136596647615</c:v>
                </c:pt>
                <c:pt idx="3">
                  <c:v>4140.672782874618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9-AB66-407F-9DFA-36312EB47E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360248159"/>
        <c:axId val="235903807"/>
      </c:barChart>
      <c:scatterChart>
        <c:scatterStyle val="lineMarker"/>
        <c:varyColors val="0"/>
        <c:ser>
          <c:idx val="2"/>
          <c:order val="2"/>
          <c:tx>
            <c:v>__ Year average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errBars>
            <c:errDir val="x"/>
            <c:errBarType val="minus"/>
            <c:errValType val="fixedVal"/>
            <c:noEndCap val="1"/>
            <c:val val="0.24000000000000002"/>
            <c:spPr>
              <a:noFill/>
              <a:ln w="15875" cap="flat" cmpd="sng" algn="ctr">
                <a:solidFill>
                  <a:schemeClr val="tx1"/>
                </a:solidFill>
                <a:round/>
              </a:ln>
              <a:effectLst/>
            </c:spPr>
          </c:errBars>
          <c:yVal>
            <c:numRef>
              <c:f>Graphs!$Z$4:$Z$6</c:f>
              <c:numCache>
                <c:formatCode>0</c:formatCode>
                <c:ptCount val="3"/>
                <c:pt idx="0">
                  <c:v>3229.7424269096027</c:v>
                </c:pt>
                <c:pt idx="1">
                  <c:v>4035.3265415163914</c:v>
                </c:pt>
                <c:pt idx="2">
                  <c:v>3609.8921211358465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B-AB66-407F-9DFA-36312EB47E62}"/>
            </c:ext>
          </c:extLst>
        </c:ser>
        <c:ser>
          <c:idx val="3"/>
          <c:order val="3"/>
          <c:spPr>
            <a:ln w="25400" cap="rnd">
              <a:noFill/>
              <a:round/>
            </a:ln>
            <a:effectLst/>
          </c:spPr>
          <c:marker>
            <c:symbol val="none"/>
          </c:marke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1D-AB66-407F-9DFA-36312EB47E62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1-5CB4-43CA-ABD8-443B5EA1BE44}"/>
              </c:ext>
            </c:extLst>
          </c:dPt>
          <c:errBars>
            <c:errDir val="x"/>
            <c:errBarType val="plus"/>
            <c:errValType val="fixedVal"/>
            <c:noEndCap val="1"/>
            <c:val val="0.24000000000000002"/>
            <c:spPr>
              <a:noFill/>
              <a:ln w="15875" cap="flat" cmpd="sng" algn="ctr">
                <a:solidFill>
                  <a:schemeClr val="tx1">
                    <a:alpha val="96000"/>
                  </a:schemeClr>
                </a:solidFill>
                <a:round/>
              </a:ln>
              <a:effectLst/>
            </c:spPr>
          </c:errBars>
          <c:yVal>
            <c:numRef>
              <c:f>Graphs!$Z$8:$Z$10</c:f>
              <c:numCache>
                <c:formatCode>0</c:formatCode>
                <c:ptCount val="3"/>
                <c:pt idx="0">
                  <c:v>4677.8446462287675</c:v>
                </c:pt>
                <c:pt idx="1">
                  <c:v>4087.0122227976985</c:v>
                </c:pt>
                <c:pt idx="2">
                  <c:v>3396.0409528461914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F-AB66-407F-9DFA-36312EB47E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0248159"/>
        <c:axId val="235903807"/>
      </c:scatterChart>
      <c:catAx>
        <c:axId val="360248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235903807"/>
        <c:crosses val="autoZero"/>
        <c:auto val="1"/>
        <c:lblAlgn val="ctr"/>
        <c:lblOffset val="100"/>
        <c:noMultiLvlLbl val="0"/>
      </c:catAx>
      <c:valAx>
        <c:axId val="2359038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i-FI">
                    <a:solidFill>
                      <a:schemeClr val="tx1"/>
                    </a:solidFill>
                  </a:rPr>
                  <a:t>kg/ha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360248159"/>
        <c:crosses val="autoZero"/>
        <c:crossBetween val="between"/>
      </c:valAx>
    </c:plotArea>
    <c:legend>
      <c:legendPos val="b"/>
      <c:legendEntry>
        <c:idx val="3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fi-FI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i-FI">
                <a:solidFill>
                  <a:schemeClr val="tx1"/>
                </a:solidFill>
              </a:rPr>
              <a:t>VESS tot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Graphs!$A$4</c:f>
              <c:strCache>
                <c:ptCount val="1"/>
                <c:pt idx="0">
                  <c:v>Ai-0</c:v>
                </c:pt>
              </c:strCache>
            </c:strRef>
          </c:tx>
          <c:spPr>
            <a:solidFill>
              <a:srgbClr val="108082"/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Graphs!$G$4:$G$6</c:f>
                <c:numCache>
                  <c:formatCode>General</c:formatCode>
                  <c:ptCount val="3"/>
                  <c:pt idx="0">
                    <c:v>0.57469027731398148</c:v>
                  </c:pt>
                  <c:pt idx="1">
                    <c:v>0.58024497068302205</c:v>
                  </c:pt>
                  <c:pt idx="2">
                    <c:v>0.36644087456711777</c:v>
                  </c:pt>
                </c:numCache>
              </c:numRef>
            </c:plus>
            <c:minus>
              <c:numRef>
                <c:f>Graphs!$G$4:$G$6</c:f>
                <c:numCache>
                  <c:formatCode>General</c:formatCode>
                  <c:ptCount val="3"/>
                  <c:pt idx="0">
                    <c:v>0.57469027731398148</c:v>
                  </c:pt>
                  <c:pt idx="1">
                    <c:v>0.58024497068302205</c:v>
                  </c:pt>
                  <c:pt idx="2">
                    <c:v>0.36644087456711777</c:v>
                  </c:pt>
                </c:numCache>
              </c:numRef>
            </c:minus>
          </c:errBars>
          <c:cat>
            <c:numRef>
              <c:f>Graphs!$B$4:$B$7</c:f>
              <c:numCache>
                <c:formatCode>General</c:formatCode>
                <c:ptCount val="4"/>
                <c:pt idx="0">
                  <c:v>2022</c:v>
                </c:pt>
                <c:pt idx="1">
                  <c:v>2021</c:v>
                </c:pt>
                <c:pt idx="2">
                  <c:v>2020</c:v>
                </c:pt>
                <c:pt idx="3">
                  <c:v>2019</c:v>
                </c:pt>
              </c:numCache>
            </c:numRef>
          </c:cat>
          <c:val>
            <c:numRef>
              <c:f>Graphs!$F$4:$F$7</c:f>
              <c:numCache>
                <c:formatCode>_-* #\ ##0.0_-;\-* #\ ##0.0_-;_-* "-"??_-;_-@_-</c:formatCode>
                <c:ptCount val="4"/>
                <c:pt idx="0">
                  <c:v>3.2118996415770611</c:v>
                </c:pt>
                <c:pt idx="1">
                  <c:v>3.540289855072464</c:v>
                </c:pt>
                <c:pt idx="2">
                  <c:v>2.8603994705943734</c:v>
                </c:pt>
                <c:pt idx="3">
                  <c:v>2.9955723905723906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9C97-4A6A-89E9-C9EDE6D0A94E}"/>
            </c:ext>
          </c:extLst>
        </c:ser>
        <c:ser>
          <c:idx val="1"/>
          <c:order val="1"/>
          <c:tx>
            <c:strRef>
              <c:f>Graphs!$A$8</c:f>
              <c:strCache>
                <c:ptCount val="1"/>
                <c:pt idx="0">
                  <c:v>Ai-1</c:v>
                </c:pt>
              </c:strCache>
            </c:strRef>
          </c:tx>
          <c:spPr>
            <a:pattFill prst="pct2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Graphs!$G$8:$G$10</c:f>
                <c:numCache>
                  <c:formatCode>General</c:formatCode>
                  <c:ptCount val="3"/>
                  <c:pt idx="0">
                    <c:v>0.18026855841509445</c:v>
                  </c:pt>
                  <c:pt idx="1">
                    <c:v>0.32191738293077493</c:v>
                  </c:pt>
                  <c:pt idx="2">
                    <c:v>0.18606421343242907</c:v>
                  </c:pt>
                </c:numCache>
              </c:numRef>
            </c:plus>
            <c:minus>
              <c:numRef>
                <c:f>Graphs!$G$8:$G$10</c:f>
                <c:numCache>
                  <c:formatCode>General</c:formatCode>
                  <c:ptCount val="3"/>
                  <c:pt idx="0">
                    <c:v>0.18026855841509445</c:v>
                  </c:pt>
                  <c:pt idx="1">
                    <c:v>0.32191738293077493</c:v>
                  </c:pt>
                  <c:pt idx="2">
                    <c:v>0.18606421343242907</c:v>
                  </c:pt>
                </c:numCache>
              </c:numRef>
            </c:minus>
          </c:errBars>
          <c:cat>
            <c:numRef>
              <c:f>Graphs!$B$4:$B$7</c:f>
              <c:numCache>
                <c:formatCode>General</c:formatCode>
                <c:ptCount val="4"/>
                <c:pt idx="0">
                  <c:v>2022</c:v>
                </c:pt>
                <c:pt idx="1">
                  <c:v>2021</c:v>
                </c:pt>
                <c:pt idx="2">
                  <c:v>2020</c:v>
                </c:pt>
                <c:pt idx="3">
                  <c:v>2019</c:v>
                </c:pt>
              </c:numCache>
            </c:numRef>
          </c:cat>
          <c:val>
            <c:numRef>
              <c:f>Graphs!$F$8:$F$11</c:f>
              <c:numCache>
                <c:formatCode>_-* #\ ##0.0_-;\-* #\ ##0.0_-;_-* "-"??_-;_-@_-</c:formatCode>
                <c:ptCount val="4"/>
                <c:pt idx="0">
                  <c:v>3.1999425857790706</c:v>
                </c:pt>
                <c:pt idx="1">
                  <c:v>3.2692307692307687</c:v>
                </c:pt>
                <c:pt idx="2">
                  <c:v>2.7494407814407813</c:v>
                </c:pt>
                <c:pt idx="3">
                  <c:v>2.7878502415458937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9-9C97-4A6A-89E9-C9EDE6D0A9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360248159"/>
        <c:axId val="235903807"/>
      </c:barChart>
      <c:scatterChart>
        <c:scatterStyle val="lineMarker"/>
        <c:varyColors val="0"/>
        <c:ser>
          <c:idx val="2"/>
          <c:order val="2"/>
          <c:tx>
            <c:v>—Year average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errBars>
            <c:errDir val="x"/>
            <c:errBarType val="minus"/>
            <c:errValType val="fixedVal"/>
            <c:noEndCap val="1"/>
            <c:val val="0.24000000000000002"/>
            <c:spPr>
              <a:ln w="15875">
                <a:solidFill>
                  <a:schemeClr val="tx1"/>
                </a:solidFill>
              </a:ln>
            </c:spPr>
          </c:errBars>
          <c:yVal>
            <c:numRef>
              <c:f>Graphs!$AB$4:$AB$6</c:f>
              <c:numCache>
                <c:formatCode>0.0</c:formatCode>
                <c:ptCount val="3"/>
                <c:pt idx="0">
                  <c:v>3.1234699990323316</c:v>
                </c:pt>
                <c:pt idx="1">
                  <c:v>3.1519325793684616</c:v>
                </c:pt>
                <c:pt idx="2">
                  <c:v>2.9316430560929008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B-9C97-4A6A-89E9-C9EDE6D0A94E}"/>
            </c:ext>
          </c:extLst>
        </c:ser>
        <c:ser>
          <c:idx val="3"/>
          <c:order val="3"/>
          <c:spPr>
            <a:ln w="25400" cap="rnd">
              <a:noFill/>
              <a:round/>
            </a:ln>
            <a:effectLst/>
          </c:spPr>
          <c:marker>
            <c:symbol val="none"/>
          </c:marke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1D-9C97-4A6A-89E9-C9EDE6D0A94E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1-4A1B-4CFB-B130-CB7D278284DA}"/>
              </c:ext>
            </c:extLst>
          </c:dPt>
          <c:errBars>
            <c:errDir val="x"/>
            <c:errBarType val="plus"/>
            <c:errValType val="fixedVal"/>
            <c:noEndCap val="1"/>
            <c:val val="0.24000000000000002"/>
            <c:spPr>
              <a:ln w="15875">
                <a:solidFill>
                  <a:schemeClr val="tx1">
                    <a:alpha val="96000"/>
                  </a:schemeClr>
                </a:solidFill>
              </a:ln>
            </c:spPr>
          </c:errBars>
          <c:yVal>
            <c:numRef>
              <c:f>Graphs!$AB$8:$AB$10</c:f>
              <c:numCache>
                <c:formatCode>0.0</c:formatCode>
                <c:ptCount val="3"/>
                <c:pt idx="0">
                  <c:v>2.79068220369727</c:v>
                </c:pt>
                <c:pt idx="1">
                  <c:v>3.0851015706834066</c:v>
                </c:pt>
                <c:pt idx="2">
                  <c:v>2.8756403111897328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F-9C97-4A6A-89E9-C9EDE6D0A9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0248159"/>
        <c:axId val="235903807"/>
      </c:scatterChart>
      <c:catAx>
        <c:axId val="360248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235903807"/>
        <c:crosses val="autoZero"/>
        <c:auto val="1"/>
        <c:lblAlgn val="ctr"/>
        <c:lblOffset val="100"/>
        <c:noMultiLvlLbl val="0"/>
      </c:catAx>
      <c:valAx>
        <c:axId val="235903807"/>
        <c:scaling>
          <c:orientation val="minMax"/>
          <c:max val="5"/>
          <c:min val="1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Good </a:t>
                </a:r>
                <a:r>
                  <a:rPr lang="en-US" baseline="0">
                    <a:solidFill>
                      <a:schemeClr val="tx1"/>
                    </a:solidFill>
                  </a:rPr>
                  <a:t>  &lt;--  </a:t>
                </a:r>
                <a:r>
                  <a:rPr lang="en-US">
                    <a:solidFill>
                      <a:schemeClr val="tx1"/>
                    </a:solidFill>
                  </a:rPr>
                  <a:t>VESS</a:t>
                </a:r>
                <a:r>
                  <a:rPr lang="en-US" baseline="0">
                    <a:solidFill>
                      <a:schemeClr val="tx1"/>
                    </a:solidFill>
                  </a:rPr>
                  <a:t>  --&gt;   </a:t>
                </a:r>
                <a:r>
                  <a:rPr lang="en-US">
                    <a:solidFill>
                      <a:schemeClr val="tx1"/>
                    </a:solidFill>
                  </a:rPr>
                  <a:t>Poor</a:t>
                </a:r>
              </a:p>
            </c:rich>
          </c:tx>
          <c:layout>
            <c:manualLayout>
              <c:xMode val="edge"/>
              <c:yMode val="edge"/>
              <c:x val="2.4386227925783301E-2"/>
              <c:y val="0.12277061348866503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360248159"/>
        <c:crosses val="autoZero"/>
        <c:crossBetween val="between"/>
      </c:valAx>
    </c:plotArea>
    <c:legend>
      <c:legendPos val="b"/>
      <c:legendEntry>
        <c:idx val="3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fi-FI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i-FI">
                <a:solidFill>
                  <a:schemeClr val="tx1"/>
                </a:solidFill>
              </a:rPr>
              <a:t>Earthworms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Graphs!$A$4</c:f>
              <c:strCache>
                <c:ptCount val="1"/>
                <c:pt idx="0">
                  <c:v>Ai-0</c:v>
                </c:pt>
              </c:strCache>
            </c:strRef>
          </c:tx>
          <c:spPr>
            <a:solidFill>
              <a:srgbClr val="E49F15"/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Graphs!$I$4:$I$6</c:f>
                <c:numCache>
                  <c:formatCode>General</c:formatCode>
                  <c:ptCount val="3"/>
                  <c:pt idx="0">
                    <c:v>0</c:v>
                  </c:pt>
                  <c:pt idx="1">
                    <c:v>23.570226039551578</c:v>
                  </c:pt>
                  <c:pt idx="2">
                    <c:v>39.999999999999993</c:v>
                  </c:pt>
                </c:numCache>
              </c:numRef>
            </c:plus>
            <c:minus>
              <c:numRef>
                <c:f>Graphs!$I$4:$I$6</c:f>
                <c:numCache>
                  <c:formatCode>General</c:formatCode>
                  <c:ptCount val="3"/>
                  <c:pt idx="0">
                    <c:v>0</c:v>
                  </c:pt>
                  <c:pt idx="1">
                    <c:v>23.570226039551578</c:v>
                  </c:pt>
                  <c:pt idx="2">
                    <c:v>39.999999999999993</c:v>
                  </c:pt>
                </c:numCache>
              </c:numRef>
            </c:minus>
          </c:errBars>
          <c:cat>
            <c:numRef>
              <c:f>Graphs!$B$4:$B$6</c:f>
              <c:numCache>
                <c:formatCode>General</c:formatCode>
                <c:ptCount val="3"/>
                <c:pt idx="0">
                  <c:v>2022</c:v>
                </c:pt>
                <c:pt idx="1">
                  <c:v>2021</c:v>
                </c:pt>
                <c:pt idx="2">
                  <c:v>2020</c:v>
                </c:pt>
              </c:numCache>
            </c:numRef>
          </c:cat>
          <c:val>
            <c:numRef>
              <c:f>Graphs!$H$4:$H$6</c:f>
              <c:numCache>
                <c:formatCode>_-* #\ ##0_-;\-* #\ ##0_-;_-* "-"??_-;_-@_-</c:formatCode>
                <c:ptCount val="3"/>
                <c:pt idx="0">
                  <c:v>0</c:v>
                </c:pt>
                <c:pt idx="1">
                  <c:v>16.666666666666661</c:v>
                </c:pt>
                <c:pt idx="2">
                  <c:v>19.999999999999996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2CBB-4756-961B-FDEBF3EB6DFA}"/>
            </c:ext>
          </c:extLst>
        </c:ser>
        <c:ser>
          <c:idx val="1"/>
          <c:order val="1"/>
          <c:tx>
            <c:strRef>
              <c:f>Graphs!$A$8</c:f>
              <c:strCache>
                <c:ptCount val="1"/>
                <c:pt idx="0">
                  <c:v>Ai-1</c:v>
                </c:pt>
              </c:strCache>
            </c:strRef>
          </c:tx>
          <c:spPr>
            <a:pattFill prst="pct2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Graphs!$I$8:$I$10</c:f>
                <c:numCache>
                  <c:formatCode>General</c:formatCode>
                  <c:ptCount val="3"/>
                  <c:pt idx="0">
                    <c:v>24.494897427831773</c:v>
                  </c:pt>
                  <c:pt idx="1">
                    <c:v>0</c:v>
                  </c:pt>
                  <c:pt idx="2">
                    <c:v>59.999999999999986</c:v>
                  </c:pt>
                </c:numCache>
              </c:numRef>
            </c:plus>
            <c:minus>
              <c:numRef>
                <c:f>Graphs!$I$8:$I$10</c:f>
                <c:numCache>
                  <c:formatCode>General</c:formatCode>
                  <c:ptCount val="3"/>
                  <c:pt idx="0">
                    <c:v>24.494897427831773</c:v>
                  </c:pt>
                  <c:pt idx="1">
                    <c:v>0</c:v>
                  </c:pt>
                  <c:pt idx="2">
                    <c:v>59.999999999999986</c:v>
                  </c:pt>
                </c:numCache>
              </c:numRef>
            </c:minus>
          </c:errBars>
          <c:cat>
            <c:numRef>
              <c:f>Graphs!$B$4:$B$6</c:f>
              <c:numCache>
                <c:formatCode>General</c:formatCode>
                <c:ptCount val="3"/>
                <c:pt idx="0">
                  <c:v>2022</c:v>
                </c:pt>
                <c:pt idx="1">
                  <c:v>2021</c:v>
                </c:pt>
                <c:pt idx="2">
                  <c:v>2020</c:v>
                </c:pt>
              </c:numCache>
            </c:numRef>
          </c:cat>
          <c:val>
            <c:numRef>
              <c:f>Graphs!$H$8:$H$10</c:f>
              <c:numCache>
                <c:formatCode>_-* #\ ##0_-;\-* #\ ##0_-;_-* "-"??_-;_-@_-</c:formatCode>
                <c:ptCount val="3"/>
                <c:pt idx="0">
                  <c:v>29.999999999999993</c:v>
                </c:pt>
                <c:pt idx="1">
                  <c:v>49.999999999999993</c:v>
                </c:pt>
                <c:pt idx="2">
                  <c:v>69.999999999999986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9-2CBB-4756-961B-FDEBF3EB6D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360248159"/>
        <c:axId val="235903807"/>
      </c:barChart>
      <c:scatterChart>
        <c:scatterStyle val="lineMarker"/>
        <c:varyColors val="0"/>
        <c:ser>
          <c:idx val="2"/>
          <c:order val="2"/>
          <c:tx>
            <c:v>— Year average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errBars>
            <c:errDir val="x"/>
            <c:errBarType val="minus"/>
            <c:errValType val="fixedVal"/>
            <c:noEndCap val="1"/>
            <c:val val="0.24000000000000002"/>
            <c:spPr>
              <a:ln w="15875">
                <a:solidFill>
                  <a:schemeClr val="tx1"/>
                </a:solidFill>
              </a:ln>
            </c:spPr>
          </c:errBars>
          <c:yVal>
            <c:numRef>
              <c:f>Graphs!$AD$4:$AD$6</c:f>
              <c:numCache>
                <c:formatCode>0</c:formatCode>
                <c:ptCount val="3"/>
                <c:pt idx="0">
                  <c:v>27.875</c:v>
                </c:pt>
                <c:pt idx="1">
                  <c:v>22.368421052631572</c:v>
                </c:pt>
                <c:pt idx="2">
                  <c:v>43.947368421052623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B-2CBB-4756-961B-FDEBF3EB6DFA}"/>
            </c:ext>
          </c:extLst>
        </c:ser>
        <c:ser>
          <c:idx val="3"/>
          <c:order val="3"/>
          <c:tx>
            <c:v>— 1-lohkojen keskiarvo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1D-2CBB-4756-961B-FDEBF3EB6DFA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1-28A2-4ADD-9727-8E4F9F229360}"/>
              </c:ext>
            </c:extLst>
          </c:dPt>
          <c:errBars>
            <c:errDir val="x"/>
            <c:errBarType val="plus"/>
            <c:errValType val="fixedVal"/>
            <c:noEndCap val="1"/>
            <c:val val="0.24000000000000002"/>
            <c:spPr>
              <a:ln w="15875">
                <a:solidFill>
                  <a:schemeClr val="tx1">
                    <a:alpha val="96000"/>
                  </a:schemeClr>
                </a:solidFill>
              </a:ln>
            </c:spPr>
          </c:errBars>
          <c:yVal>
            <c:numRef>
              <c:f>Graphs!$AD$8:$AD$10</c:f>
              <c:numCache>
                <c:formatCode>0</c:formatCode>
                <c:ptCount val="3"/>
                <c:pt idx="0">
                  <c:v>52.41666666666665</c:v>
                </c:pt>
                <c:pt idx="1">
                  <c:v>17.999999999999996</c:v>
                </c:pt>
                <c:pt idx="2">
                  <c:v>42.368421052631575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F-2CBB-4756-961B-FDEBF3EB6D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0248159"/>
        <c:axId val="235903807"/>
      </c:scatterChart>
      <c:catAx>
        <c:axId val="360248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235903807"/>
        <c:crosses val="autoZero"/>
        <c:auto val="1"/>
        <c:lblAlgn val="ctr"/>
        <c:lblOffset val="100"/>
        <c:noMultiLvlLbl val="0"/>
      </c:catAx>
      <c:valAx>
        <c:axId val="235903807"/>
        <c:scaling>
          <c:orientation val="minMax"/>
          <c:max val="150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i-FI">
                    <a:solidFill>
                      <a:schemeClr val="tx1"/>
                    </a:solidFill>
                  </a:rPr>
                  <a:t>no./m2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360248159"/>
        <c:crosses val="autoZero"/>
        <c:crossBetween val="between"/>
      </c:valAx>
    </c:plotArea>
    <c:legend>
      <c:legendPos val="b"/>
      <c:legendEntry>
        <c:idx val="3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fi-FI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i-FI">
                <a:solidFill>
                  <a:schemeClr val="tx1"/>
                </a:solidFill>
              </a:rPr>
              <a:t>Canopeo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Graphs!$A$4</c:f>
              <c:strCache>
                <c:ptCount val="1"/>
                <c:pt idx="0">
                  <c:v>Ai-0</c:v>
                </c:pt>
              </c:strCache>
            </c:strRef>
          </c:tx>
          <c:spPr>
            <a:solidFill>
              <a:srgbClr val="798F3A"/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Graphs!$K$4:$K$6</c:f>
                <c:numCache>
                  <c:formatCode>General</c:formatCode>
                  <c:ptCount val="3"/>
                  <c:pt idx="0">
                    <c:v>2.3715160000000002</c:v>
                  </c:pt>
                  <c:pt idx="1">
                    <c:v>5.5518825635994897</c:v>
                  </c:pt>
                  <c:pt idx="2">
                    <c:v>4.78445231425379</c:v>
                  </c:pt>
                </c:numCache>
              </c:numRef>
            </c:plus>
            <c:minus>
              <c:numRef>
                <c:f>Graphs!$K$4:$K$6</c:f>
                <c:numCache>
                  <c:formatCode>General</c:formatCode>
                  <c:ptCount val="3"/>
                  <c:pt idx="0">
                    <c:v>2.3715160000000002</c:v>
                  </c:pt>
                  <c:pt idx="1">
                    <c:v>5.5518825635994897</c:v>
                  </c:pt>
                  <c:pt idx="2">
                    <c:v>4.78445231425379</c:v>
                  </c:pt>
                </c:numCache>
              </c:numRef>
            </c:minus>
          </c:errBars>
          <c:cat>
            <c:numRef>
              <c:f>Graphs!$B$4:$B$7</c:f>
              <c:numCache>
                <c:formatCode>General</c:formatCode>
                <c:ptCount val="4"/>
                <c:pt idx="0">
                  <c:v>2022</c:v>
                </c:pt>
                <c:pt idx="1">
                  <c:v>2021</c:v>
                </c:pt>
                <c:pt idx="2">
                  <c:v>2020</c:v>
                </c:pt>
                <c:pt idx="3">
                  <c:v>2019</c:v>
                </c:pt>
              </c:numCache>
            </c:numRef>
          </c:cat>
          <c:val>
            <c:numRef>
              <c:f>Graphs!$J$4:$J$7</c:f>
              <c:numCache>
                <c:formatCode>_-* #\ ##0_-;\-* #\ ##0_-;_-* "-"??_-;_-@_-</c:formatCode>
                <c:ptCount val="4"/>
                <c:pt idx="0">
                  <c:v>45.186666670000001</c:v>
                </c:pt>
                <c:pt idx="1">
                  <c:v>7.25</c:v>
                </c:pt>
                <c:pt idx="2">
                  <c:v>91.975499999999997</c:v>
                </c:pt>
                <c:pt idx="3">
                  <c:v>0.6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75E-4980-B842-7CC3B626FD18}"/>
            </c:ext>
          </c:extLst>
        </c:ser>
        <c:ser>
          <c:idx val="1"/>
          <c:order val="1"/>
          <c:tx>
            <c:strRef>
              <c:f>Graphs!$A$8</c:f>
              <c:strCache>
                <c:ptCount val="1"/>
                <c:pt idx="0">
                  <c:v>Ai-1</c:v>
                </c:pt>
              </c:strCache>
            </c:strRef>
          </c:tx>
          <c:spPr>
            <a:pattFill prst="pct2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Graphs!$K$8:$K$10</c:f>
                <c:numCache>
                  <c:formatCode>General</c:formatCode>
                  <c:ptCount val="3"/>
                  <c:pt idx="0">
                    <c:v>1.7</c:v>
                  </c:pt>
                  <c:pt idx="1">
                    <c:v>6.7687632220041003</c:v>
                  </c:pt>
                  <c:pt idx="2">
                    <c:v>9.1329655067436004</c:v>
                  </c:pt>
                </c:numCache>
              </c:numRef>
            </c:plus>
            <c:minus>
              <c:numRef>
                <c:f>Graphs!$K$8:$K$10</c:f>
                <c:numCache>
                  <c:formatCode>General</c:formatCode>
                  <c:ptCount val="3"/>
                  <c:pt idx="0">
                    <c:v>1.7</c:v>
                  </c:pt>
                  <c:pt idx="1">
                    <c:v>6.7687632220041003</c:v>
                  </c:pt>
                  <c:pt idx="2">
                    <c:v>9.1329655067436004</c:v>
                  </c:pt>
                </c:numCache>
              </c:numRef>
            </c:minus>
          </c:errBars>
          <c:cat>
            <c:numRef>
              <c:f>Graphs!$B$4:$B$7</c:f>
              <c:numCache>
                <c:formatCode>General</c:formatCode>
                <c:ptCount val="4"/>
                <c:pt idx="0">
                  <c:v>2022</c:v>
                </c:pt>
                <c:pt idx="1">
                  <c:v>2021</c:v>
                </c:pt>
                <c:pt idx="2">
                  <c:v>2020</c:v>
                </c:pt>
                <c:pt idx="3">
                  <c:v>2019</c:v>
                </c:pt>
              </c:numCache>
            </c:numRef>
          </c:cat>
          <c:val>
            <c:numRef>
              <c:f>Graphs!$J$8:$J$11</c:f>
              <c:numCache>
                <c:formatCode>_-* #\ ##0_-;\-* #\ ##0_-;_-* "-"??_-;_-@_-</c:formatCode>
                <c:ptCount val="4"/>
                <c:pt idx="0">
                  <c:v>91.4</c:v>
                </c:pt>
                <c:pt idx="1">
                  <c:v>51.423333333333296</c:v>
                </c:pt>
                <c:pt idx="2">
                  <c:v>83.402000000000001</c:v>
                </c:pt>
                <c:pt idx="3">
                  <c:v>60.8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75E-4980-B842-7CC3B626FD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360248159"/>
        <c:axId val="235903807"/>
      </c:barChart>
      <c:scatterChart>
        <c:scatterStyle val="lineMarker"/>
        <c:varyColors val="0"/>
        <c:ser>
          <c:idx val="2"/>
          <c:order val="2"/>
          <c:tx>
            <c:v>— Year average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errBars>
            <c:errDir val="x"/>
            <c:errBarType val="minus"/>
            <c:errValType val="fixedVal"/>
            <c:noEndCap val="1"/>
            <c:val val="0.24000000000000002"/>
            <c:spPr>
              <a:ln w="15875">
                <a:solidFill>
                  <a:schemeClr val="tx1"/>
                </a:solidFill>
              </a:ln>
            </c:spPr>
          </c:errBars>
          <c:yVal>
            <c:numRef>
              <c:f>Graphs!$AF$4:$AF$6</c:f>
              <c:numCache>
                <c:formatCode>0</c:formatCode>
                <c:ptCount val="3"/>
                <c:pt idx="0">
                  <c:v>77.600166666499987</c:v>
                </c:pt>
                <c:pt idx="1">
                  <c:v>65.705350877192984</c:v>
                </c:pt>
                <c:pt idx="2">
                  <c:v>77.377064315647445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A75E-4980-B842-7CC3B626FD18}"/>
            </c:ext>
          </c:extLst>
        </c:ser>
        <c:ser>
          <c:idx val="3"/>
          <c:order val="3"/>
          <c:tx>
            <c:v>— 1-lohkot keskiarvo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9-A75E-4980-B842-7CC3B626FD18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1-F404-4081-930E-A89015D4507D}"/>
              </c:ext>
            </c:extLst>
          </c:dPt>
          <c:errBars>
            <c:errDir val="x"/>
            <c:errBarType val="plus"/>
            <c:errValType val="fixedVal"/>
            <c:noEndCap val="1"/>
            <c:val val="0.24000000000000002"/>
            <c:spPr>
              <a:ln w="15875">
                <a:solidFill>
                  <a:schemeClr val="tx1">
                    <a:alpha val="96000"/>
                  </a:schemeClr>
                </a:solidFill>
              </a:ln>
            </c:spPr>
          </c:errBars>
          <c:yVal>
            <c:numRef>
              <c:f>Graphs!$AF$8:$AF$10</c:f>
              <c:numCache>
                <c:formatCode>0</c:formatCode>
                <c:ptCount val="3"/>
                <c:pt idx="0">
                  <c:v>76.456083333000009</c:v>
                </c:pt>
                <c:pt idx="1">
                  <c:v>72.068916666666667</c:v>
                </c:pt>
                <c:pt idx="2">
                  <c:v>74.792552631578943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A75E-4980-B842-7CC3B626FD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0248159"/>
        <c:axId val="235903807"/>
      </c:scatterChart>
      <c:catAx>
        <c:axId val="360248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235903807"/>
        <c:crosses val="autoZero"/>
        <c:auto val="1"/>
        <c:lblAlgn val="ctr"/>
        <c:lblOffset val="100"/>
        <c:noMultiLvlLbl val="0"/>
      </c:catAx>
      <c:valAx>
        <c:axId val="235903807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i-FI">
                    <a:solidFill>
                      <a:schemeClr val="tx1"/>
                    </a:solidFill>
                  </a:rPr>
                  <a:t>%</a:t>
                </a:r>
                <a:r>
                  <a:rPr lang="fi-FI" baseline="0">
                    <a:solidFill>
                      <a:schemeClr val="tx1"/>
                    </a:solidFill>
                  </a:rPr>
                  <a:t> Green cover</a:t>
                </a:r>
                <a:endParaRPr lang="fi-FI">
                  <a:solidFill>
                    <a:schemeClr val="tx1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360248159"/>
        <c:crosses val="autoZero"/>
        <c:crossBetween val="between"/>
      </c:valAx>
    </c:plotArea>
    <c:legend>
      <c:legendPos val="b"/>
      <c:legendEntry>
        <c:idx val="3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fi-FI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i-FI">
                <a:solidFill>
                  <a:schemeClr val="tx1"/>
                </a:solidFill>
              </a:rPr>
              <a:t>Water conductivity K(h)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Graphs!$A$4</c:f>
              <c:strCache>
                <c:ptCount val="1"/>
                <c:pt idx="0">
                  <c:v>Ai-0</c:v>
                </c:pt>
              </c:strCache>
            </c:strRef>
          </c:tx>
          <c:spPr>
            <a:solidFill>
              <a:srgbClr val="108082"/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Graphs!$M$4:$M$6</c:f>
                <c:numCache>
                  <c:formatCode>General</c:formatCode>
                  <c:ptCount val="3"/>
                  <c:pt idx="0">
                    <c:v>4.7942220000000004</c:v>
                  </c:pt>
                  <c:pt idx="1">
                    <c:v>29.347697351581093</c:v>
                  </c:pt>
                  <c:pt idx="2">
                    <c:v>9.6221866744065068</c:v>
                  </c:pt>
                </c:numCache>
              </c:numRef>
            </c:plus>
            <c:minus>
              <c:numRef>
                <c:f>Graphs!$M$4:$M$6</c:f>
                <c:numCache>
                  <c:formatCode>General</c:formatCode>
                  <c:ptCount val="3"/>
                  <c:pt idx="0">
                    <c:v>4.7942220000000004</c:v>
                  </c:pt>
                  <c:pt idx="1">
                    <c:v>29.347697351581093</c:v>
                  </c:pt>
                  <c:pt idx="2">
                    <c:v>9.6221866744065068</c:v>
                  </c:pt>
                </c:numCache>
              </c:numRef>
            </c:minus>
          </c:errBars>
          <c:cat>
            <c:numRef>
              <c:f>Graphs!$B$4:$B$6</c:f>
              <c:numCache>
                <c:formatCode>General</c:formatCode>
                <c:ptCount val="3"/>
                <c:pt idx="0">
                  <c:v>2022</c:v>
                </c:pt>
                <c:pt idx="1">
                  <c:v>2021</c:v>
                </c:pt>
                <c:pt idx="2">
                  <c:v>2020</c:v>
                </c:pt>
              </c:numCache>
            </c:numRef>
          </c:cat>
          <c:val>
            <c:numRef>
              <c:f>Graphs!$L$4:$L$7</c:f>
              <c:numCache>
                <c:formatCode>_-* #\ ##0_-;\-* #\ ##0_-;_-* "-"??_-;_-@_-</c:formatCode>
                <c:ptCount val="4"/>
                <c:pt idx="0">
                  <c:v>16.677</c:v>
                </c:pt>
                <c:pt idx="1">
                  <c:v>37.453400000000002</c:v>
                </c:pt>
                <c:pt idx="2">
                  <c:v>11.39829247255881</c:v>
                </c:pt>
                <c:pt idx="3">
                  <c:v>13.193882347926422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1A2D-442C-BFDB-330D508C148A}"/>
            </c:ext>
          </c:extLst>
        </c:ser>
        <c:ser>
          <c:idx val="1"/>
          <c:order val="1"/>
          <c:tx>
            <c:strRef>
              <c:f>Graphs!$A$8</c:f>
              <c:strCache>
                <c:ptCount val="1"/>
                <c:pt idx="0">
                  <c:v>Ai-1</c:v>
                </c:pt>
              </c:strCache>
            </c:strRef>
          </c:tx>
          <c:spPr>
            <a:pattFill prst="pct2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Graphs!$M$8:$M$10</c:f>
                <c:numCache>
                  <c:formatCode>General</c:formatCode>
                  <c:ptCount val="3"/>
                  <c:pt idx="0">
                    <c:v>11.00445</c:v>
                  </c:pt>
                  <c:pt idx="1">
                    <c:v>6.2004067003705492</c:v>
                  </c:pt>
                  <c:pt idx="2">
                    <c:v>6.7656292927256212</c:v>
                  </c:pt>
                </c:numCache>
              </c:numRef>
            </c:plus>
            <c:minus>
              <c:numRef>
                <c:f>Graphs!$M$8:$M$10</c:f>
                <c:numCache>
                  <c:formatCode>General</c:formatCode>
                  <c:ptCount val="3"/>
                  <c:pt idx="0">
                    <c:v>11.00445</c:v>
                  </c:pt>
                  <c:pt idx="1">
                    <c:v>6.2004067003705492</c:v>
                  </c:pt>
                  <c:pt idx="2">
                    <c:v>6.7656292927256212</c:v>
                  </c:pt>
                </c:numCache>
              </c:numRef>
            </c:minus>
          </c:errBars>
          <c:cat>
            <c:numRef>
              <c:f>Graphs!$B$4:$B$6</c:f>
              <c:numCache>
                <c:formatCode>General</c:formatCode>
                <c:ptCount val="3"/>
                <c:pt idx="0">
                  <c:v>2022</c:v>
                </c:pt>
                <c:pt idx="1">
                  <c:v>2021</c:v>
                </c:pt>
                <c:pt idx="2">
                  <c:v>2020</c:v>
                </c:pt>
              </c:numCache>
            </c:numRef>
          </c:cat>
          <c:val>
            <c:numRef>
              <c:f>Graphs!$L$8:$L$11</c:f>
              <c:numCache>
                <c:formatCode>_-* #\ ##0_-;\-* #\ ##0_-;_-* "-"??_-;_-@_-</c:formatCode>
                <c:ptCount val="4"/>
                <c:pt idx="0">
                  <c:v>25.013200000000001</c:v>
                </c:pt>
                <c:pt idx="1">
                  <c:v>11.663500000000001</c:v>
                </c:pt>
                <c:pt idx="2">
                  <c:v>10.775629492667736</c:v>
                </c:pt>
                <c:pt idx="3">
                  <c:v>10.213658357430768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1A2D-442C-BFDB-330D508C14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360248159"/>
        <c:axId val="235903807"/>
      </c:barChart>
      <c:scatterChart>
        <c:scatterStyle val="lineMarker"/>
        <c:varyColors val="0"/>
        <c:ser>
          <c:idx val="2"/>
          <c:order val="2"/>
          <c:tx>
            <c:v>— Year average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errBars>
            <c:errDir val="x"/>
            <c:errBarType val="minus"/>
            <c:errValType val="fixedVal"/>
            <c:noEndCap val="1"/>
            <c:val val="0.24000000000000002"/>
            <c:spPr>
              <a:ln w="15875">
                <a:solidFill>
                  <a:schemeClr val="tx1"/>
                </a:solidFill>
              </a:ln>
            </c:spPr>
          </c:errBars>
          <c:yVal>
            <c:numRef>
              <c:f>Graphs!$AH$4:$AH$6</c:f>
              <c:numCache>
                <c:formatCode>0</c:formatCode>
                <c:ptCount val="3"/>
                <c:pt idx="0">
                  <c:v>22.1812255</c:v>
                </c:pt>
                <c:pt idx="1">
                  <c:v>19.987521296806282</c:v>
                </c:pt>
                <c:pt idx="2">
                  <c:v>11.085812485382009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1A2D-442C-BFDB-330D508C148A}"/>
            </c:ext>
          </c:extLst>
        </c:ser>
        <c:ser>
          <c:idx val="3"/>
          <c:order val="3"/>
          <c:tx>
            <c:v>— 1-lohkojen keskiarvo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13-1A2D-442C-BFDB-330D508C148A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1-3CCB-4974-B9D2-0CFEA6BA35B2}"/>
              </c:ext>
            </c:extLst>
          </c:dPt>
          <c:errBars>
            <c:errDir val="x"/>
            <c:errBarType val="plus"/>
            <c:errValType val="fixedVal"/>
            <c:noEndCap val="1"/>
            <c:val val="0.24000000000000002"/>
            <c:spPr>
              <a:ln w="15875">
                <a:solidFill>
                  <a:schemeClr val="tx1">
                    <a:alpha val="96000"/>
                  </a:schemeClr>
                </a:solidFill>
              </a:ln>
            </c:spPr>
          </c:errBars>
          <c:yVal>
            <c:numRef>
              <c:f>Graphs!$AH$8:$AH$10</c:f>
              <c:numCache>
                <c:formatCode>0</c:formatCode>
                <c:ptCount val="3"/>
                <c:pt idx="0">
                  <c:v>28.388820800000001</c:v>
                </c:pt>
                <c:pt idx="1">
                  <c:v>19.683472966398284</c:v>
                </c:pt>
                <c:pt idx="2">
                  <c:v>10.088220747171137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5-1A2D-442C-BFDB-330D508C14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0248159"/>
        <c:axId val="235903807"/>
      </c:scatterChart>
      <c:catAx>
        <c:axId val="360248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235903807"/>
        <c:crosses val="autoZero"/>
        <c:auto val="1"/>
        <c:lblAlgn val="ctr"/>
        <c:lblOffset val="100"/>
        <c:noMultiLvlLbl val="0"/>
      </c:catAx>
      <c:valAx>
        <c:axId val="235903807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i-FI">
                    <a:solidFill>
                      <a:schemeClr val="tx1"/>
                    </a:solidFill>
                  </a:rPr>
                  <a:t>mm/h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360248159"/>
        <c:crosses val="autoZero"/>
        <c:crossBetween val="between"/>
      </c:valAx>
    </c:plotArea>
    <c:legend>
      <c:legendPos val="b"/>
      <c:legendEntry>
        <c:idx val="3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fi-FI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i-FI" sz="1000">
                <a:solidFill>
                  <a:sysClr val="windowText" lastClr="000000"/>
                </a:solidFill>
              </a:rPr>
              <a:t>VESS  ave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i-FI"/>
        </a:p>
      </c:txPr>
    </c:title>
    <c:autoTitleDeleted val="0"/>
    <c:plotArea>
      <c:layout>
        <c:manualLayout>
          <c:layoutTarget val="inner"/>
          <c:xMode val="edge"/>
          <c:yMode val="edge"/>
          <c:x val="0.11497980370376853"/>
          <c:y val="0.22426253574318464"/>
          <c:w val="0.83605981047769462"/>
          <c:h val="0.63731986128105622"/>
        </c:manualLayout>
      </c:layout>
      <c:scatterChart>
        <c:scatterStyle val="lineMarker"/>
        <c:varyColors val="0"/>
        <c:ser>
          <c:idx val="0"/>
          <c:order val="0"/>
          <c:tx>
            <c:strRef>
              <c:f>Graphs!$R$19</c:f>
              <c:strCache>
                <c:ptCount val="1"/>
                <c:pt idx="0">
                  <c:v>Ai-0</c:v>
                </c:pt>
              </c:strCache>
            </c:strRef>
          </c:tx>
          <c:spPr>
            <a:ln w="19050" cap="rnd">
              <a:solidFill>
                <a:srgbClr val="92D050"/>
              </a:solidFill>
              <a:round/>
            </a:ln>
            <a:effectLst/>
          </c:spPr>
          <c:marker>
            <c:symbol val="triangle"/>
            <c:size val="7"/>
            <c:spPr>
              <a:solidFill>
                <a:srgbClr val="92D050"/>
              </a:solidFill>
              <a:ln w="9525">
                <a:solidFill>
                  <a:srgbClr val="92D050">
                    <a:alpha val="93000"/>
                  </a:srgbClr>
                </a:solidFill>
              </a:ln>
              <a:effectLst/>
            </c:spPr>
          </c:marker>
          <c:errBars>
            <c:errDir val="x"/>
            <c:errBarType val="both"/>
            <c:errValType val="cust"/>
            <c:noEndCap val="0"/>
            <c:plus>
              <c:numRef>
                <c:f>Graphs!$AB$19:$AE$19</c:f>
                <c:numCache>
                  <c:formatCode>General</c:formatCode>
                  <c:ptCount val="4"/>
                  <c:pt idx="0">
                    <c:v>0</c:v>
                  </c:pt>
                  <c:pt idx="1">
                    <c:v>0.8</c:v>
                  </c:pt>
                  <c:pt idx="2">
                    <c:v>0.4898979485566356</c:v>
                  </c:pt>
                  <c:pt idx="3">
                    <c:v>0</c:v>
                  </c:pt>
                </c:numCache>
              </c:numRef>
            </c:plus>
            <c:minus>
              <c:numRef>
                <c:f>Graphs!$AB$19:$AE$19</c:f>
                <c:numCache>
                  <c:formatCode>General</c:formatCode>
                  <c:ptCount val="4"/>
                  <c:pt idx="0">
                    <c:v>0</c:v>
                  </c:pt>
                  <c:pt idx="1">
                    <c:v>0.8</c:v>
                  </c:pt>
                  <c:pt idx="2">
                    <c:v>0.4898979485566356</c:v>
                  </c:pt>
                  <c:pt idx="3">
                    <c:v>0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strRef>
              <c:f>Graphs!$X$19:$AA$19</c:f>
              <c:strCache>
                <c:ptCount val="3"/>
                <c:pt idx="0">
                  <c:v>1,0</c:v>
                </c:pt>
                <c:pt idx="1">
                  <c:v>3,6</c:v>
                </c:pt>
                <c:pt idx="2">
                  <c:v>4,4</c:v>
                </c:pt>
              </c:strCache>
            </c:strRef>
          </c:xVal>
          <c:yVal>
            <c:numRef>
              <c:f>Graphs!$T$19:$W$19</c:f>
              <c:numCache>
                <c:formatCode>0.0</c:formatCode>
                <c:ptCount val="4"/>
                <c:pt idx="0">
                  <c:v>0</c:v>
                </c:pt>
                <c:pt idx="1">
                  <c:v>-6</c:v>
                </c:pt>
                <c:pt idx="2">
                  <c:v>-18</c:v>
                </c:pt>
                <c:pt idx="3">
                  <c:v>-26.2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30B-4A18-B8C9-8B05D34D586E}"/>
            </c:ext>
          </c:extLst>
        </c:ser>
        <c:ser>
          <c:idx val="1"/>
          <c:order val="1"/>
          <c:tx>
            <c:strRef>
              <c:f>Graphs!$R$20</c:f>
              <c:strCache>
                <c:ptCount val="1"/>
                <c:pt idx="0">
                  <c:v>Ai-1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square"/>
            <c:size val="7"/>
            <c:spPr>
              <a:solidFill>
                <a:srgbClr val="0070C0"/>
              </a:solidFill>
              <a:ln w="9525">
                <a:solidFill>
                  <a:srgbClr val="0070C0"/>
                </a:solidFill>
              </a:ln>
              <a:effectLst/>
            </c:spPr>
          </c:marker>
          <c:errBars>
            <c:errDir val="x"/>
            <c:errBarType val="both"/>
            <c:errValType val="cust"/>
            <c:noEndCap val="0"/>
            <c:plus>
              <c:numRef>
                <c:f>Graphs!$AB$20:$AE$20</c:f>
                <c:numCache>
                  <c:formatCode>General</c:formatCode>
                  <c:ptCount val="4"/>
                  <c:pt idx="0">
                    <c:v>0.4898979485566356</c:v>
                  </c:pt>
                  <c:pt idx="1">
                    <c:v>0.63245553203367588</c:v>
                  </c:pt>
                  <c:pt idx="2">
                    <c:v>0.4</c:v>
                  </c:pt>
                  <c:pt idx="3">
                    <c:v>0.4330127018922193</c:v>
                  </c:pt>
                </c:numCache>
              </c:numRef>
            </c:plus>
            <c:minus>
              <c:numRef>
                <c:f>Graphs!$AB$20:$AE$20</c:f>
                <c:numCache>
                  <c:formatCode>General</c:formatCode>
                  <c:ptCount val="4"/>
                  <c:pt idx="0">
                    <c:v>0.4898979485566356</c:v>
                  </c:pt>
                  <c:pt idx="1">
                    <c:v>0.63245553203367588</c:v>
                  </c:pt>
                  <c:pt idx="2">
                    <c:v>0.4</c:v>
                  </c:pt>
                  <c:pt idx="3">
                    <c:v>0.4330127018922193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Graphs!$X$20:$Z$20</c:f>
              <c:numCache>
                <c:formatCode>0.0</c:formatCode>
                <c:ptCount val="3"/>
                <c:pt idx="0">
                  <c:v>1.4</c:v>
                </c:pt>
                <c:pt idx="1">
                  <c:v>3</c:v>
                </c:pt>
                <c:pt idx="2">
                  <c:v>3.8</c:v>
                </c:pt>
              </c:numCache>
            </c:numRef>
          </c:xVal>
          <c:yVal>
            <c:numRef>
              <c:f>Graphs!$T$20:$V$20</c:f>
              <c:numCache>
                <c:formatCode>0.0</c:formatCode>
                <c:ptCount val="3"/>
                <c:pt idx="0">
                  <c:v>0</c:v>
                </c:pt>
                <c:pt idx="1">
                  <c:v>-5.6</c:v>
                </c:pt>
                <c:pt idx="2">
                  <c:v>-13.2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30B-4A18-B8C9-8B05D34D58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260144"/>
        <c:axId val="679820864"/>
      </c:scatterChart>
      <c:valAx>
        <c:axId val="163260144"/>
        <c:scaling>
          <c:orientation val="minMax"/>
          <c:max val="5"/>
          <c:min val="1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in"/>
        <c:minorTickMark val="none"/>
        <c:tickLblPos val="high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679820864"/>
        <c:crosses val="autoZero"/>
        <c:crossBetween val="midCat"/>
        <c:majorUnit val="1"/>
      </c:valAx>
      <c:valAx>
        <c:axId val="679820864"/>
        <c:scaling>
          <c:orientation val="minMax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i-FI">
                    <a:solidFill>
                      <a:sysClr val="windowText" lastClr="000000"/>
                    </a:solidFill>
                  </a:rPr>
                  <a:t>Depth cm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i-FI"/>
            </a:p>
          </c:txPr>
        </c:title>
        <c:numFmt formatCode="0.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163260144"/>
        <c:crosses val="autoZero"/>
        <c:crossBetween val="midCat"/>
        <c:majorUnit val="5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fi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i-FI">
                <a:solidFill>
                  <a:schemeClr val="tx1"/>
                </a:solidFill>
              </a:rPr>
              <a:t>Chlorophyll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Graphs!$A$4</c:f>
              <c:strCache>
                <c:ptCount val="1"/>
                <c:pt idx="0">
                  <c:v>Ai-0</c:v>
                </c:pt>
              </c:strCache>
            </c:strRef>
          </c:tx>
          <c:spPr>
            <a:solidFill>
              <a:srgbClr val="798F3A"/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Graphs!$Q$4:$Q$6</c:f>
                <c:numCache>
                  <c:formatCode>General</c:formatCode>
                  <c:ptCount val="3"/>
                  <c:pt idx="0">
                    <c:v>5.476E-3</c:v>
                  </c:pt>
                  <c:pt idx="1">
                    <c:v>1.2918395809768959E-2</c:v>
                  </c:pt>
                  <c:pt idx="2">
                    <c:v>8.5556475453388899E-3</c:v>
                  </c:pt>
                </c:numCache>
              </c:numRef>
            </c:plus>
            <c:minus>
              <c:numRef>
                <c:f>Graphs!$Q$4:$Q$6</c:f>
                <c:numCache>
                  <c:formatCode>General</c:formatCode>
                  <c:ptCount val="3"/>
                  <c:pt idx="0">
                    <c:v>5.476E-3</c:v>
                  </c:pt>
                  <c:pt idx="1">
                    <c:v>1.2918395809768959E-2</c:v>
                  </c:pt>
                  <c:pt idx="2">
                    <c:v>8.5556475453388899E-3</c:v>
                  </c:pt>
                </c:numCache>
              </c:numRef>
            </c:minus>
          </c:errBars>
          <c:cat>
            <c:numRef>
              <c:f>Graphs!$B$4:$B$6</c:f>
              <c:numCache>
                <c:formatCode>General</c:formatCode>
                <c:ptCount val="3"/>
                <c:pt idx="0">
                  <c:v>2022</c:v>
                </c:pt>
                <c:pt idx="1">
                  <c:v>2021</c:v>
                </c:pt>
                <c:pt idx="2">
                  <c:v>2020</c:v>
                </c:pt>
              </c:numCache>
            </c:numRef>
          </c:cat>
          <c:val>
            <c:numRef>
              <c:f>Graphs!$P$4:$P$6</c:f>
              <c:numCache>
                <c:formatCode>_(* #,##0.00_);_(* \(#,##0.00\);_(* "-"??_);_(@_)</c:formatCode>
                <c:ptCount val="3"/>
                <c:pt idx="0">
                  <c:v>4.82E-2</c:v>
                </c:pt>
                <c:pt idx="1">
                  <c:v>3.0804826299999997E-2</c:v>
                </c:pt>
                <c:pt idx="2">
                  <c:v>4.7341024000000002E-2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96F0-47B3-B452-0C9074888CEF}"/>
            </c:ext>
          </c:extLst>
        </c:ser>
        <c:ser>
          <c:idx val="1"/>
          <c:order val="1"/>
          <c:tx>
            <c:strRef>
              <c:f>Graphs!$A$8</c:f>
              <c:strCache>
                <c:ptCount val="1"/>
                <c:pt idx="0">
                  <c:v>Ai-1</c:v>
                </c:pt>
              </c:strCache>
            </c:strRef>
          </c:tx>
          <c:spPr>
            <a:pattFill prst="pct2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Graphs!$Q$8:$Q$10</c:f>
                <c:numCache>
                  <c:formatCode>General</c:formatCode>
                  <c:ptCount val="3"/>
                  <c:pt idx="0">
                    <c:v>3.3010000000000001E-3</c:v>
                  </c:pt>
                  <c:pt idx="1">
                    <c:v>1.0890288631799354E-2</c:v>
                  </c:pt>
                  <c:pt idx="2">
                    <c:v>6.6244744675290493E-3</c:v>
                  </c:pt>
                </c:numCache>
              </c:numRef>
            </c:plus>
            <c:minus>
              <c:numRef>
                <c:f>Graphs!$Q$8:$Q$10</c:f>
                <c:numCache>
                  <c:formatCode>General</c:formatCode>
                  <c:ptCount val="3"/>
                  <c:pt idx="0">
                    <c:v>3.3010000000000001E-3</c:v>
                  </c:pt>
                  <c:pt idx="1">
                    <c:v>1.0890288631799354E-2</c:v>
                  </c:pt>
                  <c:pt idx="2">
                    <c:v>6.6244744675290493E-3</c:v>
                  </c:pt>
                </c:numCache>
              </c:numRef>
            </c:minus>
          </c:errBars>
          <c:cat>
            <c:numRef>
              <c:f>Graphs!$B$4:$B$6</c:f>
              <c:numCache>
                <c:formatCode>General</c:formatCode>
                <c:ptCount val="3"/>
                <c:pt idx="0">
                  <c:v>2022</c:v>
                </c:pt>
                <c:pt idx="1">
                  <c:v>2021</c:v>
                </c:pt>
                <c:pt idx="2">
                  <c:v>2020</c:v>
                </c:pt>
              </c:numCache>
            </c:numRef>
          </c:cat>
          <c:val>
            <c:numRef>
              <c:f>Graphs!$P$8:$P$10</c:f>
              <c:numCache>
                <c:formatCode>_(* #,##0.00_);_(* \(#,##0.00\);_(* "-"??_);_(@_)</c:formatCode>
                <c:ptCount val="3"/>
                <c:pt idx="0">
                  <c:v>4.0536000000000003E-2</c:v>
                </c:pt>
                <c:pt idx="1">
                  <c:v>4.6567152399999999E-2</c:v>
                </c:pt>
                <c:pt idx="2">
                  <c:v>3.6615535999999997E-2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96F0-47B3-B452-0C9074888C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360248159"/>
        <c:axId val="235903807"/>
      </c:barChart>
      <c:scatterChart>
        <c:scatterStyle val="lineMarker"/>
        <c:varyColors val="0"/>
        <c:ser>
          <c:idx val="2"/>
          <c:order val="2"/>
          <c:tx>
            <c:v>— Year average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errBars>
            <c:errDir val="x"/>
            <c:errBarType val="minus"/>
            <c:errValType val="fixedVal"/>
            <c:noEndCap val="1"/>
            <c:val val="0.24000000000000002"/>
            <c:spPr>
              <a:ln w="15875">
                <a:solidFill>
                  <a:schemeClr val="tx1"/>
                </a:solidFill>
              </a:ln>
            </c:spPr>
          </c:errBars>
          <c:yVal>
            <c:numRef>
              <c:f>Graphs!$AL$4:$AL$6</c:f>
              <c:numCache>
                <c:formatCode>_(* #,##0.00_);_(* \(#,##0.00\);_(* "-"??_);_(@_)</c:formatCode>
                <c:ptCount val="3"/>
                <c:pt idx="0">
                  <c:v>2.8153315789473683E-2</c:v>
                </c:pt>
                <c:pt idx="1">
                  <c:v>4.2836640285925924E-2</c:v>
                </c:pt>
                <c:pt idx="2">
                  <c:v>4.3173974360000006E-2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96F0-47B3-B452-0C9074888CEF}"/>
            </c:ext>
          </c:extLst>
        </c:ser>
        <c:ser>
          <c:idx val="3"/>
          <c:order val="3"/>
          <c:tx>
            <c:v>— 1-lohkojen keskiarvo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13-96F0-47B3-B452-0C9074888CEF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1-24F9-4CE5-AEF1-F14CD0653BF1}"/>
              </c:ext>
            </c:extLst>
          </c:dPt>
          <c:errBars>
            <c:errDir val="x"/>
            <c:errBarType val="plus"/>
            <c:errValType val="fixedVal"/>
            <c:noEndCap val="1"/>
            <c:val val="0.24000000000000002"/>
            <c:spPr>
              <a:ln w="15875">
                <a:solidFill>
                  <a:schemeClr val="tx1">
                    <a:alpha val="96000"/>
                  </a:schemeClr>
                </a:solidFill>
              </a:ln>
            </c:spPr>
          </c:errBars>
          <c:yVal>
            <c:numRef>
              <c:f>Graphs!$AL$8:$AL$10</c:f>
              <c:numCache>
                <c:formatCode>_(* #,##0.00_);_(* \(#,##0.00\);_(* "-"??_);_(@_)</c:formatCode>
                <c:ptCount val="3"/>
                <c:pt idx="0">
                  <c:v>2.8119052631578947E-2</c:v>
                </c:pt>
                <c:pt idx="1">
                  <c:v>4.511714731777778E-2</c:v>
                </c:pt>
                <c:pt idx="2">
                  <c:v>3.8236516916666671E-2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5-96F0-47B3-B452-0C9074888C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0248159"/>
        <c:axId val="235903807"/>
      </c:scatterChart>
      <c:catAx>
        <c:axId val="360248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235903807"/>
        <c:crosses val="autoZero"/>
        <c:auto val="1"/>
        <c:lblAlgn val="ctr"/>
        <c:lblOffset val="100"/>
        <c:noMultiLvlLbl val="0"/>
      </c:catAx>
      <c:valAx>
        <c:axId val="2359038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i-FI">
                    <a:solidFill>
                      <a:schemeClr val="tx1"/>
                    </a:solidFill>
                  </a:rPr>
                  <a:t>mg/cm2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360248159"/>
        <c:crosses val="autoZero"/>
        <c:crossBetween val="between"/>
      </c:valAx>
    </c:plotArea>
    <c:legend>
      <c:legendPos val="b"/>
      <c:legendEntry>
        <c:idx val="3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fi-FI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i-FI">
                <a:solidFill>
                  <a:schemeClr val="tx1"/>
                </a:solidFill>
              </a:rPr>
              <a:t>SPAD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Graphs!$A$4</c:f>
              <c:strCache>
                <c:ptCount val="1"/>
                <c:pt idx="0">
                  <c:v>Ai-0</c:v>
                </c:pt>
              </c:strCache>
            </c:strRef>
          </c:tx>
          <c:spPr>
            <a:solidFill>
              <a:srgbClr val="798F3A"/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Graphs!$S$4:$S$6</c:f>
                <c:numCache>
                  <c:formatCode>General</c:formatCode>
                  <c:ptCount val="3"/>
                  <c:pt idx="0">
                    <c:v>3.629076</c:v>
                  </c:pt>
                  <c:pt idx="1">
                    <c:v>10.482640372897475</c:v>
                  </c:pt>
                  <c:pt idx="2">
                    <c:v>5.6698571410573875</c:v>
                  </c:pt>
                </c:numCache>
              </c:numRef>
            </c:plus>
            <c:minus>
              <c:numRef>
                <c:f>Graphs!$S$4:$S$6</c:f>
                <c:numCache>
                  <c:formatCode>General</c:formatCode>
                  <c:ptCount val="3"/>
                  <c:pt idx="0">
                    <c:v>3.629076</c:v>
                  </c:pt>
                  <c:pt idx="1">
                    <c:v>10.482640372897475</c:v>
                  </c:pt>
                  <c:pt idx="2">
                    <c:v>5.6698571410573875</c:v>
                  </c:pt>
                </c:numCache>
              </c:numRef>
            </c:minus>
          </c:errBars>
          <c:cat>
            <c:numRef>
              <c:f>Graphs!$B$4:$B$6</c:f>
              <c:numCache>
                <c:formatCode>General</c:formatCode>
                <c:ptCount val="3"/>
                <c:pt idx="0">
                  <c:v>2022</c:v>
                </c:pt>
                <c:pt idx="1">
                  <c:v>2021</c:v>
                </c:pt>
                <c:pt idx="2">
                  <c:v>2020</c:v>
                </c:pt>
              </c:numCache>
            </c:numRef>
          </c:cat>
          <c:val>
            <c:numRef>
              <c:f>Graphs!$R$4:$R$6</c:f>
              <c:numCache>
                <c:formatCode>_-* #\ ##0_-;\-* #\ ##0_-;_-* "-"??_-;_-@_-</c:formatCode>
                <c:ptCount val="3"/>
                <c:pt idx="0">
                  <c:v>47.0032</c:v>
                </c:pt>
                <c:pt idx="1">
                  <c:v>34.128249999999994</c:v>
                </c:pt>
                <c:pt idx="2">
                  <c:v>46.33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1B1B-4E9B-9E98-56E7487FA98A}"/>
            </c:ext>
          </c:extLst>
        </c:ser>
        <c:ser>
          <c:idx val="1"/>
          <c:order val="1"/>
          <c:tx>
            <c:strRef>
              <c:f>Graphs!$A$8</c:f>
              <c:strCache>
                <c:ptCount val="1"/>
                <c:pt idx="0">
                  <c:v>Ai-1</c:v>
                </c:pt>
              </c:strCache>
            </c:strRef>
          </c:tx>
          <c:spPr>
            <a:pattFill prst="pct2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Graphs!$S$8:$S$10</c:f>
                <c:numCache>
                  <c:formatCode>General</c:formatCode>
                  <c:ptCount val="3"/>
                  <c:pt idx="0">
                    <c:v>2.2829320000000002</c:v>
                  </c:pt>
                  <c:pt idx="1">
                    <c:v>7.0509687674815291</c:v>
                  </c:pt>
                  <c:pt idx="2">
                    <c:v>4.9539584172659072</c:v>
                  </c:pt>
                </c:numCache>
              </c:numRef>
            </c:plus>
            <c:minus>
              <c:numRef>
                <c:f>Graphs!$S$8:$S$10</c:f>
                <c:numCache>
                  <c:formatCode>General</c:formatCode>
                  <c:ptCount val="3"/>
                  <c:pt idx="0">
                    <c:v>2.2829320000000002</c:v>
                  </c:pt>
                  <c:pt idx="1">
                    <c:v>7.0509687674815291</c:v>
                  </c:pt>
                  <c:pt idx="2">
                    <c:v>4.9539584172659072</c:v>
                  </c:pt>
                </c:numCache>
              </c:numRef>
            </c:minus>
          </c:errBars>
          <c:cat>
            <c:numRef>
              <c:f>Graphs!$B$4:$B$6</c:f>
              <c:numCache>
                <c:formatCode>General</c:formatCode>
                <c:ptCount val="3"/>
                <c:pt idx="0">
                  <c:v>2022</c:v>
                </c:pt>
                <c:pt idx="1">
                  <c:v>2021</c:v>
                </c:pt>
                <c:pt idx="2">
                  <c:v>2020</c:v>
                </c:pt>
              </c:numCache>
            </c:numRef>
          </c:cat>
          <c:val>
            <c:numRef>
              <c:f>Graphs!$R$8:$R$10</c:f>
              <c:numCache>
                <c:formatCode>_-* #\ ##0_-;\-* #\ ##0_-;_-* "-"??_-;_-@_-</c:formatCode>
                <c:ptCount val="3"/>
                <c:pt idx="0">
                  <c:v>41.894799999999996</c:v>
                </c:pt>
                <c:pt idx="1">
                  <c:v>45.716200000000001</c:v>
                </c:pt>
                <c:pt idx="2">
                  <c:v>39.004000000000005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1B1B-4E9B-9E98-56E7487FA9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360248159"/>
        <c:axId val="235903807"/>
      </c:barChart>
      <c:scatterChart>
        <c:scatterStyle val="lineMarker"/>
        <c:varyColors val="0"/>
        <c:ser>
          <c:idx val="2"/>
          <c:order val="2"/>
          <c:tx>
            <c:v>—  Year average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errBars>
            <c:errDir val="x"/>
            <c:errBarType val="minus"/>
            <c:errValType val="fixedVal"/>
            <c:noEndCap val="1"/>
            <c:val val="0.24000000000000002"/>
            <c:spPr>
              <a:ln w="15875">
                <a:solidFill>
                  <a:schemeClr val="tx1"/>
                </a:solidFill>
              </a:ln>
            </c:spPr>
          </c:errBars>
          <c:yVal>
            <c:numRef>
              <c:f>Graphs!$AN$4:$AN$6</c:f>
              <c:numCache>
                <c:formatCode>0</c:formatCode>
                <c:ptCount val="3"/>
                <c:pt idx="0">
                  <c:v>28.53045263157895</c:v>
                </c:pt>
                <c:pt idx="1">
                  <c:v>44.593649999999997</c:v>
                </c:pt>
                <c:pt idx="2">
                  <c:v>42.653036842105259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1B1B-4E9B-9E98-56E7487FA98A}"/>
            </c:ext>
          </c:extLst>
        </c:ser>
        <c:ser>
          <c:idx val="3"/>
          <c:order val="3"/>
          <c:tx>
            <c:v>— 1-lohkojen keskiarvo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D-1B1B-4E9B-9E98-56E7487FA98A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1-6E93-4DBF-8E06-E6FAB5923058}"/>
              </c:ext>
            </c:extLst>
          </c:dPt>
          <c:errBars>
            <c:errDir val="x"/>
            <c:errBarType val="plus"/>
            <c:errValType val="fixedVal"/>
            <c:noEndCap val="1"/>
            <c:val val="0.24000000000000002"/>
            <c:spPr>
              <a:ln w="15875">
                <a:solidFill>
                  <a:schemeClr val="tx1">
                    <a:alpha val="96000"/>
                  </a:schemeClr>
                </a:solidFill>
              </a:ln>
            </c:spPr>
          </c:errBars>
          <c:yVal>
            <c:numRef>
              <c:f>Graphs!$AN$8:$AN$10</c:f>
              <c:numCache>
                <c:formatCode>0</c:formatCode>
                <c:ptCount val="3"/>
                <c:pt idx="0">
                  <c:v>28.454378947368422</c:v>
                </c:pt>
                <c:pt idx="1">
                  <c:v>45.336873684210531</c:v>
                </c:pt>
                <c:pt idx="2">
                  <c:v>38.184855263157893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1B1B-4E9B-9E98-56E7487FA9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0248159"/>
        <c:axId val="235903807"/>
      </c:scatterChart>
      <c:catAx>
        <c:axId val="360248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235903807"/>
        <c:crosses val="autoZero"/>
        <c:auto val="1"/>
        <c:lblAlgn val="ctr"/>
        <c:lblOffset val="100"/>
        <c:noMultiLvlLbl val="0"/>
      </c:catAx>
      <c:valAx>
        <c:axId val="2359038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360248159"/>
        <c:crosses val="autoZero"/>
        <c:crossBetween val="between"/>
      </c:valAx>
    </c:plotArea>
    <c:legend>
      <c:legendPos val="b"/>
      <c:legendEntry>
        <c:idx val="3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fi-FI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i-FI" sz="1000">
                <a:solidFill>
                  <a:sysClr val="windowText" lastClr="000000"/>
                </a:solidFill>
              </a:rPr>
              <a:t>VESS 0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1"/>
          <c:order val="0"/>
          <c:tx>
            <c:v>1</c:v>
          </c:tx>
          <c:spPr>
            <a:ln w="19050" cap="rnd" cmpd="sng" algn="ctr">
              <a:solidFill>
                <a:schemeClr val="accent4"/>
              </a:solidFill>
              <a:prstDash val="solid"/>
              <a:round/>
            </a:ln>
            <a:effectLst/>
          </c:spPr>
          <c:marker>
            <c:symbol val="square"/>
            <c:size val="7"/>
            <c:spPr>
              <a:solidFill>
                <a:schemeClr val="accent4"/>
              </a:solidFill>
              <a:ln w="6350" cap="flat" cmpd="sng" algn="ctr">
                <a:solidFill>
                  <a:schemeClr val="accent4"/>
                </a:solidFill>
                <a:prstDash val="solid"/>
                <a:round/>
              </a:ln>
              <a:effectLst/>
            </c:spPr>
          </c:marker>
          <c:xVal>
            <c:numRef>
              <c:f>Graphs!$Y$25:$AB$25</c:f>
              <c:numCache>
                <c:formatCode>General</c:formatCode>
                <c:ptCount val="4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4</c:v>
                </c:pt>
              </c:numCache>
            </c:numRef>
          </c:xVal>
          <c:yVal>
            <c:numRef>
              <c:f>Graphs!$U$25:$X$25</c:f>
              <c:numCache>
                <c:formatCode>General</c:formatCode>
                <c:ptCount val="4"/>
                <c:pt idx="0">
                  <c:v>0</c:v>
                </c:pt>
                <c:pt idx="1">
                  <c:v>-7</c:v>
                </c:pt>
                <c:pt idx="2">
                  <c:v>-22</c:v>
                </c:pt>
                <c:pt idx="3">
                  <c:v>-27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E080-454B-9706-237F160CDBE1}"/>
            </c:ext>
          </c:extLst>
        </c:ser>
        <c:ser>
          <c:idx val="2"/>
          <c:order val="1"/>
          <c:tx>
            <c:v>2</c:v>
          </c:tx>
          <c:spPr>
            <a:ln w="19050" cap="rnd" cmpd="sng" algn="ctr">
              <a:solidFill>
                <a:schemeClr val="accent6"/>
              </a:solidFill>
              <a:prstDash val="solid"/>
              <a:round/>
            </a:ln>
            <a:effectLst/>
          </c:spPr>
          <c:marker>
            <c:symbol val="star"/>
            <c:size val="5"/>
            <c:spPr>
              <a:noFill/>
              <a:ln w="6350" cap="flat" cmpd="sng" algn="ctr">
                <a:solidFill>
                  <a:schemeClr val="accent6"/>
                </a:solidFill>
                <a:prstDash val="solid"/>
                <a:round/>
              </a:ln>
              <a:effectLst/>
            </c:spPr>
          </c:marker>
          <c:xVal>
            <c:numRef>
              <c:f>Graphs!$Y$26:$AB$26</c:f>
              <c:numCache>
                <c:formatCode>General</c:formatCode>
                <c:ptCount val="4"/>
                <c:pt idx="0">
                  <c:v>1</c:v>
                </c:pt>
                <c:pt idx="1">
                  <c:v>4</c:v>
                </c:pt>
                <c:pt idx="2">
                  <c:v>5</c:v>
                </c:pt>
                <c:pt idx="3">
                  <c:v>5</c:v>
                </c:pt>
              </c:numCache>
            </c:numRef>
          </c:xVal>
          <c:yVal>
            <c:numRef>
              <c:f>Graphs!$U$26:$X$26</c:f>
              <c:numCache>
                <c:formatCode>General</c:formatCode>
                <c:ptCount val="4"/>
                <c:pt idx="0">
                  <c:v>0</c:v>
                </c:pt>
                <c:pt idx="1">
                  <c:v>-8</c:v>
                </c:pt>
                <c:pt idx="2">
                  <c:v>-21</c:v>
                </c:pt>
                <c:pt idx="3">
                  <c:v>-31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E-E080-454B-9706-237F160CDBE1}"/>
            </c:ext>
          </c:extLst>
        </c:ser>
        <c:ser>
          <c:idx val="3"/>
          <c:order val="2"/>
          <c:tx>
            <c:v>3</c:v>
          </c:tx>
          <c:spPr>
            <a:ln w="19050" cap="rnd" cmpd="sng" algn="ctr">
              <a:solidFill>
                <a:schemeClr val="accent2">
                  <a:lumMod val="60000"/>
                </a:schemeClr>
              </a:solidFill>
              <a:prstDash val="solid"/>
              <a:round/>
            </a:ln>
            <a:effectLst/>
          </c:spPr>
          <c:marker>
            <c:symbol val="diamond"/>
            <c:size val="5"/>
            <c:spPr>
              <a:solidFill>
                <a:schemeClr val="accent2">
                  <a:lumMod val="60000"/>
                </a:schemeClr>
              </a:solidFill>
              <a:ln w="6350" cap="flat" cmpd="sng" algn="ctr">
                <a:solidFill>
                  <a:schemeClr val="accent2">
                    <a:lumMod val="60000"/>
                  </a:schemeClr>
                </a:solidFill>
                <a:prstDash val="solid"/>
                <a:round/>
              </a:ln>
              <a:effectLst/>
            </c:spPr>
          </c:marker>
          <c:xVal>
            <c:numRef>
              <c:f>Graphs!$Y$27:$AB$27</c:f>
              <c:numCache>
                <c:formatCode>General</c:formatCode>
                <c:ptCount val="4"/>
                <c:pt idx="0">
                  <c:v>1</c:v>
                </c:pt>
                <c:pt idx="1">
                  <c:v>4</c:v>
                </c:pt>
                <c:pt idx="2">
                  <c:v>5</c:v>
                </c:pt>
                <c:pt idx="3">
                  <c:v>5</c:v>
                </c:pt>
              </c:numCache>
            </c:numRef>
          </c:xVal>
          <c:yVal>
            <c:numRef>
              <c:f>Graphs!$U$27:$X$27</c:f>
              <c:numCache>
                <c:formatCode>General</c:formatCode>
                <c:ptCount val="4"/>
                <c:pt idx="0">
                  <c:v>0</c:v>
                </c:pt>
                <c:pt idx="1">
                  <c:v>-5</c:v>
                </c:pt>
                <c:pt idx="2">
                  <c:v>-20</c:v>
                </c:pt>
                <c:pt idx="3">
                  <c:v>-28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0-E080-454B-9706-237F160CDBE1}"/>
            </c:ext>
          </c:extLst>
        </c:ser>
        <c:ser>
          <c:idx val="4"/>
          <c:order val="3"/>
          <c:tx>
            <c:v>4</c:v>
          </c:tx>
          <c:spPr>
            <a:ln w="19050" cap="rnd" cmpd="sng" algn="ctr">
              <a:solidFill>
                <a:schemeClr val="accent4">
                  <a:lumMod val="60000"/>
                </a:schemeClr>
              </a:solidFill>
              <a:prstDash val="solid"/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6350" cap="flat" cmpd="sng" algn="ctr">
                <a:solidFill>
                  <a:schemeClr val="accent4">
                    <a:lumMod val="60000"/>
                  </a:schemeClr>
                </a:solidFill>
                <a:prstDash val="solid"/>
                <a:round/>
              </a:ln>
              <a:effectLst/>
            </c:spPr>
          </c:marker>
          <c:xVal>
            <c:numRef>
              <c:f>Graphs!$Y$28:$AB$28</c:f>
              <c:numCache>
                <c:formatCode>General</c:formatCode>
                <c:ptCount val="4"/>
                <c:pt idx="0">
                  <c:v>1</c:v>
                </c:pt>
                <c:pt idx="1">
                  <c:v>4</c:v>
                </c:pt>
                <c:pt idx="2">
                  <c:v>4</c:v>
                </c:pt>
                <c:pt idx="3">
                  <c:v>4</c:v>
                </c:pt>
              </c:numCache>
            </c:numRef>
          </c:xVal>
          <c:yVal>
            <c:numRef>
              <c:f>Graphs!$U$28:$X$28</c:f>
              <c:numCache>
                <c:formatCode>General</c:formatCode>
                <c:ptCount val="4"/>
                <c:pt idx="0">
                  <c:v>0</c:v>
                </c:pt>
                <c:pt idx="1">
                  <c:v>-5</c:v>
                </c:pt>
                <c:pt idx="2">
                  <c:v>-17</c:v>
                </c:pt>
                <c:pt idx="3">
                  <c:v>-25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2-E080-454B-9706-237F160CDBE1}"/>
            </c:ext>
          </c:extLst>
        </c:ser>
        <c:ser>
          <c:idx val="0"/>
          <c:order val="4"/>
          <c:tx>
            <c:v>5</c:v>
          </c:tx>
          <c:spPr>
            <a:ln w="19050" cap="rnd" cmpd="sng" algn="ctr">
              <a:solidFill>
                <a:schemeClr val="accent2"/>
              </a:solidFill>
              <a:prstDash val="solid"/>
              <a:round/>
            </a:ln>
            <a:effectLst/>
          </c:spPr>
          <c:marker>
            <c:symbol val="triangle"/>
            <c:size val="7"/>
            <c:spPr>
              <a:solidFill>
                <a:schemeClr val="accent2"/>
              </a:solidFill>
              <a:ln w="6350" cap="flat" cmpd="sng" algn="ctr">
                <a:solidFill>
                  <a:schemeClr val="accent2"/>
                </a:solidFill>
                <a:prstDash val="solid"/>
                <a:round/>
              </a:ln>
              <a:effectLst/>
            </c:spPr>
          </c:marker>
          <c:xVal>
            <c:numRef>
              <c:f>Graphs!$Y$29:$AB$29</c:f>
              <c:numCache>
                <c:formatCode>General</c:formatCode>
                <c:ptCount val="4"/>
                <c:pt idx="0">
                  <c:v>1</c:v>
                </c:pt>
                <c:pt idx="1">
                  <c:v>4</c:v>
                </c:pt>
                <c:pt idx="2">
                  <c:v>4</c:v>
                </c:pt>
                <c:pt idx="3">
                  <c:v>4</c:v>
                </c:pt>
              </c:numCache>
            </c:numRef>
          </c:xVal>
          <c:yVal>
            <c:numRef>
              <c:f>Graphs!$U$29:$X$29</c:f>
              <c:numCache>
                <c:formatCode>General</c:formatCode>
                <c:ptCount val="4"/>
                <c:pt idx="0">
                  <c:v>0</c:v>
                </c:pt>
                <c:pt idx="1">
                  <c:v>-5</c:v>
                </c:pt>
                <c:pt idx="2">
                  <c:v>-10</c:v>
                </c:pt>
                <c:pt idx="3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E080-454B-9706-237F160CDB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260144"/>
        <c:axId val="679820864"/>
      </c:scatterChart>
      <c:valAx>
        <c:axId val="163260144"/>
        <c:scaling>
          <c:orientation val="minMax"/>
          <c:max val="5"/>
          <c:min val="1"/>
        </c:scaling>
        <c:delete val="0"/>
        <c:axPos val="b"/>
        <c:majorGridlines>
          <c:spPr>
            <a:ln w="9525" cap="flat" cmpd="sng" algn="ctr">
              <a:noFill/>
              <a:prstDash val="solid"/>
              <a:round/>
            </a:ln>
            <a:effectLst/>
          </c:spPr>
        </c:majorGridlines>
        <c:numFmt formatCode="General" sourceLinked="1"/>
        <c:majorTickMark val="in"/>
        <c:minorTickMark val="none"/>
        <c:tickLblPos val="high"/>
        <c:spPr>
          <a:noFill/>
          <a:ln w="9525" cap="flat" cmpd="sng" algn="ctr">
            <a:solidFill>
              <a:schemeClr val="tx1"/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679820864"/>
        <c:crosses val="autoZero"/>
        <c:crossBetween val="midCat"/>
        <c:majorUnit val="1"/>
      </c:valAx>
      <c:valAx>
        <c:axId val="679820864"/>
        <c:scaling>
          <c:orientation val="minMax"/>
        </c:scaling>
        <c:delete val="0"/>
        <c:axPos val="l"/>
        <c:majorGridlines>
          <c:spPr>
            <a:ln w="0" cap="flat" cmpd="sng" algn="ctr">
              <a:solidFill>
                <a:schemeClr val="tx1"/>
              </a:solidFill>
              <a:prstDash val="solid"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i-FI">
                    <a:solidFill>
                      <a:sysClr val="windowText" lastClr="000000"/>
                    </a:solidFill>
                  </a:rPr>
                  <a:t>Depth cm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163260144"/>
        <c:crosses val="autoZero"/>
        <c:crossBetween val="midCat"/>
      </c:valAx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fi-FI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prstDash val="solid"/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i-FI" sz="1000">
                <a:solidFill>
                  <a:sysClr val="windowText" lastClr="000000"/>
                </a:solidFill>
              </a:rPr>
              <a:t>VESS 1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1"/>
          <c:order val="0"/>
          <c:tx>
            <c:v>1</c:v>
          </c:tx>
          <c:spPr>
            <a:ln w="19050" cap="rnd" cmpd="sng" algn="ctr">
              <a:solidFill>
                <a:schemeClr val="accent4"/>
              </a:solidFill>
              <a:prstDash val="solid"/>
              <a:round/>
            </a:ln>
            <a:effectLst/>
          </c:spPr>
          <c:marker>
            <c:symbol val="square"/>
            <c:size val="7"/>
            <c:spPr>
              <a:solidFill>
                <a:schemeClr val="accent4"/>
              </a:solidFill>
              <a:ln w="6350" cap="flat" cmpd="sng" algn="ctr">
                <a:solidFill>
                  <a:schemeClr val="accent4"/>
                </a:solidFill>
                <a:prstDash val="solid"/>
                <a:round/>
              </a:ln>
              <a:effectLst/>
            </c:spPr>
          </c:marker>
          <c:xVal>
            <c:numRef>
              <c:f>Graphs!$Y$30:$AB$30</c:f>
              <c:numCache>
                <c:formatCode>General</c:formatCode>
                <c:ptCount val="4"/>
                <c:pt idx="0">
                  <c:v>2</c:v>
                </c:pt>
                <c:pt idx="1">
                  <c:v>3</c:v>
                </c:pt>
                <c:pt idx="2">
                  <c:v>3</c:v>
                </c:pt>
                <c:pt idx="3">
                  <c:v>4</c:v>
                </c:pt>
              </c:numCache>
            </c:numRef>
          </c:xVal>
          <c:yVal>
            <c:numRef>
              <c:f>Graphs!$U$30:$X$30</c:f>
              <c:numCache>
                <c:formatCode>General</c:formatCode>
                <c:ptCount val="4"/>
                <c:pt idx="0">
                  <c:v>0</c:v>
                </c:pt>
                <c:pt idx="1">
                  <c:v>-6</c:v>
                </c:pt>
                <c:pt idx="2">
                  <c:v>-13</c:v>
                </c:pt>
                <c:pt idx="3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F407-45FE-85A7-A50D5078EB3F}"/>
            </c:ext>
          </c:extLst>
        </c:ser>
        <c:ser>
          <c:idx val="2"/>
          <c:order val="1"/>
          <c:tx>
            <c:v>2</c:v>
          </c:tx>
          <c:spPr>
            <a:ln w="19050" cap="rnd" cmpd="sng" algn="ctr">
              <a:solidFill>
                <a:schemeClr val="accent6"/>
              </a:solidFill>
              <a:prstDash val="solid"/>
              <a:round/>
            </a:ln>
            <a:effectLst/>
          </c:spPr>
          <c:marker>
            <c:symbol val="star"/>
            <c:size val="5"/>
            <c:spPr>
              <a:noFill/>
              <a:ln w="6350" cap="flat" cmpd="sng" algn="ctr">
                <a:solidFill>
                  <a:schemeClr val="accent6"/>
                </a:solidFill>
                <a:prstDash val="solid"/>
                <a:round/>
              </a:ln>
              <a:effectLst/>
            </c:spPr>
          </c:marker>
          <c:xVal>
            <c:numRef>
              <c:f>Graphs!$Y$31:$AB$31</c:f>
              <c:numCache>
                <c:formatCode>General</c:formatCode>
                <c:ptCount val="4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</c:numCache>
            </c:numRef>
          </c:xVal>
          <c:yVal>
            <c:numRef>
              <c:f>Graphs!$U$31:$X$31</c:f>
              <c:numCache>
                <c:formatCode>General</c:formatCode>
                <c:ptCount val="4"/>
                <c:pt idx="0">
                  <c:v>0</c:v>
                </c:pt>
                <c:pt idx="1">
                  <c:v>-6</c:v>
                </c:pt>
                <c:pt idx="2">
                  <c:v>-18</c:v>
                </c:pt>
                <c:pt idx="3">
                  <c:v>-25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F407-45FE-85A7-A50D5078EB3F}"/>
            </c:ext>
          </c:extLst>
        </c:ser>
        <c:ser>
          <c:idx val="3"/>
          <c:order val="2"/>
          <c:tx>
            <c:v>3</c:v>
          </c:tx>
          <c:spPr>
            <a:ln w="19050" cap="rnd" cmpd="sng" algn="ctr">
              <a:solidFill>
                <a:schemeClr val="accent2">
                  <a:lumMod val="60000"/>
                </a:schemeClr>
              </a:solidFill>
              <a:prstDash val="solid"/>
              <a:round/>
            </a:ln>
            <a:effectLst/>
          </c:spPr>
          <c:marker>
            <c:symbol val="diamond"/>
            <c:size val="5"/>
            <c:spPr>
              <a:solidFill>
                <a:schemeClr val="accent2">
                  <a:lumMod val="60000"/>
                </a:schemeClr>
              </a:solidFill>
              <a:ln w="6350" cap="flat" cmpd="sng" algn="ctr">
                <a:solidFill>
                  <a:schemeClr val="accent2">
                    <a:lumMod val="60000"/>
                  </a:schemeClr>
                </a:solidFill>
                <a:prstDash val="solid"/>
                <a:round/>
              </a:ln>
              <a:effectLst/>
            </c:spPr>
          </c:marker>
          <c:xVal>
            <c:numRef>
              <c:f>Graphs!$Y$32:$AB$32</c:f>
              <c:numCache>
                <c:formatCode>General</c:formatCode>
                <c:ptCount val="4"/>
                <c:pt idx="0">
                  <c:v>1</c:v>
                </c:pt>
                <c:pt idx="1">
                  <c:v>3</c:v>
                </c:pt>
                <c:pt idx="2">
                  <c:v>4</c:v>
                </c:pt>
                <c:pt idx="3">
                  <c:v>4</c:v>
                </c:pt>
              </c:numCache>
            </c:numRef>
          </c:xVal>
          <c:yVal>
            <c:numRef>
              <c:f>Graphs!$U$32:$X$32</c:f>
              <c:numCache>
                <c:formatCode>General</c:formatCode>
                <c:ptCount val="4"/>
                <c:pt idx="0">
                  <c:v>0</c:v>
                </c:pt>
                <c:pt idx="1">
                  <c:v>-6</c:v>
                </c:pt>
                <c:pt idx="2">
                  <c:v>-11</c:v>
                </c:pt>
                <c:pt idx="3">
                  <c:v>-26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F407-45FE-85A7-A50D5078EB3F}"/>
            </c:ext>
          </c:extLst>
        </c:ser>
        <c:ser>
          <c:idx val="4"/>
          <c:order val="3"/>
          <c:tx>
            <c:v>4</c:v>
          </c:tx>
          <c:spPr>
            <a:ln w="19050" cap="rnd" cmpd="sng" algn="ctr">
              <a:solidFill>
                <a:schemeClr val="accent4">
                  <a:lumMod val="60000"/>
                </a:schemeClr>
              </a:solidFill>
              <a:prstDash val="solid"/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6350" cap="flat" cmpd="sng" algn="ctr">
                <a:solidFill>
                  <a:schemeClr val="accent4">
                    <a:lumMod val="60000"/>
                  </a:schemeClr>
                </a:solidFill>
                <a:prstDash val="solid"/>
                <a:round/>
              </a:ln>
              <a:effectLst/>
            </c:spPr>
          </c:marker>
          <c:xVal>
            <c:numRef>
              <c:f>Graphs!$Y$33:$AB$33</c:f>
              <c:numCache>
                <c:formatCode>General</c:formatCode>
                <c:ptCount val="4"/>
                <c:pt idx="0">
                  <c:v>1</c:v>
                </c:pt>
                <c:pt idx="1">
                  <c:v>4</c:v>
                </c:pt>
                <c:pt idx="2">
                  <c:v>4</c:v>
                </c:pt>
                <c:pt idx="3">
                  <c:v>4</c:v>
                </c:pt>
              </c:numCache>
            </c:numRef>
          </c:xVal>
          <c:yVal>
            <c:numRef>
              <c:f>Graphs!$U$33:$X$33</c:f>
              <c:numCache>
                <c:formatCode>General</c:formatCode>
                <c:ptCount val="4"/>
                <c:pt idx="0">
                  <c:v>0</c:v>
                </c:pt>
                <c:pt idx="1">
                  <c:v>-5</c:v>
                </c:pt>
                <c:pt idx="2">
                  <c:v>-14</c:v>
                </c:pt>
                <c:pt idx="3">
                  <c:v>-24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E-F407-45FE-85A7-A50D5078EB3F}"/>
            </c:ext>
          </c:extLst>
        </c:ser>
        <c:ser>
          <c:idx val="0"/>
          <c:order val="4"/>
          <c:tx>
            <c:v>5</c:v>
          </c:tx>
          <c:spPr>
            <a:ln w="19050" cap="rnd" cmpd="sng" algn="ctr">
              <a:solidFill>
                <a:schemeClr val="accent2"/>
              </a:solidFill>
              <a:prstDash val="solid"/>
              <a:round/>
            </a:ln>
            <a:effectLst/>
          </c:spPr>
          <c:marker>
            <c:symbol val="triangle"/>
            <c:size val="7"/>
            <c:spPr>
              <a:solidFill>
                <a:schemeClr val="accent2"/>
              </a:solidFill>
              <a:ln w="6350" cap="flat" cmpd="sng" algn="ctr">
                <a:solidFill>
                  <a:schemeClr val="accent2"/>
                </a:solidFill>
                <a:prstDash val="solid"/>
                <a:round/>
              </a:ln>
              <a:effectLst/>
            </c:spPr>
          </c:marker>
          <c:xVal>
            <c:numRef>
              <c:f>Graphs!$Y$34:$AB$34</c:f>
              <c:numCache>
                <c:formatCode>General</c:formatCode>
                <c:ptCount val="4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4</c:v>
                </c:pt>
              </c:numCache>
            </c:numRef>
          </c:xVal>
          <c:yVal>
            <c:numRef>
              <c:f>Graphs!$U$34:$X$34</c:f>
              <c:numCache>
                <c:formatCode>General</c:formatCode>
                <c:ptCount val="4"/>
                <c:pt idx="0">
                  <c:v>0</c:v>
                </c:pt>
                <c:pt idx="1">
                  <c:v>-5</c:v>
                </c:pt>
                <c:pt idx="2">
                  <c:v>-10</c:v>
                </c:pt>
                <c:pt idx="3">
                  <c:v>-21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F407-45FE-85A7-A50D5078EB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260144"/>
        <c:axId val="679820864"/>
      </c:scatterChart>
      <c:valAx>
        <c:axId val="163260144"/>
        <c:scaling>
          <c:orientation val="minMax"/>
          <c:max val="5"/>
          <c:min val="1"/>
        </c:scaling>
        <c:delete val="0"/>
        <c:axPos val="b"/>
        <c:majorGridlines>
          <c:spPr>
            <a:ln w="9525" cap="flat" cmpd="sng" algn="ctr">
              <a:noFill/>
              <a:prstDash val="solid"/>
              <a:round/>
            </a:ln>
            <a:effectLst/>
          </c:spPr>
        </c:majorGridlines>
        <c:numFmt formatCode="General" sourceLinked="1"/>
        <c:majorTickMark val="in"/>
        <c:minorTickMark val="none"/>
        <c:tickLblPos val="high"/>
        <c:spPr>
          <a:noFill/>
          <a:ln w="9525" cap="flat" cmpd="sng" algn="ctr">
            <a:solidFill>
              <a:schemeClr val="tx1"/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679820864"/>
        <c:crosses val="autoZero"/>
        <c:crossBetween val="midCat"/>
        <c:majorUnit val="1"/>
      </c:valAx>
      <c:valAx>
        <c:axId val="679820864"/>
        <c:scaling>
          <c:orientation val="minMax"/>
        </c:scaling>
        <c:delete val="0"/>
        <c:axPos val="l"/>
        <c:majorGridlines>
          <c:spPr>
            <a:ln w="0" cap="flat" cmpd="sng" algn="ctr">
              <a:solidFill>
                <a:schemeClr val="tx1"/>
              </a:solidFill>
              <a:prstDash val="solid"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i-FI">
                    <a:solidFill>
                      <a:sysClr val="windowText" lastClr="000000"/>
                    </a:solidFill>
                  </a:rPr>
                  <a:t>Depth</a:t>
                </a:r>
                <a:r>
                  <a:rPr lang="fi-FI" baseline="0">
                    <a:solidFill>
                      <a:sysClr val="windowText" lastClr="000000"/>
                    </a:solidFill>
                  </a:rPr>
                  <a:t> </a:t>
                </a:r>
                <a:r>
                  <a:rPr lang="fi-FI">
                    <a:solidFill>
                      <a:sysClr val="windowText" lastClr="000000"/>
                    </a:solidFill>
                  </a:rPr>
                  <a:t> cm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163260144"/>
        <c:crosses val="autoZero"/>
        <c:crossBetween val="midCat"/>
      </c:valAx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fi-FI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prstDash val="solid"/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i-FI"/>
              <a:t>BD vs</a:t>
            </a:r>
            <a:r>
              <a:rPr lang="fi-FI" baseline="0"/>
              <a:t> Earthworms</a:t>
            </a:r>
            <a:endParaRPr lang="fi-FI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i-FI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11687615526048153"/>
                  <c:y val="0.19915107745289801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i-FI"/>
                </a:p>
              </c:txPr>
            </c:trendlineLbl>
          </c:trendline>
          <c:xVal>
            <c:numRef>
              <c:f>ALL_2022!$E$4:$E$43</c:f>
              <c:numCache>
                <c:formatCode>0.00</c:formatCode>
                <c:ptCount val="40"/>
                <c:pt idx="0">
                  <c:v>0.86466227999441858</c:v>
                </c:pt>
                <c:pt idx="1">
                  <c:v>0.85178399251589942</c:v>
                </c:pt>
                <c:pt idx="2">
                  <c:v>1.3455224147227316</c:v>
                </c:pt>
                <c:pt idx="3">
                  <c:v>1.3152299238875744</c:v>
                </c:pt>
                <c:pt idx="4">
                  <c:v>0.83919748909971537</c:v>
                </c:pt>
                <c:pt idx="5">
                  <c:v>0.93406709809440924</c:v>
                </c:pt>
                <c:pt idx="6">
                  <c:v>0.73061402917526974</c:v>
                </c:pt>
                <c:pt idx="7">
                  <c:v>0.9905671028920322</c:v>
                </c:pt>
                <c:pt idx="8">
                  <c:v>1.0177162836011246</c:v>
                </c:pt>
                <c:pt idx="9">
                  <c:v>0.89955700126731675</c:v>
                </c:pt>
                <c:pt idx="10">
                  <c:v>1.020143396483276</c:v>
                </c:pt>
                <c:pt idx="11">
                  <c:v>0.97634926130915622</c:v>
                </c:pt>
                <c:pt idx="12">
                  <c:v>1.1493374215381222</c:v>
                </c:pt>
                <c:pt idx="13">
                  <c:v>1.157175802485398</c:v>
                </c:pt>
                <c:pt idx="14">
                  <c:v>0.83312307543837472</c:v>
                </c:pt>
                <c:pt idx="15">
                  <c:v>0.84257953164041832</c:v>
                </c:pt>
                <c:pt idx="16">
                  <c:v>1.1647091364584143</c:v>
                </c:pt>
                <c:pt idx="17">
                  <c:v>1.1611679389746197</c:v>
                </c:pt>
                <c:pt idx="18">
                  <c:v>0.87646627160706758</c:v>
                </c:pt>
                <c:pt idx="19">
                  <c:v>0.89751451283097072</c:v>
                </c:pt>
                <c:pt idx="20">
                  <c:v>1.0088699213476002</c:v>
                </c:pt>
                <c:pt idx="21">
                  <c:v>0.93205113548191199</c:v>
                </c:pt>
                <c:pt idx="22">
                  <c:v>1.0961266188977319</c:v>
                </c:pt>
                <c:pt idx="23">
                  <c:v>1.0858743879802288</c:v>
                </c:pt>
                <c:pt idx="24">
                  <c:v>1.0452766145798713</c:v>
                </c:pt>
                <c:pt idx="25">
                  <c:v>1.0198516124209409</c:v>
                </c:pt>
                <c:pt idx="26">
                  <c:v>0.99786170445041067</c:v>
                </c:pt>
                <c:pt idx="27">
                  <c:v>0.92150712050207406</c:v>
                </c:pt>
                <c:pt idx="28">
                  <c:v>0.93839080738173919</c:v>
                </c:pt>
                <c:pt idx="29">
                  <c:v>0.92978317754285245</c:v>
                </c:pt>
                <c:pt idx="30">
                  <c:v>0.92914655777048483</c:v>
                </c:pt>
                <c:pt idx="31">
                  <c:v>0.7037566325285125</c:v>
                </c:pt>
                <c:pt idx="32">
                  <c:v>1.0016018456130702</c:v>
                </c:pt>
                <c:pt idx="33">
                  <c:v>0.97892226622247525</c:v>
                </c:pt>
                <c:pt idx="34">
                  <c:v>0.98661475513858343</c:v>
                </c:pt>
                <c:pt idx="35">
                  <c:v>0.8754582903008189</c:v>
                </c:pt>
                <c:pt idx="36">
                  <c:v>0.99367062428232422</c:v>
                </c:pt>
                <c:pt idx="37">
                  <c:v>0.97235712481993453</c:v>
                </c:pt>
                <c:pt idx="38">
                  <c:v>0.93292648766891739</c:v>
                </c:pt>
                <c:pt idx="39">
                  <c:v>0.9271703838937605</c:v>
                </c:pt>
              </c:numCache>
            </c:numRef>
          </c:xVal>
          <c:yVal>
            <c:numRef>
              <c:f>ALL_2022!$J$4:$J$43</c:f>
              <c:numCache>
                <c:formatCode>General</c:formatCode>
                <c:ptCount val="40"/>
                <c:pt idx="0">
                  <c:v>0</c:v>
                </c:pt>
                <c:pt idx="1">
                  <c:v>116.66666666666666</c:v>
                </c:pt>
                <c:pt idx="2">
                  <c:v>0</c:v>
                </c:pt>
                <c:pt idx="3">
                  <c:v>29.999999999999993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99.999999999999986</c:v>
                </c:pt>
                <c:pt idx="9">
                  <c:v>166.66666666666663</c:v>
                </c:pt>
                <c:pt idx="10">
                  <c:v>16.666666666666661</c:v>
                </c:pt>
                <c:pt idx="11">
                  <c:v>12.499999999999998</c:v>
                </c:pt>
                <c:pt idx="12">
                  <c:v>0</c:v>
                </c:pt>
                <c:pt idx="13">
                  <c:v>49.999999999999993</c:v>
                </c:pt>
                <c:pt idx="14">
                  <c:v>16.666666666666661</c:v>
                </c:pt>
                <c:pt idx="15">
                  <c:v>0</c:v>
                </c:pt>
                <c:pt idx="16">
                  <c:v>83.333333333333314</c:v>
                </c:pt>
                <c:pt idx="17">
                  <c:v>99.999999999999986</c:v>
                </c:pt>
                <c:pt idx="18">
                  <c:v>0</c:v>
                </c:pt>
                <c:pt idx="19">
                  <c:v>0</c:v>
                </c:pt>
                <c:pt idx="20">
                  <c:v>29.999999999999993</c:v>
                </c:pt>
                <c:pt idx="21">
                  <c:v>69.999999999999986</c:v>
                </c:pt>
                <c:pt idx="22">
                  <c:v>9.9999999999999982</c:v>
                </c:pt>
                <c:pt idx="23">
                  <c:v>0</c:v>
                </c:pt>
                <c:pt idx="24">
                  <c:v>0</c:v>
                </c:pt>
                <c:pt idx="25">
                  <c:v>49.999999999999993</c:v>
                </c:pt>
                <c:pt idx="26">
                  <c:v>33.333333333333321</c:v>
                </c:pt>
                <c:pt idx="27">
                  <c:v>66.666666666666643</c:v>
                </c:pt>
                <c:pt idx="28">
                  <c:v>116.66666666666666</c:v>
                </c:pt>
                <c:pt idx="29">
                  <c:v>166.66666666666663</c:v>
                </c:pt>
                <c:pt idx="30">
                  <c:v>16.666666666666661</c:v>
                </c:pt>
                <c:pt idx="31">
                  <c:v>49.999999999999993</c:v>
                </c:pt>
                <c:pt idx="32">
                  <c:v>16.666666666666661</c:v>
                </c:pt>
                <c:pt idx="33">
                  <c:v>66.666666666666643</c:v>
                </c:pt>
                <c:pt idx="34">
                  <c:v>9.9999999999999982</c:v>
                </c:pt>
                <c:pt idx="35">
                  <c:v>59.999999999999986</c:v>
                </c:pt>
                <c:pt idx="36">
                  <c:v>69.999999999999986</c:v>
                </c:pt>
                <c:pt idx="37">
                  <c:v>29.999999999999993</c:v>
                </c:pt>
                <c:pt idx="38">
                  <c:v>37.499999999999993</c:v>
                </c:pt>
                <c:pt idx="39">
                  <c:v>12.499999999999998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3867-4BAE-A1D7-A9520467A1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7425567"/>
        <c:axId val="144358943"/>
      </c:scatterChart>
      <c:valAx>
        <c:axId val="8742556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i-FI"/>
                  <a:t>BD (kg/l)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i-FI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144358943"/>
        <c:crosses val="autoZero"/>
        <c:crossBetween val="midCat"/>
      </c:valAx>
      <c:valAx>
        <c:axId val="1443589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i-FI"/>
                  <a:t>Earthworms/m2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i-FI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8742556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i-FI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atLeaf!$Z$5</c:f>
              <c:strCache>
                <c:ptCount val="1"/>
                <c:pt idx="0">
                  <c:v>Tot Chloro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1"/>
            <c:dispEq val="1"/>
            <c:trendlineLbl>
              <c:numFmt formatCode="0.00E+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i-FI"/>
                </a:p>
              </c:txPr>
            </c:trendlineLbl>
          </c:trendline>
          <c:xVal>
            <c:numRef>
              <c:f>atLeaf!$X$6:$X$13</c:f>
              <c:numCache>
                <c:formatCode>General</c:formatCode>
                <c:ptCount val="8"/>
                <c:pt idx="0">
                  <c:v>20</c:v>
                </c:pt>
                <c:pt idx="1">
                  <c:v>30</c:v>
                </c:pt>
                <c:pt idx="2">
                  <c:v>40</c:v>
                </c:pt>
                <c:pt idx="3">
                  <c:v>50</c:v>
                </c:pt>
                <c:pt idx="4">
                  <c:v>70</c:v>
                </c:pt>
                <c:pt idx="5">
                  <c:v>90</c:v>
                </c:pt>
                <c:pt idx="6">
                  <c:v>80</c:v>
                </c:pt>
                <c:pt idx="7">
                  <c:v>60</c:v>
                </c:pt>
              </c:numCache>
            </c:numRef>
          </c:xVal>
          <c:yVal>
            <c:numRef>
              <c:f>atLeaf!$Z$6:$Z$13</c:f>
              <c:numCache>
                <c:formatCode>General</c:formatCode>
                <c:ptCount val="8"/>
                <c:pt idx="0">
                  <c:v>3.3E-3</c:v>
                </c:pt>
                <c:pt idx="1">
                  <c:v>1.2800000000000001E-2</c:v>
                </c:pt>
                <c:pt idx="2">
                  <c:v>2.4E-2</c:v>
                </c:pt>
                <c:pt idx="3">
                  <c:v>3.6999999999999998E-2</c:v>
                </c:pt>
                <c:pt idx="4">
                  <c:v>6.8099999999999994E-2</c:v>
                </c:pt>
                <c:pt idx="5">
                  <c:v>0.1062</c:v>
                </c:pt>
                <c:pt idx="6">
                  <c:v>8.6300000000000002E-2</c:v>
                </c:pt>
                <c:pt idx="7">
                  <c:v>5.1700000000000003E-2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633-4BB1-8063-8F81BCDFF3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34217424"/>
        <c:axId val="1316889936"/>
      </c:scatterChart>
      <c:valAx>
        <c:axId val="1234217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i-FI"/>
                  <a:t>atLeaf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i-FI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1316889936"/>
        <c:crosses val="autoZero"/>
        <c:crossBetween val="midCat"/>
      </c:valAx>
      <c:valAx>
        <c:axId val="1316889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12342174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i-FI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atLeaf!$Y$5</c:f>
              <c:strCache>
                <c:ptCount val="1"/>
                <c:pt idx="0">
                  <c:v>Sdpad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#,##0.0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i-FI"/>
                </a:p>
              </c:txPr>
            </c:trendlineLbl>
          </c:trendline>
          <c:xVal>
            <c:numRef>
              <c:f>atLeaf!$X$6:$X$13</c:f>
              <c:numCache>
                <c:formatCode>General</c:formatCode>
                <c:ptCount val="8"/>
                <c:pt idx="0">
                  <c:v>20</c:v>
                </c:pt>
                <c:pt idx="1">
                  <c:v>30</c:v>
                </c:pt>
                <c:pt idx="2">
                  <c:v>40</c:v>
                </c:pt>
                <c:pt idx="3">
                  <c:v>50</c:v>
                </c:pt>
                <c:pt idx="4">
                  <c:v>70</c:v>
                </c:pt>
                <c:pt idx="5">
                  <c:v>90</c:v>
                </c:pt>
                <c:pt idx="6">
                  <c:v>80</c:v>
                </c:pt>
                <c:pt idx="7">
                  <c:v>60</c:v>
                </c:pt>
              </c:numCache>
            </c:numRef>
          </c:xVal>
          <c:yVal>
            <c:numRef>
              <c:f>atLeaf!$Y$6:$Y$13</c:f>
              <c:numCache>
                <c:formatCode>General</c:formatCode>
                <c:ptCount val="8"/>
                <c:pt idx="0">
                  <c:v>9.6999999999999993</c:v>
                </c:pt>
                <c:pt idx="1">
                  <c:v>19.600000000000001</c:v>
                </c:pt>
                <c:pt idx="2">
                  <c:v>29.5</c:v>
                </c:pt>
                <c:pt idx="3">
                  <c:v>39.4</c:v>
                </c:pt>
                <c:pt idx="4">
                  <c:v>59.2</c:v>
                </c:pt>
                <c:pt idx="5">
                  <c:v>79</c:v>
                </c:pt>
                <c:pt idx="6">
                  <c:v>69.099999999999994</c:v>
                </c:pt>
                <c:pt idx="7">
                  <c:v>49.3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AB8-4436-BDD3-E6EBAF46CB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36778496"/>
        <c:axId val="1407759472"/>
      </c:scatterChart>
      <c:valAx>
        <c:axId val="12367784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1407759472"/>
        <c:crosses val="autoZero"/>
        <c:crossBetween val="midCat"/>
      </c:valAx>
      <c:valAx>
        <c:axId val="14077594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12367784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5.xml"/><Relationship Id="rId1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215900</xdr:colOff>
      <xdr:row>0</xdr:row>
      <xdr:rowOff>82454</xdr:rowOff>
    </xdr:from>
    <xdr:to>
      <xdr:col>12</xdr:col>
      <xdr:colOff>447045</xdr:colOff>
      <xdr:row>5</xdr:row>
      <xdr:rowOff>123531</xdr:rowOff>
    </xdr:to>
    <xdr:pic>
      <xdr:nvPicPr>
        <xdr:cNvPr id="3" name="Kuva 2">
          <a:extLst>
            <a:ext uri="{FF2B5EF4-FFF2-40B4-BE49-F238E27FC236}">
              <a16:creationId xmlns:a16="http://schemas.microsoft.com/office/drawing/2014/main" id="{EC6797E2-C46A-439C-B796-FBD54E88A7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02300" y="82454"/>
          <a:ext cx="2059945" cy="961827"/>
        </a:xfrm>
        <a:prstGeom prst="rect">
          <a:avLst/>
        </a:prstGeom>
      </xdr:spPr>
    </xdr:pic>
    <xdr:clientData/>
  </xdr:twoCellAnchor>
  <xdr:twoCellAnchor editAs="oneCell">
    <xdr:from>
      <xdr:col>12</xdr:col>
      <xdr:colOff>501650</xdr:colOff>
      <xdr:row>0</xdr:row>
      <xdr:rowOff>152400</xdr:rowOff>
    </xdr:from>
    <xdr:to>
      <xdr:col>15</xdr:col>
      <xdr:colOff>495300</xdr:colOff>
      <xdr:row>3</xdr:row>
      <xdr:rowOff>114300</xdr:rowOff>
    </xdr:to>
    <xdr:pic>
      <xdr:nvPicPr>
        <xdr:cNvPr id="4" name="imgHeaderImage" descr="Etusivu">
          <a:extLst>
            <a:ext uri="{FF2B5EF4-FFF2-40B4-BE49-F238E27FC236}">
              <a16:creationId xmlns:a16="http://schemas.microsoft.com/office/drawing/2014/main" id="{A8CAB386-542D-443C-A807-90795364D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6850" y="152400"/>
          <a:ext cx="1822450" cy="514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328839</xdr:colOff>
      <xdr:row>12</xdr:row>
      <xdr:rowOff>161925</xdr:rowOff>
    </xdr:from>
    <xdr:to>
      <xdr:col>9</xdr:col>
      <xdr:colOff>789214</xdr:colOff>
      <xdr:row>23</xdr:row>
      <xdr:rowOff>158750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BD3D451-783C-4D63-98FD-1F47E5AB75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442686</xdr:colOff>
      <xdr:row>12</xdr:row>
      <xdr:rowOff>62593</xdr:rowOff>
    </xdr:from>
    <xdr:to>
      <xdr:col>4</xdr:col>
      <xdr:colOff>820511</xdr:colOff>
      <xdr:row>23</xdr:row>
      <xdr:rowOff>131989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E3208DF2-D469-4032-8EB9-990B99041E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495300</xdr:colOff>
      <xdr:row>12</xdr:row>
      <xdr:rowOff>141512</xdr:rowOff>
    </xdr:from>
    <xdr:to>
      <xdr:col>14</xdr:col>
      <xdr:colOff>418041</xdr:colOff>
      <xdr:row>23</xdr:row>
      <xdr:rowOff>158447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6DECE1A3-DE48-4459-808D-DBDA806363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390268</xdr:colOff>
      <xdr:row>24</xdr:row>
      <xdr:rowOff>160981</xdr:rowOff>
    </xdr:from>
    <xdr:to>
      <xdr:col>5</xdr:col>
      <xdr:colOff>403311</xdr:colOff>
      <xdr:row>37</xdr:row>
      <xdr:rowOff>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69D5533B-0CFE-4026-95C9-FC341E6806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565150</xdr:colOff>
      <xdr:row>25</xdr:row>
      <xdr:rowOff>65617</xdr:rowOff>
    </xdr:from>
    <xdr:to>
      <xdr:col>10</xdr:col>
      <xdr:colOff>536575</xdr:colOff>
      <xdr:row>36</xdr:row>
      <xdr:rowOff>65617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FB340A41-3135-4CE8-881E-1CE8E407A89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11</xdr:col>
      <xdr:colOff>363174</xdr:colOff>
      <xdr:row>25</xdr:row>
      <xdr:rowOff>162818</xdr:rowOff>
    </xdr:from>
    <xdr:to>
      <xdr:col>15</xdr:col>
      <xdr:colOff>417340</xdr:colOff>
      <xdr:row>36</xdr:row>
      <xdr:rowOff>173402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313C1B32-2D44-4E3C-BC7E-BB72962071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403527</xdr:colOff>
      <xdr:row>38</xdr:row>
      <xdr:rowOff>36286</xdr:rowOff>
    </xdr:from>
    <xdr:to>
      <xdr:col>5</xdr:col>
      <xdr:colOff>470202</xdr:colOff>
      <xdr:row>48</xdr:row>
      <xdr:rowOff>17236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5BEE8F1D-65EA-4ABA-81CF-A23085B76DE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30</xdr:col>
      <xdr:colOff>39232</xdr:colOff>
      <xdr:row>12</xdr:row>
      <xdr:rowOff>85045</xdr:rowOff>
    </xdr:from>
    <xdr:to>
      <xdr:col>36</xdr:col>
      <xdr:colOff>562730</xdr:colOff>
      <xdr:row>27</xdr:row>
      <xdr:rowOff>62366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CC9D9BE4-24D2-46DE-BEB6-E5EF2797D67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6</xdr:col>
      <xdr:colOff>136071</xdr:colOff>
      <xdr:row>38</xdr:row>
      <xdr:rowOff>176893</xdr:rowOff>
    </xdr:from>
    <xdr:to>
      <xdr:col>10</xdr:col>
      <xdr:colOff>411891</xdr:colOff>
      <xdr:row>48</xdr:row>
      <xdr:rowOff>164042</xdr:rowOff>
    </xdr:to>
    <xdr:graphicFrame macro="">
      <xdr:nvGraphicFramePr>
        <xdr:cNvPr id="19" name="Chart 18">
          <a:extLst>
            <a:ext uri="{FF2B5EF4-FFF2-40B4-BE49-F238E27FC236}">
              <a16:creationId xmlns:a16="http://schemas.microsoft.com/office/drawing/2014/main" id="{91091D5B-12A2-46C1-B907-41194144027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11</xdr:col>
      <xdr:colOff>0</xdr:colOff>
      <xdr:row>38</xdr:row>
      <xdr:rowOff>0</xdr:rowOff>
    </xdr:from>
    <xdr:to>
      <xdr:col>14</xdr:col>
      <xdr:colOff>171622</xdr:colOff>
      <xdr:row>47</xdr:row>
      <xdr:rowOff>167352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8E76F482-5E35-43A0-B190-51B9334B4A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28</xdr:col>
      <xdr:colOff>230185</xdr:colOff>
      <xdr:row>28</xdr:row>
      <xdr:rowOff>18521</xdr:rowOff>
    </xdr:from>
    <xdr:to>
      <xdr:col>34</xdr:col>
      <xdr:colOff>595311</xdr:colOff>
      <xdr:row>42</xdr:row>
      <xdr:rowOff>12701</xdr:rowOff>
    </xdr:to>
    <xdr:graphicFrame macro="">
      <xdr:nvGraphicFramePr>
        <xdr:cNvPr id="20" name="Chart 19">
          <a:extLst>
            <a:ext uri="{FF2B5EF4-FFF2-40B4-BE49-F238E27FC236}">
              <a16:creationId xmlns:a16="http://schemas.microsoft.com/office/drawing/2014/main" id="{56E40AEE-2C1E-4AC6-8766-731D485CAA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28</xdr:col>
      <xdr:colOff>127000</xdr:colOff>
      <xdr:row>42</xdr:row>
      <xdr:rowOff>95251</xdr:rowOff>
    </xdr:from>
    <xdr:to>
      <xdr:col>34</xdr:col>
      <xdr:colOff>492126</xdr:colOff>
      <xdr:row>55</xdr:row>
      <xdr:rowOff>15347</xdr:rowOff>
    </xdr:to>
    <xdr:graphicFrame macro="">
      <xdr:nvGraphicFramePr>
        <xdr:cNvPr id="21" name="Chart 20">
          <a:extLst>
            <a:ext uri="{FF2B5EF4-FFF2-40B4-BE49-F238E27FC236}">
              <a16:creationId xmlns:a16="http://schemas.microsoft.com/office/drawing/2014/main" id="{F964776A-195A-4C56-BAA0-943FC7F056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349147</xdr:colOff>
      <xdr:row>20</xdr:row>
      <xdr:rowOff>123701</xdr:rowOff>
    </xdr:from>
    <xdr:to>
      <xdr:col>45</xdr:col>
      <xdr:colOff>378466</xdr:colOff>
      <xdr:row>36</xdr:row>
      <xdr:rowOff>66551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69D262F2-489D-4A0A-B6BE-18235DE29B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9525</xdr:colOff>
      <xdr:row>3</xdr:row>
      <xdr:rowOff>144462</xdr:rowOff>
    </xdr:from>
    <xdr:to>
      <xdr:col>14</xdr:col>
      <xdr:colOff>314325</xdr:colOff>
      <xdr:row>19</xdr:row>
      <xdr:rowOff>1587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6DA95C9-F011-4D19-8685-378931B13A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19050</xdr:colOff>
      <xdr:row>3</xdr:row>
      <xdr:rowOff>125412</xdr:rowOff>
    </xdr:from>
    <xdr:to>
      <xdr:col>22</xdr:col>
      <xdr:colOff>323850</xdr:colOff>
      <xdr:row>18</xdr:row>
      <xdr:rowOff>160337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3BEF5BD-1B3C-4433-9331-7B52CA4D48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141" dT="2021-07-21T11:43:08.59" personId="{00000000-0000-0000-0000-000000000000}" id="{0425EDC1-5A95-4416-84F9-3F021008E265}">
    <text>hard to understand if it was a 4 or a 14 on the paper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A26" dT="2021-07-27T10:25:00.81" personId="{00000000-0000-0000-0000-000000000000}" id="{83DD5049-1190-4B6B-83D5-3026527FD932}">
    <text>trial fields. data collected 20 m from the gps coordinates</text>
  </threadedComment>
  <threadedComment ref="A114" dT="2021-07-28T08:17:05.36" personId="{00000000-0000-0000-0000-000000000000}" id="{B1875EAD-B494-49A9-85B3-2C10221FEA94}">
    <text>did not measure plant height</text>
  </threadedComment>
  <threadedComment ref="A194" dT="2021-07-28T08:22:52.28" personId="{00000000-0000-0000-0000-000000000000}" id="{710D3161-03B3-4C03-B631-785E079FA5A3}">
    <text>Plant height not measured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arbonaction.org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Relationship Id="rId4" Type="http://schemas.microsoft.com/office/2017/10/relationships/threadedComment" Target="../threadedComments/threadedComment1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Relationship Id="rId4" Type="http://schemas.microsoft.com/office/2017/10/relationships/threadedComment" Target="../threadedComments/threadedComment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325547-E463-47BE-8B62-F58DF7771C85}">
  <dimension ref="A2:L19"/>
  <sheetViews>
    <sheetView workbookViewId="0">
      <selection activeCell="B5" sqref="B5"/>
    </sheetView>
  </sheetViews>
  <sheetFormatPr defaultRowHeight="14.5" x14ac:dyDescent="0.35"/>
  <sheetData>
    <row r="2" spans="1:12" x14ac:dyDescent="0.35">
      <c r="A2" s="1" t="s">
        <v>449</v>
      </c>
    </row>
    <row r="3" spans="1:12" x14ac:dyDescent="0.35">
      <c r="A3" t="s">
        <v>417</v>
      </c>
    </row>
    <row r="4" spans="1:12" x14ac:dyDescent="0.35">
      <c r="A4" t="s">
        <v>418</v>
      </c>
    </row>
    <row r="6" spans="1:12" x14ac:dyDescent="0.35">
      <c r="A6" t="s">
        <v>419</v>
      </c>
    </row>
    <row r="7" spans="1:12" x14ac:dyDescent="0.35">
      <c r="A7" t="s">
        <v>420</v>
      </c>
      <c r="L7" s="134" t="s">
        <v>431</v>
      </c>
    </row>
    <row r="8" spans="1:12" x14ac:dyDescent="0.35">
      <c r="A8" t="s">
        <v>421</v>
      </c>
    </row>
    <row r="9" spans="1:12" x14ac:dyDescent="0.35">
      <c r="A9" t="s">
        <v>422</v>
      </c>
    </row>
    <row r="11" spans="1:12" x14ac:dyDescent="0.35">
      <c r="A11" s="116" t="s">
        <v>423</v>
      </c>
      <c r="B11" t="s">
        <v>424</v>
      </c>
    </row>
    <row r="12" spans="1:12" x14ac:dyDescent="0.35">
      <c r="A12" s="116" t="s">
        <v>450</v>
      </c>
      <c r="B12" t="s">
        <v>425</v>
      </c>
    </row>
    <row r="13" spans="1:12" x14ac:dyDescent="0.35">
      <c r="A13" s="124" t="s">
        <v>426</v>
      </c>
    </row>
    <row r="14" spans="1:12" x14ac:dyDescent="0.35">
      <c r="A14" s="133" t="s">
        <v>427</v>
      </c>
    </row>
    <row r="16" spans="1:12" x14ac:dyDescent="0.35">
      <c r="A16" t="s">
        <v>428</v>
      </c>
    </row>
    <row r="17" spans="1:1" x14ac:dyDescent="0.35">
      <c r="A17" t="s">
        <v>429</v>
      </c>
    </row>
    <row r="19" spans="1:1" x14ac:dyDescent="0.35">
      <c r="A19" t="s">
        <v>430</v>
      </c>
    </row>
  </sheetData>
  <hyperlinks>
    <hyperlink ref="L7" r:id="rId1" xr:uid="{AB35F3E1-57F6-4541-B1A2-89E4F5301C4A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8F4B2A-3118-46E6-A3D6-64EB9615BFE3}">
  <sheetPr>
    <tabColor theme="9" tint="0.59999389629810485"/>
  </sheetPr>
  <dimension ref="A1:AO55"/>
  <sheetViews>
    <sheetView topLeftCell="A27" zoomScale="70" zoomScaleNormal="70" workbookViewId="0">
      <selection activeCell="P51" sqref="P51"/>
    </sheetView>
  </sheetViews>
  <sheetFormatPr defaultRowHeight="14.5" x14ac:dyDescent="0.35"/>
  <cols>
    <col min="3" max="3" width="14.1796875" bestFit="1" customWidth="1"/>
    <col min="4" max="4" width="13.7265625" customWidth="1"/>
    <col min="5" max="5" width="14.1796875" bestFit="1" customWidth="1"/>
    <col min="7" max="7" width="11.1796875" customWidth="1"/>
    <col min="10" max="10" width="11.54296875" customWidth="1"/>
    <col min="11" max="11" width="10.453125" bestFit="1" customWidth="1"/>
    <col min="12" max="12" width="14.1796875" bestFit="1" customWidth="1"/>
    <col min="13" max="13" width="12.453125" bestFit="1" customWidth="1"/>
    <col min="14" max="14" width="12.453125" customWidth="1"/>
    <col min="15" max="15" width="11.453125" customWidth="1"/>
    <col min="16" max="16" width="14.1796875" bestFit="1" customWidth="1"/>
    <col min="17" max="17" width="13.7265625" customWidth="1"/>
    <col min="18" max="18" width="10.26953125" customWidth="1"/>
    <col min="19" max="19" width="9.54296875" customWidth="1"/>
    <col min="21" max="22" width="10.453125" bestFit="1" customWidth="1"/>
    <col min="23" max="23" width="10.54296875" customWidth="1"/>
    <col min="24" max="25" width="11.81640625" bestFit="1" customWidth="1"/>
    <col min="26" max="26" width="12.26953125" customWidth="1"/>
    <col min="27" max="27" width="11.81640625" bestFit="1" customWidth="1"/>
    <col min="32" max="32" width="14.81640625" customWidth="1"/>
    <col min="33" max="33" width="11.36328125" bestFit="1" customWidth="1"/>
    <col min="34" max="34" width="10.453125" customWidth="1"/>
    <col min="35" max="37" width="11.36328125" bestFit="1" customWidth="1"/>
  </cols>
  <sheetData>
    <row r="1" spans="1:41" ht="15.5" x14ac:dyDescent="0.35">
      <c r="A1" s="59" t="s">
        <v>380</v>
      </c>
      <c r="T1" s="64" t="s">
        <v>386</v>
      </c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  <c r="AO1" s="65"/>
    </row>
    <row r="2" spans="1:41" ht="10" customHeight="1" x14ac:dyDescent="0.35">
      <c r="A2" s="10"/>
      <c r="B2" s="168"/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  <c r="AH2" s="65"/>
      <c r="AI2" s="65"/>
      <c r="AJ2" s="65"/>
      <c r="AK2" s="65"/>
      <c r="AL2" s="65"/>
      <c r="AM2" s="65"/>
      <c r="AN2" s="65"/>
      <c r="AO2" s="65"/>
    </row>
    <row r="3" spans="1:41" ht="31" customHeight="1" thickBot="1" x14ac:dyDescent="0.4">
      <c r="A3" s="6" t="s">
        <v>387</v>
      </c>
      <c r="B3" s="5" t="s">
        <v>381</v>
      </c>
      <c r="C3" s="5" t="s">
        <v>7</v>
      </c>
      <c r="D3" s="5" t="s">
        <v>10</v>
      </c>
      <c r="E3" s="5" t="s">
        <v>6</v>
      </c>
      <c r="F3" s="5" t="s">
        <v>112</v>
      </c>
      <c r="G3" s="5" t="s">
        <v>151</v>
      </c>
      <c r="H3" s="5" t="s">
        <v>382</v>
      </c>
      <c r="I3" s="5" t="s">
        <v>151</v>
      </c>
      <c r="J3" s="5" t="s">
        <v>154</v>
      </c>
      <c r="K3" s="5" t="s">
        <v>151</v>
      </c>
      <c r="L3" s="5" t="s">
        <v>383</v>
      </c>
      <c r="M3" s="5" t="s">
        <v>151</v>
      </c>
      <c r="N3" s="5" t="s">
        <v>384</v>
      </c>
      <c r="O3" s="5" t="s">
        <v>151</v>
      </c>
      <c r="P3" s="5" t="s">
        <v>385</v>
      </c>
      <c r="Q3" s="5" t="s">
        <v>151</v>
      </c>
      <c r="R3" s="5" t="s">
        <v>150</v>
      </c>
      <c r="S3" s="5" t="s">
        <v>151</v>
      </c>
      <c r="T3" s="66" t="s">
        <v>387</v>
      </c>
      <c r="U3" s="67" t="s">
        <v>381</v>
      </c>
      <c r="V3" s="67" t="s">
        <v>7</v>
      </c>
      <c r="W3" s="67" t="s">
        <v>151</v>
      </c>
      <c r="X3" s="67" t="s">
        <v>10</v>
      </c>
      <c r="Y3" s="67" t="s">
        <v>151</v>
      </c>
      <c r="Z3" s="67" t="s">
        <v>6</v>
      </c>
      <c r="AA3" s="67" t="s">
        <v>151</v>
      </c>
      <c r="AB3" s="67" t="s">
        <v>112</v>
      </c>
      <c r="AC3" s="67" t="s">
        <v>151</v>
      </c>
      <c r="AD3" s="67" t="s">
        <v>107</v>
      </c>
      <c r="AE3" s="67" t="s">
        <v>151</v>
      </c>
      <c r="AF3" s="67" t="s">
        <v>154</v>
      </c>
      <c r="AG3" s="67" t="s">
        <v>151</v>
      </c>
      <c r="AH3" s="67" t="s">
        <v>383</v>
      </c>
      <c r="AI3" s="67" t="s">
        <v>151</v>
      </c>
      <c r="AJ3" s="67" t="s">
        <v>384</v>
      </c>
      <c r="AK3" s="67" t="s">
        <v>151</v>
      </c>
      <c r="AL3" s="67" t="s">
        <v>388</v>
      </c>
      <c r="AM3" s="67" t="s">
        <v>151</v>
      </c>
      <c r="AN3" s="67" t="s">
        <v>163</v>
      </c>
      <c r="AO3" s="68" t="s">
        <v>151</v>
      </c>
    </row>
    <row r="4" spans="1:41" ht="15" thickTop="1" x14ac:dyDescent="0.35">
      <c r="A4" s="19" t="s">
        <v>37</v>
      </c>
      <c r="B4">
        <v>2022</v>
      </c>
      <c r="C4" s="56">
        <f>VLOOKUP($A4,ALL_2022!$A$3:$R$43,5,FALSE)</f>
        <v>1.3455224147227316</v>
      </c>
      <c r="D4" s="91">
        <f>VLOOKUP($A4,ALL_2022!$A$3:$R$43,6,FALSE)</f>
        <v>0.49225569255745971</v>
      </c>
      <c r="E4" s="88">
        <f>VLOOKUP(A4,ALL_2022!$A$3:$R$43,7,FALSE)</f>
        <v>1342.9888084265965</v>
      </c>
      <c r="F4" s="85">
        <f>VLOOKUP(A4,ALL_2022!$A$3:$R$43,8,FALSE)</f>
        <v>3.2118996415770611</v>
      </c>
      <c r="G4" s="85">
        <f>VLOOKUP(A4,ALL_2022!$A$3:$R$43,9,FALSE)</f>
        <v>0.57469027731398148</v>
      </c>
      <c r="H4" s="88">
        <f>VLOOKUP(A4,ALL_2022!$A$3:$R$43,10,FALSE)</f>
        <v>0</v>
      </c>
      <c r="I4" s="88">
        <f>VLOOKUP(A4,ALL_2022!$A$3:$R$43,11,FALSE)</f>
        <v>0</v>
      </c>
      <c r="J4" s="88">
        <f>VLOOKUP(A4,ALL_2022!$A$3:$R$43,12,FALSE)</f>
        <v>45.186666670000001</v>
      </c>
      <c r="K4" s="88">
        <f>VLOOKUP(A4,ALL_2022!$A$3:$R$43,13,FALSE)</f>
        <v>2.3715160000000002</v>
      </c>
      <c r="L4" s="88">
        <f>VLOOKUP(A4,ALL_2022!$A$3:$R$43,14,FALSE)</f>
        <v>16.677</v>
      </c>
      <c r="M4" s="88">
        <f>VLOOKUP($A4,ALL_2022!$A$3:$S$43,15,FALSE)</f>
        <v>4.7942220000000004</v>
      </c>
      <c r="N4" s="88">
        <f>VLOOKUP($A4,ALL_2022!$A$3:$S$43,16,FALSE)</f>
        <v>42</v>
      </c>
      <c r="O4" s="88">
        <f>VLOOKUP($A4,ALL_2022!$A$3:$S$43,17,FALSE)</f>
        <v>2.4494899999999999</v>
      </c>
      <c r="P4" s="56">
        <f>VLOOKUP($A4,ALL_2022!$A$3:$S$43,18,FALSE)</f>
        <v>4.82E-2</v>
      </c>
      <c r="Q4" s="56">
        <f>VLOOKUP($A4,ALL_2022!$A$3:$S$43,19,FALSE)</f>
        <v>5.476E-3</v>
      </c>
      <c r="R4" s="88">
        <f>VLOOKUP($A4,ALL_2022!$A$3:$U$43,20,FALSE)</f>
        <v>47.0032</v>
      </c>
      <c r="S4" s="88">
        <f>VLOOKUP($A4,ALL_2022!$A$3:$U$43,21,FALSE)</f>
        <v>3.629076</v>
      </c>
      <c r="T4" s="69">
        <v>0</v>
      </c>
      <c r="U4" s="157">
        <v>2022</v>
      </c>
      <c r="V4" s="70">
        <f t="array" ref="V4">AVERAGEIF(ALL_2022!$C$4:$C$43,Graphs!$T4,ALL_2022!$E$4:$E$43)</f>
        <v>0.98859888676246244</v>
      </c>
      <c r="W4" s="70">
        <f t="array" ref="W4">_xlfn.STDEV.P(IF($T4=ALL_2022!$C$4:$C$43,ALL_2022!$E$4:$E$43,""))</f>
        <v>0.13260798505889845</v>
      </c>
      <c r="X4" s="71">
        <f>AVERAGEIF(ALL_2022!$C$4:$C$43,Graphs!$T4,ALL_2022!$F$4:$F$43)</f>
        <v>0.62694381631605178</v>
      </c>
      <c r="Y4" s="71">
        <f t="array" ref="Y4">_xlfn.STDEV.P(IF($T4=ALL_2022!$C$4:$C$43,ALL_2022!$F$4:$F$43,""))</f>
        <v>5.0040749078829369E-2</v>
      </c>
      <c r="Z4" s="97">
        <f>AVERAGEIF(ALL_2022!$C$4:$C$43,Graphs!$T4,ALL_2022!G4:G43)</f>
        <v>3229.7424269096027</v>
      </c>
      <c r="AA4" s="97">
        <f t="array" ref="AA4">_xlfn.STDEV.P(IF($T4=ALL_2022!$C$4:$C$43,ALL_2022!$G$4:$G$43,""))</f>
        <v>2894.1573884329296</v>
      </c>
      <c r="AB4" s="93">
        <f>AVERAGEIF(ALL_2022!$C$4:$C$43,Graphs!$T4,ALL_2022!$H$4:$H$43)</f>
        <v>3.1234699990323316</v>
      </c>
      <c r="AC4" s="93">
        <f t="array" ref="AC4">_xlfn.STDEV.P(IF($T4=ALL_2022!$C$4:$C$43,ALL_2022!$H$4:$H$43,""))</f>
        <v>0.46748288051499498</v>
      </c>
      <c r="AD4" s="97">
        <f>AVERAGEIF(ALL_2022!$C$4:$C$43,Graphs!$T4,ALL_2022!$J$4:$J$43)</f>
        <v>27.875</v>
      </c>
      <c r="AE4" s="97">
        <f t="array" ref="AE4">_xlfn.STDEV.P(IF($T4=ALL_2022!$C$4:$C$43,ALL_2022!$J$4:$J$43,""))</f>
        <v>35.102503669808065</v>
      </c>
      <c r="AF4" s="97">
        <f>AVERAGEIF(ALL_2022!$C$4:$C$43,Graphs!$T4,ALL_2022!$L$4:$L$43)</f>
        <v>77.600166666499987</v>
      </c>
      <c r="AG4" s="97">
        <f t="array" ref="AG4">_xlfn.STDEV.P(IF($T4=ALL_2022!$C$4:$C$43,ALL_2022!$L$4:$L$43,""))</f>
        <v>16.744164404865405</v>
      </c>
      <c r="AH4" s="97">
        <f>AVERAGEIF(ALL_2022!$C$4:$C$43,Graphs!$T4,ALL_2022!$N$4:$N$43)</f>
        <v>22.1812255</v>
      </c>
      <c r="AI4" s="97">
        <f t="array" ref="AI4">_xlfn.STDEV.P(IF($T4=ALL_2022!$C$4:$C$43,ALL_2022!$N$4:$N$43,""))</f>
        <v>22.441412764987518</v>
      </c>
      <c r="AJ4" s="97">
        <f>AVERAGEIF(ALL_2022!$C$4:$C$43,Graphs!$T4,ALL_2022!$P$4:$P$43)</f>
        <v>52.438235294117646</v>
      </c>
      <c r="AK4" s="97">
        <f t="array" ref="AK4">_xlfn.STDEV.P(IF($T4=ALL_2022!$C$4:$C$43,ALL_2022!$P$4:$P$43,""))</f>
        <v>35.66084153171375</v>
      </c>
      <c r="AL4" s="70">
        <f>AVERAGEIF(ALL_2022!$C$4:$C$43,Graphs!$T4,ALL_2022!R4:R43)</f>
        <v>2.8153315789473683E-2</v>
      </c>
      <c r="AM4" s="74">
        <f t="array" ref="AM4">_xlfn.STDEV.P(IF($T4=ALL_2022!$C$4:$C$43,ALL_2022!$R$4:$R$43,""))</f>
        <v>2.1235386298052127E-2</v>
      </c>
      <c r="AN4" s="98">
        <f>AVERAGEIF(ALL_2022!$C$4:$C$43,Graphs!$T4,ALL_2022!$T$4:$T$43)</f>
        <v>28.53045263157895</v>
      </c>
      <c r="AO4" s="73"/>
    </row>
    <row r="5" spans="1:41" x14ac:dyDescent="0.35">
      <c r="A5" s="19" t="str">
        <f>A4</f>
        <v>Ai-0</v>
      </c>
      <c r="B5">
        <v>2021</v>
      </c>
      <c r="C5" s="56">
        <f>VLOOKUP($A5,ALL_2021!$A$3:$R$44,5,FALSE)</f>
        <v>1.3810933333333333</v>
      </c>
      <c r="D5" s="91">
        <f>VLOOKUP($A5,ALL_2021!$A$3:$R$44,6,FALSE)</f>
        <v>0.47883270440251569</v>
      </c>
      <c r="E5" s="88">
        <f>VLOOKUP(A5,ALL_2021!$A$3:$R$44,7,FALSE)</f>
        <v>332.54141667602693</v>
      </c>
      <c r="F5" s="85">
        <f>VLOOKUP(A5,ALL_2021!$A$3:$R$44,8,FALSE)</f>
        <v>3.540289855072464</v>
      </c>
      <c r="G5" s="85">
        <f>VLOOKUP(A5,ALL_2021!$A$3:$R$44,9,FALSE)</f>
        <v>0.58024497068302205</v>
      </c>
      <c r="H5" s="88">
        <f>VLOOKUP(A5,ALL_2021!$A$3:$R$44,10,FALSE)</f>
        <v>16.666666666666661</v>
      </c>
      <c r="I5" s="88">
        <f>VLOOKUP(A5,ALL_2021!$A$3:$R$44,11,FALSE)</f>
        <v>23.570226039551578</v>
      </c>
      <c r="J5" s="88">
        <f>VLOOKUP(A5,ALL_2021!$A$3:$R$44,12,FALSE)</f>
        <v>7.25</v>
      </c>
      <c r="K5" s="88">
        <f>VLOOKUP(A5,ALL_2021!$A$3:$R$44,13,FALSE)</f>
        <v>5.5518825635994897</v>
      </c>
      <c r="L5" s="88">
        <f>VLOOKUP(A5,ALL_2021!$A$3:$R$44,14,FALSE)</f>
        <v>37.453400000000002</v>
      </c>
      <c r="M5" s="88">
        <f>VLOOKUP($A5,ALL_2021!$A$3:$S$44,15,FALSE)</f>
        <v>29.347697351581093</v>
      </c>
      <c r="N5" s="88">
        <f>VLOOKUP($A5,ALL_2021!$A$3:$S$44,16,FALSE)</f>
        <v>7</v>
      </c>
      <c r="O5" s="88">
        <f>VLOOKUP($A5,ALL_2021!$A$3:$S$44,17,FALSE)</f>
        <v>0</v>
      </c>
      <c r="P5" s="56">
        <f>VLOOKUP($A5,ALL_2021!$A$3:$S$44,18,FALSE)</f>
        <v>3.0804826299999997E-2</v>
      </c>
      <c r="Q5" s="56">
        <f>VLOOKUP($A5,ALL_2021!$A$3:$S$44,19,FALSE)</f>
        <v>1.2918395809768959E-2</v>
      </c>
      <c r="R5" s="88">
        <f>VLOOKUP($A5,ALL_2021!$A$3:$U$44,20,FALSE)</f>
        <v>34.128249999999994</v>
      </c>
      <c r="S5" s="88">
        <f>VLOOKUP($A5,ALL_2021!$A$3:$U$44,21,FALSE)</f>
        <v>10.482640372897475</v>
      </c>
      <c r="T5" s="69">
        <v>0</v>
      </c>
      <c r="U5" s="157">
        <v>2021</v>
      </c>
      <c r="V5" s="70">
        <f t="array" ref="V5">AVERAGEIF(ALL_2021!$C$5:$C$44,Graphs!$T5,ALL_2021!$E$5:$E$44)</f>
        <v>1.0897656140350875</v>
      </c>
      <c r="W5" s="70">
        <f t="array" ref="W5">_xlfn.STDEV.P(IF($T5=ALL_2021!$C$5:$C$44,ALL_2021!$E$5:$E$44,""))</f>
        <v>0.27612514417601097</v>
      </c>
      <c r="X5" s="71">
        <f>AVERAGEIF(ALL_2021!$C$5:$C$44,Graphs!$T5,ALL_2021!$F$5:$F$44)</f>
        <v>0.58876769281694796</v>
      </c>
      <c r="Y5" s="71">
        <f t="array" ref="Y5">_xlfn.STDEV.P(IF($T5=ALL_2021!$C$5:$C$44,ALL_2021!$F$5:$F$44,""))</f>
        <v>0.13888912467014711</v>
      </c>
      <c r="Z5" s="97">
        <f>AVERAGEIF(ALL_2021!$C$5:$C$44,Graphs!$T5,ALL_2021!G6:G45)</f>
        <v>4035.3265415163914</v>
      </c>
      <c r="AA5" s="97">
        <f t="array" ref="AA5">_xlfn.STDEV.P(IF($T5=ALL_2021!$C$5:$C$44,ALL_2021!$G$5:$G$44,""))</f>
        <v>2940.0076315401975</v>
      </c>
      <c r="AB5" s="93">
        <f>AVERAGEIF(ALL_2021!$C$5:$C$44,Graphs!$T5,ALL_2021!$H$5:$H$44)</f>
        <v>3.1519325793684616</v>
      </c>
      <c r="AC5" s="93">
        <f t="array" ref="AC5">_xlfn.STDEV.P(IF($T5=ALL_2021!$C$5:$C$44,ALL_2021!$H$5:$H$44,""))</f>
        <v>0.85340178453011306</v>
      </c>
      <c r="AD5" s="97">
        <f>AVERAGEIF(ALL_2021!$C$5:$C$44,Graphs!$T5,ALL_2021!$J$5:$J$44)</f>
        <v>22.368421052631572</v>
      </c>
      <c r="AE5" s="97">
        <f t="array" ref="AE5">_xlfn.STDEV.P(IF($T5=ALL_2021!$C$5:$C$44,ALL_2021!$J$5:$J$44,""))</f>
        <v>38.014982426523467</v>
      </c>
      <c r="AF5" s="97">
        <f>AVERAGEIF(ALL_2021!$C$5:$C$44,Graphs!$T5,ALL_2021!$L$5:$L$44)</f>
        <v>65.705350877192984</v>
      </c>
      <c r="AG5" s="97">
        <f t="array" ref="AG5">_xlfn.STDEV.P(IF($T5=ALL_2021!$C$5:$C$44,ALL_2021!$L$5:$L$44,""))</f>
        <v>28.489457818614433</v>
      </c>
      <c r="AH5" s="97">
        <f>AVERAGEIF(ALL_2021!$C$5:$C$44,Graphs!$T5,ALL_2021!$N$5:$N$44)</f>
        <v>19.987521296806282</v>
      </c>
      <c r="AI5" s="97">
        <f t="array" ref="AI5">_xlfn.STDEV.P(IF($T5=ALL_2021!$C$5:$C$44,ALL_2021!$N$5:$N$44,""))</f>
        <v>19.716627145471513</v>
      </c>
      <c r="AJ5" s="97">
        <f>AVERAGEIF(ALL_2021!$C$5:$C$44,Graphs!$T5,ALL_2021!$P$5:$P$44)</f>
        <v>38.614583333333329</v>
      </c>
      <c r="AK5" s="97">
        <f t="array" ref="AK5">_xlfn.STDEV.P(IF($T5=ALL_2021!$C$5:$C$44,ALL_2021!$P$5:$P$44,""))</f>
        <v>22.998990014056417</v>
      </c>
      <c r="AL5" s="70">
        <f>AVERAGEIF(ALL_2021!$C$5:$C$44,Graphs!$T5,ALL_2021!R6:R45)</f>
        <v>4.2836640285925924E-2</v>
      </c>
      <c r="AM5" s="74">
        <f t="array" ref="AM5">_xlfn.STDEV.P(IF($T5=ALL_2021!$C$5:$C$44,ALL_2021!$R$5:$R$44,""))</f>
        <v>1.5866257708611779E-2</v>
      </c>
      <c r="AN5" s="98">
        <f>AVERAGEIF(ALL_2021!$C$5:$C$44,Graphs!$T5,ALL_2021!$T$5:$T$44)</f>
        <v>44.593649999999997</v>
      </c>
      <c r="AO5" s="73"/>
    </row>
    <row r="6" spans="1:41" x14ac:dyDescent="0.35">
      <c r="A6" s="19" t="str">
        <f>A4</f>
        <v>Ai-0</v>
      </c>
      <c r="B6" s="8">
        <v>2020</v>
      </c>
      <c r="C6" s="56">
        <f>VLOOKUP($A6,ALL_2020!$A$3:$R$44,5,FALSE)</f>
        <v>1.2425287356321839</v>
      </c>
      <c r="D6" s="91">
        <f>VLOOKUP($A6,ALL_2020!$A$3:$R$44,6,FALSE)</f>
        <v>0.53112123183691173</v>
      </c>
      <c r="E6" s="88">
        <f>VLOOKUP(A6,ALL_2020!$A$3:$R$44,7,FALSE)</f>
        <v>3040.1169882051004</v>
      </c>
      <c r="F6" s="85">
        <f>VLOOKUP(A6,ALL_2020!$A$3:$R$44,8,FALSE)</f>
        <v>2.8603994705943734</v>
      </c>
      <c r="G6" s="85">
        <f>VLOOKUP(A6,ALL_2020!$A$3:$R$44,9,FALSE)</f>
        <v>0.36644087456711777</v>
      </c>
      <c r="H6" s="88">
        <f>VLOOKUP(A6,ALL_2020!$A$3:$R$44,10,FALSE)</f>
        <v>19.999999999999996</v>
      </c>
      <c r="I6" s="88">
        <f>VLOOKUP(A6,ALL_2020!$A$3:$R$44,11,FALSE)</f>
        <v>39.999999999999993</v>
      </c>
      <c r="J6" s="88">
        <f>VLOOKUP(A6,ALL_2020!$A$3:$R$44,12,FALSE)</f>
        <v>91.975499999999997</v>
      </c>
      <c r="K6" s="88">
        <f>VLOOKUP(A6,ALL_2020!$A$3:$R$44,13,FALSE)</f>
        <v>4.78445231425379</v>
      </c>
      <c r="L6" s="88">
        <f>VLOOKUP(A6,ALL_2020!$A$3:$R$44,14,FALSE)</f>
        <v>11.39829247255881</v>
      </c>
      <c r="M6" s="88">
        <f>VLOOKUP($A6,ALL_2020!$A$3:$S$44,15,FALSE)</f>
        <v>9.6221866744065068</v>
      </c>
      <c r="N6" s="88">
        <f>VLOOKUP($A6,ALL_2020!$A$3:$S$44,16,FALSE)</f>
        <v>43</v>
      </c>
      <c r="O6" s="88">
        <f>VLOOKUP($A6,ALL_2020!$A$3:$S$44,17,FALSE)</f>
        <v>2.4494897427831779</v>
      </c>
      <c r="P6" s="56">
        <f>VLOOKUP($A6,ALL_2020!$A$3:$S$44,18,FALSE)</f>
        <v>4.7341024000000002E-2</v>
      </c>
      <c r="Q6" s="56">
        <f>VLOOKUP($A6,ALL_2020!$A$3:$S$44,19,FALSE)</f>
        <v>8.5556475453388899E-3</v>
      </c>
      <c r="R6" s="88">
        <f>VLOOKUP($A6,ALL_2020!$A$3:$U$44,20,FALSE)</f>
        <v>46.33</v>
      </c>
      <c r="S6" s="88">
        <f>VLOOKUP($A6,ALL_2020!$A$3:$U$44,21,FALSE)</f>
        <v>5.6698571410573875</v>
      </c>
      <c r="T6" s="69">
        <v>0</v>
      </c>
      <c r="U6" s="8">
        <v>2020</v>
      </c>
      <c r="V6" s="70">
        <f t="array" ref="V6">AVERAGEIF(ALL_2020!$C$5:$C$44,Graphs!$T6,ALL_2020!$E$5:$E$44)</f>
        <v>1.0116588021778585</v>
      </c>
      <c r="W6" s="70">
        <f t="array" ref="W6">_xlfn.STDEV.P(IF($T6=ALL_2020!$C$5:$C$44,ALL_2020!$E$5:$E$44,""))</f>
        <v>0.32251516999842333</v>
      </c>
      <c r="X6" s="71">
        <f>AVERAGEIF(ALL_2020!$C$5:$C$44,Graphs!$T6,ALL_2020!$F$5:$F$44)</f>
        <v>0.61824196144231747</v>
      </c>
      <c r="Y6" s="71">
        <f t="array" ref="Y6">_xlfn.STDEV.P(IF($T6=ALL_2020!$C$5:$C$44,ALL_2020!$F$5:$F$44,""))</f>
        <v>0.1875876424423443</v>
      </c>
      <c r="Z6" s="97">
        <f>AVERAGEIF(ALL_2020!$C$5:$C$44,Graphs!$T6,ALL_2020!G7:G46)</f>
        <v>3609.8921211358465</v>
      </c>
      <c r="AA6" s="97">
        <f t="array" ref="AA6">_xlfn.STDEV.P(IF($T6=ALL_2020!$C$5:$C$44,ALL_2020!$G$5:$G$44,""))</f>
        <v>2416.2727415900849</v>
      </c>
      <c r="AB6" s="93">
        <f>AVERAGEIF(ALL_2020!$C$5:$C$44,Graphs!$T6,ALL_2020!$H$5:$H$44)</f>
        <v>2.9316430560929008</v>
      </c>
      <c r="AC6" s="93">
        <f t="array" ref="AC6">_xlfn.STDEV.P(IF($T6=ALL_2020!$C$5:$C$44,ALL_2020!$H$5:$H$44,""))</f>
        <v>0.92843086109486506</v>
      </c>
      <c r="AD6" s="97">
        <f>AVERAGEIF(ALL_2020!$C$5:$C$44,Graphs!$T6,ALL_2020!$J$5:$J$44)</f>
        <v>43.947368421052623</v>
      </c>
      <c r="AE6" s="97">
        <f t="array" ref="AE6">_xlfn.STDEV.P(IF($T6=ALL_2020!$C$5:$C$44,ALL_2020!$J$5:$J$44,""))</f>
        <v>38.249686910520381</v>
      </c>
      <c r="AF6" s="97">
        <f>AVERAGEIF(ALL_2020!$C$5:$C$44,Graphs!$T6,ALL_2020!$L$5:$L$44)</f>
        <v>77.377064315647445</v>
      </c>
      <c r="AG6" s="97">
        <f t="array" ref="AG6">_xlfn.STDEV.P(IF($T6=ALL_2020!$C$5:$C$44,ALL_2020!$L$5:$L$44,""))</f>
        <v>26.949730309238362</v>
      </c>
      <c r="AH6" s="97">
        <f>AVERAGEIF(ALL_2020!$C$5:$C$44,Graphs!$T6,ALL_2020!$N$5:$N$44)</f>
        <v>11.085812485382009</v>
      </c>
      <c r="AI6" s="97">
        <f t="array" ref="AI6">_xlfn.STDEV.P(IF($T6=ALL_2020!$C$5:$C$44,ALL_2020!$N$5:$N$44,""))</f>
        <v>14.586520594946244</v>
      </c>
      <c r="AJ6" s="97">
        <f>AVERAGEIF(ALL_2020!$C$5:$C$44,Graphs!$T6,ALL_2020!$P$5:$P$44)</f>
        <v>49.617543859649118</v>
      </c>
      <c r="AK6" s="97">
        <f t="array" ref="AK6">_xlfn.STDEV.P(IF($T6=ALL_2020!$C$5:$C$44,ALL_2020!$P$5:$P$44,""))</f>
        <v>25.744832336573822</v>
      </c>
      <c r="AL6" s="70">
        <f>AVERAGEIF(ALL_2020!$C$5:$C$44,Graphs!$T6,ALL_2020!R7:R46)</f>
        <v>4.3173974360000006E-2</v>
      </c>
      <c r="AM6" s="74">
        <f t="array" ref="AM6">_xlfn.STDEV.P(IF($T6=ALL_2020!$C$5:$C$44,ALL_2020!$R$5:$R$44,""))</f>
        <v>1.9301721820439002E-2</v>
      </c>
      <c r="AN6" s="98">
        <f>AVERAGEIF(ALL_2020!$C$5:$C$44,Graphs!$T6,ALL_2020!$T$5:$T$44)</f>
        <v>42.653036842105259</v>
      </c>
      <c r="AO6" s="73"/>
    </row>
    <row r="7" spans="1:41" s="157" customFormat="1" x14ac:dyDescent="0.35">
      <c r="A7" s="42" t="str">
        <f>A5</f>
        <v>Ai-0</v>
      </c>
      <c r="B7" s="162">
        <v>2019</v>
      </c>
      <c r="C7" s="57">
        <f>VLOOKUP($A7,'2019'!$A$3:$R$55,5,FALSE)</f>
        <v>1.3864197530864197</v>
      </c>
      <c r="D7" s="13">
        <f>VLOOKUP(A7,'2019'!$A$3:$R$55,6,FALSE)</f>
        <v>0.47682273468436986</v>
      </c>
      <c r="E7" s="89">
        <f>VLOOKUP(A7,'2019'!$A$3:$R$55,7,FALSE)</f>
        <v>6202.5669642857147</v>
      </c>
      <c r="F7" s="86">
        <f>VLOOKUP(A7,'2019'!$A$3:$R$55,8,FALSE)</f>
        <v>2.9955723905723906</v>
      </c>
      <c r="G7" s="86">
        <f>VLOOKUP(A7,'2019'!$A$3:$R$55,9,FALSE)</f>
        <v>0.40810750293280734</v>
      </c>
      <c r="H7" s="89">
        <f>VLOOKUP(A7,'2019'!$A$3:$R$55,10,FALSE)</f>
        <v>0</v>
      </c>
      <c r="I7" s="89">
        <f>VLOOKUP(A7,'2019'!$A$3:$R$55,11,FALSE)</f>
        <v>0</v>
      </c>
      <c r="J7" s="89">
        <f>VLOOKUP(A7,'2019'!$A$3:$R$55,12,FALSE)</f>
        <v>0.6</v>
      </c>
      <c r="K7" s="89">
        <f>VLOOKUP(A7,'2019'!$A$3:$R$55,13,FALSE)</f>
        <v>1.2</v>
      </c>
      <c r="L7" s="89">
        <f>VLOOKUP(A7,'2019'!$A$3:$R$55,14,FALSE)</f>
        <v>13.193882347926422</v>
      </c>
      <c r="M7" s="89">
        <f>VLOOKUP(A7,'2019'!$A$3:$R$55,15,FALSE)</f>
        <v>7.0631573243125105</v>
      </c>
      <c r="N7" s="88"/>
      <c r="O7" s="88"/>
      <c r="P7" s="56"/>
      <c r="Q7" s="56"/>
      <c r="R7" s="88"/>
      <c r="S7" s="88"/>
      <c r="T7" s="69">
        <v>0</v>
      </c>
      <c r="U7" s="162">
        <v>2019</v>
      </c>
      <c r="V7" s="74">
        <f t="array" ref="V7">AVERAGEIF('2019'!$C$4:$C$55,Graphs!$T7,'2019'!$E$4:$E$55)</f>
        <v>1.0211604252520008</v>
      </c>
      <c r="W7" s="74">
        <f t="array" ref="W7">_xlfn.STDEV.P(IF($T7='2019'!$C$4:$C$55,'2019'!$E$4:$E$55,""))</f>
        <v>0.42304018179637726</v>
      </c>
      <c r="X7" s="75">
        <f t="array" ref="X7">AVERAGEIF('2019'!$C$4:$C$55,Graphs!$T7,'2019'!$F$4:$F$55)</f>
        <v>0.61465644330113189</v>
      </c>
      <c r="Y7" s="75">
        <f t="array" ref="Y7">_xlfn.STDEV.P(IF($T7='2019'!$C$4:$C$55,'2019'!$F$4:$F$55,""))</f>
        <v>0.23523522333603064</v>
      </c>
      <c r="Z7" s="98">
        <f t="array" ref="Z7">AVERAGEIF('2019'!$C$4:$C$55,Graphs!$T7,'2019'!$G$4:$G$55)</f>
        <v>6348.7144540050422</v>
      </c>
      <c r="AA7" s="98">
        <f t="array" ref="AA7">_xlfn.STDEV.P(IF($T7='2019'!$C$4:$C$55,'2019'!$G$4:$G$55,""))</f>
        <v>4581.8099022766519</v>
      </c>
      <c r="AB7" s="94">
        <f t="array" ref="AB7">AVERAGEIF('2019'!$C$4:$C$55,Graphs!$T7,'2019'!$H$4:$H$55)</f>
        <v>2.7961332447711036</v>
      </c>
      <c r="AC7" s="94">
        <f t="array" ref="AC7">_xlfn.STDEV.P(IF($T7='2019'!$C$4:$C$55,'2019'!$H$4:$H$55,""))</f>
        <v>0.33853567436284787</v>
      </c>
      <c r="AD7" s="98">
        <f t="array" ref="AD7">AVERAGEIF('2019'!$C$4:$C$55,Graphs!$T7,'2019'!$J$4:$J$55)</f>
        <v>8.4615384615384599</v>
      </c>
      <c r="AE7" s="98">
        <f t="array" ref="AE7">_xlfn.STDEV.P(IF($T7='2019'!$C$4:$C$55,'2019'!$J$4:$J$55,""))</f>
        <v>12.307692307692305</v>
      </c>
      <c r="AF7" s="98">
        <f t="array" ref="AF7">AVERAGEIF('2019'!$C$4:$C$55,Graphs!$T7,'2019'!$L$4:$L$55)</f>
        <v>32.499999999999993</v>
      </c>
      <c r="AG7" s="98">
        <f t="array" ref="AG7">_xlfn.STDEV.P(IF($T7='2019'!$C$4:$C$55,'2019'!$L$4:$L$55,""))</f>
        <v>31.262868119814648</v>
      </c>
      <c r="AH7" s="98">
        <f t="array" ref="AH7">AVERAGEIF('2019'!$C$4:$C$55,Graphs!$T7,'2019'!$N$4:$N$55)</f>
        <v>7.4401879986461577</v>
      </c>
      <c r="AI7" s="98">
        <f t="array" ref="AI7">_xlfn.STDEV.P(IF($T7='2019'!$C$4:$C$55,'2019'!$N$4:$N$55,""))</f>
        <v>13.810346009879638</v>
      </c>
      <c r="AJ7" s="98"/>
      <c r="AK7" s="98"/>
      <c r="AL7" s="74"/>
      <c r="AM7" s="74"/>
      <c r="AN7" s="98"/>
      <c r="AO7" s="73"/>
    </row>
    <row r="8" spans="1:41" x14ac:dyDescent="0.35">
      <c r="A8" s="19" t="s">
        <v>36</v>
      </c>
      <c r="B8" s="157">
        <v>2022</v>
      </c>
      <c r="C8" s="56">
        <f>VLOOKUP($A8,ALL_2022!$A$3:$R$43,5,FALSE)</f>
        <v>1.3152299238875744</v>
      </c>
      <c r="D8" s="91">
        <f>VLOOKUP(A8,ALL_2022!$A$3:$R$43,6,FALSE)</f>
        <v>0.50368682117450025</v>
      </c>
      <c r="E8" s="88">
        <f>VLOOKUP(A8,ALL_2022!$A$3:$R$43,7,FALSE)</f>
        <v>6316.1496564202071</v>
      </c>
      <c r="F8" s="85">
        <f>VLOOKUP(A8,ALL_2022!$A$3:$R$43,8,FALSE)</f>
        <v>3.1999425857790706</v>
      </c>
      <c r="G8" s="85">
        <f>VLOOKUP(A8,ALL_2022!$A$3:$R$43,9,FALSE)</f>
        <v>0.18026855841509445</v>
      </c>
      <c r="H8" s="88">
        <f>VLOOKUP(A8,ALL_2022!$A$3:$R$43,10,FALSE)</f>
        <v>29.999999999999993</v>
      </c>
      <c r="I8" s="88">
        <f>VLOOKUP(A8,ALL_2022!$A$3:$R$43,11,FALSE)</f>
        <v>24.494897427831773</v>
      </c>
      <c r="J8" s="88">
        <f>VLOOKUP(A8,ALL_2022!$A$3:$R$43,12,FALSE)</f>
        <v>91.4</v>
      </c>
      <c r="K8" s="88">
        <f>VLOOKUP(A8,ALL_2022!$A$3:$R$43,13,FALSE)</f>
        <v>1.7</v>
      </c>
      <c r="L8" s="88">
        <f>VLOOKUP(A8,ALL_2022!$A$3:$R$43,14,FALSE)</f>
        <v>25.013200000000001</v>
      </c>
      <c r="M8" s="88">
        <f>VLOOKUP(A8,ALL_2022!$A$3:$S$43,15,FALSE)</f>
        <v>11.00445</v>
      </c>
      <c r="N8" s="88">
        <f>VLOOKUP($A8,ALL_2022!$A$3:$S$43,16,FALSE)</f>
        <v>105</v>
      </c>
      <c r="O8" s="88">
        <f>VLOOKUP($A8,ALL_2022!$A$3:$S$43,17,FALSE)</f>
        <v>5</v>
      </c>
      <c r="P8" s="56">
        <f>VLOOKUP($A8,ALL_2022!$A$3:$S$43,18,FALSE)</f>
        <v>4.0536000000000003E-2</v>
      </c>
      <c r="Q8" s="56">
        <f>VLOOKUP($A8,ALL_2022!$A$3:$S$43,19,FALSE)</f>
        <v>3.3010000000000001E-3</v>
      </c>
      <c r="R8" s="88">
        <f>VLOOKUP($A8,ALL_2022!$A$3:$U$43,20,FALSE)</f>
        <v>41.894799999999996</v>
      </c>
      <c r="S8" s="88">
        <f>VLOOKUP($A8,ALL_2022!$A$3:$U$43,21,FALSE)</f>
        <v>2.2829320000000002</v>
      </c>
      <c r="T8" s="76">
        <v>1</v>
      </c>
      <c r="U8" s="157">
        <v>2022</v>
      </c>
      <c r="V8" s="77">
        <f>AVERAGEIF(ALL_2022!$C$4:$C$43,Graphs!$T8,ALL_2022!$E$4:$E$43)</f>
        <v>0.96863621487956519</v>
      </c>
      <c r="W8" s="77">
        <f t="array" ref="W8">_xlfn.STDEV.P(IF($T8=ALL_2022!$C$4:$C$43,ALL_2022!$E$4:$E$43,""))</f>
        <v>0.12960953832257441</v>
      </c>
      <c r="X8" s="78">
        <f>AVERAGEIF(ALL_2022!$C$4:$C$43,Graphs!$T8,ALL_2022!$F$4:$F$43)</f>
        <v>0.6344769000454471</v>
      </c>
      <c r="Y8" s="78">
        <f t="array" ref="Y8">_xlfn.STDEV.P(IF($T8=ALL_2022!$C$4:$C$43,ALL_2022!$F$4:$F$43,""))</f>
        <v>4.8909259744367647E-2</v>
      </c>
      <c r="Z8" s="99">
        <f>AVERAGEIF(ALL_2022!$C$4:$C$43,Graphs!$T8,ALL_2022!G4:G43)</f>
        <v>4677.8446462287675</v>
      </c>
      <c r="AA8" s="99">
        <f t="array" ref="AA8">_xlfn.STDEV.P(IF($T8=ALL_2022!$C$4:$C$43,ALL_2022!$G$4:$G$43,""))</f>
        <v>3300.2016589181812</v>
      </c>
      <c r="AB8" s="95">
        <f>AVERAGEIF(ALL_2022!$C$4:$C$43,Graphs!$T8,ALL_2022!$H$4:$H$43)</f>
        <v>2.79068220369727</v>
      </c>
      <c r="AC8" s="95">
        <f t="array" ref="AC8">_xlfn.STDEV.P(IF($T8=ALL_2022!$C$4:$C$43,ALL_2022!$H$4:$H$43,""))</f>
        <v>0.58861529155016468</v>
      </c>
      <c r="AD8" s="99">
        <f>AVERAGEIF(ALL_2022!$C$4:$C$43,Graphs!$T8,ALL_2022!$J$4:$J$43)</f>
        <v>52.41666666666665</v>
      </c>
      <c r="AE8" s="99">
        <f t="array" ref="AE8">_xlfn.STDEV.P(IF($T8=ALL_2022!$C$4:$C$43,ALL_2022!$J$4:$J$43,""))</f>
        <v>50.605294518788583</v>
      </c>
      <c r="AF8" s="99">
        <f>AVERAGEIF(ALL_2022!$C$4:$C$43,Graphs!$T8,ALL_2022!$L$4:$L$43)</f>
        <v>76.456083333000009</v>
      </c>
      <c r="AG8" s="99">
        <f t="array" ref="AG8">_xlfn.STDEV.P(IF($T8=ALL_2022!$C$4:$C$43,ALL_2022!$L$4:$L$43,""))</f>
        <v>24.056275926745844</v>
      </c>
      <c r="AH8" s="99">
        <f>AVERAGEIF(ALL_2022!$C$4:$C$43,Graphs!$T8,ALL_2022!$N$4:$N$43)</f>
        <v>28.388820800000001</v>
      </c>
      <c r="AI8" s="99">
        <f t="array" ref="AI8">_xlfn.STDEV.P(IF($T8=ALL_2022!$C$4:$C$43,ALL_2022!$N$4:$N$43,""))</f>
        <v>33.775587820989756</v>
      </c>
      <c r="AJ8" s="99">
        <f>AVERAGEIF(ALL_2022!$C$4:$C$43,Graphs!$T8,ALL_2022!$P$4:$P$43)</f>
        <v>50.814705882352939</v>
      </c>
      <c r="AK8" s="99">
        <f t="array" ref="AK8">_xlfn.STDEV.P(IF($T8=ALL_2022!$C$4:$C$43,ALL_2022!$P$4:$P$43,""))</f>
        <v>36.105464527547632</v>
      </c>
      <c r="AL8" s="77">
        <f>AVERAGEIF(ALL_2022!$C$4:$C$43,Graphs!$T8,ALL_2022!R4:R43)</f>
        <v>2.8119052631578947E-2</v>
      </c>
      <c r="AM8" s="77">
        <f t="array" ref="AM8">_xlfn.STDEV.P(IF($T8=ALL_2022!$C$4:$C$43,ALL_2022!$R$4:$R$43,""))</f>
        <v>2.219948295096082E-2</v>
      </c>
      <c r="AN8" s="99">
        <f>AVERAGEIF(ALL_2022!$C$4:$C$43,Graphs!$T8,ALL_2022!$T$4:$T$43)</f>
        <v>28.454378947368422</v>
      </c>
      <c r="AO8" s="79"/>
    </row>
    <row r="9" spans="1:41" x14ac:dyDescent="0.35">
      <c r="A9" s="19" t="str">
        <f>A8</f>
        <v>Ai-1</v>
      </c>
      <c r="B9" s="157">
        <v>2021</v>
      </c>
      <c r="C9" s="56">
        <f>VLOOKUP($A9,ALL_2021!$A$3:$R$44,5,FALSE)</f>
        <v>1.2261866666666668</v>
      </c>
      <c r="D9" s="91">
        <f>VLOOKUP(A9,ALL_2021!$A$3:$R$44,6,FALSE)</f>
        <v>0.53728805031446536</v>
      </c>
      <c r="E9" s="88">
        <f>VLOOKUP(A9,ALL_2021!$A$3:$R$44,7,FALSE)</f>
        <v>542.07100162137328</v>
      </c>
      <c r="F9" s="85">
        <f>VLOOKUP(A9,ALL_2021!$A$3:$R$44,8,FALSE)</f>
        <v>3.2692307692307687</v>
      </c>
      <c r="G9" s="85">
        <f>VLOOKUP(A9,ALL_2021!$A$3:$R$44,9,FALSE)</f>
        <v>0.32191738293077493</v>
      </c>
      <c r="H9" s="88">
        <f>VLOOKUP(A9,ALL_2021!$A$3:$R$44,10,FALSE)</f>
        <v>49.999999999999993</v>
      </c>
      <c r="I9" s="88">
        <f>VLOOKUP(A9,ALL_2021!$A$3:$R$44,11,FALSE)</f>
        <v>0</v>
      </c>
      <c r="J9" s="88">
        <f>VLOOKUP(A9,ALL_2021!$A$3:$R$44,12,FALSE)</f>
        <v>51.423333333333296</v>
      </c>
      <c r="K9" s="88">
        <f>VLOOKUP(A9,ALL_2021!$A$3:$R$44,13,FALSE)</f>
        <v>6.7687632220041003</v>
      </c>
      <c r="L9" s="88">
        <f>VLOOKUP(A9,ALL_2021!$A$3:$R$44,14,FALSE)</f>
        <v>11.663500000000001</v>
      </c>
      <c r="M9" s="88">
        <f>VLOOKUP(A9,ALL_2021!$A$3:$S$44,15,FALSE)</f>
        <v>6.2004067003705492</v>
      </c>
      <c r="N9" s="88">
        <f>VLOOKUP($A9,ALL_2021!$A$3:$S$44,16,FALSE)</f>
        <v>9.3333333333333339</v>
      </c>
      <c r="O9" s="88">
        <f>VLOOKUP($A9,ALL_2021!$A$3:$S$44,17,FALSE)</f>
        <v>0.94280904158206336</v>
      </c>
      <c r="P9" s="56">
        <f>VLOOKUP($A9,ALL_2021!$A$3:$S$44,18,FALSE)</f>
        <v>4.6567152399999999E-2</v>
      </c>
      <c r="Q9" s="56">
        <f>VLOOKUP($A9,ALL_2021!$A$3:$S$44,19,FALSE)</f>
        <v>1.0890288631799354E-2</v>
      </c>
      <c r="R9" s="88">
        <f>VLOOKUP($A9,ALL_2021!$A$3:$U$44,20,FALSE)</f>
        <v>45.716200000000001</v>
      </c>
      <c r="S9" s="88">
        <f>VLOOKUP($A9,ALL_2021!$A$3:$U$44,21,FALSE)</f>
        <v>7.0509687674815291</v>
      </c>
      <c r="T9" s="69">
        <v>1</v>
      </c>
      <c r="U9" s="157">
        <v>2021</v>
      </c>
      <c r="V9" s="77">
        <f>AVERAGEIF(ALL_2021!$C$5:$C$44,Graphs!$T9,ALL_2021!$E$5:$E$44)</f>
        <v>1.0669573333333333</v>
      </c>
      <c r="W9" s="77">
        <f t="array" ref="W9">_xlfn.STDEV.P(IF($T9=ALL_2021!$C$5:$C$44,ALL_2021!$E$5:$E$44,""))</f>
        <v>0.11897538028049513</v>
      </c>
      <c r="X9" s="78">
        <f>AVERAGEIF(ALL_2021!$C$5:$C$44,Graphs!$T9,ALL_2021!$F$5:$F$44)</f>
        <v>0.59737459119496861</v>
      </c>
      <c r="Y9" s="78">
        <f t="array" ref="Y9">_xlfn.STDEV.P(IF($T9=ALL_2021!$C$5:$C$44,ALL_2021!$F$5:$F$44,""))</f>
        <v>4.4896369917168708E-2</v>
      </c>
      <c r="Z9" s="99">
        <f>AVERAGEIF(ALL_2021!$C$5:$C$44,Graphs!$T9,ALL_2021!G6:G45)</f>
        <v>4087.0122227976985</v>
      </c>
      <c r="AA9" s="99">
        <f t="array" ref="AA9">_xlfn.STDEV.P(IF($T9=ALL_2021!$C$5:$C$44,ALL_2021!$G$5:$G$44,""))</f>
        <v>2540.8784817084315</v>
      </c>
      <c r="AB9" s="95">
        <f>AVERAGEIF(ALL_2021!$C$5:$C$44,Graphs!$T9,ALL_2021!$H$5:$H$44)</f>
        <v>3.0851015706834066</v>
      </c>
      <c r="AC9" s="95">
        <f t="array" ref="AC9">_xlfn.STDEV.P(IF($T9=ALL_2021!$C$5:$C$44,ALL_2021!$H$5:$H$44,""))</f>
        <v>0.59596043458759829</v>
      </c>
      <c r="AD9" s="99">
        <f>AVERAGEIF(ALL_2021!$C$5:$C$44,Graphs!$T9,ALL_2021!$J$5:$J$44)</f>
        <v>17.999999999999996</v>
      </c>
      <c r="AE9" s="99">
        <f t="array" ref="AE9">_xlfn.STDEV.P(IF($T9=ALL_2021!$C$5:$C$44,ALL_2021!$J$5:$J$44,""))</f>
        <v>21.612753436596435</v>
      </c>
      <c r="AF9" s="99">
        <f>AVERAGEIF(ALL_2021!$C$5:$C$44,Graphs!$T9,ALL_2021!$L$5:$L$44)</f>
        <v>72.068916666666667</v>
      </c>
      <c r="AG9" s="99">
        <f t="array" ref="AG9">_xlfn.STDEV.P(IF($T9=ALL_2021!$C$5:$C$44,ALL_2021!$L$5:$L$44,""))</f>
        <v>18.711545041876349</v>
      </c>
      <c r="AH9" s="99">
        <f>AVERAGEIF(ALL_2021!$C$5:$C$44,Graphs!$T9,ALL_2021!$N$5:$N$44)</f>
        <v>19.683472966398284</v>
      </c>
      <c r="AI9" s="99">
        <f t="array" ref="AI9">_xlfn.STDEV.P(IF($T9=ALL_2021!$C$5:$C$44,ALL_2021!$N$5:$N$44,""))</f>
        <v>29.784939608912318</v>
      </c>
      <c r="AJ9" s="99">
        <f>AVERAGEIF(ALL_2021!$C$5:$C$44,Graphs!$T9,ALL_2021!$P$5:$P$44)</f>
        <v>37.921568627450988</v>
      </c>
      <c r="AK9" s="99">
        <f t="array" ref="AK9">_xlfn.STDEV.P(IF($T9=ALL_2021!$C$5:$C$44,ALL_2021!$P$5:$P$44,""))</f>
        <v>20.284668540002759</v>
      </c>
      <c r="AL9" s="77">
        <f>AVERAGEIF(ALL_2021!$C$5:$C$44,Graphs!$T9,ALL_2021!R6:R45)</f>
        <v>4.511714731777778E-2</v>
      </c>
      <c r="AM9" s="77">
        <f t="array" ref="AM9">_xlfn.STDEV.P(IF($T9=ALL_2021!$C$5:$C$44,ALL_2021!$R$5:$R$44,""))</f>
        <v>1.8015845337378156E-2</v>
      </c>
      <c r="AN9" s="99">
        <f>AVERAGEIF(ALL_2021!$C$5:$C$44,Graphs!$T9,ALL_2021!$T$5:$T$44)</f>
        <v>45.336873684210531</v>
      </c>
      <c r="AO9" s="73"/>
    </row>
    <row r="10" spans="1:41" x14ac:dyDescent="0.35">
      <c r="A10" s="42" t="str">
        <f>A8</f>
        <v>Ai-1</v>
      </c>
      <c r="B10" s="8">
        <v>2020</v>
      </c>
      <c r="C10" s="56">
        <f>VLOOKUP($A10,ALL_2020!$A$3:$R$44,5,FALSE)</f>
        <v>1.173103448275862</v>
      </c>
      <c r="D10" s="91">
        <f>VLOOKUP(A10,ALL_2020!$A$3:$R$44,6,FALSE)</f>
        <v>0.5573194534808068</v>
      </c>
      <c r="E10" s="88">
        <f>VLOOKUP(A10,ALL_2020!$A$3:$R$44,7,FALSE)</f>
        <v>5773.2136596647615</v>
      </c>
      <c r="F10" s="85">
        <f>VLOOKUP(A10,ALL_2020!$A$3:$R$44,8,FALSE)</f>
        <v>2.7494407814407813</v>
      </c>
      <c r="G10" s="85">
        <f>VLOOKUP(A10,ALL_2020!$A$3:$R$44,9,FALSE)</f>
        <v>0.18606421343242907</v>
      </c>
      <c r="H10" s="88">
        <f>VLOOKUP(A10,ALL_2020!$A$3:$R$44,10,FALSE)</f>
        <v>69.999999999999986</v>
      </c>
      <c r="I10" s="88">
        <f>VLOOKUP(A10,ALL_2020!$A$3:$R$44,11,FALSE)</f>
        <v>59.999999999999986</v>
      </c>
      <c r="J10" s="88">
        <f>VLOOKUP(A10,ALL_2020!$A$3:$R$44,12,FALSE)</f>
        <v>83.402000000000001</v>
      </c>
      <c r="K10" s="88">
        <f>VLOOKUP(A10,ALL_2020!$A$3:$R$44,13,FALSE)</f>
        <v>9.1329655067436004</v>
      </c>
      <c r="L10" s="88">
        <f>VLOOKUP(A10,ALL_2020!$A$3:$R$44,14,FALSE)</f>
        <v>10.775629492667736</v>
      </c>
      <c r="M10" s="88">
        <f>VLOOKUP(A10,ALL_2020!$A$3:$S$44,15,FALSE)</f>
        <v>6.7656292927256212</v>
      </c>
      <c r="N10" s="88">
        <f>VLOOKUP($A10,ALL_2020!$A$3:$S$44,16,FALSE)</f>
        <v>79</v>
      </c>
      <c r="O10" s="88">
        <f>VLOOKUP($A10,ALL_2020!$A$3:$S$44,17,FALSE)</f>
        <v>3.7416573867739413</v>
      </c>
      <c r="P10" s="56">
        <f>VLOOKUP($A10,ALL_2020!$A$3:$S$44,18,FALSE)</f>
        <v>3.6615535999999997E-2</v>
      </c>
      <c r="Q10" s="56">
        <f>VLOOKUP($A10,ALL_2020!$A$3:$S$44,19,FALSE)</f>
        <v>6.6244744675290493E-3</v>
      </c>
      <c r="R10" s="88">
        <f>VLOOKUP($A10,ALL_2020!$A$3:$U$44,20,FALSE)</f>
        <v>39.004000000000005</v>
      </c>
      <c r="S10" s="88">
        <f>VLOOKUP($A10,ALL_2020!$A$3:$U$44,21,FALSE)</f>
        <v>4.9539584172659072</v>
      </c>
      <c r="T10" s="80">
        <v>1</v>
      </c>
      <c r="U10" s="8">
        <v>2020</v>
      </c>
      <c r="V10" s="77">
        <f>AVERAGEIF(ALL_2020!$C$5:$C$44,Graphs!$T10,ALL_2020!$E$5:$E$44)</f>
        <v>0.99912488112125375</v>
      </c>
      <c r="W10" s="77">
        <f t="array" ref="W10">_xlfn.STDEV.P(IF($T10=ALL_2020!$C$5:$C$44,ALL_2020!$E$5:$E$44,""))</f>
        <v>0.15690727531049928</v>
      </c>
      <c r="X10" s="78">
        <f>AVERAGEIF(ALL_2020!$C$5:$C$44,Graphs!$T10,ALL_2020!$F$5:$F$44)</f>
        <v>0.62297174297311186</v>
      </c>
      <c r="Y10" s="78">
        <f t="array" ref="Y10">_xlfn.STDEV.P(IF($T10=ALL_2020!$C$5:$C$44,ALL_2020!$F$5:$F$44,""))</f>
        <v>5.9210292570000038E-2</v>
      </c>
      <c r="Z10" s="99">
        <f>AVERAGEIF(ALL_2020!$C$5:$C$44,Graphs!$T10,ALL_2020!G7:G46)</f>
        <v>3396.0409528461914</v>
      </c>
      <c r="AA10" s="99">
        <f t="array" ref="AA10">_xlfn.STDEV.P(IF($T10=ALL_2020!$C$5:$C$44,ALL_2020!$G$5:$G$44,""))</f>
        <v>2470.5851930071099</v>
      </c>
      <c r="AB10" s="95">
        <f>AVERAGEIF(ALL_2020!$C$5:$C$44,Graphs!$T10,ALL_2020!$H$5:$H$44)</f>
        <v>2.8756403111897328</v>
      </c>
      <c r="AC10" s="95">
        <f t="array" ref="AC10">_xlfn.STDEV.P(IF($T10=ALL_2020!$C$5:$C$44,ALL_2020!$H$5:$H$44,""))</f>
        <v>0.47406540095315997</v>
      </c>
      <c r="AD10" s="99">
        <f>AVERAGEIF(ALL_2020!$C$5:$C$44,Graphs!$T10,ALL_2020!$J$5:$J$44)</f>
        <v>42.368421052631575</v>
      </c>
      <c r="AE10" s="99">
        <f t="array" ref="AE10">_xlfn.STDEV.P(IF($T10=ALL_2020!$C$5:$C$44,ALL_2020!$J$5:$J$44,""))</f>
        <v>43.479227376948629</v>
      </c>
      <c r="AF10" s="99">
        <f>AVERAGEIF(ALL_2020!$C$5:$C$44,Graphs!$T10,ALL_2020!$L$5:$L$44)</f>
        <v>74.792552631578943</v>
      </c>
      <c r="AG10" s="99">
        <f t="array" ref="AG10">_xlfn.STDEV.P(IF($T10=ALL_2020!$C$5:$C$44,ALL_2020!$L$5:$L$44,""))</f>
        <v>16.92980881377326</v>
      </c>
      <c r="AH10" s="99">
        <f>AVERAGEIF(ALL_2020!$C$5:$C$44,Graphs!$T10,ALL_2020!$N$5:$N$44)</f>
        <v>10.088220747171137</v>
      </c>
      <c r="AI10" s="99">
        <f t="array" ref="AI10">_xlfn.STDEV.P(IF($T10=ALL_2020!$C$5:$C$44,ALL_2020!$N$5:$N$44,""))</f>
        <v>9.0104773655334611</v>
      </c>
      <c r="AJ10" s="99">
        <f>AVERAGEIF(ALL_2020!$C$5:$C$44,Graphs!$T10,ALL_2020!$P$5:$P$44)</f>
        <v>48.600877192982452</v>
      </c>
      <c r="AK10" s="99">
        <f t="array" ref="AK10">_xlfn.STDEV.P(IF($T10=ALL_2020!$C$5:$C$44,ALL_2020!$P$5:$P$44,""))</f>
        <v>21.677035625277227</v>
      </c>
      <c r="AL10" s="77">
        <f>AVERAGEIF(ALL_2020!$C$5:$C$44,Graphs!$T10,ALL_2020!R7:R46)</f>
        <v>3.8236516916666671E-2</v>
      </c>
      <c r="AM10" s="77">
        <f t="array" ref="AM10">_xlfn.STDEV.P(IF($T10=ALL_2020!$C$5:$C$44,ALL_2020!$R$5:$R$44,""))</f>
        <v>1.7070722730536104E-2</v>
      </c>
      <c r="AN10" s="99">
        <f>AVERAGEIF(ALL_2020!$C$5:$C$44,Graphs!$T10,ALL_2020!$T$5:$T$44)</f>
        <v>38.184855263157893</v>
      </c>
      <c r="AO10" s="84"/>
    </row>
    <row r="11" spans="1:41" s="157" customFormat="1" x14ac:dyDescent="0.35">
      <c r="A11" s="42" t="str">
        <f>A9</f>
        <v>Ai-1</v>
      </c>
      <c r="B11" s="162">
        <v>2019</v>
      </c>
      <c r="C11" s="58">
        <f>VLOOKUP($A11,'2019'!$A$3:$R$55,5,FALSE)</f>
        <v>1.2148148148148148</v>
      </c>
      <c r="D11" s="92">
        <f>VLOOKUP(A11,'2019'!$A$3:$R$55,6,FALSE)</f>
        <v>0.54157931516422075</v>
      </c>
      <c r="E11" s="90">
        <f>VLOOKUP(A11,'2019'!$A$3:$R$55,7,FALSE)</f>
        <v>4140.672782874618</v>
      </c>
      <c r="F11" s="87">
        <f>VLOOKUP(A11,'2019'!$A$3:$R$55,8,FALSE)</f>
        <v>2.7878502415458937</v>
      </c>
      <c r="G11" s="87">
        <f>VLOOKUP(A11,'2019'!$A$3:$R$55,9,FALSE)</f>
        <v>0.24583054435540669</v>
      </c>
      <c r="H11" s="90">
        <f>VLOOKUP(A11,'2019'!$A$3:$R$55,10,FALSE)</f>
        <v>0</v>
      </c>
      <c r="I11" s="90">
        <f>VLOOKUP(A11,'2019'!$A$3:$R$55,11,FALSE)</f>
        <v>0</v>
      </c>
      <c r="J11" s="90">
        <f>VLOOKUP(A11,'2019'!$A$3:$R$55,12,FALSE)</f>
        <v>60.8</v>
      </c>
      <c r="K11" s="90">
        <f>VLOOKUP(A11,'2019'!$A$3:$R$55,13,FALSE)</f>
        <v>20.855694665965935</v>
      </c>
      <c r="L11" s="90">
        <f>VLOOKUP(A11,'2019'!$A$3:$R$55,14,FALSE)</f>
        <v>10.213658357430768</v>
      </c>
      <c r="M11" s="90">
        <f>VLOOKUP(A11,'2019'!$A$3:$R$55,15,FALSE)</f>
        <v>8.5475742109010717</v>
      </c>
      <c r="N11" s="89"/>
      <c r="O11" s="89"/>
      <c r="P11" s="57"/>
      <c r="Q11" s="57"/>
      <c r="R11" s="89"/>
      <c r="S11" s="89"/>
      <c r="T11" s="72">
        <v>1</v>
      </c>
      <c r="U11" s="162">
        <v>2019</v>
      </c>
      <c r="V11" s="82">
        <f t="array" ref="V11">AVERAGEIF('2019'!$C$4:$C$55,Graphs!$T11,'2019'!$E$4:$E$55)</f>
        <v>1.0245990748387277</v>
      </c>
      <c r="W11" s="82">
        <f t="array" ref="W11">_xlfn.STDEV.P(IF($T11='2019'!$C$4:$C$55,'2019'!$E$4:$E$55,""))</f>
        <v>0.41521973265143697</v>
      </c>
      <c r="X11" s="83">
        <f t="array" ref="X11">AVERAGEIF('2019'!$C$4:$C$55,Graphs!$T11,'2019'!$F$4:$F$55)</f>
        <v>0.61335883968349891</v>
      </c>
      <c r="Y11" s="83">
        <f t="array" ref="Y11">_xlfn.STDEV.P(IF($T11='2019'!$C$4:$C$55,'2019'!$F$4:$F$55,""))</f>
        <v>0.23251723242308228</v>
      </c>
      <c r="Z11" s="100">
        <f t="array" ref="Z11">AVERAGEIF('2019'!$C$4:$C$55,Graphs!$T11,'2019'!$G$4:$G$55)</f>
        <v>6850.5530220002847</v>
      </c>
      <c r="AA11" s="100">
        <f t="array" ref="AA11">_xlfn.STDEV.P(IF($T11='2019'!$C$4:$C$55,'2019'!$G$4:$G$55,""))</f>
        <v>4573.7042229755043</v>
      </c>
      <c r="AB11" s="96">
        <f t="array" ref="AB11">AVERAGEIF('2019'!$C$4:$C$55,Graphs!$T11,'2019'!$H$4:$H$55)</f>
        <v>2.8283472463361123</v>
      </c>
      <c r="AC11" s="96">
        <f t="array" ref="AC11">_xlfn.STDEV.P(IF($T11='2019'!$C$4:$C$55,'2019'!$H$4:$H$55,""))</f>
        <v>0.45535363152959241</v>
      </c>
      <c r="AD11" s="100">
        <f t="array" ref="AD11">AVERAGEIF('2019'!$C$4:$C$55,Graphs!$T11,'2019'!$J$4:$J$55)</f>
        <v>3.4615384615384608</v>
      </c>
      <c r="AE11" s="100">
        <f t="array" ref="AE11">_xlfn.STDEV.P(IF($T11='2019'!$C$4:$C$55,'2019'!$J$4:$J$55,""))</f>
        <v>7.3076923076923066</v>
      </c>
      <c r="AF11" s="100">
        <f t="array" ref="AF11">AVERAGEIF('2019'!$C$4:$C$55,Graphs!$T11,'2019'!$L$4:$L$55)</f>
        <v>34.550000000000011</v>
      </c>
      <c r="AG11" s="100">
        <f t="array" ref="AG11">_xlfn.STDEV.P(IF($T11='2019'!$C$4:$C$55,'2019'!$L$4:$L$55,""))</f>
        <v>31.591174522203293</v>
      </c>
      <c r="AH11" s="100">
        <f t="array" ref="AH11">AVERAGEIF('2019'!$C$4:$C$55,Graphs!$T11,'2019'!$N$4:$N$55)</f>
        <v>7.8554368172422846</v>
      </c>
      <c r="AI11" s="100">
        <f t="array" ref="AI11">_xlfn.STDEV.P(IF($T11='2019'!$C$4:$C$55,'2019'!$N$4:$N$55,""))</f>
        <v>13.137462269084093</v>
      </c>
      <c r="AJ11" s="100"/>
      <c r="AK11" s="100"/>
      <c r="AL11" s="82"/>
      <c r="AM11" s="82"/>
      <c r="AN11" s="81"/>
      <c r="AO11" s="72"/>
    </row>
    <row r="12" spans="1:41" ht="14.5" customHeight="1" x14ac:dyDescent="0.35"/>
    <row r="14" spans="1:41" ht="18.5" x14ac:dyDescent="0.45">
      <c r="R14" s="25" t="s">
        <v>448</v>
      </c>
    </row>
    <row r="16" spans="1:41" ht="15" thickBot="1" x14ac:dyDescent="0.4">
      <c r="R16" s="6" t="s">
        <v>387</v>
      </c>
      <c r="S16" s="5" t="s">
        <v>381</v>
      </c>
      <c r="T16" s="29" t="s">
        <v>141</v>
      </c>
      <c r="U16" s="4" t="s">
        <v>142</v>
      </c>
      <c r="V16" s="4" t="s">
        <v>143</v>
      </c>
      <c r="W16" s="4" t="s">
        <v>144</v>
      </c>
      <c r="X16" s="29" t="s">
        <v>137</v>
      </c>
      <c r="Y16" s="4" t="s">
        <v>138</v>
      </c>
      <c r="Z16" s="4" t="s">
        <v>139</v>
      </c>
      <c r="AA16" s="4" t="s">
        <v>140</v>
      </c>
      <c r="AB16" s="29" t="s">
        <v>159</v>
      </c>
      <c r="AC16" s="4" t="s">
        <v>160</v>
      </c>
      <c r="AD16" s="4" t="s">
        <v>161</v>
      </c>
      <c r="AE16" s="30" t="s">
        <v>162</v>
      </c>
    </row>
    <row r="17" spans="17:31" ht="15" thickTop="1" x14ac:dyDescent="0.35">
      <c r="R17" s="7" t="str">
        <f>A4</f>
        <v>Ai-0</v>
      </c>
      <c r="S17">
        <v>2022</v>
      </c>
      <c r="T17" s="53">
        <f>VLOOKUP($R17,VESS!$A$3:$W$203,16,FALSE)</f>
        <v>-6</v>
      </c>
      <c r="U17" s="47">
        <f>VLOOKUP($R17,VESS!$A$3:$W$203,17,FALSE)</f>
        <v>-12</v>
      </c>
      <c r="V17" s="47">
        <f>VLOOKUP($R17,VESS!$A$3:$W$203,18,FALSE)</f>
        <v>-8.1999999999999993</v>
      </c>
      <c r="W17" s="47" t="e">
        <f>VLOOKUP($R17,VESS!$A$3:$W$203,19,FALSE)</f>
        <v>#N/A</v>
      </c>
      <c r="X17" s="53">
        <f>VLOOKUP($R17,VESS!$A$3:$W$203,20,FALSE)</f>
        <v>1</v>
      </c>
      <c r="Y17" s="47">
        <f>VLOOKUP($R17,VESS!$A$3:$W$203,21,FALSE)</f>
        <v>3.6</v>
      </c>
      <c r="Z17" s="47">
        <f>VLOOKUP($R17,VESS!$A$3:$W$203,22,FALSE)</f>
        <v>4.4000000000000004</v>
      </c>
      <c r="AA17" s="47" t="str">
        <f>VLOOKUP($R17,VESS!$A$3:$W$203,23,FALSE)</f>
        <v/>
      </c>
      <c r="AB17" s="53">
        <f>VLOOKUP($R17,VESS!$A$3:$AA$203,24,FALSE)</f>
        <v>0</v>
      </c>
      <c r="AC17" s="47">
        <f>VLOOKUP($R17,VESS!$A$3:$AA$203,25,FALSE)</f>
        <v>0.8</v>
      </c>
      <c r="AD17" s="47">
        <f>VLOOKUP($R17,VESS!$A$3:$AA$203,26,FALSE)</f>
        <v>0.4898979485566356</v>
      </c>
      <c r="AE17" s="9" t="str">
        <f>VLOOKUP($R17,VESS!$A$3:$AA$203,27,FALSE)</f>
        <v/>
      </c>
    </row>
    <row r="18" spans="17:31" x14ac:dyDescent="0.35">
      <c r="R18" s="20" t="str">
        <f>A8</f>
        <v>Ai-1</v>
      </c>
      <c r="S18" s="10">
        <v>2022</v>
      </c>
      <c r="T18" s="101">
        <f>VLOOKUP($R18,VESS!$A$3:$W$203,16,FALSE)</f>
        <v>-5.6</v>
      </c>
      <c r="U18" s="102">
        <f>VLOOKUP($R18,VESS!$A$3:$W$203,17,FALSE)</f>
        <v>-7.6</v>
      </c>
      <c r="V18" s="102">
        <f>VLOOKUP($R18,VESS!$A$3:$W$203,18,FALSE)</f>
        <v>-10</v>
      </c>
      <c r="W18" s="102">
        <f>VLOOKUP($R18,VESS!$A$3:$W$203,19,FALSE)</f>
        <v>-4.75</v>
      </c>
      <c r="X18" s="101">
        <f>VLOOKUP($R18,VESS!$A$3:$W$203,20,FALSE)</f>
        <v>1.4</v>
      </c>
      <c r="Y18" s="102">
        <f>VLOOKUP($R18,VESS!$A$3:$W$203,21,FALSE)</f>
        <v>3</v>
      </c>
      <c r="Z18" s="102">
        <f>VLOOKUP($R18,VESS!$A$3:$W$203,22,FALSE)</f>
        <v>3.8</v>
      </c>
      <c r="AA18" s="102">
        <f>VLOOKUP($R18,VESS!$A$3:$W$203,23,FALSE)</f>
        <v>4.25</v>
      </c>
      <c r="AB18" s="101">
        <f>VLOOKUP($R18,VESS!$A$3:$AA$203,24,FALSE)</f>
        <v>0.4898979485566356</v>
      </c>
      <c r="AC18" s="102">
        <f>VLOOKUP($R18,VESS!$A$3:$AA$203,25,FALSE)</f>
        <v>0.63245553203367588</v>
      </c>
      <c r="AD18" s="102">
        <f>VLOOKUP($R18,VESS!$A$3:$AA$203,26,FALSE)</f>
        <v>0.4</v>
      </c>
      <c r="AE18" s="21">
        <f>VLOOKUP($R18,VESS!$A$3:$AA$203,27,FALSE)</f>
        <v>0.4330127018922193</v>
      </c>
    </row>
    <row r="19" spans="17:31" x14ac:dyDescent="0.35">
      <c r="Q19" s="1"/>
      <c r="R19" s="38" t="str">
        <f>A4</f>
        <v>Ai-0</v>
      </c>
      <c r="S19">
        <v>2022</v>
      </c>
      <c r="T19" s="103">
        <v>0</v>
      </c>
      <c r="U19" s="104">
        <f t="shared" ref="U19:W20" si="0">T19+T17</f>
        <v>-6</v>
      </c>
      <c r="V19" s="104">
        <f t="shared" si="0"/>
        <v>-18</v>
      </c>
      <c r="W19" s="104">
        <f t="shared" si="0"/>
        <v>-26.2</v>
      </c>
      <c r="X19" s="103">
        <f t="shared" ref="X19:AA20" si="1">X17</f>
        <v>1</v>
      </c>
      <c r="Y19" s="104">
        <f t="shared" si="1"/>
        <v>3.6</v>
      </c>
      <c r="Z19" s="104">
        <f t="shared" si="1"/>
        <v>4.4000000000000004</v>
      </c>
      <c r="AA19" s="104" t="str">
        <f t="shared" si="1"/>
        <v/>
      </c>
      <c r="AB19" s="103">
        <f>VLOOKUP($R19,VESS!$A$3:$AA$203,24,FALSE)</f>
        <v>0</v>
      </c>
      <c r="AC19" s="104">
        <f>VLOOKUP($R19,VESS!$A$3:$AA$203,25,FALSE)</f>
        <v>0.8</v>
      </c>
      <c r="AD19" s="104">
        <f>VLOOKUP($R19,VESS!$A$3:$AA$203,26,FALSE)</f>
        <v>0.4898979485566356</v>
      </c>
      <c r="AE19" s="39" t="str">
        <f>VLOOKUP($R19,VESS!$A$3:$AA$203,27,FALSE)</f>
        <v/>
      </c>
    </row>
    <row r="20" spans="17:31" x14ac:dyDescent="0.35">
      <c r="R20" s="40" t="str">
        <f>A8</f>
        <v>Ai-1</v>
      </c>
      <c r="S20" s="10">
        <v>2022</v>
      </c>
      <c r="T20" s="105">
        <v>0</v>
      </c>
      <c r="U20" s="106">
        <f t="shared" si="0"/>
        <v>-5.6</v>
      </c>
      <c r="V20" s="106">
        <f t="shared" si="0"/>
        <v>-13.2</v>
      </c>
      <c r="W20" s="106">
        <f t="shared" si="0"/>
        <v>-23.2</v>
      </c>
      <c r="X20" s="105">
        <f t="shared" si="1"/>
        <v>1.4</v>
      </c>
      <c r="Y20" s="106">
        <f t="shared" si="1"/>
        <v>3</v>
      </c>
      <c r="Z20" s="106">
        <f t="shared" si="1"/>
        <v>3.8</v>
      </c>
      <c r="AA20" s="106">
        <f t="shared" si="1"/>
        <v>4.25</v>
      </c>
      <c r="AB20" s="105">
        <f>VLOOKUP($R20,VESS!$A$3:$AA$203,24,FALSE)</f>
        <v>0.4898979485566356</v>
      </c>
      <c r="AC20" s="106">
        <f>VLOOKUP($R20,VESS!$A$3:$AA$203,25,FALSE)</f>
        <v>0.63245553203367588</v>
      </c>
      <c r="AD20" s="106">
        <f>VLOOKUP($R20,VESS!$A$3:$AA$203,26,FALSE)</f>
        <v>0.4</v>
      </c>
      <c r="AE20" s="41">
        <f>VLOOKUP($R20,VESS!$A$3:$AA$203,27,FALSE)</f>
        <v>0.4330127018922193</v>
      </c>
    </row>
    <row r="22" spans="17:31" ht="15.5" x14ac:dyDescent="0.35">
      <c r="R22" s="37" t="s">
        <v>390</v>
      </c>
    </row>
    <row r="24" spans="17:31" ht="15" thickBot="1" x14ac:dyDescent="0.4">
      <c r="R24" s="29" t="s">
        <v>387</v>
      </c>
      <c r="S24" s="4" t="s">
        <v>67</v>
      </c>
      <c r="T24" s="4" t="s">
        <v>164</v>
      </c>
      <c r="U24" s="29" t="s">
        <v>102</v>
      </c>
      <c r="V24" s="4" t="s">
        <v>365</v>
      </c>
      <c r="W24" s="4" t="s">
        <v>366</v>
      </c>
      <c r="X24" s="4" t="s">
        <v>367</v>
      </c>
      <c r="Y24" s="29" t="s">
        <v>368</v>
      </c>
      <c r="Z24" s="4" t="s">
        <v>369</v>
      </c>
      <c r="AA24" s="4" t="s">
        <v>370</v>
      </c>
      <c r="AB24" s="30" t="s">
        <v>371</v>
      </c>
      <c r="AD24" s="36"/>
      <c r="AE24" s="36"/>
    </row>
    <row r="25" spans="17:31" ht="15" thickTop="1" x14ac:dyDescent="0.35">
      <c r="R25" s="7" t="str">
        <f>$A$4</f>
        <v>Ai-0</v>
      </c>
      <c r="S25">
        <v>1</v>
      </c>
      <c r="T25" s="8" t="str">
        <f>R25&amp;" "&amp;S25</f>
        <v>Ai-0 1</v>
      </c>
      <c r="U25" s="8">
        <f>VLOOKUP($T25,VESS_profile!$A$3:$J$203,3,FALSE)</f>
        <v>0</v>
      </c>
      <c r="V25" s="8">
        <f>VLOOKUP($T25,VESS_profile!$A$3:$J$203,4,FALSE)</f>
        <v>-7</v>
      </c>
      <c r="W25" s="8">
        <f>VLOOKUP($T25,VESS_profile!$A$3:$J$203,5,FALSE)</f>
        <v>-22</v>
      </c>
      <c r="X25" s="8">
        <f>VLOOKUP($T25,VESS_profile!$A$3:$J$203,6,FALSE)</f>
        <v>-27</v>
      </c>
      <c r="Y25" s="8">
        <f>VLOOKUP($T25,VESS_profile!$A$3:$J$203,7,FALSE)</f>
        <v>1</v>
      </c>
      <c r="Z25" s="8">
        <f>VLOOKUP($T25,VESS_profile!$A$3:$J$203,8,FALSE)</f>
        <v>2</v>
      </c>
      <c r="AA25" s="8">
        <f>VLOOKUP($T25,VESS_profile!$A$3:$J$203,9,FALSE)</f>
        <v>4</v>
      </c>
      <c r="AB25" s="9">
        <f>VLOOKUP($T25,VESS_profile!$A$3:$J$203,10,FALSE)</f>
        <v>4</v>
      </c>
    </row>
    <row r="26" spans="17:31" x14ac:dyDescent="0.35">
      <c r="R26" s="7" t="str">
        <f>$A$4</f>
        <v>Ai-0</v>
      </c>
      <c r="S26">
        <v>2</v>
      </c>
      <c r="T26" s="8" t="str">
        <f t="shared" ref="T26:T34" si="2">R26&amp;" "&amp;S26</f>
        <v>Ai-0 2</v>
      </c>
      <c r="U26" s="8">
        <f>VLOOKUP($T26,VESS_profile!$A$3:$J$203,3,FALSE)</f>
        <v>0</v>
      </c>
      <c r="V26" s="8">
        <f>VLOOKUP($T26,VESS_profile!$A$3:$J$203,4,FALSE)</f>
        <v>-8</v>
      </c>
      <c r="W26" s="8">
        <f>VLOOKUP($T26,VESS_profile!$A$3:$J$203,5,FALSE)</f>
        <v>-21</v>
      </c>
      <c r="X26" s="8">
        <f>VLOOKUP($T26,VESS_profile!$A$3:$J$203,6,FALSE)</f>
        <v>-31</v>
      </c>
      <c r="Y26" s="8">
        <f>VLOOKUP($T26,VESS_profile!$A$3:$J$203,7,FALSE)</f>
        <v>1</v>
      </c>
      <c r="Z26" s="8">
        <f>VLOOKUP($T26,VESS_profile!$A$3:$J$203,8,FALSE)</f>
        <v>4</v>
      </c>
      <c r="AA26" s="8">
        <f>VLOOKUP($T26,VESS_profile!$A$3:$J$203,9,FALSE)</f>
        <v>5</v>
      </c>
      <c r="AB26" s="9">
        <f>VLOOKUP($T26,VESS_profile!$A$3:$J$203,10,FALSE)</f>
        <v>5</v>
      </c>
    </row>
    <row r="27" spans="17:31" x14ac:dyDescent="0.35">
      <c r="R27" s="7" t="str">
        <f>$A$4</f>
        <v>Ai-0</v>
      </c>
      <c r="S27">
        <v>3</v>
      </c>
      <c r="T27" s="8" t="str">
        <f t="shared" si="2"/>
        <v>Ai-0 3</v>
      </c>
      <c r="U27" s="8">
        <f>VLOOKUP($T27,VESS_profile!$A$3:$J$203,3,FALSE)</f>
        <v>0</v>
      </c>
      <c r="V27" s="8">
        <f>VLOOKUP($T27,VESS_profile!$A$3:$J$203,4,FALSE)</f>
        <v>-5</v>
      </c>
      <c r="W27" s="8">
        <f>VLOOKUP($T27,VESS_profile!$A$3:$J$203,5,FALSE)</f>
        <v>-20</v>
      </c>
      <c r="X27" s="8">
        <f>VLOOKUP($T27,VESS_profile!$A$3:$J$203,6,FALSE)</f>
        <v>-28</v>
      </c>
      <c r="Y27" s="8">
        <f>VLOOKUP($T27,VESS_profile!$A$3:$J$203,7,FALSE)</f>
        <v>1</v>
      </c>
      <c r="Z27" s="8">
        <f>VLOOKUP($T27,VESS_profile!$A$3:$J$203,8,FALSE)</f>
        <v>4</v>
      </c>
      <c r="AA27" s="8">
        <f>VLOOKUP($T27,VESS_profile!$A$3:$J$203,9,FALSE)</f>
        <v>5</v>
      </c>
      <c r="AB27" s="9">
        <f>VLOOKUP($T27,VESS_profile!$A$3:$J$203,10,FALSE)</f>
        <v>5</v>
      </c>
    </row>
    <row r="28" spans="17:31" x14ac:dyDescent="0.35">
      <c r="R28" s="7" t="str">
        <f>$A$4</f>
        <v>Ai-0</v>
      </c>
      <c r="S28">
        <v>4</v>
      </c>
      <c r="T28" s="8" t="str">
        <f t="shared" si="2"/>
        <v>Ai-0 4</v>
      </c>
      <c r="U28" s="8">
        <f>VLOOKUP($T28,VESS_profile!$A$3:$J$203,3,FALSE)</f>
        <v>0</v>
      </c>
      <c r="V28" s="8">
        <f>VLOOKUP($T28,VESS_profile!$A$3:$J$203,4,FALSE)</f>
        <v>-5</v>
      </c>
      <c r="W28" s="8">
        <f>VLOOKUP($T28,VESS_profile!$A$3:$J$203,5,FALSE)</f>
        <v>-17</v>
      </c>
      <c r="X28" s="8">
        <f>VLOOKUP($T28,VESS_profile!$A$3:$J$203,6,FALSE)</f>
        <v>-25</v>
      </c>
      <c r="Y28" s="8">
        <f>VLOOKUP($T28,VESS_profile!$A$3:$J$203,7,FALSE)</f>
        <v>1</v>
      </c>
      <c r="Z28" s="8">
        <f>VLOOKUP($T28,VESS_profile!$A$3:$J$203,8,FALSE)</f>
        <v>4</v>
      </c>
      <c r="AA28" s="8">
        <f>VLOOKUP($T28,VESS_profile!$A$3:$J$203,9,FALSE)</f>
        <v>4</v>
      </c>
      <c r="AB28" s="9">
        <f>VLOOKUP($T28,VESS_profile!$A$3:$J$203,10,FALSE)</f>
        <v>4</v>
      </c>
    </row>
    <row r="29" spans="17:31" x14ac:dyDescent="0.35">
      <c r="R29" s="7" t="str">
        <f>$A$4</f>
        <v>Ai-0</v>
      </c>
      <c r="S29">
        <v>5</v>
      </c>
      <c r="T29" s="8" t="str">
        <f t="shared" si="2"/>
        <v>Ai-0 5</v>
      </c>
      <c r="U29" s="8">
        <f>VLOOKUP($T29,VESS_profile!$A$3:$J$203,3,FALSE)</f>
        <v>0</v>
      </c>
      <c r="V29" s="8">
        <f>VLOOKUP($T29,VESS_profile!$A$3:$J$203,4,FALSE)</f>
        <v>-5</v>
      </c>
      <c r="W29" s="8">
        <f>VLOOKUP($T29,VESS_profile!$A$3:$J$203,5,FALSE)</f>
        <v>-10</v>
      </c>
      <c r="X29" s="8">
        <f>VLOOKUP($T29,VESS_profile!$A$3:$J$203,6,FALSE)</f>
        <v>-20</v>
      </c>
      <c r="Y29" s="8">
        <f>VLOOKUP($T29,VESS_profile!$A$3:$J$203,7,FALSE)</f>
        <v>1</v>
      </c>
      <c r="Z29" s="8">
        <f>VLOOKUP($T29,VESS_profile!$A$3:$J$203,8,FALSE)</f>
        <v>4</v>
      </c>
      <c r="AA29" s="8">
        <f>VLOOKUP($T29,VESS_profile!$A$3:$J$203,9,FALSE)</f>
        <v>4</v>
      </c>
      <c r="AB29" s="9">
        <f>VLOOKUP($T29,VESS_profile!$A$3:$J$203,10,FALSE)</f>
        <v>4</v>
      </c>
    </row>
    <row r="30" spans="17:31" x14ac:dyDescent="0.35">
      <c r="R30" s="26" t="str">
        <f>$A$8</f>
        <v>Ai-1</v>
      </c>
      <c r="S30" s="11">
        <v>1</v>
      </c>
      <c r="T30" s="11" t="str">
        <f t="shared" si="2"/>
        <v>Ai-1 1</v>
      </c>
      <c r="U30" s="11">
        <f>VLOOKUP($T30,VESS_profile!$A$3:$J$203,3,FALSE)</f>
        <v>0</v>
      </c>
      <c r="V30" s="11">
        <f>VLOOKUP($T30,VESS_profile!$A$3:$J$203,4,FALSE)</f>
        <v>-6</v>
      </c>
      <c r="W30" s="11">
        <f>VLOOKUP($T30,VESS_profile!$A$3:$J$203,5,FALSE)</f>
        <v>-13</v>
      </c>
      <c r="X30" s="11">
        <f>VLOOKUP($T30,VESS_profile!$A$3:$J$203,6,FALSE)</f>
        <v>-20</v>
      </c>
      <c r="Y30" s="11">
        <f>VLOOKUP($T30,VESS_profile!$A$3:$J$203,7,FALSE)</f>
        <v>2</v>
      </c>
      <c r="Z30" s="11">
        <f>VLOOKUP($T30,VESS_profile!$A$3:$J$203,8,FALSE)</f>
        <v>3</v>
      </c>
      <c r="AA30" s="11">
        <f>VLOOKUP($T30,VESS_profile!$A$3:$J$203,9,FALSE)</f>
        <v>3</v>
      </c>
      <c r="AB30" s="27">
        <f>VLOOKUP($T30,VESS_profile!$A$3:$J$203,10,FALSE)</f>
        <v>4</v>
      </c>
    </row>
    <row r="31" spans="17:31" x14ac:dyDescent="0.35">
      <c r="R31" s="7" t="str">
        <f>$A$8</f>
        <v>Ai-1</v>
      </c>
      <c r="S31">
        <v>2</v>
      </c>
      <c r="T31" s="8" t="str">
        <f t="shared" si="2"/>
        <v>Ai-1 2</v>
      </c>
      <c r="U31" s="8">
        <f>VLOOKUP($T31,VESS_profile!$A$3:$J$203,3,FALSE)</f>
        <v>0</v>
      </c>
      <c r="V31" s="8">
        <f>VLOOKUP($T31,VESS_profile!$A$3:$J$203,4,FALSE)</f>
        <v>-6</v>
      </c>
      <c r="W31" s="8">
        <f>VLOOKUP($T31,VESS_profile!$A$3:$J$203,5,FALSE)</f>
        <v>-18</v>
      </c>
      <c r="X31" s="8">
        <f>VLOOKUP($T31,VESS_profile!$A$3:$J$203,6,FALSE)</f>
        <v>-25</v>
      </c>
      <c r="Y31" s="8">
        <f>VLOOKUP($T31,VESS_profile!$A$3:$J$203,7,FALSE)</f>
        <v>2</v>
      </c>
      <c r="Z31" s="8">
        <f>VLOOKUP($T31,VESS_profile!$A$3:$J$203,8,FALSE)</f>
        <v>3</v>
      </c>
      <c r="AA31" s="8">
        <f>VLOOKUP($T31,VESS_profile!$A$3:$J$203,9,FALSE)</f>
        <v>4</v>
      </c>
      <c r="AB31" s="9">
        <f>VLOOKUP($T31,VESS_profile!$A$3:$J$203,10,FALSE)</f>
        <v>5</v>
      </c>
    </row>
    <row r="32" spans="17:31" x14ac:dyDescent="0.35">
      <c r="R32" s="7" t="str">
        <f>$A$8</f>
        <v>Ai-1</v>
      </c>
      <c r="S32">
        <v>3</v>
      </c>
      <c r="T32" s="8" t="str">
        <f t="shared" si="2"/>
        <v>Ai-1 3</v>
      </c>
      <c r="U32" s="8">
        <f>VLOOKUP($T32,VESS_profile!$A$3:$J$203,3,FALSE)</f>
        <v>0</v>
      </c>
      <c r="V32" s="8">
        <f>VLOOKUP($T32,VESS_profile!$A$3:$J$203,4,FALSE)</f>
        <v>-6</v>
      </c>
      <c r="W32" s="8">
        <f>VLOOKUP($T32,VESS_profile!$A$3:$J$203,5,FALSE)</f>
        <v>-11</v>
      </c>
      <c r="X32" s="8">
        <f>VLOOKUP($T32,VESS_profile!$A$3:$J$203,6,FALSE)</f>
        <v>-26</v>
      </c>
      <c r="Y32" s="8">
        <f>VLOOKUP($T32,VESS_profile!$A$3:$J$203,7,FALSE)</f>
        <v>1</v>
      </c>
      <c r="Z32" s="8">
        <f>VLOOKUP($T32,VESS_profile!$A$3:$J$203,8,FALSE)</f>
        <v>3</v>
      </c>
      <c r="AA32" s="8">
        <f>VLOOKUP($T32,VESS_profile!$A$3:$J$203,9,FALSE)</f>
        <v>4</v>
      </c>
      <c r="AB32" s="9">
        <f>VLOOKUP($T32,VESS_profile!$A$3:$J$203,10,FALSE)</f>
        <v>4</v>
      </c>
    </row>
    <row r="33" spans="16:28" x14ac:dyDescent="0.35">
      <c r="R33" s="7" t="str">
        <f>$A$8</f>
        <v>Ai-1</v>
      </c>
      <c r="S33">
        <v>4</v>
      </c>
      <c r="T33" s="8" t="str">
        <f t="shared" si="2"/>
        <v>Ai-1 4</v>
      </c>
      <c r="U33" s="8">
        <f>VLOOKUP($T33,VESS_profile!$A$3:$J$203,3,FALSE)</f>
        <v>0</v>
      </c>
      <c r="V33" s="8">
        <f>VLOOKUP($T33,VESS_profile!$A$3:$J$203,4,FALSE)</f>
        <v>-5</v>
      </c>
      <c r="W33" s="8">
        <f>VLOOKUP($T33,VESS_profile!$A$3:$J$203,5,FALSE)</f>
        <v>-14</v>
      </c>
      <c r="X33" s="8">
        <f>VLOOKUP($T33,VESS_profile!$A$3:$J$203,6,FALSE)</f>
        <v>-24</v>
      </c>
      <c r="Y33" s="8">
        <f>VLOOKUP($T33,VESS_profile!$A$3:$J$203,7,FALSE)</f>
        <v>1</v>
      </c>
      <c r="Z33" s="8">
        <f>VLOOKUP($T33,VESS_profile!$A$3:$J$203,8,FALSE)</f>
        <v>4</v>
      </c>
      <c r="AA33" s="8">
        <f>VLOOKUP($T33,VESS_profile!$A$3:$J$203,9,FALSE)</f>
        <v>4</v>
      </c>
      <c r="AB33" s="9">
        <f>VLOOKUP($T33,VESS_profile!$A$3:$J$203,10,FALSE)</f>
        <v>4</v>
      </c>
    </row>
    <row r="34" spans="16:28" x14ac:dyDescent="0.35">
      <c r="R34" s="20" t="str">
        <f>$A$8</f>
        <v>Ai-1</v>
      </c>
      <c r="S34" s="10">
        <v>5</v>
      </c>
      <c r="T34" s="10" t="str">
        <f t="shared" si="2"/>
        <v>Ai-1 5</v>
      </c>
      <c r="U34" s="10">
        <f>VLOOKUP($T34,VESS_profile!$A$3:$J$203,3,FALSE)</f>
        <v>0</v>
      </c>
      <c r="V34" s="10">
        <f>VLOOKUP($T34,VESS_profile!$A$3:$J$203,4,FALSE)</f>
        <v>-5</v>
      </c>
      <c r="W34" s="10">
        <f>VLOOKUP($T34,VESS_profile!$A$3:$J$203,5,FALSE)</f>
        <v>-10</v>
      </c>
      <c r="X34" s="10">
        <f>VLOOKUP($T34,VESS_profile!$A$3:$J$203,6,FALSE)</f>
        <v>-21</v>
      </c>
      <c r="Y34" s="10">
        <f>VLOOKUP($T34,VESS_profile!$A$3:$J$203,7,FALSE)</f>
        <v>1</v>
      </c>
      <c r="Z34" s="10">
        <f>VLOOKUP($T34,VESS_profile!$A$3:$J$203,8,FALSE)</f>
        <v>2</v>
      </c>
      <c r="AA34" s="10">
        <f>VLOOKUP($T34,VESS_profile!$A$3:$J$203,9,FALSE)</f>
        <v>4</v>
      </c>
      <c r="AB34" s="21">
        <f>VLOOKUP($T34,VESS_profile!$A$3:$J$203,10,FALSE)</f>
        <v>4</v>
      </c>
    </row>
    <row r="40" spans="16:28" x14ac:dyDescent="0.35">
      <c r="P40" s="1" t="s">
        <v>391</v>
      </c>
    </row>
    <row r="41" spans="16:28" ht="29.5" thickBot="1" x14ac:dyDescent="0.4">
      <c r="P41" s="5" t="s">
        <v>381</v>
      </c>
      <c r="Q41" s="5" t="s">
        <v>387</v>
      </c>
      <c r="R41" s="5" t="s">
        <v>116</v>
      </c>
      <c r="S41" s="5" t="s">
        <v>10</v>
      </c>
      <c r="T41" s="5" t="s">
        <v>115</v>
      </c>
      <c r="U41" s="5" t="s">
        <v>112</v>
      </c>
      <c r="V41" s="5" t="s">
        <v>113</v>
      </c>
      <c r="W41" s="5" t="s">
        <v>120</v>
      </c>
      <c r="X41" s="5" t="s">
        <v>113</v>
      </c>
      <c r="Y41" s="5" t="s">
        <v>108</v>
      </c>
      <c r="Z41" s="5" t="s">
        <v>113</v>
      </c>
      <c r="AA41" s="5" t="s">
        <v>121</v>
      </c>
      <c r="AB41" s="5" t="s">
        <v>113</v>
      </c>
    </row>
    <row r="42" spans="16:28" ht="15" thickTop="1" x14ac:dyDescent="0.35">
      <c r="P42" s="31">
        <v>2022</v>
      </c>
      <c r="Q42" t="str">
        <f>A4</f>
        <v>Ai-0</v>
      </c>
      <c r="R42" s="56">
        <f>VLOOKUP($Q42,ALL_2022!$A$3:$R$43,5,FALSE)</f>
        <v>1.3455224147227316</v>
      </c>
      <c r="S42" s="61">
        <f>VLOOKUP($Q42,ALL_2022!$A$3:$R$43,6,FALSE)</f>
        <v>0.49225569255745971</v>
      </c>
      <c r="T42" s="14">
        <f>VLOOKUP($Q42,ALL_2022!$A$3:$R$43,7,FALSE)</f>
        <v>1342.9888084265965</v>
      </c>
      <c r="U42" s="85">
        <f>VLOOKUP($Q42,ALL_2022!$A$3:$R$43,8,FALSE)</f>
        <v>3.2118996415770611</v>
      </c>
      <c r="V42" s="85">
        <f>VLOOKUP($Q42,ALL_2022!$A$3:$R$43,9,FALSE)</f>
        <v>0.57469027731398148</v>
      </c>
      <c r="W42" s="88">
        <f>VLOOKUP($Q42,ALL_2022!$A$3:$R$43,10,FALSE)</f>
        <v>0</v>
      </c>
      <c r="X42" s="88">
        <f>VLOOKUP($Q42,ALL_2022!$A$3:$R$43,11,FALSE)</f>
        <v>0</v>
      </c>
      <c r="Y42" s="88">
        <f>_xlfn.NUMBERVALUE(VLOOKUP($Q42,ALL_2022!$A$3:$R$43,12,FALSE))</f>
        <v>45.186666670000001</v>
      </c>
      <c r="Z42" s="88">
        <f>VLOOKUP($Q42,ALL_2022!$A$3:$R$43,13,FALSE)</f>
        <v>2.3715160000000002</v>
      </c>
      <c r="AA42" s="85">
        <f>VLOOKUP($Q42,ALL_2022!$A$3:$R$43,14,FALSE)</f>
        <v>16.677</v>
      </c>
      <c r="AB42" s="85">
        <f>VLOOKUP($Q42,ALL_2022!$A$3:$R$43,15,FALSE)</f>
        <v>4.7942220000000004</v>
      </c>
    </row>
    <row r="43" spans="16:28" x14ac:dyDescent="0.35">
      <c r="P43" s="32"/>
      <c r="Q43" t="str">
        <f>A8</f>
        <v>Ai-1</v>
      </c>
      <c r="R43" s="56">
        <f>VLOOKUP($Q43,ALL_2022!$A$3:$R$43,5,FALSE)</f>
        <v>1.3152299238875744</v>
      </c>
      <c r="S43" s="61">
        <f>VLOOKUP($Q43,ALL_2022!$A$3:$R$43,6,FALSE)</f>
        <v>0.50368682117450025</v>
      </c>
      <c r="T43" s="14">
        <f>VLOOKUP($Q43,ALL_2022!$A$3:$R$43,7,FALSE)</f>
        <v>6316.1496564202071</v>
      </c>
      <c r="U43" s="85">
        <f>VLOOKUP($Q43,ALL_2022!$A$3:$R$43,8,FALSE)</f>
        <v>3.1999425857790706</v>
      </c>
      <c r="V43" s="85">
        <f>VLOOKUP($Q43,ALL_2022!$A$3:$R$43,9,FALSE)</f>
        <v>0.18026855841509445</v>
      </c>
      <c r="W43" s="88">
        <f>VLOOKUP($Q43,ALL_2022!$A$3:$R$43,10,FALSE)</f>
        <v>29.999999999999993</v>
      </c>
      <c r="X43" s="88">
        <f>VLOOKUP($Q43,ALL_2022!$A$3:$R$43,11,FALSE)</f>
        <v>24.494897427831773</v>
      </c>
      <c r="Y43" s="88">
        <f>_xlfn.NUMBERVALUE(VLOOKUP($Q43,ALL_2022!$A$3:$R$43,12,FALSE))</f>
        <v>91.4</v>
      </c>
      <c r="Z43" s="88">
        <f>VLOOKUP($Q43,ALL_2022!$A$3:$R$43,13,FALSE)</f>
        <v>1.7</v>
      </c>
      <c r="AA43" s="85">
        <f>VLOOKUP($Q43,ALL_2022!$A$3:$R$43,14,FALSE)</f>
        <v>25.013200000000001</v>
      </c>
      <c r="AB43" s="85">
        <f>VLOOKUP($Q43,ALL_2022!$A$3:$R$43,15,FALSE)</f>
        <v>11.00445</v>
      </c>
    </row>
    <row r="44" spans="16:28" ht="14.5" customHeight="1" x14ac:dyDescent="0.35">
      <c r="P44" s="33">
        <v>2019</v>
      </c>
      <c r="Q44" s="11" t="str">
        <f>Q42</f>
        <v>Ai-0</v>
      </c>
      <c r="R44" s="60">
        <f>VLOOKUP($Q44,'2019'!$A$3:$R$55,5,FALSE)</f>
        <v>1.3864197530864197</v>
      </c>
      <c r="S44" s="63">
        <f>VLOOKUP($Q44,'2019'!$A$3:$R$55,6,FALSE)</f>
        <v>0.47682273468436986</v>
      </c>
      <c r="T44" s="15">
        <f>VLOOKUP($Q44,'2019'!$A$3:$R$55,7,FALSE)</f>
        <v>6202.5669642857147</v>
      </c>
      <c r="U44" s="107">
        <f>VLOOKUP($Q44,'2019'!$A$3:$R$55,8,FALSE)</f>
        <v>2.9955723905723906</v>
      </c>
      <c r="V44" s="107">
        <f>VLOOKUP($Q44,'2019'!$A$3:$R$55,9,FALSE)</f>
        <v>0.40810750293280734</v>
      </c>
      <c r="W44" s="108">
        <f>VLOOKUP($Q44,'2019'!$A$3:$R$55,10,FALSE)</f>
        <v>0</v>
      </c>
      <c r="X44" s="108">
        <f>VLOOKUP($Q44,'2019'!$A$3:$R$55,11,FALSE)</f>
        <v>0</v>
      </c>
      <c r="Y44" s="108">
        <f>_xlfn.NUMBERVALUE(VLOOKUP($Q44,'2019'!$A$3:$R$55,12,FALSE))</f>
        <v>0.6</v>
      </c>
      <c r="Z44" s="108">
        <f>VLOOKUP($Q44,'2019'!$A$3:$R$55,13,FALSE)</f>
        <v>1.2</v>
      </c>
      <c r="AA44" s="107">
        <f>VLOOKUP($Q44,'2019'!$A$3:$R$55,14,FALSE)</f>
        <v>13.193882347926422</v>
      </c>
      <c r="AB44" s="107">
        <f>VLOOKUP($Q44,'2019'!$A$3:$R$55,15,FALSE)</f>
        <v>7.0631573243125105</v>
      </c>
    </row>
    <row r="45" spans="16:28" x14ac:dyDescent="0.35">
      <c r="P45" s="32"/>
      <c r="Q45" s="10" t="str">
        <f>Q43</f>
        <v>Ai-1</v>
      </c>
      <c r="R45" s="58">
        <f>VLOOKUP($Q45,'2019'!$A$3:$R$55,5,FALSE)</f>
        <v>1.2148148148148148</v>
      </c>
      <c r="S45" s="50">
        <f>VLOOKUP($Q45,'2019'!$A$3:$R$55,6,FALSE)</f>
        <v>0.54157931516422075</v>
      </c>
      <c r="T45" s="16">
        <f>VLOOKUP($Q45,'2019'!$A$3:$R$55,7,FALSE)</f>
        <v>4140.672782874618</v>
      </c>
      <c r="U45" s="87">
        <f>VLOOKUP($Q45,'2019'!$A$3:$R$55,8,FALSE)</f>
        <v>2.7878502415458937</v>
      </c>
      <c r="V45" s="87">
        <f>VLOOKUP($Q45,'2019'!$A$3:$R$55,9,FALSE)</f>
        <v>0.24583054435540669</v>
      </c>
      <c r="W45" s="90">
        <f>VLOOKUP($Q45,'2019'!$A$3:$R$55,10,FALSE)</f>
        <v>0</v>
      </c>
      <c r="X45" s="90">
        <f>VLOOKUP($Q45,'2019'!$A$3:$R$55,11,FALSE)</f>
        <v>0</v>
      </c>
      <c r="Y45" s="90">
        <f>_xlfn.NUMBERVALUE(VLOOKUP($Q45,'2019'!$A$3:$R$55,12,FALSE))</f>
        <v>60.8</v>
      </c>
      <c r="Z45" s="90">
        <f>VLOOKUP($Q45,'2019'!$A$3:$R$55,13,FALSE)</f>
        <v>20.855694665965935</v>
      </c>
      <c r="AA45" s="87">
        <f>VLOOKUP($Q45,'2019'!$A$3:$R$55,14,FALSE)</f>
        <v>10.213658357430768</v>
      </c>
      <c r="AB45" s="87">
        <f>VLOOKUP($Q45,'2019'!$A$3:$R$55,15,FALSE)</f>
        <v>8.5475742109010717</v>
      </c>
    </row>
    <row r="46" spans="16:28" x14ac:dyDescent="0.35">
      <c r="P46" s="34" t="s">
        <v>392</v>
      </c>
      <c r="Q46" s="12" t="str">
        <f>Q42</f>
        <v>Ai-0</v>
      </c>
      <c r="R46" s="57">
        <f t="shared" ref="R46:U47" si="3">R42-R44</f>
        <v>-4.089733836368814E-2</v>
      </c>
      <c r="S46" s="62">
        <f t="shared" si="3"/>
        <v>1.5432957873089848E-2</v>
      </c>
      <c r="T46" s="17">
        <f>T42-T44</f>
        <v>-4859.5781558591179</v>
      </c>
      <c r="U46" s="86">
        <f t="shared" si="3"/>
        <v>0.21632725100467054</v>
      </c>
      <c r="V46" s="86">
        <f>SQRT(V42^2+V44^2)</f>
        <v>0.7048550551633096</v>
      </c>
      <c r="W46" s="89">
        <f>W42-W44</f>
        <v>0</v>
      </c>
      <c r="X46" s="89">
        <f>SQRT(X42^2+X44^2)</f>
        <v>0</v>
      </c>
      <c r="Y46" s="89">
        <f>Y42-Y44</f>
        <v>44.58666667</v>
      </c>
      <c r="Z46" s="89">
        <f>SQRT(Z42^2+Z44^2)</f>
        <v>2.6578352353477444</v>
      </c>
      <c r="AA46" s="86">
        <f>AA42-AA44</f>
        <v>3.4831176520735774</v>
      </c>
      <c r="AB46" s="86">
        <f>SQRT(AB42^2+AB44^2)</f>
        <v>8.5365541041613202</v>
      </c>
    </row>
    <row r="47" spans="16:28" x14ac:dyDescent="0.35">
      <c r="P47" s="35"/>
      <c r="Q47" s="10" t="str">
        <f>Q43</f>
        <v>Ai-1</v>
      </c>
      <c r="R47" s="58">
        <f t="shared" si="3"/>
        <v>0.10041510907275963</v>
      </c>
      <c r="S47" s="50">
        <f t="shared" si="3"/>
        <v>-3.7892493989720499E-2</v>
      </c>
      <c r="T47" s="16">
        <f t="shared" si="3"/>
        <v>2175.4768735455891</v>
      </c>
      <c r="U47" s="87">
        <f t="shared" si="3"/>
        <v>0.41209234423317698</v>
      </c>
      <c r="V47" s="87">
        <f>SQRT(V43^2+V45^2)</f>
        <v>0.3048432542982244</v>
      </c>
      <c r="W47" s="90">
        <f>W43-W45</f>
        <v>29.999999999999993</v>
      </c>
      <c r="X47" s="90">
        <f>SQRT(X43^2+X45^2)</f>
        <v>24.494897427831773</v>
      </c>
      <c r="Y47" s="90">
        <f>Y43-Y45</f>
        <v>30.600000000000009</v>
      </c>
      <c r="Z47" s="90">
        <f>SQRT(Z43^2+Z45^2)</f>
        <v>20.924865590966167</v>
      </c>
      <c r="AA47" s="87">
        <f>AA43-AA45</f>
        <v>14.799541642569233</v>
      </c>
      <c r="AB47" s="87">
        <f>SQRT(AB43^2+AB45^2)</f>
        <v>13.93409289094059</v>
      </c>
    </row>
    <row r="52" spans="1:1" x14ac:dyDescent="0.35">
      <c r="A52" t="s">
        <v>389</v>
      </c>
    </row>
    <row r="53" spans="1:1" ht="18.5" x14ac:dyDescent="0.45">
      <c r="A53" s="25"/>
    </row>
    <row r="55" spans="1:1" ht="45.65" customHeight="1" x14ac:dyDescent="0.35"/>
  </sheetData>
  <mergeCells count="1">
    <mergeCell ref="B2:M2"/>
  </mergeCell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9F8308D0-6BF0-4E64-BA08-8FFC53D8A2A5}">
          <x14:formula1>
            <xm:f>ALL_2022!$A$4:$A$43</xm:f>
          </x14:formula1>
          <xm:sqref>A4:A5 A8:A9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685CF8-99C0-43E7-8A52-FC7CE3FEA203}">
  <sheetPr>
    <tabColor theme="9" tint="0.59999389629810485"/>
  </sheetPr>
  <dimension ref="A3:U44"/>
  <sheetViews>
    <sheetView zoomScale="50" zoomScaleNormal="50" workbookViewId="0">
      <pane xSplit="4" ySplit="3" topLeftCell="E11" activePane="bottomRight" state="frozen"/>
      <selection pane="topRight" activeCell="E1" sqref="E1"/>
      <selection pane="bottomLeft" activeCell="A4" sqref="A4"/>
      <selection pane="bottomRight" activeCell="A4" sqref="A4:A43"/>
    </sheetView>
  </sheetViews>
  <sheetFormatPr defaultRowHeight="14.5" x14ac:dyDescent="0.35"/>
  <cols>
    <col min="1" max="1" width="13.453125" bestFit="1" customWidth="1"/>
    <col min="2" max="2" width="0" hidden="1" customWidth="1"/>
    <col min="3" max="3" width="12.54296875" bestFit="1" customWidth="1"/>
    <col min="4" max="4" width="22.36328125" customWidth="1"/>
    <col min="5" max="5" width="11.54296875" customWidth="1"/>
    <col min="6" max="6" width="10.453125" customWidth="1"/>
    <col min="7" max="7" width="10.7265625" customWidth="1"/>
    <col min="8" max="8" width="7.81640625" bestFit="1" customWidth="1"/>
    <col min="10" max="11" width="7.453125" bestFit="1" customWidth="1"/>
    <col min="13" max="13" width="7.81640625" bestFit="1" customWidth="1"/>
    <col min="14" max="14" width="8.1796875" customWidth="1"/>
    <col min="15" max="15" width="7.453125" bestFit="1" customWidth="1"/>
    <col min="16" max="16" width="9.26953125" bestFit="1" customWidth="1"/>
    <col min="17" max="17" width="8.81640625" bestFit="1" customWidth="1"/>
    <col min="18" max="18" width="10.7265625" customWidth="1"/>
  </cols>
  <sheetData>
    <row r="3" spans="1:21" ht="44" thickBot="1" x14ac:dyDescent="0.4">
      <c r="A3" s="5" t="s">
        <v>411</v>
      </c>
      <c r="B3" s="5" t="s">
        <v>66</v>
      </c>
      <c r="C3" s="5" t="s">
        <v>91</v>
      </c>
      <c r="D3" s="5" t="s">
        <v>119</v>
      </c>
      <c r="E3" s="5" t="s">
        <v>116</v>
      </c>
      <c r="F3" s="5" t="s">
        <v>10</v>
      </c>
      <c r="G3" s="5" t="s">
        <v>115</v>
      </c>
      <c r="H3" s="5" t="s">
        <v>112</v>
      </c>
      <c r="I3" s="5" t="s">
        <v>151</v>
      </c>
      <c r="J3" s="5" t="s">
        <v>401</v>
      </c>
      <c r="K3" s="5" t="s">
        <v>151</v>
      </c>
      <c r="L3" s="5" t="s">
        <v>400</v>
      </c>
      <c r="M3" s="5" t="s">
        <v>151</v>
      </c>
      <c r="N3" s="5" t="s">
        <v>153</v>
      </c>
      <c r="O3" s="5" t="s">
        <v>151</v>
      </c>
      <c r="P3" s="5" t="s">
        <v>384</v>
      </c>
      <c r="Q3" s="5" t="s">
        <v>151</v>
      </c>
      <c r="R3" s="5" t="s">
        <v>388</v>
      </c>
      <c r="S3" s="5" t="s">
        <v>151</v>
      </c>
      <c r="T3" s="5" t="s">
        <v>150</v>
      </c>
      <c r="U3" s="5" t="s">
        <v>151</v>
      </c>
    </row>
    <row r="4" spans="1:21" ht="15" thickTop="1" x14ac:dyDescent="0.35">
      <c r="A4" t="str">
        <f t="shared" ref="A4:A43" si="0">B4&amp;"-"&amp;C4</f>
        <v>AE-0</v>
      </c>
      <c r="B4" t="s">
        <v>98</v>
      </c>
      <c r="C4">
        <v>0</v>
      </c>
      <c r="D4" s="2" t="s">
        <v>378</v>
      </c>
      <c r="E4" s="43">
        <f>VLOOKUP($A4,BD_biomass!$A$4:$R$43,17,FALSE)</f>
        <v>0.86466227999441858</v>
      </c>
      <c r="F4" s="44">
        <f>VLOOKUP($A4,BD_biomass!$A$4:$R$43,18,FALSE)</f>
        <v>0.67371234717191752</v>
      </c>
      <c r="G4" s="43">
        <f>VLOOKUP($A4,BD_biomass!$A$4:$R$43,11,FALSE)</f>
        <v>4308.3776037387952</v>
      </c>
      <c r="H4" s="47">
        <f>VLOOKUP($A4,VESS!$A$3:$O$203,14,FALSE)</f>
        <v>2.3666666666666667</v>
      </c>
      <c r="I4" s="47">
        <f>VLOOKUP($A4,VESS!$A$4:$O$203,15,FALSE)</f>
        <v>0.26246692913372799</v>
      </c>
      <c r="J4">
        <f>VLOOKUP($A4,WormsCanopeoKhPlantChloro!$A$3:$M$203,6,FALSE)/(0.1*0.2)</f>
        <v>0</v>
      </c>
      <c r="K4" s="14">
        <f>VLOOKUP($A4,WormsCanopeoKhPlantChloro!$A$3:$M$203,7,FALSE)/(0.1*0.2)</f>
        <v>0</v>
      </c>
      <c r="L4" s="14">
        <f>_xlfn.NUMBERVALUE((VLOOKUP($A4,WormsCanopeoKhPlantChloro!$A$3:$M$203,9,FALSE)))</f>
        <v>79.826666669999994</v>
      </c>
      <c r="M4" s="14">
        <f>_xlfn.NUMBERVALUE((VLOOKUP($A4,WormsCanopeoKhPlantChloro!$A$3:$M$203,10,FALSE)))</f>
        <v>3.6190639999999998</v>
      </c>
      <c r="N4" s="14">
        <f>VLOOKUP($A4,WormsCanopeoKhPlantChloro!$A$3:$M$203,12,FALSE)</f>
        <v>0.59699999999999998</v>
      </c>
      <c r="O4" s="14">
        <f>VLOOKUP($A4,WormsCanopeoKhPlantChloro!$A$3:$M$203,13,FALSE)</f>
        <v>0.46</v>
      </c>
      <c r="P4" s="14">
        <f>VLOOKUP($A4,WormsCanopeoKhPlantChloro!$A$3:$S$203,15,FALSE)</f>
        <v>47.4</v>
      </c>
      <c r="Q4" s="14">
        <f>VLOOKUP($A4,WormsCanopeoKhPlantChloro!$A$3:$S$203,16,FALSE)</f>
        <v>4.3634849999999998</v>
      </c>
      <c r="R4" s="48">
        <f>VLOOKUP($A4,WormsCanopeoKhPlantChloro!$A$3:$S$203,18,FALSE)</f>
        <v>4.7527E-2</v>
      </c>
      <c r="S4" s="48">
        <f>VLOOKUP($A4,WormsCanopeoKhPlantChloro!$A$3:$S$203,19,FALSE)</f>
        <v>8.4480000000000006E-3</v>
      </c>
      <c r="T4" s="14">
        <f>VLOOKUP($A4,WormsCanopeoKhPlantChloro!$A$3:$V$203,21,FALSE)</f>
        <v>46.468600000000002</v>
      </c>
      <c r="U4" s="48">
        <f>VLOOKUP($A4,WormsCanopeoKhPlantChloro!$A$3:$V$203,22,FALSE)</f>
        <v>5.4143499999999998</v>
      </c>
    </row>
    <row r="5" spans="1:21" x14ac:dyDescent="0.35">
      <c r="A5" t="str">
        <f t="shared" si="0"/>
        <v>AE-1</v>
      </c>
      <c r="B5" t="s">
        <v>98</v>
      </c>
      <c r="C5">
        <v>1</v>
      </c>
      <c r="D5" s="2" t="s">
        <v>378</v>
      </c>
      <c r="E5" s="43">
        <f>VLOOKUP($A5,BD_biomass!$A$4:$R$43,17,FALSE)</f>
        <v>0.85178399251589942</v>
      </c>
      <c r="F5" s="44">
        <f>VLOOKUP($A5,BD_biomass!$A$4:$R$43,18,FALSE)</f>
        <v>0.67857207829588706</v>
      </c>
      <c r="G5" s="43">
        <f>VLOOKUP($A5,BD_biomass!$A$4:$R$43,11,FALSE)</f>
        <v>4004.6668558635261</v>
      </c>
      <c r="H5" s="47">
        <f>VLOOKUP($A5,VESS!$A$3:$O$203,14,FALSE)</f>
        <v>1.6666666666666667</v>
      </c>
      <c r="I5" s="47">
        <f>VLOOKUP($A5,VESS!$A$4:$O$203,15,FALSE)</f>
        <v>0.47140452079103168</v>
      </c>
      <c r="J5">
        <f>VLOOKUP($A5,WormsCanopeoKhPlantChloro!$A$3:$M$203,6,FALSE)/(0.1*0.2)</f>
        <v>116.66666666666666</v>
      </c>
      <c r="K5" s="14">
        <f>VLOOKUP($A5,WormsCanopeoKhPlantChloro!$A$3:$M$203,7,FALSE)/(0.1*0.2)</f>
        <v>23.570226039551578</v>
      </c>
      <c r="L5" s="14">
        <f>_xlfn.NUMBERVALUE((VLOOKUP($A5,WormsCanopeoKhPlantChloro!$A$3:$M$203,9,FALSE)))</f>
        <v>78.73</v>
      </c>
      <c r="M5" s="14">
        <f>_xlfn.NUMBERVALUE((VLOOKUP($A5,WormsCanopeoKhPlantChloro!$A$3:$M$203,10,FALSE)))</f>
        <v>3.6854399999999998</v>
      </c>
      <c r="N5" s="14">
        <f>VLOOKUP($A5,WormsCanopeoKhPlantChloro!$A$3:$M$203,12,FALSE)</f>
        <v>0.69599999999999995</v>
      </c>
      <c r="O5" s="14">
        <f>VLOOKUP($A5,WormsCanopeoKhPlantChloro!$A$3:$M$203,13,FALSE)</f>
        <v>0.24299999999999999</v>
      </c>
      <c r="P5" s="14">
        <f>VLOOKUP($A5,WormsCanopeoKhPlantChloro!$A$3:$S$203,15,FALSE)</f>
        <v>47</v>
      </c>
      <c r="Q5" s="14">
        <f>VLOOKUP($A5,WormsCanopeoKhPlantChloro!$A$3:$S$203,16,FALSE)</f>
        <v>2.4494899999999999</v>
      </c>
      <c r="R5" s="48">
        <f>VLOOKUP($A5,WormsCanopeoKhPlantChloro!$A$3:$S$203,18,FALSE)</f>
        <v>5.6537999999999998E-2</v>
      </c>
      <c r="S5" s="48">
        <f>VLOOKUP($A5,WormsCanopeoKhPlantChloro!$A$3:$S$203,19,FALSE)</f>
        <v>4.8700000000000002E-3</v>
      </c>
      <c r="T5" s="14">
        <f>VLOOKUP($A5,WormsCanopeoKhPlantChloro!$A$3:$V$203,21,FALSE)</f>
        <v>52.309600000000003</v>
      </c>
      <c r="U5" s="48">
        <f>VLOOKUP($A5,WormsCanopeoKhPlantChloro!$A$3:$V$203,22,FALSE)</f>
        <v>2.9591560000000001</v>
      </c>
    </row>
    <row r="6" spans="1:21" x14ac:dyDescent="0.35">
      <c r="A6" t="str">
        <f t="shared" si="0"/>
        <v>Ai-0</v>
      </c>
      <c r="B6" s="2" t="s">
        <v>76</v>
      </c>
      <c r="C6">
        <v>0</v>
      </c>
      <c r="D6" s="2" t="s">
        <v>377</v>
      </c>
      <c r="E6" s="43">
        <f>VLOOKUP($A6,BD_biomass!$A$4:$R$43,17,FALSE)</f>
        <v>1.3455224147227316</v>
      </c>
      <c r="F6" s="44">
        <f>VLOOKUP($A6,BD_biomass!$A$4:$R$43,18,FALSE)</f>
        <v>0.49225569255745971</v>
      </c>
      <c r="G6" s="43">
        <f>VLOOKUP($A6,BD_biomass!$A$4:$R$43,11,FALSE)</f>
        <v>1342.9888084265965</v>
      </c>
      <c r="H6" s="47">
        <f>VLOOKUP($A6,VESS!$A$3:$O$203,14,FALSE)</f>
        <v>3.2118996415770611</v>
      </c>
      <c r="I6" s="47">
        <f>VLOOKUP($A6,VESS!$A$4:$O$203,15,FALSE)</f>
        <v>0.57469027731398148</v>
      </c>
      <c r="J6">
        <f>VLOOKUP($A6,WormsCanopeoKhPlantChloro!$A$3:$M$203,6,FALSE)/(0.1*0.2)</f>
        <v>0</v>
      </c>
      <c r="K6" s="14">
        <f>VLOOKUP($A6,WormsCanopeoKhPlantChloro!$A$3:$M$203,7,FALSE)/(0.1*0.2)</f>
        <v>0</v>
      </c>
      <c r="L6" s="14">
        <f>_xlfn.NUMBERVALUE((VLOOKUP($A6,WormsCanopeoKhPlantChloro!$A$3:$M$203,9,FALSE)))</f>
        <v>45.186666670000001</v>
      </c>
      <c r="M6" s="14">
        <f>_xlfn.NUMBERVALUE((VLOOKUP($A6,WormsCanopeoKhPlantChloro!$A$3:$M$203,10,FALSE)))</f>
        <v>2.3715160000000002</v>
      </c>
      <c r="N6" s="14">
        <f>VLOOKUP($A6,WormsCanopeoKhPlantChloro!$A$3:$M$203,12,FALSE)</f>
        <v>16.677</v>
      </c>
      <c r="O6" s="14">
        <f>VLOOKUP($A6,WormsCanopeoKhPlantChloro!$A$3:$M$203,13,FALSE)</f>
        <v>4.7942220000000004</v>
      </c>
      <c r="P6" s="14">
        <f>VLOOKUP($A6,WormsCanopeoKhPlantChloro!$A$3:$S$203,15,FALSE)</f>
        <v>42</v>
      </c>
      <c r="Q6" s="14">
        <f>VLOOKUP($A6,WormsCanopeoKhPlantChloro!$A$3:$S$203,16,FALSE)</f>
        <v>2.4494899999999999</v>
      </c>
      <c r="R6" s="48">
        <f>VLOOKUP($A6,WormsCanopeoKhPlantChloro!$A$3:$S$203,18,FALSE)</f>
        <v>4.82E-2</v>
      </c>
      <c r="S6" s="48">
        <f>VLOOKUP($A6,WormsCanopeoKhPlantChloro!$A$3:$S$203,19,FALSE)</f>
        <v>5.476E-3</v>
      </c>
      <c r="T6" s="14">
        <f>VLOOKUP($A6,WormsCanopeoKhPlantChloro!$A$3:$V$203,21,FALSE)</f>
        <v>47.0032</v>
      </c>
      <c r="U6" s="48">
        <f>VLOOKUP($A6,WormsCanopeoKhPlantChloro!$A$3:$V$203,22,FALSE)</f>
        <v>3.629076</v>
      </c>
    </row>
    <row r="7" spans="1:21" x14ac:dyDescent="0.35">
      <c r="A7" t="str">
        <f t="shared" si="0"/>
        <v>Ai-1</v>
      </c>
      <c r="B7" s="2" t="s">
        <v>76</v>
      </c>
      <c r="C7">
        <v>1</v>
      </c>
      <c r="D7" s="2" t="s">
        <v>377</v>
      </c>
      <c r="E7" s="43">
        <f>VLOOKUP($A7,BD_biomass!$A$4:$R$43,17,FALSE)</f>
        <v>1.3152299238875744</v>
      </c>
      <c r="F7" s="44">
        <f>VLOOKUP($A7,BD_biomass!$A$4:$R$43,18,FALSE)</f>
        <v>0.50368682117450025</v>
      </c>
      <c r="G7" s="43">
        <f>VLOOKUP($A7,BD_biomass!$A$4:$R$43,11,FALSE)</f>
        <v>6316.1496564202071</v>
      </c>
      <c r="H7" s="47">
        <f>VLOOKUP($A7,VESS!$A$3:$O$203,14,FALSE)</f>
        <v>3.1999425857790706</v>
      </c>
      <c r="I7" s="47">
        <f>VLOOKUP($A7,VESS!$A$4:$O$203,15,FALSE)</f>
        <v>0.18026855841509445</v>
      </c>
      <c r="J7">
        <f>VLOOKUP($A7,WormsCanopeoKhPlantChloro!$A$3:$M$203,6,FALSE)/(0.1*0.2)</f>
        <v>29.999999999999993</v>
      </c>
      <c r="K7" s="14">
        <f>VLOOKUP($A7,WormsCanopeoKhPlantChloro!$A$3:$M$203,7,FALSE)/(0.1*0.2)</f>
        <v>24.494897427831773</v>
      </c>
      <c r="L7" s="14">
        <f>_xlfn.NUMBERVALUE((VLOOKUP($A7,WormsCanopeoKhPlantChloro!$A$3:$M$203,9,FALSE)))</f>
        <v>91.4</v>
      </c>
      <c r="M7" s="14">
        <f>_xlfn.NUMBERVALUE((VLOOKUP($A7,WormsCanopeoKhPlantChloro!$A$3:$M$203,10,FALSE)))</f>
        <v>1.7</v>
      </c>
      <c r="N7" s="14">
        <f>VLOOKUP($A7,WormsCanopeoKhPlantChloro!$A$3:$M$203,12,FALSE)</f>
        <v>25.013200000000001</v>
      </c>
      <c r="O7" s="14">
        <f>VLOOKUP($A7,WormsCanopeoKhPlantChloro!$A$3:$M$203,13,FALSE)</f>
        <v>11.00445</v>
      </c>
      <c r="P7" s="14">
        <f>VLOOKUP($A7,WormsCanopeoKhPlantChloro!$A$3:$S$203,15,FALSE)</f>
        <v>105</v>
      </c>
      <c r="Q7" s="14">
        <f>VLOOKUP($A7,WormsCanopeoKhPlantChloro!$A$3:$S$203,16,FALSE)</f>
        <v>5</v>
      </c>
      <c r="R7" s="48">
        <f>VLOOKUP($A7,WormsCanopeoKhPlantChloro!$A$3:$S$203,18,FALSE)</f>
        <v>4.0536000000000003E-2</v>
      </c>
      <c r="S7" s="48">
        <f>VLOOKUP($A7,WormsCanopeoKhPlantChloro!$A$3:$S$203,19,FALSE)</f>
        <v>3.3010000000000001E-3</v>
      </c>
      <c r="T7" s="14">
        <f>VLOOKUP($A7,WormsCanopeoKhPlantChloro!$A$3:$V$203,21,FALSE)</f>
        <v>41.894799999999996</v>
      </c>
      <c r="U7" s="48">
        <f>VLOOKUP($A7,WormsCanopeoKhPlantChloro!$A$3:$V$203,22,FALSE)</f>
        <v>2.2829320000000002</v>
      </c>
    </row>
    <row r="8" spans="1:21" x14ac:dyDescent="0.35">
      <c r="A8" t="str">
        <f t="shared" si="0"/>
        <v>Ik-0</v>
      </c>
      <c r="B8" s="2" t="s">
        <v>99</v>
      </c>
      <c r="C8">
        <v>0</v>
      </c>
      <c r="D8" s="2" t="s">
        <v>377</v>
      </c>
      <c r="E8" s="43">
        <f>VLOOKUP($A8,BD_biomass!$A$4:$R$43,17,FALSE)</f>
        <v>0.83919748909971537</v>
      </c>
      <c r="F8" s="44">
        <f>VLOOKUP($A8,BD_biomass!$A$4:$R$43,18,FALSE)</f>
        <v>0.68332170222652255</v>
      </c>
      <c r="G8" s="43">
        <f>VLOOKUP($A8,BD_biomass!$A$4:$R$43,11,FALSE)</f>
        <v>4234.9048800661703</v>
      </c>
      <c r="H8" s="47">
        <f>VLOOKUP($A8,VESS!$A$3:$O$203,14,FALSE)</f>
        <v>3.4607209263015548</v>
      </c>
      <c r="I8" s="47">
        <f>VLOOKUP($A8,VESS!$A$4:$O$203,15,FALSE)</f>
        <v>0.52462275146611537</v>
      </c>
      <c r="J8">
        <f>VLOOKUP($A8,WormsCanopeoKhPlantChloro!$A$3:$M$203,6,FALSE)/(0.1*0.2)</f>
        <v>0</v>
      </c>
      <c r="K8" s="14">
        <f>VLOOKUP($A8,WormsCanopeoKhPlantChloro!$A$3:$M$203,7,FALSE)/(0.1*0.2)</f>
        <v>0</v>
      </c>
      <c r="L8" s="14">
        <f>_xlfn.NUMBERVALUE((VLOOKUP($A8,WormsCanopeoKhPlantChloro!$A$3:$M$203,9,FALSE)))</f>
        <v>83.15</v>
      </c>
      <c r="M8" s="14">
        <f>_xlfn.NUMBERVALUE((VLOOKUP($A8,WormsCanopeoKhPlantChloro!$A$3:$M$203,10,FALSE)))</f>
        <v>0.165126</v>
      </c>
      <c r="N8" s="14">
        <f>VLOOKUP($A8,WormsCanopeoKhPlantChloro!$A$3:$M$203,12,FALSE)</f>
        <v>28.013580000000001</v>
      </c>
      <c r="O8" s="14">
        <f>VLOOKUP($A8,WormsCanopeoKhPlantChloro!$A$3:$M$203,13,FALSE)</f>
        <v>20.656330000000001</v>
      </c>
      <c r="P8" s="14">
        <f>VLOOKUP($A8,WormsCanopeoKhPlantChloro!$A$3:$S$203,15,FALSE)</f>
        <v>108.75</v>
      </c>
      <c r="Q8" s="14">
        <f>VLOOKUP($A8,WormsCanopeoKhPlantChloro!$A$3:$S$203,16,FALSE)</f>
        <v>10.82532</v>
      </c>
      <c r="R8" s="48">
        <f>VLOOKUP($A8,WormsCanopeoKhPlantChloro!$A$3:$S$203,18,FALSE)</f>
        <v>4.2471000000000002E-2</v>
      </c>
      <c r="S8" s="48">
        <f>VLOOKUP($A8,WormsCanopeoKhPlantChloro!$A$3:$S$203,19,FALSE)</f>
        <v>6.313E-3</v>
      </c>
      <c r="T8" s="14">
        <f>VLOOKUP($A8,WormsCanopeoKhPlantChloro!$A$3:$V$203,21,FALSE)</f>
        <v>43.142200000000003</v>
      </c>
      <c r="U8" s="48">
        <f>VLOOKUP($A8,WormsCanopeoKhPlantChloro!$A$3:$V$203,22,FALSE)</f>
        <v>4.3745900000000004</v>
      </c>
    </row>
    <row r="9" spans="1:21" x14ac:dyDescent="0.35">
      <c r="A9" t="str">
        <f t="shared" si="0"/>
        <v>Ik-1</v>
      </c>
      <c r="B9" s="2" t="s">
        <v>99</v>
      </c>
      <c r="C9">
        <v>1</v>
      </c>
      <c r="D9" s="2" t="s">
        <v>377</v>
      </c>
      <c r="E9" s="43">
        <f>VLOOKUP($A9,BD_biomass!$A$4:$R$43,17,FALSE)</f>
        <v>0.93406709809440924</v>
      </c>
      <c r="F9" s="44">
        <f>VLOOKUP($A9,BD_biomass!$A$4:$R$43,18,FALSE)</f>
        <v>0.6475218497756946</v>
      </c>
      <c r="G9" s="43">
        <f>VLOOKUP($A9,BD_biomass!$A$4:$R$43,11,FALSE)</f>
        <v>9356.1166182886973</v>
      </c>
      <c r="H9" s="47">
        <f>VLOOKUP($A9,VESS!$A$3:$O$203,14,FALSE)</f>
        <v>1.9506172839506171</v>
      </c>
      <c r="I9" s="47">
        <f>VLOOKUP($A9,VESS!$A$4:$O$203,15,FALSE)</f>
        <v>0.1658645536116593</v>
      </c>
      <c r="J9">
        <f>VLOOKUP($A9,WormsCanopeoKhPlantChloro!$A$3:$M$203,6,FALSE)/(0.1*0.2)</f>
        <v>0</v>
      </c>
      <c r="K9" s="14">
        <f>VLOOKUP($A9,WormsCanopeoKhPlantChloro!$A$3:$M$203,7,FALSE)/(0.1*0.2)</f>
        <v>0</v>
      </c>
      <c r="L9" s="14">
        <f>_xlfn.NUMBERVALUE((VLOOKUP($A9,WormsCanopeoKhPlantChloro!$A$3:$M$203,9,FALSE)))</f>
        <v>88.003333330000004</v>
      </c>
      <c r="M9" s="14">
        <f>_xlfn.NUMBERVALUE((VLOOKUP($A9,WormsCanopeoKhPlantChloro!$A$3:$M$203,10,FALSE)))</f>
        <v>2.7911570000000001</v>
      </c>
      <c r="N9" s="14">
        <f>VLOOKUP($A9,WormsCanopeoKhPlantChloro!$A$3:$M$203,12,FALSE)</f>
        <v>38.743389999999998</v>
      </c>
      <c r="O9" s="14">
        <f>VLOOKUP($A9,WormsCanopeoKhPlantChloro!$A$3:$M$203,13,FALSE)</f>
        <v>5.2321090000000003</v>
      </c>
      <c r="P9" s="14">
        <f>VLOOKUP($A9,WormsCanopeoKhPlantChloro!$A$3:$S$203,15,FALSE)</f>
        <v>105</v>
      </c>
      <c r="Q9" s="14">
        <f>VLOOKUP($A9,WormsCanopeoKhPlantChloro!$A$3:$S$203,16,FALSE)</f>
        <v>7.0710680000000004</v>
      </c>
      <c r="R9" s="48">
        <f>VLOOKUP($A9,WormsCanopeoKhPlantChloro!$A$3:$S$203,18,FALSE)</f>
        <v>3.4861000000000003E-2</v>
      </c>
      <c r="S9" s="48">
        <f>VLOOKUP($A9,WormsCanopeoKhPlantChloro!$A$3:$S$203,19,FALSE)</f>
        <v>5.1539999999999997E-3</v>
      </c>
      <c r="T9" s="14">
        <f>VLOOKUP($A9,WormsCanopeoKhPlantChloro!$A$3:$V$203,21,FALSE)</f>
        <v>37.796199999999999</v>
      </c>
      <c r="U9" s="48">
        <f>VLOOKUP($A9,WormsCanopeoKhPlantChloro!$A$3:$V$203,22,FALSE)</f>
        <v>3.806238</v>
      </c>
    </row>
    <row r="10" spans="1:21" x14ac:dyDescent="0.35">
      <c r="A10" t="str">
        <f t="shared" si="0"/>
        <v>Ja-0</v>
      </c>
      <c r="B10" s="2" t="s">
        <v>73</v>
      </c>
      <c r="C10">
        <v>0</v>
      </c>
      <c r="D10" s="2" t="s">
        <v>377</v>
      </c>
      <c r="E10" s="43">
        <f>VLOOKUP($A10,BD_biomass!$A$4:$R$43,17,FALSE)</f>
        <v>0.73061402917526974</v>
      </c>
      <c r="F10" s="44">
        <f>VLOOKUP($A10,BD_biomass!$A$4:$R$43,18,FALSE)</f>
        <v>0.72429659276404912</v>
      </c>
      <c r="G10" s="43">
        <f>VLOOKUP($A10,BD_biomass!$A$4:$R$43,11,FALSE)</f>
        <v>0</v>
      </c>
      <c r="H10" s="47">
        <f>VLOOKUP($A10,VESS!$A$3:$O$203,14,FALSE)</f>
        <v>3.2221264367816089</v>
      </c>
      <c r="I10" s="47">
        <f>VLOOKUP($A10,VESS!$A$4:$O$203,15,FALSE)</f>
        <v>0.33707986675300428</v>
      </c>
      <c r="J10">
        <f>VLOOKUP($A10,WormsCanopeoKhPlantChloro!$A$3:$M$203,6,FALSE)/(0.1*0.2)</f>
        <v>0</v>
      </c>
      <c r="K10" s="14">
        <f>VLOOKUP($A10,WormsCanopeoKhPlantChloro!$A$3:$M$203,7,FALSE)/(0.1*0.2)</f>
        <v>0</v>
      </c>
      <c r="L10" s="14">
        <f>_xlfn.NUMBERVALUE((VLOOKUP($A10,WormsCanopeoKhPlantChloro!$A$3:$M$203,9,FALSE)))</f>
        <v>73.543333329999996</v>
      </c>
      <c r="M10" s="14">
        <f>_xlfn.NUMBERVALUE((VLOOKUP($A10,WormsCanopeoKhPlantChloro!$A$3:$M$203,10,FALSE)))</f>
        <v>6.502929</v>
      </c>
      <c r="N10" s="14">
        <f>VLOOKUP($A10,WormsCanopeoKhPlantChloro!$A$3:$M$203,12,FALSE)</f>
        <v>0</v>
      </c>
      <c r="O10" s="14">
        <f>VLOOKUP($A10,WormsCanopeoKhPlantChloro!$A$3:$M$203,13,FALSE)</f>
        <v>0</v>
      </c>
      <c r="P10" s="14">
        <f>VLOOKUP($A10,WormsCanopeoKhPlantChloro!$A$3:$S$203,15,FALSE)</f>
        <v>53.75</v>
      </c>
      <c r="Q10" s="14">
        <f>VLOOKUP($A10,WormsCanopeoKhPlantChloro!$A$3:$S$203,16,FALSE)</f>
        <v>2.58602</v>
      </c>
      <c r="R10" s="48">
        <f>VLOOKUP($A10,WormsCanopeoKhPlantChloro!$A$3:$S$203,18,FALSE)</f>
        <v>0</v>
      </c>
      <c r="S10" s="48">
        <f>VLOOKUP($A10,WormsCanopeoKhPlantChloro!$A$3:$S$203,19,FALSE)</f>
        <v>0</v>
      </c>
      <c r="T10" s="14">
        <f>VLOOKUP($A10,WormsCanopeoKhPlantChloro!$A$3:$V$203,21,FALSE)</f>
        <v>0</v>
      </c>
      <c r="U10" s="48">
        <f>VLOOKUP($A10,WormsCanopeoKhPlantChloro!$A$3:$V$203,22,FALSE)</f>
        <v>0</v>
      </c>
    </row>
    <row r="11" spans="1:21" x14ac:dyDescent="0.35">
      <c r="A11" t="str">
        <f t="shared" si="0"/>
        <v>Ja-1</v>
      </c>
      <c r="B11" s="2" t="s">
        <v>73</v>
      </c>
      <c r="C11">
        <v>1</v>
      </c>
      <c r="D11" s="2" t="s">
        <v>377</v>
      </c>
      <c r="E11" s="43">
        <f>VLOOKUP($A11,BD_biomass!$A$4:$R$43,17,FALSE)</f>
        <v>0.9905671028920322</v>
      </c>
      <c r="F11" s="44">
        <f>VLOOKUP($A11,BD_biomass!$A$4:$R$43,18,FALSE)</f>
        <v>0.62620109324828976</v>
      </c>
      <c r="G11" s="43">
        <f>VLOOKUP($A11,BD_biomass!$A$4:$R$43,11,FALSE)</f>
        <v>0</v>
      </c>
      <c r="H11" s="47">
        <f>VLOOKUP($A11,VESS!$A$3:$O$203,14,FALSE)</f>
        <v>3.1042032163742692</v>
      </c>
      <c r="I11" s="47">
        <f>VLOOKUP($A11,VESS!$A$4:$O$203,15,FALSE)</f>
        <v>0.48134674693086393</v>
      </c>
      <c r="J11">
        <f>VLOOKUP($A11,WormsCanopeoKhPlantChloro!$A$3:$M$203,6,FALSE)/(0.1*0.2)</f>
        <v>0</v>
      </c>
      <c r="K11" s="14">
        <f>VLOOKUP($A11,WormsCanopeoKhPlantChloro!$A$3:$M$203,7,FALSE)/(0.1*0.2)</f>
        <v>0</v>
      </c>
      <c r="L11" s="14">
        <f>_xlfn.NUMBERVALUE((VLOOKUP($A11,WormsCanopeoKhPlantChloro!$A$3:$M$203,9,FALSE)))</f>
        <v>22.45</v>
      </c>
      <c r="M11" s="14">
        <f>_xlfn.NUMBERVALUE((VLOOKUP($A11,WormsCanopeoKhPlantChloro!$A$3:$M$203,10,FALSE)))</f>
        <v>3.0099939999999998</v>
      </c>
      <c r="N11" s="14">
        <f>VLOOKUP($A11,WormsCanopeoKhPlantChloro!$A$3:$M$203,12,FALSE)</f>
        <v>0</v>
      </c>
      <c r="O11" s="14">
        <f>VLOOKUP($A11,WormsCanopeoKhPlantChloro!$A$3:$M$203,13,FALSE)</f>
        <v>0</v>
      </c>
      <c r="P11" s="14">
        <f>VLOOKUP($A11,WormsCanopeoKhPlantChloro!$A$3:$S$203,15,FALSE)</f>
        <v>26.4</v>
      </c>
      <c r="Q11" s="14">
        <f>VLOOKUP($A11,WormsCanopeoKhPlantChloro!$A$3:$S$203,16,FALSE)</f>
        <v>1.959592</v>
      </c>
      <c r="R11" s="48">
        <f>VLOOKUP($A11,WormsCanopeoKhPlantChloro!$A$3:$S$203,18,FALSE)</f>
        <v>0</v>
      </c>
      <c r="S11" s="48">
        <f>VLOOKUP($A11,WormsCanopeoKhPlantChloro!$A$3:$S$203,19,FALSE)</f>
        <v>0</v>
      </c>
      <c r="T11" s="14">
        <f>VLOOKUP($A11,WormsCanopeoKhPlantChloro!$A$3:$V$203,21,FALSE)</f>
        <v>0</v>
      </c>
      <c r="U11" s="48">
        <f>VLOOKUP($A11,WormsCanopeoKhPlantChloro!$A$3:$V$203,22,FALSE)</f>
        <v>0</v>
      </c>
    </row>
    <row r="12" spans="1:21" x14ac:dyDescent="0.35">
      <c r="A12" t="str">
        <f t="shared" si="0"/>
        <v>Jn-0</v>
      </c>
      <c r="B12" s="2" t="s">
        <v>84</v>
      </c>
      <c r="C12">
        <v>0</v>
      </c>
      <c r="D12" s="2" t="s">
        <v>393</v>
      </c>
      <c r="E12" s="43">
        <f>VLOOKUP($A12,BD_biomass!$A$4:$R$43,17,FALSE)</f>
        <v>1.0177162836011246</v>
      </c>
      <c r="F12" s="44">
        <f>VLOOKUP($A12,BD_biomass!$A$4:$R$43,18,FALSE)</f>
        <v>0.61595611939580208</v>
      </c>
      <c r="G12" s="43">
        <f>VLOOKUP($A12,BD_biomass!$A$4:$R$43,11,FALSE)</f>
        <v>2527.7488727020468</v>
      </c>
      <c r="H12" s="47">
        <f>VLOOKUP($A12,VESS!$A$3:$O$203,14,FALSE)</f>
        <v>2.7416225749559082</v>
      </c>
      <c r="I12" s="47">
        <f>VLOOKUP($A12,VESS!$A$4:$O$203,15,FALSE)</f>
        <v>0.22759866052470007</v>
      </c>
      <c r="J12">
        <f>VLOOKUP($A12,WormsCanopeoKhPlantChloro!$A$3:$M$203,6,FALSE)/(0.1*0.2)</f>
        <v>99.999999999999986</v>
      </c>
      <c r="K12" s="14">
        <f>VLOOKUP($A12,WormsCanopeoKhPlantChloro!$A$3:$M$203,7,FALSE)/(0.1*0.2)</f>
        <v>0</v>
      </c>
      <c r="L12" s="14">
        <f>_xlfn.NUMBERVALUE((VLOOKUP($A12,WormsCanopeoKhPlantChloro!$A$3:$M$203,9,FALSE)))</f>
        <v>85.646666670000002</v>
      </c>
      <c r="M12" s="14">
        <f>_xlfn.NUMBERVALUE((VLOOKUP($A12,WormsCanopeoKhPlantChloro!$A$3:$M$203,10,FALSE)))</f>
        <v>8.5761269999999996</v>
      </c>
      <c r="N12" s="14">
        <f>VLOOKUP($A12,WormsCanopeoKhPlantChloro!$A$3:$M$203,12,FALSE)</f>
        <v>8.0105000000000004</v>
      </c>
      <c r="O12" s="14">
        <f>VLOOKUP($A12,WormsCanopeoKhPlantChloro!$A$3:$M$203,13,FALSE)</f>
        <v>0.73450000000000004</v>
      </c>
      <c r="P12" s="14">
        <f>VLOOKUP($A12,WormsCanopeoKhPlantChloro!$A$3:$S$203,15,FALSE)</f>
        <v>29</v>
      </c>
      <c r="Q12" s="14">
        <f>VLOOKUP($A12,WormsCanopeoKhPlantChloro!$A$3:$S$203,16,FALSE)</f>
        <v>10.198040000000001</v>
      </c>
      <c r="R12" s="48">
        <f>VLOOKUP($A12,WormsCanopeoKhPlantChloro!$A$3:$S$203,18,FALSE)</f>
        <v>3.3221000000000001E-2</v>
      </c>
      <c r="S12" s="48">
        <f>VLOOKUP($A12,WormsCanopeoKhPlantChloro!$A$3:$S$203,19,FALSE)</f>
        <v>7.6160000000000004E-3</v>
      </c>
      <c r="T12" s="14">
        <f>VLOOKUP($A12,WormsCanopeoKhPlantChloro!$A$3:$V$203,21,FALSE)</f>
        <v>36.4696</v>
      </c>
      <c r="U12" s="48">
        <f>VLOOKUP($A12,WormsCanopeoKhPlantChloro!$A$3:$V$203,22,FALSE)</f>
        <v>5.7055619999999996</v>
      </c>
    </row>
    <row r="13" spans="1:21" x14ac:dyDescent="0.35">
      <c r="A13" t="str">
        <f t="shared" si="0"/>
        <v>Jn-1</v>
      </c>
      <c r="B13" s="2" t="s">
        <v>84</v>
      </c>
      <c r="C13">
        <v>1</v>
      </c>
      <c r="D13" s="2" t="s">
        <v>393</v>
      </c>
      <c r="E13" s="43">
        <f>VLOOKUP($A13,BD_biomass!$A$4:$R$43,17,FALSE)</f>
        <v>0.89955700126731675</v>
      </c>
      <c r="F13" s="44">
        <f>VLOOKUP($A13,BD_biomass!$A$4:$R$43,18,FALSE)</f>
        <v>0.66054452782365403</v>
      </c>
      <c r="G13" s="43">
        <f>VLOOKUP($A13,BD_biomass!$A$4:$R$43,11,FALSE)</f>
        <v>8805.149462934216</v>
      </c>
      <c r="H13" s="47">
        <f>VLOOKUP($A13,VESS!$A$3:$O$203,14,FALSE)</f>
        <v>2.2521072796934867</v>
      </c>
      <c r="I13" s="47">
        <f>VLOOKUP($A13,VESS!$A$4:$O$203,15,FALSE)</f>
        <v>0.30939308203641147</v>
      </c>
      <c r="J13">
        <f>VLOOKUP($A13,WormsCanopeoKhPlantChloro!$A$3:$M$203,6,FALSE)/(0.1*0.2)</f>
        <v>166.66666666666663</v>
      </c>
      <c r="K13" s="14">
        <f>VLOOKUP($A13,WormsCanopeoKhPlantChloro!$A$3:$M$203,7,FALSE)/(0.1*0.2)</f>
        <v>117.8511301977579</v>
      </c>
      <c r="L13" s="14">
        <f>_xlfn.NUMBERVALUE((VLOOKUP($A13,WormsCanopeoKhPlantChloro!$A$3:$M$203,9,FALSE)))</f>
        <v>89.156666670000007</v>
      </c>
      <c r="M13" s="14">
        <f>_xlfn.NUMBERVALUE((VLOOKUP($A13,WormsCanopeoKhPlantChloro!$A$3:$M$203,10,FALSE)))</f>
        <v>3.236936</v>
      </c>
      <c r="N13" s="14">
        <f>VLOOKUP($A13,WormsCanopeoKhPlantChloro!$A$3:$M$203,12,FALSE)</f>
        <v>20.983000000000001</v>
      </c>
      <c r="O13" s="14">
        <f>VLOOKUP($A13,WormsCanopeoKhPlantChloro!$A$3:$M$203,13,FALSE)</f>
        <v>9.8130000000000006</v>
      </c>
      <c r="P13" s="14">
        <f>VLOOKUP($A13,WormsCanopeoKhPlantChloro!$A$3:$S$203,15,FALSE)</f>
        <v>39</v>
      </c>
      <c r="Q13" s="14">
        <f>VLOOKUP($A13,WormsCanopeoKhPlantChloro!$A$3:$S$203,16,FALSE)</f>
        <v>6.6332500000000003</v>
      </c>
      <c r="R13" s="48">
        <f>VLOOKUP($A13,WormsCanopeoKhPlantChloro!$A$3:$S$203,18,FALSE)</f>
        <v>4.854E-2</v>
      </c>
      <c r="S13" s="48">
        <f>VLOOKUP($A13,WormsCanopeoKhPlantChloro!$A$3:$S$203,19,FALSE)</f>
        <v>6.496E-3</v>
      </c>
      <c r="T13" s="14">
        <f>VLOOKUP($A13,WormsCanopeoKhPlantChloro!$A$3:$V$203,21,FALSE)</f>
        <v>47.2012</v>
      </c>
      <c r="U13" s="48">
        <f>VLOOKUP($A13,WormsCanopeoKhPlantChloro!$A$3:$V$203,22,FALSE)</f>
        <v>4.1539440000000001</v>
      </c>
    </row>
    <row r="14" spans="1:21" x14ac:dyDescent="0.35">
      <c r="A14" t="str">
        <f t="shared" si="0"/>
        <v>Ki-0</v>
      </c>
      <c r="B14" t="s">
        <v>72</v>
      </c>
      <c r="C14">
        <v>0</v>
      </c>
      <c r="D14" s="2" t="s">
        <v>394</v>
      </c>
      <c r="E14" s="43">
        <f>VLOOKUP($A14,BD_biomass!$A$4:$R$43,17,FALSE)</f>
        <v>1.020143396483276</v>
      </c>
      <c r="F14" s="44">
        <f>VLOOKUP($A14,BD_biomass!$A$4:$R$43,18,FALSE)</f>
        <v>0.61504022774216005</v>
      </c>
      <c r="G14" s="43">
        <f>VLOOKUP($A14,BD_biomass!$A$4:$R$43,11,FALSE)</f>
        <v>737.32718894009224</v>
      </c>
      <c r="H14" s="47">
        <f>VLOOKUP($A14,VESS!$A$3:$O$203,14,FALSE)</f>
        <v>2.6623152709359608</v>
      </c>
      <c r="I14" s="47">
        <f>VLOOKUP($A14,VESS!$A$4:$O$203,15,FALSE)</f>
        <v>0.33215653288520885</v>
      </c>
      <c r="J14">
        <f>VLOOKUP($A14,WormsCanopeoKhPlantChloro!$A$3:$M$203,6,FALSE)/(0.1*0.2)</f>
        <v>16.666666666666661</v>
      </c>
      <c r="K14" s="14">
        <f>VLOOKUP($A14,WormsCanopeoKhPlantChloro!$A$3:$M$203,7,FALSE)/(0.1*0.2)</f>
        <v>23.570226039551578</v>
      </c>
      <c r="L14" s="14">
        <f>_xlfn.NUMBERVALUE((VLOOKUP($A14,WormsCanopeoKhPlantChloro!$A$3:$M$203,9,FALSE)))</f>
        <v>49.866666670000001</v>
      </c>
      <c r="M14" s="14">
        <f>_xlfn.NUMBERVALUE((VLOOKUP($A14,WormsCanopeoKhPlantChloro!$A$3:$M$203,10,FALSE)))</f>
        <v>8.6662350000000004</v>
      </c>
      <c r="N14" s="14">
        <f>VLOOKUP($A14,WormsCanopeoKhPlantChloro!$A$3:$M$203,12,FALSE)</f>
        <v>47.168999999999997</v>
      </c>
      <c r="O14" s="14">
        <f>VLOOKUP($A14,WormsCanopeoKhPlantChloro!$A$3:$M$203,13,FALSE)</f>
        <v>10.97</v>
      </c>
      <c r="P14" s="14">
        <f>VLOOKUP($A14,WormsCanopeoKhPlantChloro!$A$3:$S$203,15,FALSE)</f>
        <v>20</v>
      </c>
      <c r="Q14" s="14">
        <f>VLOOKUP($A14,WormsCanopeoKhPlantChloro!$A$3:$S$203,16,FALSE)</f>
        <v>5.2535699999999999</v>
      </c>
      <c r="R14" s="48">
        <f>VLOOKUP($A14,WormsCanopeoKhPlantChloro!$A$3:$S$203,18,FALSE)</f>
        <v>0</v>
      </c>
      <c r="S14" s="48">
        <f>VLOOKUP($A14,WormsCanopeoKhPlantChloro!$A$3:$S$203,19,FALSE)</f>
        <v>0</v>
      </c>
      <c r="T14" s="14">
        <f>VLOOKUP($A14,WormsCanopeoKhPlantChloro!$A$3:$V$203,21,FALSE)</f>
        <v>0</v>
      </c>
      <c r="U14" s="48">
        <f>VLOOKUP($A14,WormsCanopeoKhPlantChloro!$A$3:$V$203,22,FALSE)</f>
        <v>0</v>
      </c>
    </row>
    <row r="15" spans="1:21" x14ac:dyDescent="0.35">
      <c r="A15" t="str">
        <f t="shared" si="0"/>
        <v>Ki-1</v>
      </c>
      <c r="B15" t="s">
        <v>72</v>
      </c>
      <c r="C15">
        <v>1</v>
      </c>
      <c r="D15" s="2" t="s">
        <v>394</v>
      </c>
      <c r="E15" s="43">
        <f>VLOOKUP($A15,BD_biomass!$A$4:$R$43,17,FALSE)</f>
        <v>0.97634926130915622</v>
      </c>
      <c r="F15" s="44">
        <f>VLOOKUP($A15,BD_biomass!$A$4:$R$43,18,FALSE)</f>
        <v>0.63156631648711081</v>
      </c>
      <c r="G15" s="43">
        <f>VLOOKUP($A15,BD_biomass!$A$4:$R$43,11,FALSE)</f>
        <v>1243.4518886131789</v>
      </c>
      <c r="H15" s="47">
        <f>VLOOKUP($A15,VESS!$A$3:$O$203,14,FALSE)</f>
        <v>2.2312903225806449</v>
      </c>
      <c r="I15" s="47">
        <f>VLOOKUP($A15,VESS!$A$4:$O$203,15,FALSE)</f>
        <v>0.357186805680062</v>
      </c>
      <c r="J15">
        <f>VLOOKUP($A15,WormsCanopeoKhPlantChloro!$A$3:$M$203,6,FALSE)/(0.1*0.2)</f>
        <v>12.499999999999998</v>
      </c>
      <c r="K15" s="14">
        <f>VLOOKUP($A15,WormsCanopeoKhPlantChloro!$A$3:$M$203,7,FALSE)/(0.1*0.2)</f>
        <v>21.650635094610962</v>
      </c>
      <c r="L15" s="14">
        <f>_xlfn.NUMBERVALUE((VLOOKUP($A15,WormsCanopeoKhPlantChloro!$A$3:$M$203,9,FALSE)))</f>
        <v>80.28</v>
      </c>
      <c r="M15" s="14">
        <f>_xlfn.NUMBERVALUE((VLOOKUP($A15,WormsCanopeoKhPlantChloro!$A$3:$M$203,10,FALSE)))</f>
        <v>12.55423</v>
      </c>
      <c r="N15" s="14">
        <f>VLOOKUP($A15,WormsCanopeoKhPlantChloro!$A$3:$M$203,12,FALSE)</f>
        <v>87.891999999999996</v>
      </c>
      <c r="O15" s="14">
        <f>VLOOKUP($A15,WormsCanopeoKhPlantChloro!$A$3:$M$203,13,FALSE)</f>
        <v>2.0619999999999998</v>
      </c>
      <c r="P15" s="14">
        <f>VLOOKUP($A15,WormsCanopeoKhPlantChloro!$A$3:$S$203,15,FALSE)</f>
        <v>33.799999999999997</v>
      </c>
      <c r="Q15" s="14">
        <f>VLOOKUP($A15,WormsCanopeoKhPlantChloro!$A$3:$S$203,16,FALSE)</f>
        <v>7.0540770000000004</v>
      </c>
      <c r="R15" s="48">
        <f>VLOOKUP($A15,WormsCanopeoKhPlantChloro!$A$3:$S$203,18,FALSE)</f>
        <v>0</v>
      </c>
      <c r="S15" s="48">
        <f>VLOOKUP($A15,WormsCanopeoKhPlantChloro!$A$3:$S$203,19,FALSE)</f>
        <v>0</v>
      </c>
      <c r="T15" s="14">
        <f>VLOOKUP($A15,WormsCanopeoKhPlantChloro!$A$3:$V$203,21,FALSE)</f>
        <v>0</v>
      </c>
      <c r="U15" s="48">
        <f>VLOOKUP($A15,WormsCanopeoKhPlantChloro!$A$3:$V$203,22,FALSE)</f>
        <v>0</v>
      </c>
    </row>
    <row r="16" spans="1:21" x14ac:dyDescent="0.35">
      <c r="A16" t="str">
        <f t="shared" si="0"/>
        <v>Ko-0</v>
      </c>
      <c r="B16" s="2" t="s">
        <v>79</v>
      </c>
      <c r="C16">
        <v>0</v>
      </c>
      <c r="D16" s="2" t="s">
        <v>378</v>
      </c>
      <c r="E16" s="43">
        <f>VLOOKUP($A16,BD_biomass!$A$4:$R$43,17,FALSE)</f>
        <v>1.1493374215381222</v>
      </c>
      <c r="F16" s="44">
        <f>VLOOKUP($A16,BD_biomass!$A$4:$R$43,18,FALSE)</f>
        <v>0.56628776545731241</v>
      </c>
      <c r="G16" s="43">
        <f>VLOOKUP($A16,BD_biomass!$A$4:$R$43,11,FALSE)</f>
        <v>2321.5686274509803</v>
      </c>
      <c r="H16" s="47">
        <f>VLOOKUP($A16,VESS!$A$3:$O$203,14,FALSE)</f>
        <v>3.6133253719460616</v>
      </c>
      <c r="I16" s="47">
        <f>VLOOKUP($A16,VESS!$A$4:$O$203,15,FALSE)</f>
        <v>0.27207687919772738</v>
      </c>
      <c r="J16">
        <f>VLOOKUP($A16,WormsCanopeoKhPlantChloro!$A$3:$M$203,6,FALSE)/(0.1*0.2)</f>
        <v>0</v>
      </c>
      <c r="K16" s="14">
        <f>VLOOKUP($A16,WormsCanopeoKhPlantChloro!$A$3:$M$203,7,FALSE)/(0.1*0.2)</f>
        <v>0</v>
      </c>
      <c r="L16" s="14">
        <f>_xlfn.NUMBERVALUE((VLOOKUP($A16,WormsCanopeoKhPlantChloro!$A$3:$M$203,9,FALSE)))</f>
        <v>97.91</v>
      </c>
      <c r="M16" s="14">
        <f>_xlfn.NUMBERVALUE((VLOOKUP($A16,WormsCanopeoKhPlantChloro!$A$3:$M$203,10,FALSE)))</f>
        <v>0.34938000000000002</v>
      </c>
      <c r="N16" s="14">
        <f>VLOOKUP($A16,WormsCanopeoKhPlantChloro!$A$3:$M$203,12,FALSE)</f>
        <v>4.4474999999999998</v>
      </c>
      <c r="O16" s="14">
        <f>VLOOKUP($A16,WormsCanopeoKhPlantChloro!$A$3:$M$203,13,FALSE)</f>
        <v>2.9355000000000002</v>
      </c>
      <c r="P16" s="14">
        <f>VLOOKUP($A16,WormsCanopeoKhPlantChloro!$A$3:$S$203,15,FALSE)</f>
        <v>29.6</v>
      </c>
      <c r="Q16" s="14">
        <f>VLOOKUP($A16,WormsCanopeoKhPlantChloro!$A$3:$S$203,16,FALSE)</f>
        <v>2.4166089999999998</v>
      </c>
      <c r="R16" s="48">
        <f>VLOOKUP($A16,WormsCanopeoKhPlantChloro!$A$3:$S$203,18,FALSE)</f>
        <v>3.1988999999999997E-2</v>
      </c>
      <c r="S16" s="48">
        <f>VLOOKUP($A16,WormsCanopeoKhPlantChloro!$A$3:$S$203,19,FALSE)</f>
        <v>9.6839999999999999E-3</v>
      </c>
      <c r="T16" s="14">
        <f>VLOOKUP($A16,WormsCanopeoKhPlantChloro!$A$3:$V$203,21,FALSE)</f>
        <v>35.44</v>
      </c>
      <c r="U16" s="48">
        <f>VLOOKUP($A16,WormsCanopeoKhPlantChloro!$A$3:$V$203,22,FALSE)</f>
        <v>6.9832549999999998</v>
      </c>
    </row>
    <row r="17" spans="1:21" x14ac:dyDescent="0.35">
      <c r="A17" t="str">
        <f t="shared" si="0"/>
        <v>Ko-1</v>
      </c>
      <c r="B17" s="2" t="s">
        <v>79</v>
      </c>
      <c r="C17">
        <v>1</v>
      </c>
      <c r="D17" s="2" t="s">
        <v>378</v>
      </c>
      <c r="E17" s="43">
        <f>VLOOKUP($A17,BD_biomass!$A$4:$R$43,17,FALSE)</f>
        <v>1.157175802485398</v>
      </c>
      <c r="F17" s="44">
        <f>VLOOKUP($A17,BD_biomass!$A$4:$R$43,18,FALSE)</f>
        <v>0.56332988585456678</v>
      </c>
      <c r="G17" s="43">
        <f>VLOOKUP($A17,BD_biomass!$A$4:$R$43,11,FALSE)</f>
        <v>2600</v>
      </c>
      <c r="H17" s="47">
        <f>VLOOKUP($A17,VESS!$A$3:$O$203,14,FALSE)</f>
        <v>3.17906746031746</v>
      </c>
      <c r="I17" s="47">
        <f>VLOOKUP($A17,VESS!$A$4:$O$203,15,FALSE)</f>
        <v>2.5263554718743819E-2</v>
      </c>
      <c r="J17">
        <f>VLOOKUP($A17,WormsCanopeoKhPlantChloro!$A$3:$M$203,6,FALSE)/(0.1*0.2)</f>
        <v>49.999999999999993</v>
      </c>
      <c r="K17" s="14">
        <f>VLOOKUP($A17,WormsCanopeoKhPlantChloro!$A$3:$M$203,7,FALSE)/(0.1*0.2)</f>
        <v>70.710678118654741</v>
      </c>
      <c r="L17" s="14">
        <f>_xlfn.NUMBERVALUE((VLOOKUP($A17,WormsCanopeoKhPlantChloro!$A$3:$M$203,9,FALSE)))</f>
        <v>98.243333329999999</v>
      </c>
      <c r="M17" s="14">
        <f>_xlfn.NUMBERVALUE((VLOOKUP($A17,WormsCanopeoKhPlantChloro!$A$3:$M$203,10,FALSE)))</f>
        <v>0.84940499999999997</v>
      </c>
      <c r="N17" s="14">
        <f>VLOOKUP($A17,WormsCanopeoKhPlantChloro!$A$3:$M$203,12,FALSE)</f>
        <v>16.021000000000001</v>
      </c>
      <c r="O17" s="14">
        <f>VLOOKUP($A17,WormsCanopeoKhPlantChloro!$A$3:$M$203,13,FALSE)</f>
        <v>11.548999999999999</v>
      </c>
      <c r="P17" s="14">
        <f>VLOOKUP($A17,WormsCanopeoKhPlantChloro!$A$3:$S$203,15,FALSE)</f>
        <v>30.5</v>
      </c>
      <c r="Q17" s="14">
        <f>VLOOKUP($A17,WormsCanopeoKhPlantChloro!$A$3:$S$203,16,FALSE)</f>
        <v>1</v>
      </c>
      <c r="R17" s="48">
        <f>VLOOKUP($A17,WormsCanopeoKhPlantChloro!$A$3:$S$203,18,FALSE)</f>
        <v>3.2238000000000003E-2</v>
      </c>
      <c r="S17" s="48">
        <f>VLOOKUP($A17,WormsCanopeoKhPlantChloro!$A$3:$S$203,19,FALSE)</f>
        <v>4.5640000000000003E-3</v>
      </c>
      <c r="T17" s="14">
        <f>VLOOKUP($A17,WormsCanopeoKhPlantChloro!$A$3:$V$203,21,FALSE)</f>
        <v>35.875599999999999</v>
      </c>
      <c r="U17" s="48">
        <f>VLOOKUP($A17,WormsCanopeoKhPlantChloro!$A$3:$V$203,22,FALSE)</f>
        <v>3.388404</v>
      </c>
    </row>
    <row r="18" spans="1:21" x14ac:dyDescent="0.35">
      <c r="A18" t="str">
        <f t="shared" si="0"/>
        <v>KP-0</v>
      </c>
      <c r="B18" s="2" t="s">
        <v>88</v>
      </c>
      <c r="C18">
        <v>0</v>
      </c>
      <c r="D18" s="2" t="s">
        <v>378</v>
      </c>
      <c r="E18" s="43">
        <f>VLOOKUP($A18,BD_biomass!$A$4:$R$43,17,FALSE)</f>
        <v>0.83312307543837472</v>
      </c>
      <c r="F18" s="44">
        <f>VLOOKUP($A18,BD_biomass!$A$4:$R$43,18,FALSE)</f>
        <v>0.68561393379683966</v>
      </c>
      <c r="G18" s="43">
        <f>VLOOKUP($A18,BD_biomass!$A$4:$R$43,11,FALSE)</f>
        <v>1993.4640522875818</v>
      </c>
      <c r="H18" s="47">
        <f>VLOOKUP($A18,VESS!$A$3:$O$203,14,FALSE)</f>
        <v>3.2477445394112059</v>
      </c>
      <c r="I18" s="47">
        <f>VLOOKUP($A18,VESS!$A$4:$O$203,15,FALSE)</f>
        <v>4.1372237279776347E-2</v>
      </c>
      <c r="J18">
        <f>VLOOKUP($A18,WormsCanopeoKhPlantChloro!$A$3:$M$203,6,FALSE)/(0.1*0.2)</f>
        <v>16.666666666666661</v>
      </c>
      <c r="K18" s="14">
        <f>VLOOKUP($A18,WormsCanopeoKhPlantChloro!$A$3:$M$203,7,FALSE)/(0.1*0.2)</f>
        <v>23.570226039551578</v>
      </c>
      <c r="L18" s="14">
        <f>_xlfn.NUMBERVALUE((VLOOKUP($A18,WormsCanopeoKhPlantChloro!$A$3:$M$203,9,FALSE)))</f>
        <v>97.963333329999998</v>
      </c>
      <c r="M18" s="14">
        <f>_xlfn.NUMBERVALUE((VLOOKUP($A18,WormsCanopeoKhPlantChloro!$A$3:$M$203,10,FALSE)))</f>
        <v>0.31201899999999999</v>
      </c>
      <c r="N18" s="14">
        <f>VLOOKUP($A18,WormsCanopeoKhPlantChloro!$A$3:$M$203,12,FALSE)</f>
        <v>71.62</v>
      </c>
      <c r="O18" s="14">
        <f>VLOOKUP($A18,WormsCanopeoKhPlantChloro!$A$3:$M$203,13,FALSE)</f>
        <v>15.827</v>
      </c>
      <c r="P18" s="14">
        <f>VLOOKUP($A18,WormsCanopeoKhPlantChloro!$A$3:$S$203,15,FALSE)</f>
        <v>41</v>
      </c>
      <c r="Q18" s="14">
        <f>VLOOKUP($A18,WormsCanopeoKhPlantChloro!$A$3:$S$203,16,FALSE)</f>
        <v>3.4058769999999998</v>
      </c>
      <c r="R18" s="48">
        <f>VLOOKUP($A18,WormsCanopeoKhPlantChloro!$A$3:$S$203,18,FALSE)</f>
        <v>0</v>
      </c>
      <c r="S18" s="48">
        <f>VLOOKUP($A18,WormsCanopeoKhPlantChloro!$A$3:$S$203,19,FALSE)</f>
        <v>0</v>
      </c>
      <c r="T18" s="14">
        <f>VLOOKUP($A18,WormsCanopeoKhPlantChloro!$A$3:$V$203,21,FALSE)</f>
        <v>0</v>
      </c>
      <c r="U18" s="48">
        <f>VLOOKUP($A18,WormsCanopeoKhPlantChloro!$A$3:$V$203,22,FALSE)</f>
        <v>0</v>
      </c>
    </row>
    <row r="19" spans="1:21" x14ac:dyDescent="0.35">
      <c r="A19" t="str">
        <f t="shared" si="0"/>
        <v>KP-1</v>
      </c>
      <c r="B19" s="2" t="s">
        <v>88</v>
      </c>
      <c r="C19">
        <v>1</v>
      </c>
      <c r="D19" s="2" t="s">
        <v>378</v>
      </c>
      <c r="E19" s="43">
        <f>VLOOKUP($A19,BD_biomass!$A$4:$R$43,17,FALSE)</f>
        <v>0.84257953164041832</v>
      </c>
      <c r="F19" s="44">
        <f>VLOOKUP($A19,BD_biomass!$A$4:$R$43,18,FALSE)</f>
        <v>0.68204545975833275</v>
      </c>
      <c r="G19" s="43">
        <f>VLOOKUP($A19,BD_biomass!$A$4:$R$43,11,FALSE)</f>
        <v>2296.2962962962965</v>
      </c>
      <c r="H19" s="47">
        <f>VLOOKUP($A19,VESS!$A$3:$O$203,14,FALSE)</f>
        <v>3.1232600732600733</v>
      </c>
      <c r="I19" s="47">
        <f>VLOOKUP($A19,VESS!$A$4:$O$203,15,FALSE)</f>
        <v>0.20961680484462786</v>
      </c>
      <c r="J19">
        <f>VLOOKUP($A19,WormsCanopeoKhPlantChloro!$A$3:$M$203,6,FALSE)/(0.1*0.2)</f>
        <v>0</v>
      </c>
      <c r="K19" s="14">
        <f>VLOOKUP($A19,WormsCanopeoKhPlantChloro!$A$3:$M$203,7,FALSE)/(0.1*0.2)</f>
        <v>0</v>
      </c>
      <c r="L19" s="14">
        <f>_xlfn.NUMBERVALUE((VLOOKUP($A19,WormsCanopeoKhPlantChloro!$A$3:$M$203,9,FALSE)))</f>
        <v>94.12</v>
      </c>
      <c r="M19" s="14">
        <f>_xlfn.NUMBERVALUE((VLOOKUP($A19,WormsCanopeoKhPlantChloro!$A$3:$M$203,10,FALSE)))</f>
        <v>2.249044</v>
      </c>
      <c r="N19" s="14">
        <f>VLOOKUP($A19,WormsCanopeoKhPlantChloro!$A$3:$M$203,12,FALSE)</f>
        <v>30.677</v>
      </c>
      <c r="O19" s="14">
        <f>VLOOKUP($A19,WormsCanopeoKhPlantChloro!$A$3:$M$203,13,FALSE)</f>
        <v>8.6140000000000008</v>
      </c>
      <c r="P19" s="14">
        <f>VLOOKUP($A19,WormsCanopeoKhPlantChloro!$A$3:$S$203,15,FALSE)</f>
        <v>44.6</v>
      </c>
      <c r="Q19" s="14">
        <f>VLOOKUP($A19,WormsCanopeoKhPlantChloro!$A$3:$S$203,16,FALSE)</f>
        <v>6.0530980000000003</v>
      </c>
      <c r="R19" s="48">
        <f>VLOOKUP($A19,WormsCanopeoKhPlantChloro!$A$3:$S$203,18,FALSE)</f>
        <v>0</v>
      </c>
      <c r="S19" s="48">
        <f>VLOOKUP($A19,WormsCanopeoKhPlantChloro!$A$3:$S$203,19,FALSE)</f>
        <v>0</v>
      </c>
      <c r="T19" s="14">
        <f>VLOOKUP($A19,WormsCanopeoKhPlantChloro!$A$3:$V$203,21,FALSE)</f>
        <v>0</v>
      </c>
      <c r="U19" s="48">
        <f>VLOOKUP($A19,WormsCanopeoKhPlantChloro!$A$3:$V$203,22,FALSE)</f>
        <v>0</v>
      </c>
    </row>
    <row r="20" spans="1:21" x14ac:dyDescent="0.35">
      <c r="A20" t="str">
        <f t="shared" si="0"/>
        <v>La-0</v>
      </c>
      <c r="B20" t="s">
        <v>89</v>
      </c>
      <c r="C20">
        <v>0</v>
      </c>
      <c r="D20" s="2" t="s">
        <v>378</v>
      </c>
      <c r="E20" s="43">
        <f>VLOOKUP($A20,BD_biomass!$A$4:$R$43,17,FALSE)</f>
        <v>1.1647091364584143</v>
      </c>
      <c r="F20" s="44">
        <f>VLOOKUP($A20,BD_biomass!$A$4:$R$43,18,FALSE)</f>
        <v>0.56048711831757947</v>
      </c>
      <c r="G20" s="43">
        <f>VLOOKUP($A20,BD_biomass!$A$4:$R$43,11,FALSE)</f>
        <v>1649.6124031007753</v>
      </c>
      <c r="H20" s="47">
        <f>VLOOKUP($A20,VESS!$A$3:$O$203,14,FALSE)</f>
        <v>3.014669738863287</v>
      </c>
      <c r="I20" s="47">
        <f>VLOOKUP($A20,VESS!$A$4:$O$203,15,FALSE)</f>
        <v>0.65831581420500251</v>
      </c>
      <c r="J20">
        <f>VLOOKUP($A20,WormsCanopeoKhPlantChloro!$A$3:$M$203,6,FALSE)/(0.1*0.2)</f>
        <v>83.333333333333314</v>
      </c>
      <c r="K20" s="14">
        <f>VLOOKUP($A20,WormsCanopeoKhPlantChloro!$A$3:$M$203,7,FALSE)/(0.1*0.2)</f>
        <v>84.983658559879729</v>
      </c>
      <c r="L20" s="14">
        <f>_xlfn.NUMBERVALUE((VLOOKUP($A20,WormsCanopeoKhPlantChloro!$A$3:$M$203,9,FALSE)))</f>
        <v>92.343333329999993</v>
      </c>
      <c r="M20" s="14">
        <f>_xlfn.NUMBERVALUE((VLOOKUP($A20,WormsCanopeoKhPlantChloro!$A$3:$M$203,10,FALSE)))</f>
        <v>0.89912300000000001</v>
      </c>
      <c r="N20" s="14">
        <f>VLOOKUP($A20,WormsCanopeoKhPlantChloro!$A$3:$M$203,12,FALSE)</f>
        <v>2.0684999999999998</v>
      </c>
      <c r="O20" s="14">
        <f>VLOOKUP($A20,WormsCanopeoKhPlantChloro!$A$3:$M$203,13,FALSE)</f>
        <v>0.65749999999999997</v>
      </c>
      <c r="P20" s="14">
        <f>VLOOKUP($A20,WormsCanopeoKhPlantChloro!$A$3:$S$203,15,FALSE)</f>
        <v>15.4</v>
      </c>
      <c r="Q20" s="14">
        <f>VLOOKUP($A20,WormsCanopeoKhPlantChloro!$A$3:$S$203,16,FALSE)</f>
        <v>3.3226499999999999</v>
      </c>
      <c r="R20" s="48">
        <f>VLOOKUP($A20,WormsCanopeoKhPlantChloro!$A$3:$S$203,18,FALSE)</f>
        <v>2.5465999999999999E-2</v>
      </c>
      <c r="S20" s="48">
        <f>VLOOKUP($A20,WormsCanopeoKhPlantChloro!$A$3:$S$203,19,FALSE)</f>
        <v>3.3649999999999999E-3</v>
      </c>
      <c r="T20" s="14">
        <f>VLOOKUP($A20,WormsCanopeoKhPlantChloro!$A$3:$V$203,21,FALSE)</f>
        <v>30.648399999999999</v>
      </c>
      <c r="U20" s="48">
        <f>VLOOKUP($A20,WormsCanopeoKhPlantChloro!$A$3:$V$203,22,FALSE)</f>
        <v>2.6847810000000001</v>
      </c>
    </row>
    <row r="21" spans="1:21" x14ac:dyDescent="0.35">
      <c r="A21" t="str">
        <f t="shared" si="0"/>
        <v>La-1</v>
      </c>
      <c r="B21" t="s">
        <v>89</v>
      </c>
      <c r="C21">
        <v>1</v>
      </c>
      <c r="D21" s="2" t="s">
        <v>378</v>
      </c>
      <c r="E21" s="43">
        <f>VLOOKUP($A21,BD_biomass!$A$4:$R$43,17,FALSE)</f>
        <v>1.1611679389746197</v>
      </c>
      <c r="F21" s="44">
        <f>VLOOKUP($A21,BD_biomass!$A$4:$R$43,18,FALSE)</f>
        <v>0.56182341925486057</v>
      </c>
      <c r="G21" s="43">
        <f>VLOOKUP($A21,BD_biomass!$A$4:$R$43,11,FALSE)</f>
        <v>1846.7661691542287</v>
      </c>
      <c r="H21" s="47">
        <f>VLOOKUP($A21,VESS!$A$3:$O$203,14,FALSE)</f>
        <v>2.36</v>
      </c>
      <c r="I21" s="47">
        <f>VLOOKUP($A21,VESS!$A$4:$O$203,15,FALSE)</f>
        <v>0.52699005542658717</v>
      </c>
      <c r="J21">
        <f>VLOOKUP($A21,WormsCanopeoKhPlantChloro!$A$3:$M$203,6,FALSE)/(0.1*0.2)</f>
        <v>99.999999999999986</v>
      </c>
      <c r="K21" s="14">
        <f>VLOOKUP($A21,WormsCanopeoKhPlantChloro!$A$3:$M$203,7,FALSE)/(0.1*0.2)</f>
        <v>40.824829046386292</v>
      </c>
      <c r="L21" s="14">
        <f>_xlfn.NUMBERVALUE((VLOOKUP($A21,WormsCanopeoKhPlantChloro!$A$3:$M$203,9,FALSE)))</f>
        <v>91.22</v>
      </c>
      <c r="M21" s="14">
        <f>_xlfn.NUMBERVALUE((VLOOKUP($A21,WormsCanopeoKhPlantChloro!$A$3:$M$203,10,FALSE)))</f>
        <v>3.4821550000000001</v>
      </c>
      <c r="N21" s="14">
        <f>VLOOKUP($A21,WormsCanopeoKhPlantChloro!$A$3:$M$203,12,FALSE)</f>
        <v>2.5425</v>
      </c>
      <c r="O21" s="14">
        <f>VLOOKUP($A21,WormsCanopeoKhPlantChloro!$A$3:$M$203,13,FALSE)</f>
        <v>1.3734999999999999</v>
      </c>
      <c r="P21" s="14">
        <f>VLOOKUP($A21,WormsCanopeoKhPlantChloro!$A$3:$S$203,15,FALSE)</f>
        <v>28</v>
      </c>
      <c r="Q21" s="14">
        <f>VLOOKUP($A21,WormsCanopeoKhPlantChloro!$A$3:$S$203,16,FALSE)</f>
        <v>6.78233</v>
      </c>
      <c r="R21" s="48">
        <f>VLOOKUP($A21,WormsCanopeoKhPlantChloro!$A$3:$S$203,18,FALSE)</f>
        <v>2.6998999999999999E-2</v>
      </c>
      <c r="S21" s="48">
        <f>VLOOKUP($A21,WormsCanopeoKhPlantChloro!$A$3:$S$203,19,FALSE)</f>
        <v>7.8980000000000005E-3</v>
      </c>
      <c r="T21" s="14">
        <f>VLOOKUP($A21,WormsCanopeoKhPlantChloro!$A$3:$V$203,21,FALSE)</f>
        <v>31.658200000000001</v>
      </c>
      <c r="U21" s="48">
        <f>VLOOKUP($A21,WormsCanopeoKhPlantChloro!$A$3:$V$203,22,FALSE)</f>
        <v>6.1333359999999999</v>
      </c>
    </row>
    <row r="22" spans="1:21" x14ac:dyDescent="0.35">
      <c r="A22" t="str">
        <f t="shared" si="0"/>
        <v>Li-0</v>
      </c>
      <c r="B22" s="2" t="s">
        <v>69</v>
      </c>
      <c r="C22">
        <v>0</v>
      </c>
      <c r="D22" s="2" t="s">
        <v>395</v>
      </c>
      <c r="E22" s="43">
        <f>VLOOKUP($A22,BD_biomass!$A$4:$R$43,17,FALSE)</f>
        <v>0.87646627160706758</v>
      </c>
      <c r="F22" s="44">
        <f>VLOOKUP($A22,BD_biomass!$A$4:$R$43,18,FALSE)</f>
        <v>0.66925801071431412</v>
      </c>
      <c r="G22" s="43">
        <f>VLOOKUP($A22,BD_biomass!$A$4:$R$43,11,FALSE)</f>
        <v>601.22557521100703</v>
      </c>
      <c r="H22" s="47">
        <f>VLOOKUP($A22,VESS!$A$3:$O$203,14,FALSE)</f>
        <v>3.7529670329670326</v>
      </c>
      <c r="I22" s="47">
        <f>VLOOKUP($A22,VESS!$A$4:$O$203,15,FALSE)</f>
        <v>0.3703072858384891</v>
      </c>
      <c r="J22">
        <f>VLOOKUP($A22,WormsCanopeoKhPlantChloro!$A$3:$M$203,6,FALSE)/(0.1*0.2)</f>
        <v>0</v>
      </c>
      <c r="K22" s="14">
        <f>VLOOKUP($A22,WormsCanopeoKhPlantChloro!$A$3:$M$203,7,FALSE)/(0.1*0.2)</f>
        <v>0</v>
      </c>
      <c r="L22" s="14">
        <f>_xlfn.NUMBERVALUE((VLOOKUP($A22,WormsCanopeoKhPlantChloro!$A$3:$M$203,9,FALSE)))</f>
        <v>43.123333330000001</v>
      </c>
      <c r="M22" s="14">
        <f>_xlfn.NUMBERVALUE((VLOOKUP($A22,WormsCanopeoKhPlantChloro!$A$3:$M$203,10,FALSE)))</f>
        <v>15.83137</v>
      </c>
      <c r="N22" s="14">
        <f>VLOOKUP($A22,WormsCanopeoKhPlantChloro!$A$3:$M$203,12,FALSE)</f>
        <v>75.210499999999996</v>
      </c>
      <c r="O22" s="14">
        <f>VLOOKUP($A22,WormsCanopeoKhPlantChloro!$A$3:$M$203,13,FALSE)</f>
        <v>50.613720000000001</v>
      </c>
      <c r="P22" s="14">
        <f>VLOOKUP($A22,WormsCanopeoKhPlantChloro!$A$3:$S$203,15,FALSE)</f>
        <v>5.4</v>
      </c>
      <c r="Q22" s="14">
        <f>VLOOKUP($A22,WormsCanopeoKhPlantChloro!$A$3:$S$203,16,FALSE)</f>
        <v>2.4166089999999998</v>
      </c>
      <c r="R22" s="48">
        <f>VLOOKUP($A22,WormsCanopeoKhPlantChloro!$A$3:$S$203,18,FALSE)</f>
        <v>3.3045999999999999E-2</v>
      </c>
      <c r="S22" s="48">
        <f>VLOOKUP($A22,WormsCanopeoKhPlantChloro!$A$3:$S$203,19,FALSE)</f>
        <v>7.5560000000000002E-3</v>
      </c>
      <c r="T22" s="14">
        <f>VLOOKUP($A22,WormsCanopeoKhPlantChloro!$A$3:$V$203,21,FALSE)</f>
        <v>36.3508</v>
      </c>
      <c r="U22" s="48">
        <f>VLOOKUP($A22,WormsCanopeoKhPlantChloro!$A$3:$V$203,22,FALSE)</f>
        <v>5.5501490000000002</v>
      </c>
    </row>
    <row r="23" spans="1:21" x14ac:dyDescent="0.35">
      <c r="A23" t="str">
        <f t="shared" si="0"/>
        <v>Li-1</v>
      </c>
      <c r="B23" s="2" t="s">
        <v>69</v>
      </c>
      <c r="C23">
        <v>1</v>
      </c>
      <c r="D23" s="2" t="s">
        <v>395</v>
      </c>
      <c r="E23" s="43">
        <f>VLOOKUP($A23,BD_biomass!$A$4:$R$43,17,FALSE)</f>
        <v>0.89751451283097072</v>
      </c>
      <c r="F23" s="44">
        <f>VLOOKUP($A23,BD_biomass!$A$4:$R$43,18,FALSE)</f>
        <v>0.66131527817699221</v>
      </c>
      <c r="G23" s="43">
        <f>VLOOKUP($A23,BD_biomass!$A$4:$R$43,11,FALSE)</f>
        <v>680.38101336748582</v>
      </c>
      <c r="H23" s="47">
        <f>VLOOKUP($A23,VESS!$A$3:$O$203,14,FALSE)</f>
        <v>3.5216091954022986</v>
      </c>
      <c r="I23" s="47">
        <f>VLOOKUP($A23,VESS!$A$4:$O$203,15,FALSE)</f>
        <v>0.34289450500740803</v>
      </c>
      <c r="J23">
        <f>VLOOKUP($A23,WormsCanopeoKhPlantChloro!$A$3:$M$203,6,FALSE)/(0.1*0.2)</f>
        <v>0</v>
      </c>
      <c r="K23" s="14">
        <f>VLOOKUP($A23,WormsCanopeoKhPlantChloro!$A$3:$M$203,7,FALSE)/(0.1*0.2)</f>
        <v>0</v>
      </c>
      <c r="L23" s="14">
        <f>_xlfn.NUMBERVALUE((VLOOKUP($A23,WormsCanopeoKhPlantChloro!$A$3:$M$203,9,FALSE)))</f>
        <v>53.753333329999997</v>
      </c>
      <c r="M23" s="14">
        <f>_xlfn.NUMBERVALUE((VLOOKUP($A23,WormsCanopeoKhPlantChloro!$A$3:$M$203,10,FALSE)))</f>
        <v>18.859909999999999</v>
      </c>
      <c r="N23" s="14">
        <f>VLOOKUP($A23,WormsCanopeoKhPlantChloro!$A$3:$M$203,12,FALSE)</f>
        <v>111.1352</v>
      </c>
      <c r="O23" s="14">
        <f>VLOOKUP($A23,WormsCanopeoKhPlantChloro!$A$3:$M$203,13,FALSE)</f>
        <v>27.839700000000001</v>
      </c>
      <c r="P23" s="14">
        <f>VLOOKUP($A23,WormsCanopeoKhPlantChloro!$A$3:$S$203,15,FALSE)</f>
        <v>8</v>
      </c>
      <c r="Q23" s="14">
        <f>VLOOKUP($A23,WormsCanopeoKhPlantChloro!$A$3:$S$203,16,FALSE)</f>
        <v>2.280351</v>
      </c>
      <c r="R23" s="48">
        <f>VLOOKUP($A23,WormsCanopeoKhPlantChloro!$A$3:$S$203,18,FALSE)</f>
        <v>3.0394999999999998E-2</v>
      </c>
      <c r="S23" s="48">
        <f>VLOOKUP($A23,WormsCanopeoKhPlantChloro!$A$3:$S$203,19,FALSE)</f>
        <v>2.7390000000000001E-3</v>
      </c>
      <c r="T23" s="14">
        <f>VLOOKUP($A23,WormsCanopeoKhPlantChloro!$A$3:$V$203,21,FALSE)</f>
        <v>34.529200000000003</v>
      </c>
      <c r="U23" s="48">
        <f>VLOOKUP($A23,WormsCanopeoKhPlantChloro!$A$3:$V$203,22,FALSE)</f>
        <v>2.0986129999999998</v>
      </c>
    </row>
    <row r="24" spans="1:21" x14ac:dyDescent="0.35">
      <c r="A24" t="str">
        <f t="shared" si="0"/>
        <v>Mi-0</v>
      </c>
      <c r="B24" s="2" t="s">
        <v>68</v>
      </c>
      <c r="C24">
        <v>0</v>
      </c>
      <c r="D24" s="2" t="s">
        <v>393</v>
      </c>
      <c r="E24" s="43">
        <f>VLOOKUP($A24,BD_biomass!$A$4:$R$43,17,FALSE)</f>
        <v>1.0088699213476002</v>
      </c>
      <c r="F24" s="44">
        <f>VLOOKUP($A24,BD_biomass!$A$4:$R$43,18,FALSE)</f>
        <v>0.61929436930279236</v>
      </c>
      <c r="G24" s="43">
        <f>VLOOKUP($A24,BD_biomass!$A$4:$R$43,11,FALSE)</f>
        <v>2744.7254520502497</v>
      </c>
      <c r="H24" s="47">
        <f>VLOOKUP($A24,VESS!$A$3:$O$203,14,FALSE)</f>
        <v>2.3486692368101663</v>
      </c>
      <c r="I24" s="47">
        <f>VLOOKUP($A24,VESS!$A$4:$O$203,15,FALSE)</f>
        <v>0.17320941510142432</v>
      </c>
      <c r="J24">
        <f>VLOOKUP($A24,WormsCanopeoKhPlantChloro!$A$3:$M$203,6,FALSE)/(0.1*0.2)</f>
        <v>29.999999999999993</v>
      </c>
      <c r="K24" s="14">
        <f>VLOOKUP($A24,WormsCanopeoKhPlantChloro!$A$3:$M$203,7,FALSE)/(0.1*0.2)</f>
        <v>24.494897427831773</v>
      </c>
      <c r="L24" s="14">
        <f>_xlfn.NUMBERVALUE((VLOOKUP($A24,WormsCanopeoKhPlantChloro!$A$3:$M$203,9,FALSE)))</f>
        <v>90.503333330000004</v>
      </c>
      <c r="M24" s="14">
        <f>_xlfn.NUMBERVALUE((VLOOKUP($A24,WormsCanopeoKhPlantChloro!$A$3:$M$203,10,FALSE)))</f>
        <v>4.167224</v>
      </c>
      <c r="N24" s="14">
        <f>VLOOKUP($A24,WormsCanopeoKhPlantChloro!$A$3:$M$203,12,FALSE)</f>
        <v>3.22</v>
      </c>
      <c r="O24" s="14">
        <f>VLOOKUP($A24,WormsCanopeoKhPlantChloro!$A$3:$M$203,13,FALSE)</f>
        <v>1.6823349999999999</v>
      </c>
      <c r="P24" s="14">
        <f>VLOOKUP($A24,WormsCanopeoKhPlantChloro!$A$3:$S$203,15,FALSE)</f>
        <v>36</v>
      </c>
      <c r="Q24" s="14">
        <f>VLOOKUP($A24,WormsCanopeoKhPlantChloro!$A$3:$S$203,16,FALSE)</f>
        <v>9.4162979999999994</v>
      </c>
      <c r="R24" s="48">
        <f>VLOOKUP($A24,WormsCanopeoKhPlantChloro!$A$3:$S$203,18,FALSE)</f>
        <v>3.7470000000000003E-2</v>
      </c>
      <c r="S24" s="48">
        <f>VLOOKUP($A24,WormsCanopeoKhPlantChloro!$A$3:$S$203,19,FALSE)</f>
        <v>1.5247999999999999E-2</v>
      </c>
      <c r="T24" s="14">
        <f>VLOOKUP($A24,WormsCanopeoKhPlantChloro!$A$3:$V$203,21,FALSE)</f>
        <v>39.103000000000002</v>
      </c>
      <c r="U24" s="48">
        <f>VLOOKUP($A24,WormsCanopeoKhPlantChloro!$A$3:$V$203,22,FALSE)</f>
        <v>10.269119999999999</v>
      </c>
    </row>
    <row r="25" spans="1:21" x14ac:dyDescent="0.35">
      <c r="A25" t="str">
        <f t="shared" si="0"/>
        <v>Mi-1</v>
      </c>
      <c r="B25" s="2" t="s">
        <v>68</v>
      </c>
      <c r="C25">
        <v>1</v>
      </c>
      <c r="D25" s="2" t="s">
        <v>393</v>
      </c>
      <c r="E25" s="43">
        <f>VLOOKUP($A25,BD_biomass!$A$4:$R$43,17,FALSE)</f>
        <v>0.93205113548191199</v>
      </c>
      <c r="F25" s="44">
        <f>VLOOKUP($A25,BD_biomass!$A$4:$R$43,18,FALSE)</f>
        <v>0.64828259038418412</v>
      </c>
      <c r="G25" s="43">
        <f>VLOOKUP($A25,BD_biomass!$A$4:$R$43,11,FALSE)</f>
        <v>10087.281530718425</v>
      </c>
      <c r="H25" s="47">
        <f>VLOOKUP($A25,VESS!$A$3:$O$203,14,FALSE)</f>
        <v>2.3614005602240895</v>
      </c>
      <c r="I25" s="47">
        <f>VLOOKUP($A25,VESS!$A$4:$O$203,15,FALSE)</f>
        <v>0.46727731492074154</v>
      </c>
      <c r="J25">
        <f>VLOOKUP($A25,WormsCanopeoKhPlantChloro!$A$3:$M$203,6,FALSE)/(0.1*0.2)</f>
        <v>69.999999999999986</v>
      </c>
      <c r="K25" s="14">
        <f>VLOOKUP($A25,WormsCanopeoKhPlantChloro!$A$3:$M$203,7,FALSE)/(0.1*0.2)</f>
        <v>50.990195135927841</v>
      </c>
      <c r="L25" s="14">
        <f>_xlfn.NUMBERVALUE((VLOOKUP($A25,WormsCanopeoKhPlantChloro!$A$3:$M$203,9,FALSE)))</f>
        <v>79.954999999999998</v>
      </c>
      <c r="M25" s="14">
        <f>_xlfn.NUMBERVALUE((VLOOKUP($A25,WormsCanopeoKhPlantChloro!$A$3:$M$203,10,FALSE)))</f>
        <v>0.755</v>
      </c>
      <c r="N25" s="14">
        <f>VLOOKUP($A25,WormsCanopeoKhPlantChloro!$A$3:$M$203,12,FALSE)</f>
        <v>3.0727999999999998E-2</v>
      </c>
      <c r="O25" s="14">
        <f>VLOOKUP($A25,WormsCanopeoKhPlantChloro!$A$3:$M$203,13,FALSE)</f>
        <v>3.5105999999999998E-2</v>
      </c>
      <c r="P25" s="14">
        <f>VLOOKUP($A25,WormsCanopeoKhPlantChloro!$A$3:$S$203,15,FALSE)</f>
        <v>40.200000000000003</v>
      </c>
      <c r="Q25" s="14">
        <f>VLOOKUP($A25,WormsCanopeoKhPlantChloro!$A$3:$S$203,16,FALSE)</f>
        <v>9.5163019999999996</v>
      </c>
      <c r="R25" s="48">
        <f>VLOOKUP($A25,WormsCanopeoKhPlantChloro!$A$3:$S$203,18,FALSE)</f>
        <v>2.5409999999999999E-2</v>
      </c>
      <c r="S25" s="48">
        <f>VLOOKUP($A25,WormsCanopeoKhPlantChloro!$A$3:$S$203,19,FALSE)</f>
        <v>1.2966E-2</v>
      </c>
      <c r="T25" s="14">
        <f>VLOOKUP($A25,WormsCanopeoKhPlantChloro!$A$3:$V$203,21,FALSE)</f>
        <v>28.451000000000001</v>
      </c>
      <c r="U25" s="48">
        <f>VLOOKUP($A25,WormsCanopeoKhPlantChloro!$A$3:$V$203,22,FALSE)</f>
        <v>14.356820000000001</v>
      </c>
    </row>
    <row r="26" spans="1:21" x14ac:dyDescent="0.35">
      <c r="A26" t="str">
        <f t="shared" si="0"/>
        <v>Mo-0</v>
      </c>
      <c r="B26" s="2" t="s">
        <v>78</v>
      </c>
      <c r="C26">
        <v>0</v>
      </c>
      <c r="D26" s="2" t="s">
        <v>377</v>
      </c>
      <c r="E26" s="43">
        <f>VLOOKUP($A26,BD_biomass!$A$4:$R$43,17,FALSE)</f>
        <v>1.0961266188977319</v>
      </c>
      <c r="F26" s="44">
        <f>VLOOKUP($A26,BD_biomass!$A$4:$R$43,18,FALSE)</f>
        <v>0.58636731362349737</v>
      </c>
      <c r="G26" s="43">
        <f>VLOOKUP($A26,BD_biomass!$A$4:$R$43,11,FALSE)</f>
        <v>820.07168458781359</v>
      </c>
      <c r="H26" s="47">
        <f>VLOOKUP($A26,VESS!$A$3:$O$203,14,FALSE)</f>
        <v>4.1053876678876673</v>
      </c>
      <c r="I26" s="47">
        <f>VLOOKUP($A26,VESS!$A$4:$O$203,15,FALSE)</f>
        <v>0.41842378078143144</v>
      </c>
      <c r="J26">
        <f>VLOOKUP($A26,WormsCanopeoKhPlantChloro!$A$3:$M$203,6,FALSE)/(0.1*0.2)</f>
        <v>9.9999999999999982</v>
      </c>
      <c r="K26" s="14">
        <f>VLOOKUP($A26,WormsCanopeoKhPlantChloro!$A$3:$M$203,7,FALSE)/(0.1*0.2)</f>
        <v>19.999999999999996</v>
      </c>
      <c r="L26" s="14">
        <f>_xlfn.NUMBERVALUE((VLOOKUP($A26,WormsCanopeoKhPlantChloro!$A$3:$M$203,9,FALSE)))</f>
        <v>64.713333329999998</v>
      </c>
      <c r="M26" s="14">
        <f>_xlfn.NUMBERVALUE((VLOOKUP($A26,WormsCanopeoKhPlantChloro!$A$3:$M$203,10,FALSE)))</f>
        <v>14.236689999999999</v>
      </c>
      <c r="N26" s="14">
        <f>VLOOKUP($A26,WormsCanopeoKhPlantChloro!$A$3:$M$203,12,FALSE)</f>
        <v>2.9569999999999999</v>
      </c>
      <c r="O26" s="14">
        <f>VLOOKUP($A26,WormsCanopeoKhPlantChloro!$A$3:$M$203,13,FALSE)</f>
        <v>1.2557849999999999</v>
      </c>
      <c r="P26" s="14"/>
      <c r="Q26" s="14"/>
      <c r="R26" s="48">
        <f>VLOOKUP($A26,WormsCanopeoKhPlantChloro!$A$3:$S$203,18,FALSE)</f>
        <v>2.9068E-2</v>
      </c>
      <c r="S26" s="48">
        <f>VLOOKUP($A26,WormsCanopeoKhPlantChloro!$A$3:$S$203,19,FALSE)</f>
        <v>1.5741999999999999E-2</v>
      </c>
      <c r="T26" s="14">
        <f>VLOOKUP($A26,WormsCanopeoKhPlantChloro!$A$3:$V$203,21,FALSE)</f>
        <v>31.044799999999999</v>
      </c>
      <c r="U26" s="48">
        <f>VLOOKUP($A26,WormsCanopeoKhPlantChloro!$A$3:$V$203,22,FALSE)</f>
        <v>16.125309999999999</v>
      </c>
    </row>
    <row r="27" spans="1:21" x14ac:dyDescent="0.35">
      <c r="A27" t="str">
        <f t="shared" si="0"/>
        <v>Mo-1</v>
      </c>
      <c r="B27" s="2" t="s">
        <v>78</v>
      </c>
      <c r="C27">
        <v>1</v>
      </c>
      <c r="D27" s="2" t="s">
        <v>377</v>
      </c>
      <c r="E27" s="43">
        <f>VLOOKUP($A27,BD_biomass!$A$4:$R$43,17,FALSE)</f>
        <v>1.0858743879802288</v>
      </c>
      <c r="F27" s="44">
        <f>VLOOKUP($A27,BD_biomass!$A$4:$R$43,18,FALSE)</f>
        <v>0.59023608000746086</v>
      </c>
      <c r="G27" s="43">
        <f>VLOOKUP($A27,BD_biomass!$A$4:$R$43,11,FALSE)</f>
        <v>7542.1436004162324</v>
      </c>
      <c r="H27" s="47">
        <f>VLOOKUP($A27,VESS!$A$3:$O$203,14,FALSE)</f>
        <v>3.0047619047619052</v>
      </c>
      <c r="I27" s="47">
        <f>VLOOKUP($A27,VESS!$A$4:$O$203,15,FALSE)</f>
        <v>0.31159664089375849</v>
      </c>
      <c r="J27">
        <f>VLOOKUP($A27,WormsCanopeoKhPlantChloro!$A$3:$M$203,6,FALSE)/(0.1*0.2)</f>
        <v>0</v>
      </c>
      <c r="K27" s="14">
        <f>VLOOKUP($A27,WormsCanopeoKhPlantChloro!$A$3:$M$203,7,FALSE)/(0.1*0.2)</f>
        <v>0</v>
      </c>
      <c r="L27" s="14">
        <f>_xlfn.NUMBERVALUE((VLOOKUP($A27,WormsCanopeoKhPlantChloro!$A$3:$M$203,9,FALSE)))</f>
        <v>77.453333330000007</v>
      </c>
      <c r="M27" s="14">
        <f>_xlfn.NUMBERVALUE((VLOOKUP($A27,WormsCanopeoKhPlantChloro!$A$3:$M$203,10,FALSE)))</f>
        <v>7.6438969999999999</v>
      </c>
      <c r="N27" s="14">
        <f>VLOOKUP($A27,WormsCanopeoKhPlantChloro!$A$3:$M$203,12,FALSE)</f>
        <v>6.6740000000000004</v>
      </c>
      <c r="O27" s="14">
        <f>VLOOKUP($A27,WormsCanopeoKhPlantChloro!$A$3:$M$203,13,FALSE)</f>
        <v>4.0121149999999997</v>
      </c>
      <c r="P27" s="14"/>
      <c r="Q27" s="14"/>
      <c r="R27" s="48">
        <f>VLOOKUP($A27,WormsCanopeoKhPlantChloro!$A$3:$S$203,18,FALSE)</f>
        <v>2.5905999999999998E-2</v>
      </c>
      <c r="S27" s="48">
        <f>VLOOKUP($A27,WormsCanopeoKhPlantChloro!$A$3:$S$203,19,FALSE)</f>
        <v>4.3200000000000001E-3</v>
      </c>
      <c r="T27" s="14">
        <f>VLOOKUP($A27,WormsCanopeoKhPlantChloro!$A$3:$V$203,21,FALSE)</f>
        <v>30.965199999999999</v>
      </c>
      <c r="U27" s="48">
        <f>VLOOKUP($A27,WormsCanopeoKhPlantChloro!$A$3:$V$203,22,FALSE)</f>
        <v>3.5115850000000002</v>
      </c>
    </row>
    <row r="28" spans="1:21" x14ac:dyDescent="0.35">
      <c r="A28" t="str">
        <f t="shared" si="0"/>
        <v>Mu-0</v>
      </c>
      <c r="B28" t="s">
        <v>74</v>
      </c>
      <c r="C28">
        <v>0</v>
      </c>
      <c r="D28" s="2" t="s">
        <v>378</v>
      </c>
      <c r="E28" s="43">
        <f>VLOOKUP($A28,BD_biomass!$A$4:$R$43,17,FALSE)</f>
        <v>1.0452766145798713</v>
      </c>
      <c r="F28" s="44">
        <f>VLOOKUP($A28,BD_biomass!$A$4:$R$43,18,FALSE)</f>
        <v>0.60555599449816178</v>
      </c>
      <c r="G28" s="43">
        <f>VLOOKUP($A28,BD_biomass!$A$4:$R$43,11,FALSE)</f>
        <v>2047.9553656430583</v>
      </c>
      <c r="H28" s="47">
        <f>VLOOKUP($A28,VESS!$A$3:$O$203,14,FALSE)</f>
        <v>2.9565390116001908</v>
      </c>
      <c r="I28" s="47">
        <f>VLOOKUP($A28,VESS!$A$4:$O$203,15,FALSE)</f>
        <v>0.3144151770219073</v>
      </c>
      <c r="J28">
        <f>VLOOKUP($A28,WormsCanopeoKhPlantChloro!$A$3:$M$203,6,FALSE)/(0.1*0.2)</f>
        <v>0</v>
      </c>
      <c r="K28" s="14">
        <f>VLOOKUP($A28,WormsCanopeoKhPlantChloro!$A$3:$M$203,7,FALSE)/(0.1*0.2)</f>
        <v>0</v>
      </c>
      <c r="L28" s="14">
        <f>_xlfn.NUMBERVALUE((VLOOKUP($A28,WormsCanopeoKhPlantChloro!$A$3:$M$203,9,FALSE)))</f>
        <v>98.403333329999995</v>
      </c>
      <c r="M28" s="14">
        <f>_xlfn.NUMBERVALUE((VLOOKUP($A28,WormsCanopeoKhPlantChloro!$A$3:$M$203,10,FALSE)))</f>
        <v>0.25197000000000003</v>
      </c>
      <c r="N28" s="14">
        <f>VLOOKUP($A28,WormsCanopeoKhPlantChloro!$A$3:$M$203,12,FALSE)</f>
        <v>11.94333</v>
      </c>
      <c r="O28" s="14">
        <f>VLOOKUP($A28,WormsCanopeoKhPlantChloro!$A$3:$M$203,13,FALSE)</f>
        <v>6.4604799999999996</v>
      </c>
      <c r="P28" s="14">
        <f>VLOOKUP($A28,WormsCanopeoKhPlantChloro!$A$3:$S$203,15,FALSE)</f>
        <v>24.2</v>
      </c>
      <c r="Q28" s="14">
        <f>VLOOKUP($A28,WormsCanopeoKhPlantChloro!$A$3:$S$203,16,FALSE)</f>
        <v>2.6381809999999999</v>
      </c>
      <c r="R28" s="48">
        <f>VLOOKUP($A28,WormsCanopeoKhPlantChloro!$A$3:$S$203,18,FALSE)</f>
        <v>0</v>
      </c>
      <c r="S28" s="48">
        <f>VLOOKUP($A28,WormsCanopeoKhPlantChloro!$A$3:$S$203,19,FALSE)</f>
        <v>0</v>
      </c>
      <c r="T28" s="14">
        <f>VLOOKUP($A28,WormsCanopeoKhPlantChloro!$A$3:$V$203,21,FALSE)</f>
        <v>0</v>
      </c>
      <c r="U28" s="48">
        <f>VLOOKUP($A28,WormsCanopeoKhPlantChloro!$A$3:$V$203,22,FALSE)</f>
        <v>0</v>
      </c>
    </row>
    <row r="29" spans="1:21" x14ac:dyDescent="0.35">
      <c r="A29" t="str">
        <f t="shared" si="0"/>
        <v>Mu-1</v>
      </c>
      <c r="B29" t="s">
        <v>74</v>
      </c>
      <c r="C29">
        <v>1</v>
      </c>
      <c r="D29" s="2" t="s">
        <v>378</v>
      </c>
      <c r="E29" s="43">
        <f>VLOOKUP($A29,BD_biomass!$A$4:$R$43,17,FALSE)</f>
        <v>1.0198516124209409</v>
      </c>
      <c r="F29" s="44">
        <f>VLOOKUP($A29,BD_biomass!$A$4:$R$43,18,FALSE)</f>
        <v>0.61515033493549398</v>
      </c>
      <c r="G29" s="43">
        <f>VLOOKUP($A29,BD_biomass!$A$4:$R$43,11,FALSE)</f>
        <v>2211.238293444329</v>
      </c>
      <c r="H29" s="47">
        <f>VLOOKUP($A29,VESS!$A$3:$O$203,14,FALSE)</f>
        <v>3.2968410899445382</v>
      </c>
      <c r="I29" s="47">
        <f>VLOOKUP($A29,VESS!$A$4:$O$203,15,FALSE)</f>
        <v>0.38836758089478651</v>
      </c>
      <c r="J29">
        <f>VLOOKUP($A29,WormsCanopeoKhPlantChloro!$A$3:$M$203,6,FALSE)/(0.1*0.2)</f>
        <v>49.999999999999993</v>
      </c>
      <c r="K29" s="14">
        <f>VLOOKUP($A29,WormsCanopeoKhPlantChloro!$A$3:$M$203,7,FALSE)/(0.1*0.2)</f>
        <v>40.824829046386292</v>
      </c>
      <c r="L29" s="14">
        <f>_xlfn.NUMBERVALUE((VLOOKUP($A29,WormsCanopeoKhPlantChloro!$A$3:$M$203,9,FALSE)))</f>
        <v>99.173333330000006</v>
      </c>
      <c r="M29" s="14">
        <f>_xlfn.NUMBERVALUE((VLOOKUP($A29,WormsCanopeoKhPlantChloro!$A$3:$M$203,10,FALSE)))</f>
        <v>0.19344800000000001</v>
      </c>
      <c r="N29" s="14">
        <f>VLOOKUP($A29,WormsCanopeoKhPlantChloro!$A$3:$M$203,12,FALSE)</f>
        <v>2.2530000000000001</v>
      </c>
      <c r="O29" s="14">
        <f>VLOOKUP($A29,WormsCanopeoKhPlantChloro!$A$3:$M$203,13,FALSE)</f>
        <v>0.02</v>
      </c>
      <c r="P29" s="14">
        <f>VLOOKUP($A29,WormsCanopeoKhPlantChloro!$A$3:$S$203,15,FALSE)</f>
        <v>19.399999999999999</v>
      </c>
      <c r="Q29" s="14">
        <f>VLOOKUP($A29,WormsCanopeoKhPlantChloro!$A$3:$S$203,16,FALSE)</f>
        <v>3.4985710000000001</v>
      </c>
      <c r="R29" s="48">
        <f>VLOOKUP($A29,WormsCanopeoKhPlantChloro!$A$3:$S$203,18,FALSE)</f>
        <v>0</v>
      </c>
      <c r="S29" s="48">
        <f>VLOOKUP($A29,WormsCanopeoKhPlantChloro!$A$3:$S$203,19,FALSE)</f>
        <v>0</v>
      </c>
      <c r="T29" s="14">
        <f>VLOOKUP($A29,WormsCanopeoKhPlantChloro!$A$3:$V$203,21,FALSE)</f>
        <v>0</v>
      </c>
      <c r="U29" s="48">
        <f>VLOOKUP($A29,WormsCanopeoKhPlantChloro!$A$3:$V$203,22,FALSE)</f>
        <v>0</v>
      </c>
    </row>
    <row r="30" spans="1:21" x14ac:dyDescent="0.35">
      <c r="A30" t="str">
        <f t="shared" si="0"/>
        <v>Na-0</v>
      </c>
      <c r="B30" s="2" t="s">
        <v>101</v>
      </c>
      <c r="C30">
        <v>0</v>
      </c>
      <c r="D30" s="2" t="s">
        <v>375</v>
      </c>
      <c r="E30" s="43">
        <f>VLOOKUP($A30,BD_biomass!$A$4:$R$43,17,FALSE)</f>
        <v>0.99786170445041067</v>
      </c>
      <c r="F30" s="44">
        <f>VLOOKUP($A30,BD_biomass!$A$4:$R$43,18,FALSE)</f>
        <v>0.6234484134149394</v>
      </c>
      <c r="G30" s="43">
        <f>VLOOKUP($A30,BD_biomass!$A$4:$R$43,11,FALSE)</f>
        <v>5940.3530127814984</v>
      </c>
      <c r="H30" s="47">
        <f>VLOOKUP($A30,VESS!$A$3:$O$203,14,FALSE)</f>
        <v>3.3969074986316365</v>
      </c>
      <c r="I30" s="47">
        <f>VLOOKUP($A30,VESS!$A$4:$O$203,15,FALSE)</f>
        <v>0.35421841717186636</v>
      </c>
      <c r="J30">
        <f>VLOOKUP($A30,WormsCanopeoKhPlantChloro!$A$3:$M$203,6,FALSE)/(0.1*0.2)</f>
        <v>33.333333333333321</v>
      </c>
      <c r="K30" s="14">
        <f>VLOOKUP($A30,WormsCanopeoKhPlantChloro!$A$3:$M$203,7,FALSE)/(0.1*0.2)</f>
        <v>23.570226039551578</v>
      </c>
      <c r="L30" s="14">
        <f>_xlfn.NUMBERVALUE((VLOOKUP($A30,WormsCanopeoKhPlantChloro!$A$3:$M$203,9,FALSE)))</f>
        <v>85.343333329999993</v>
      </c>
      <c r="M30" s="14">
        <f>_xlfn.NUMBERVALUE((VLOOKUP($A30,WormsCanopeoKhPlantChloro!$A$3:$M$203,10,FALSE)))</f>
        <v>1.6865410000000001</v>
      </c>
      <c r="N30" s="14">
        <f>VLOOKUP($A30,WormsCanopeoKhPlantChloro!$A$3:$M$203,12,FALSE)</f>
        <v>11.92267</v>
      </c>
      <c r="O30" s="14">
        <f>VLOOKUP($A30,WormsCanopeoKhPlantChloro!$A$3:$M$203,13,FALSE)</f>
        <v>7.4653130000000001</v>
      </c>
      <c r="P30" s="14">
        <f>VLOOKUP($A30,WormsCanopeoKhPlantChloro!$A$3:$S$203,15,FALSE)</f>
        <v>80.75</v>
      </c>
      <c r="Q30" s="14">
        <f>VLOOKUP($A30,WormsCanopeoKhPlantChloro!$A$3:$S$203,16,FALSE)</f>
        <v>2.58602</v>
      </c>
      <c r="R30" s="48">
        <f>VLOOKUP($A30,WormsCanopeoKhPlantChloro!$A$3:$S$203,18,FALSE)</f>
        <v>5.8541999999999997E-2</v>
      </c>
      <c r="S30" s="48">
        <f>VLOOKUP($A30,WormsCanopeoKhPlantChloro!$A$3:$S$203,19,FALSE)</f>
        <v>3.5469999999999998E-3</v>
      </c>
      <c r="T30" s="14">
        <f>VLOOKUP($A30,WormsCanopeoKhPlantChloro!$A$3:$V$203,21,FALSE)</f>
        <v>53.557000000000002</v>
      </c>
      <c r="U30" s="48">
        <f>VLOOKUP($A30,WormsCanopeoKhPlantChloro!$A$3:$V$203,22,FALSE)</f>
        <v>2.1270030000000002</v>
      </c>
    </row>
    <row r="31" spans="1:21" x14ac:dyDescent="0.35">
      <c r="A31" t="str">
        <f t="shared" si="0"/>
        <v>Na-1</v>
      </c>
      <c r="B31" s="2" t="s">
        <v>101</v>
      </c>
      <c r="C31">
        <v>1</v>
      </c>
      <c r="D31" s="2" t="s">
        <v>375</v>
      </c>
      <c r="E31" s="43">
        <f>VLOOKUP($A31,BD_biomass!$A$4:$R$43,17,FALSE)</f>
        <v>0.92150712050207406</v>
      </c>
      <c r="F31" s="44">
        <f>VLOOKUP($A31,BD_biomass!$A$4:$R$43,18,FALSE)</f>
        <v>0.65226146396148144</v>
      </c>
      <c r="G31" s="43">
        <f>VLOOKUP($A31,BD_biomass!$A$4:$R$43,11,FALSE)</f>
        <v>5764.4899029635453</v>
      </c>
      <c r="H31" s="47">
        <f>VLOOKUP($A31,VESS!$A$3:$O$203,14,FALSE)</f>
        <v>2.8158584984688062</v>
      </c>
      <c r="I31" s="47">
        <f>VLOOKUP($A31,VESS!$A$4:$O$203,15,FALSE)</f>
        <v>0.42811278389573121</v>
      </c>
      <c r="J31">
        <f>VLOOKUP($A31,WormsCanopeoKhPlantChloro!$A$3:$M$203,6,FALSE)/(0.1*0.2)</f>
        <v>66.666666666666643</v>
      </c>
      <c r="K31" s="14">
        <f>VLOOKUP($A31,WormsCanopeoKhPlantChloro!$A$3:$M$203,7,FALSE)/(0.1*0.2)</f>
        <v>62.360956446232336</v>
      </c>
      <c r="L31" s="14">
        <f>_xlfn.NUMBERVALUE((VLOOKUP($A31,WormsCanopeoKhPlantChloro!$A$3:$M$203,9,FALSE)))</f>
        <v>78.013333329999995</v>
      </c>
      <c r="M31" s="14">
        <f>_xlfn.NUMBERVALUE((VLOOKUP($A31,WormsCanopeoKhPlantChloro!$A$3:$M$203,10,FALSE)))</f>
        <v>10.97443</v>
      </c>
      <c r="N31" s="14">
        <f>VLOOKUP($A31,WormsCanopeoKhPlantChloro!$A$3:$M$203,12,FALSE)</f>
        <v>24.418500000000002</v>
      </c>
      <c r="O31" s="14">
        <f>VLOOKUP($A31,WormsCanopeoKhPlantChloro!$A$3:$M$203,13,FALSE)</f>
        <v>1.7315</v>
      </c>
      <c r="P31" s="14">
        <f>VLOOKUP($A31,WormsCanopeoKhPlantChloro!$A$3:$S$203,15,FALSE)</f>
        <v>70.599999999999994</v>
      </c>
      <c r="Q31" s="14">
        <f>VLOOKUP($A31,WormsCanopeoKhPlantChloro!$A$3:$S$203,16,FALSE)</f>
        <v>4.1761229999999996</v>
      </c>
      <c r="R31" s="48">
        <f>VLOOKUP($A31,WormsCanopeoKhPlantChloro!$A$3:$S$203,18,FALSE)</f>
        <v>6.7582000000000003E-2</v>
      </c>
      <c r="S31" s="48">
        <f>VLOOKUP($A31,WormsCanopeoKhPlantChloro!$A$3:$S$203,19,FALSE)</f>
        <v>5.5009999999999998E-3</v>
      </c>
      <c r="T31" s="14">
        <f>VLOOKUP($A31,WormsCanopeoKhPlantChloro!$A$3:$V$203,21,FALSE)</f>
        <v>58.863399999999999</v>
      </c>
      <c r="U31" s="48">
        <f>VLOOKUP($A31,WormsCanopeoKhPlantChloro!$A$3:$V$203,22,FALSE)</f>
        <v>3.1466430000000001</v>
      </c>
    </row>
    <row r="32" spans="1:21" x14ac:dyDescent="0.35">
      <c r="A32" t="str">
        <f t="shared" si="0"/>
        <v>Ne-0</v>
      </c>
      <c r="B32" s="2" t="s">
        <v>100</v>
      </c>
      <c r="C32">
        <v>0</v>
      </c>
      <c r="D32" s="2" t="s">
        <v>375</v>
      </c>
      <c r="E32" s="43">
        <f>VLOOKUP($A32,BD_biomass!$A$4:$R$43,17,FALSE)</f>
        <v>0.93839080738173919</v>
      </c>
      <c r="F32" s="44">
        <f>VLOOKUP($A32,BD_biomass!$A$4:$R$43,18,FALSE)</f>
        <v>0.64589026136538141</v>
      </c>
      <c r="G32" s="43">
        <f>VLOOKUP($A32,BD_biomass!$A$4:$R$43,11,FALSE)</f>
        <v>8937.2992598799046</v>
      </c>
      <c r="H32" s="47">
        <f>VLOOKUP($A32,VESS!$A$3:$O$203,14,FALSE)</f>
        <v>2.4376190476190476</v>
      </c>
      <c r="I32" s="47">
        <f>VLOOKUP($A32,VESS!$A$4:$O$203,15,FALSE)</f>
        <v>0.21463569303735011</v>
      </c>
      <c r="J32">
        <f>VLOOKUP($A32,WormsCanopeoKhPlantChloro!$A$3:$M$203,6,FALSE)/(0.1*0.2)</f>
        <v>116.66666666666666</v>
      </c>
      <c r="K32" s="14">
        <f>VLOOKUP($A32,WormsCanopeoKhPlantChloro!$A$3:$M$203,7,FALSE)/(0.1*0.2)</f>
        <v>23.570226039551578</v>
      </c>
      <c r="L32" s="14">
        <f>_xlfn.NUMBERVALUE((VLOOKUP($A32,WormsCanopeoKhPlantChloro!$A$3:$M$203,9,FALSE)))</f>
        <v>92.25</v>
      </c>
      <c r="M32" s="14">
        <f>_xlfn.NUMBERVALUE((VLOOKUP($A32,WormsCanopeoKhPlantChloro!$A$3:$M$203,10,FALSE)))</f>
        <v>4.295928</v>
      </c>
      <c r="N32" s="14">
        <f>VLOOKUP($A32,WormsCanopeoKhPlantChloro!$A$3:$M$203,12,FALSE)</f>
        <v>2.0684999999999998</v>
      </c>
      <c r="O32" s="14">
        <f>VLOOKUP($A32,WormsCanopeoKhPlantChloro!$A$3:$M$203,13,FALSE)</f>
        <v>0.67649999999999999</v>
      </c>
      <c r="P32" s="14">
        <f>VLOOKUP($A32,WormsCanopeoKhPlantChloro!$A$3:$S$203,15,FALSE)</f>
        <v>81.400000000000006</v>
      </c>
      <c r="Q32" s="14">
        <f>VLOOKUP($A32,WormsCanopeoKhPlantChloro!$A$3:$S$203,16,FALSE)</f>
        <v>1.2</v>
      </c>
      <c r="R32" s="48">
        <f>VLOOKUP($A32,WormsCanopeoKhPlantChloro!$A$3:$S$203,18,FALSE)</f>
        <v>4.6989000000000003E-2</v>
      </c>
      <c r="S32" s="48">
        <f>VLOOKUP($A32,WormsCanopeoKhPlantChloro!$A$3:$S$203,19,FALSE)</f>
        <v>7.1970000000000003E-3</v>
      </c>
      <c r="T32" s="14">
        <f>VLOOKUP($A32,WormsCanopeoKhPlantChloro!$A$3:$V$203,21,FALSE)</f>
        <v>46.151800000000001</v>
      </c>
      <c r="U32" s="48">
        <f>VLOOKUP($A32,WormsCanopeoKhPlantChloro!$A$3:$V$203,22,FALSE)</f>
        <v>4.7899630000000002</v>
      </c>
    </row>
    <row r="33" spans="1:21" x14ac:dyDescent="0.35">
      <c r="A33" t="str">
        <f t="shared" si="0"/>
        <v>Ne-1</v>
      </c>
      <c r="B33" s="2" t="s">
        <v>100</v>
      </c>
      <c r="C33">
        <v>1</v>
      </c>
      <c r="D33" s="2" t="s">
        <v>375</v>
      </c>
      <c r="E33" s="43">
        <f>VLOOKUP($A33,BD_biomass!$A$4:$R$43,17,FALSE)</f>
        <v>0.92978317754285245</v>
      </c>
      <c r="F33" s="44">
        <f>VLOOKUP($A33,BD_biomass!$A$4:$R$43,18,FALSE)</f>
        <v>0.64913842356873497</v>
      </c>
      <c r="G33" s="43">
        <f>VLOOKUP($A33,BD_biomass!$A$4:$R$43,11,FALSE)</f>
        <v>7385.6848050396429</v>
      </c>
      <c r="H33" s="47">
        <f>VLOOKUP($A33,VESS!$A$3:$O$203,14,FALSE)</f>
        <v>2.2042145593869731</v>
      </c>
      <c r="I33" s="47">
        <f>VLOOKUP($A33,VESS!$A$4:$O$203,15,FALSE)</f>
        <v>2.49424993084441E-2</v>
      </c>
      <c r="J33">
        <f>VLOOKUP($A33,WormsCanopeoKhPlantChloro!$A$3:$M$203,6,FALSE)/(0.1*0.2)</f>
        <v>166.66666666666663</v>
      </c>
      <c r="K33" s="14">
        <f>VLOOKUP($A33,WormsCanopeoKhPlantChloro!$A$3:$M$203,7,FALSE)/(0.1*0.2)</f>
        <v>62.360956446232336</v>
      </c>
      <c r="L33" s="14">
        <f>_xlfn.NUMBERVALUE((VLOOKUP($A33,WormsCanopeoKhPlantChloro!$A$3:$M$203,9,FALSE)))</f>
        <v>86.886666669999997</v>
      </c>
      <c r="M33" s="14">
        <f>_xlfn.NUMBERVALUE((VLOOKUP($A33,WormsCanopeoKhPlantChloro!$A$3:$M$203,10,FALSE)))</f>
        <v>7.0997669999999999</v>
      </c>
      <c r="N33" s="14">
        <f>VLOOKUP($A33,WormsCanopeoKhPlantChloro!$A$3:$M$203,12,FALSE)</f>
        <v>7.7590000000000003</v>
      </c>
      <c r="O33" s="14">
        <f>VLOOKUP($A33,WormsCanopeoKhPlantChloro!$A$3:$M$203,13,FALSE)</f>
        <v>4.0940000000000003</v>
      </c>
      <c r="P33" s="14">
        <f>VLOOKUP($A33,WormsCanopeoKhPlantChloro!$A$3:$S$203,15,FALSE)</f>
        <v>77.400000000000006</v>
      </c>
      <c r="Q33" s="14">
        <f>VLOOKUP($A33,WormsCanopeoKhPlantChloro!$A$3:$S$203,16,FALSE)</f>
        <v>1.624808</v>
      </c>
      <c r="R33" s="48">
        <f>VLOOKUP($A33,WormsCanopeoKhPlantChloro!$A$3:$S$203,18,FALSE)</f>
        <v>4.4741000000000003E-2</v>
      </c>
      <c r="S33" s="48">
        <f>VLOOKUP($A33,WormsCanopeoKhPlantChloro!$A$3:$S$203,19,FALSE)</f>
        <v>3.1779999999999998E-3</v>
      </c>
      <c r="T33" s="14">
        <f>VLOOKUP($A33,WormsCanopeoKhPlantChloro!$A$3:$V$203,21,FALSE)</f>
        <v>44.765799999999999</v>
      </c>
      <c r="U33" s="48">
        <f>VLOOKUP($A33,WormsCanopeoKhPlantChloro!$A$3:$V$203,22,FALSE)</f>
        <v>2.1356480000000002</v>
      </c>
    </row>
    <row r="34" spans="1:21" x14ac:dyDescent="0.35">
      <c r="A34" t="str">
        <f t="shared" si="0"/>
        <v>Ni-0</v>
      </c>
      <c r="B34" t="s">
        <v>82</v>
      </c>
      <c r="C34">
        <v>0</v>
      </c>
      <c r="D34" s="2" t="s">
        <v>393</v>
      </c>
      <c r="E34" s="43">
        <f>VLOOKUP($A34,BD_biomass!$A$4:$R$43,17,FALSE)</f>
        <v>0.92914655777048483</v>
      </c>
      <c r="F34" s="44">
        <f>VLOOKUP($A34,BD_biomass!$A$4:$R$43,18,FALSE)</f>
        <v>0.64937865744510004</v>
      </c>
      <c r="G34" s="43">
        <f>VLOOKUP($A34,BD_biomass!$A$4:$R$43,11,FALSE)</f>
        <v>0</v>
      </c>
      <c r="H34" s="47">
        <f>VLOOKUP($A34,VESS!$A$3:$O$203,14,FALSE)</f>
        <v>2.8724137931034481</v>
      </c>
      <c r="I34" s="47">
        <f>VLOOKUP($A34,VESS!$A$4:$O$203,15,FALSE)</f>
        <v>0.527586206896551</v>
      </c>
      <c r="J34">
        <f>VLOOKUP($A34,WormsCanopeoKhPlantChloro!$A$3:$M$203,6,FALSE)/(0.1*0.2)</f>
        <v>16.666666666666661</v>
      </c>
      <c r="K34" s="14">
        <f>VLOOKUP($A34,WormsCanopeoKhPlantChloro!$A$3:$M$203,7,FALSE)/(0.1*0.2)</f>
        <v>23.570226039551578</v>
      </c>
      <c r="L34" s="14">
        <f>_xlfn.NUMBERVALUE((VLOOKUP($A34,WormsCanopeoKhPlantChloro!$A$3:$M$203,9,FALSE)))</f>
        <v>68.069999999999993</v>
      </c>
      <c r="M34" s="14">
        <f>_xlfn.NUMBERVALUE((VLOOKUP($A34,WormsCanopeoKhPlantChloro!$A$3:$M$203,10,FALSE)))</f>
        <v>1.93</v>
      </c>
      <c r="N34" s="14">
        <f>VLOOKUP($A34,WormsCanopeoKhPlantChloro!$A$3:$M$203,12,FALSE)</f>
        <v>17.486999999999998</v>
      </c>
      <c r="O34" s="14">
        <f>VLOOKUP($A34,WormsCanopeoKhPlantChloro!$A$3:$M$203,13,FALSE)</f>
        <v>3.53</v>
      </c>
      <c r="P34" s="14">
        <f>VLOOKUP($A34,WormsCanopeoKhPlantChloro!$A$3:$S$203,15,FALSE)</f>
        <v>75</v>
      </c>
      <c r="Q34" s="14">
        <f>VLOOKUP($A34,WormsCanopeoKhPlantChloro!$A$3:$S$203,16,FALSE)</f>
        <v>5</v>
      </c>
      <c r="R34" s="48">
        <f>VLOOKUP($A34,WormsCanopeoKhPlantChloro!$A$3:$S$203,18,FALSE)</f>
        <v>0</v>
      </c>
      <c r="S34" s="48">
        <f>VLOOKUP($A34,WormsCanopeoKhPlantChloro!$A$3:$S$203,19,FALSE)</f>
        <v>0</v>
      </c>
      <c r="T34" s="14">
        <f>VLOOKUP($A34,WormsCanopeoKhPlantChloro!$A$3:$V$203,21,FALSE)</f>
        <v>0</v>
      </c>
      <c r="U34" s="48">
        <f>VLOOKUP($A34,WormsCanopeoKhPlantChloro!$A$3:$V$203,22,FALSE)</f>
        <v>0</v>
      </c>
    </row>
    <row r="35" spans="1:21" x14ac:dyDescent="0.35">
      <c r="A35" t="str">
        <f t="shared" si="0"/>
        <v>Ni-1</v>
      </c>
      <c r="B35" t="s">
        <v>82</v>
      </c>
      <c r="C35">
        <v>1</v>
      </c>
      <c r="D35" s="2" t="s">
        <v>393</v>
      </c>
      <c r="E35" s="43">
        <f>VLOOKUP($A35,BD_biomass!$A$4:$R$43,17,FALSE)</f>
        <v>0.7037566325285125</v>
      </c>
      <c r="F35" s="44">
        <f>VLOOKUP($A35,BD_biomass!$A$4:$R$43,18,FALSE)</f>
        <v>0.73443145942320287</v>
      </c>
      <c r="G35" s="43">
        <f>VLOOKUP($A35,BD_biomass!$A$4:$R$43,11,FALSE)</f>
        <v>0</v>
      </c>
      <c r="H35" s="47">
        <f>VLOOKUP($A35,VESS!$A$3:$O$203,14,FALSE)</f>
        <v>2.1748941023134569</v>
      </c>
      <c r="I35" s="47">
        <f>VLOOKUP($A35,VESS!$A$4:$O$203,15,FALSE)</f>
        <v>0.10090631788810274</v>
      </c>
      <c r="J35">
        <f>VLOOKUP($A35,WormsCanopeoKhPlantChloro!$A$3:$M$203,6,FALSE)/(0.1*0.2)</f>
        <v>49.999999999999993</v>
      </c>
      <c r="K35" s="14">
        <f>VLOOKUP($A35,WormsCanopeoKhPlantChloro!$A$3:$M$203,7,FALSE)/(0.1*0.2)</f>
        <v>40.824829046386292</v>
      </c>
      <c r="L35" s="14">
        <f>_xlfn.NUMBERVALUE((VLOOKUP($A35,WormsCanopeoKhPlantChloro!$A$3:$M$203,9,FALSE)))</f>
        <v>0</v>
      </c>
      <c r="M35" s="14">
        <f>_xlfn.NUMBERVALUE((VLOOKUP($A35,WormsCanopeoKhPlantChloro!$A$3:$M$203,10,FALSE)))</f>
        <v>0</v>
      </c>
      <c r="N35" s="14">
        <f>VLOOKUP($A35,WormsCanopeoKhPlantChloro!$A$3:$M$203,12,FALSE)</f>
        <v>13.063000000000001</v>
      </c>
      <c r="O35" s="14">
        <f>VLOOKUP($A35,WormsCanopeoKhPlantChloro!$A$3:$M$203,13,FALSE)</f>
        <v>2.7</v>
      </c>
      <c r="P35" s="14">
        <f>VLOOKUP($A35,WormsCanopeoKhPlantChloro!$A$3:$S$203,15,FALSE)</f>
        <v>0</v>
      </c>
      <c r="Q35" s="14">
        <f>VLOOKUP($A35,WormsCanopeoKhPlantChloro!$A$3:$S$203,16,FALSE)</f>
        <v>0</v>
      </c>
      <c r="R35" s="48">
        <f>VLOOKUP($A35,WormsCanopeoKhPlantChloro!$A$3:$S$203,18,FALSE)</f>
        <v>0</v>
      </c>
      <c r="S35" s="48">
        <f>VLOOKUP($A35,WormsCanopeoKhPlantChloro!$A$3:$S$203,19,FALSE)</f>
        <v>0</v>
      </c>
      <c r="T35" s="14">
        <f>VLOOKUP($A35,WormsCanopeoKhPlantChloro!$A$3:$V$203,21,FALSE)</f>
        <v>0</v>
      </c>
      <c r="U35" s="48">
        <f>VLOOKUP($A35,WormsCanopeoKhPlantChloro!$A$3:$V$203,22,FALSE)</f>
        <v>0</v>
      </c>
    </row>
    <row r="36" spans="1:21" x14ac:dyDescent="0.35">
      <c r="A36" t="str">
        <f t="shared" si="0"/>
        <v>Pa-0</v>
      </c>
      <c r="B36" t="s">
        <v>71</v>
      </c>
      <c r="C36">
        <v>0</v>
      </c>
      <c r="D36" s="2" t="s">
        <v>395</v>
      </c>
      <c r="E36" s="43">
        <f>VLOOKUP($A36,BD_biomass!$A$4:$R$43,17,FALSE)</f>
        <v>1.0016018456130702</v>
      </c>
      <c r="F36" s="44">
        <f>VLOOKUP($A36,BD_biomass!$A$4:$R$43,18,FALSE)</f>
        <v>0.62203703939129418</v>
      </c>
      <c r="G36" s="43">
        <f>VLOOKUP($A36,BD_biomass!$A$4:$R$43,11,FALSE)</f>
        <v>10827.740492170024</v>
      </c>
      <c r="H36" s="47">
        <f>VLOOKUP($A36,VESS!$A$3:$O$203,14,FALSE)</f>
        <v>3.1339285714285716</v>
      </c>
      <c r="I36" s="47">
        <f>VLOOKUP($A36,VESS!$A$4:$O$203,15,FALSE)</f>
        <v>0.4084435156079424</v>
      </c>
      <c r="J36">
        <f>VLOOKUP($A36,WormsCanopeoKhPlantChloro!$A$3:$M$203,6,FALSE)/(0.1*0.2)</f>
        <v>16.666666666666661</v>
      </c>
      <c r="K36" s="14">
        <f>VLOOKUP($A36,WormsCanopeoKhPlantChloro!$A$3:$M$203,7,FALSE)/(0.1*0.2)</f>
        <v>23.570226039551578</v>
      </c>
      <c r="L36" s="14">
        <f>_xlfn.NUMBERVALUE((VLOOKUP($A36,WormsCanopeoKhPlantChloro!$A$3:$M$203,9,FALSE)))</f>
        <v>79.766666670000006</v>
      </c>
      <c r="M36" s="14">
        <f>_xlfn.NUMBERVALUE((VLOOKUP($A36,WormsCanopeoKhPlantChloro!$A$3:$M$203,10,FALSE)))</f>
        <v>5.5221150000000003</v>
      </c>
      <c r="N36" s="14">
        <f>VLOOKUP($A36,WormsCanopeoKhPlantChloro!$A$3:$M$203,12,FALSE)</f>
        <v>39.040999999999997</v>
      </c>
      <c r="O36" s="14">
        <f>VLOOKUP($A36,WormsCanopeoKhPlantChloro!$A$3:$M$203,13,FALSE)</f>
        <v>0.35899999999999999</v>
      </c>
      <c r="P36" s="14">
        <f>VLOOKUP($A36,WormsCanopeoKhPlantChloro!$A$3:$S$203,15,FALSE)</f>
        <v>74.8</v>
      </c>
      <c r="Q36" s="14">
        <f>VLOOKUP($A36,WormsCanopeoKhPlantChloro!$A$3:$S$203,16,FALSE)</f>
        <v>2.3151670000000002</v>
      </c>
      <c r="R36" s="46"/>
      <c r="S36" s="46"/>
      <c r="T36" s="14"/>
      <c r="U36" s="48"/>
    </row>
    <row r="37" spans="1:21" x14ac:dyDescent="0.35">
      <c r="A37" t="str">
        <f t="shared" si="0"/>
        <v>Pa-1</v>
      </c>
      <c r="B37" t="s">
        <v>71</v>
      </c>
      <c r="C37">
        <v>1</v>
      </c>
      <c r="D37" s="2" t="s">
        <v>395</v>
      </c>
      <c r="E37" s="43">
        <f>VLOOKUP($A37,BD_biomass!$A$4:$R$43,17,FALSE)</f>
        <v>0.97892226622247525</v>
      </c>
      <c r="F37" s="44">
        <f>VLOOKUP($A37,BD_biomass!$A$4:$R$43,18,FALSE)</f>
        <v>0.63059537123680176</v>
      </c>
      <c r="G37" s="43">
        <f>VLOOKUP($A37,BD_biomass!$A$4:$R$43,11,FALSE)</f>
        <v>9749.1039426523312</v>
      </c>
      <c r="H37" s="47">
        <f>VLOOKUP($A37,VESS!$A$3:$O$203,14,FALSE)</f>
        <v>3.4851190476190474</v>
      </c>
      <c r="I37" s="47">
        <f>VLOOKUP($A37,VESS!$A$4:$O$203,15,FALSE)</f>
        <v>0.20956269931290405</v>
      </c>
      <c r="J37">
        <f>VLOOKUP($A37,WormsCanopeoKhPlantChloro!$A$3:$M$203,6,FALSE)/(0.1*0.2)</f>
        <v>66.666666666666643</v>
      </c>
      <c r="K37" s="14">
        <f>VLOOKUP($A37,WormsCanopeoKhPlantChloro!$A$3:$M$203,7,FALSE)/(0.1*0.2)</f>
        <v>23.570226039551578</v>
      </c>
      <c r="L37" s="14">
        <f>_xlfn.NUMBERVALUE((VLOOKUP($A37,WormsCanopeoKhPlantChloro!$A$3:$M$203,9,FALSE)))</f>
        <v>85.636666669999997</v>
      </c>
      <c r="M37" s="14">
        <f>_xlfn.NUMBERVALUE((VLOOKUP($A37,WormsCanopeoKhPlantChloro!$A$3:$M$203,10,FALSE)))</f>
        <v>1.362457</v>
      </c>
      <c r="N37" s="14">
        <f>VLOOKUP($A37,WormsCanopeoKhPlantChloro!$A$3:$M$203,12,FALSE)</f>
        <v>31.835999999999999</v>
      </c>
      <c r="O37" s="14">
        <f>VLOOKUP($A37,WormsCanopeoKhPlantChloro!$A$3:$M$203,13,FALSE)</f>
        <v>0.5</v>
      </c>
      <c r="P37" s="14">
        <f>VLOOKUP($A37,WormsCanopeoKhPlantChloro!$A$3:$S$203,15,FALSE)</f>
        <v>70.2</v>
      </c>
      <c r="Q37" s="14">
        <f>VLOOKUP($A37,WormsCanopeoKhPlantChloro!$A$3:$S$203,16,FALSE)</f>
        <v>3.059412</v>
      </c>
      <c r="R37" s="46"/>
      <c r="S37" s="46"/>
      <c r="T37" s="14"/>
      <c r="U37" s="48"/>
    </row>
    <row r="38" spans="1:21" x14ac:dyDescent="0.35">
      <c r="A38" t="str">
        <f t="shared" si="0"/>
        <v>Pi-0</v>
      </c>
      <c r="B38" t="s">
        <v>97</v>
      </c>
      <c r="C38">
        <v>0</v>
      </c>
      <c r="D38" s="2" t="s">
        <v>395</v>
      </c>
      <c r="E38" s="43">
        <f>VLOOKUP($A38,BD_biomass!$A$4:$R$43,17,FALSE)</f>
        <v>0.98661475513858343</v>
      </c>
      <c r="F38" s="44">
        <f>VLOOKUP($A38,BD_biomass!$A$4:$R$43,18,FALSE)</f>
        <v>0.62769254523072315</v>
      </c>
      <c r="G38" s="43">
        <f>VLOOKUP($A38,BD_biomass!$A$4:$R$43,11,FALSE)</f>
        <v>6511.6279069767434</v>
      </c>
      <c r="H38" s="47">
        <f>VLOOKUP($A38,VESS!$A$3:$O$203,14,FALSE)</f>
        <v>2.9217037037037037</v>
      </c>
      <c r="I38" s="47">
        <f>VLOOKUP($A38,VESS!$A$4:$O$203,15,FALSE)</f>
        <v>0.33194935736846709</v>
      </c>
      <c r="J38">
        <f>VLOOKUP($A38,WormsCanopeoKhPlantChloro!$A$3:$M$203,6,FALSE)/(0.1*0.2)</f>
        <v>9.9999999999999982</v>
      </c>
      <c r="K38" s="14">
        <f>VLOOKUP($A38,WormsCanopeoKhPlantChloro!$A$3:$M$203,7,FALSE)/(0.1*0.2)</f>
        <v>19.999999999999996</v>
      </c>
      <c r="L38" s="14">
        <f>_xlfn.NUMBERVALUE((VLOOKUP($A38,WormsCanopeoKhPlantChloro!$A$3:$M$203,9,FALSE)))</f>
        <v>78.706666670000004</v>
      </c>
      <c r="M38" s="14">
        <f>_xlfn.NUMBERVALUE((VLOOKUP($A38,WormsCanopeoKhPlantChloro!$A$3:$M$203,10,FALSE)))</f>
        <v>2.615713</v>
      </c>
      <c r="N38" s="14">
        <f>VLOOKUP($A38,WormsCanopeoKhPlantChloro!$A$3:$M$203,12,FALSE)</f>
        <v>25.98489</v>
      </c>
      <c r="O38" s="14">
        <f>VLOOKUP($A38,WormsCanopeoKhPlantChloro!$A$3:$M$203,13,FALSE)</f>
        <v>17.358309999999999</v>
      </c>
      <c r="P38" s="14">
        <f>VLOOKUP($A38,WormsCanopeoKhPlantChloro!$A$3:$S$203,15,FALSE)</f>
        <v>127</v>
      </c>
      <c r="Q38" s="14">
        <f>VLOOKUP($A38,WormsCanopeoKhPlantChloro!$A$3:$S$203,16,FALSE)</f>
        <v>2.4494899999999999</v>
      </c>
      <c r="R38" s="46">
        <f>VLOOKUP($A38,WormsCanopeoKhPlantChloro!$A$3:$S$203,18,FALSE)</f>
        <v>0</v>
      </c>
      <c r="S38" s="46">
        <f>VLOOKUP($A38,WormsCanopeoKhPlantChloro!$A$3:$S$203,19,FALSE)</f>
        <v>0</v>
      </c>
      <c r="T38" s="14">
        <f>VLOOKUP($A38,WormsCanopeoKhPlantChloro!$A$3:$V$203,21,FALSE)</f>
        <v>0</v>
      </c>
      <c r="U38" s="48">
        <f>VLOOKUP($A38,WormsCanopeoKhPlantChloro!$A$3:$V$203,22,FALSE)</f>
        <v>0</v>
      </c>
    </row>
    <row r="39" spans="1:21" x14ac:dyDescent="0.35">
      <c r="A39" t="str">
        <f t="shared" si="0"/>
        <v>Pi-1</v>
      </c>
      <c r="B39" t="s">
        <v>97</v>
      </c>
      <c r="C39">
        <v>1</v>
      </c>
      <c r="D39" s="2" t="s">
        <v>395</v>
      </c>
      <c r="E39" s="43">
        <f>VLOOKUP($A39,BD_biomass!$A$4:$R$43,17,FALSE)</f>
        <v>0.8754582903008189</v>
      </c>
      <c r="F39" s="44">
        <f>VLOOKUP($A39,BD_biomass!$A$4:$R$43,18,FALSE)</f>
        <v>0.66963838101855888</v>
      </c>
      <c r="G39" s="43">
        <f>VLOOKUP($A39,BD_biomass!$A$4:$R$43,11,FALSE)</f>
        <v>6718.9770415576868</v>
      </c>
      <c r="H39" s="47">
        <f>VLOOKUP($A39,VESS!$A$3:$O$203,14,FALSE)</f>
        <v>2.6674847655537315</v>
      </c>
      <c r="I39" s="47">
        <f>VLOOKUP($A39,VESS!$A$4:$O$203,15,FALSE)</f>
        <v>0.36671095088974193</v>
      </c>
      <c r="J39">
        <f>VLOOKUP($A39,WormsCanopeoKhPlantChloro!$A$3:$M$203,6,FALSE)/(0.1*0.2)</f>
        <v>59.999999999999986</v>
      </c>
      <c r="K39" s="14">
        <f>VLOOKUP($A39,WormsCanopeoKhPlantChloro!$A$3:$M$203,7,FALSE)/(0.1*0.2)</f>
        <v>73.484692283495335</v>
      </c>
      <c r="L39" s="14">
        <f>_xlfn.NUMBERVALUE((VLOOKUP($A39,WormsCanopeoKhPlantChloro!$A$3:$M$203,9,FALSE)))</f>
        <v>81.64</v>
      </c>
      <c r="M39" s="14">
        <f>_xlfn.NUMBERVALUE((VLOOKUP($A39,WormsCanopeoKhPlantChloro!$A$3:$M$203,10,FALSE)))</f>
        <v>3.7641019999999998</v>
      </c>
      <c r="N39" s="14">
        <f>VLOOKUP($A39,WormsCanopeoKhPlantChloro!$A$3:$M$203,12,FALSE)</f>
        <v>111.2106</v>
      </c>
      <c r="O39" s="14">
        <f>VLOOKUP($A39,WormsCanopeoKhPlantChloro!$A$3:$M$203,13,FALSE)</f>
        <v>57.39902</v>
      </c>
      <c r="P39" s="14">
        <f>VLOOKUP($A39,WormsCanopeoKhPlantChloro!$A$3:$S$203,15,FALSE)</f>
        <v>118.75</v>
      </c>
      <c r="Q39" s="14">
        <f>VLOOKUP($A39,WormsCanopeoKhPlantChloro!$A$3:$S$203,16,FALSE)</f>
        <v>2.1650640000000001</v>
      </c>
      <c r="R39" s="46">
        <f>VLOOKUP($A39,WormsCanopeoKhPlantChloro!$A$3:$S$203,18,FALSE)</f>
        <v>0</v>
      </c>
      <c r="S39" s="46">
        <f>VLOOKUP($A39,WormsCanopeoKhPlantChloro!$A$3:$S$203,19,FALSE)</f>
        <v>0</v>
      </c>
      <c r="T39" s="14">
        <f>VLOOKUP($A39,WormsCanopeoKhPlantChloro!$A$3:$V$203,21,FALSE)</f>
        <v>0</v>
      </c>
      <c r="U39" s="48">
        <f>VLOOKUP($A39,WormsCanopeoKhPlantChloro!$A$3:$V$203,22,FALSE)</f>
        <v>0</v>
      </c>
    </row>
    <row r="40" spans="1:21" x14ac:dyDescent="0.35">
      <c r="A40" t="str">
        <f t="shared" si="0"/>
        <v>Pu-0</v>
      </c>
      <c r="B40" s="2" t="s">
        <v>86</v>
      </c>
      <c r="C40">
        <v>0</v>
      </c>
      <c r="D40" s="2" t="s">
        <v>375</v>
      </c>
      <c r="E40" s="43">
        <f>VLOOKUP($A40,BD_biomass!$A$4:$R$43,17,FALSE)</f>
        <v>0.99367062428232422</v>
      </c>
      <c r="F40" s="44">
        <f>VLOOKUP($A40,BD_biomass!$A$4:$R$43,18,FALSE)</f>
        <v>0.62502995310100973</v>
      </c>
      <c r="G40" s="43">
        <f>VLOOKUP($A40,BD_biomass!$A$4:$R$43,11,FALSE)</f>
        <v>1731.2504226685603</v>
      </c>
      <c r="H40" s="47">
        <f>VLOOKUP($A40,VESS!$A$3:$O$203,14,FALSE)</f>
        <v>3.2579365079365075</v>
      </c>
      <c r="I40" s="47">
        <f>VLOOKUP($A40,VESS!$A$4:$O$203,15,FALSE)</f>
        <v>0.42785065786690091</v>
      </c>
      <c r="J40">
        <f>VLOOKUP($A40,WormsCanopeoKhPlantChloro!$A$3:$M$203,6,FALSE)/(0.1*0.2)</f>
        <v>69.999999999999986</v>
      </c>
      <c r="K40" s="14">
        <f>VLOOKUP($A40,WormsCanopeoKhPlantChloro!$A$3:$M$203,7,FALSE)/(0.1*0.2)</f>
        <v>39.999999999999993</v>
      </c>
      <c r="L40" s="14">
        <f>_xlfn.NUMBERVALUE((VLOOKUP($A40,WormsCanopeoKhPlantChloro!$A$3:$M$203,9,FALSE)))</f>
        <v>61.54</v>
      </c>
      <c r="M40" s="14">
        <f>_xlfn.NUMBERVALUE((VLOOKUP($A40,WormsCanopeoKhPlantChloro!$A$3:$M$203,10,FALSE)))</f>
        <v>4.0826539999999998</v>
      </c>
      <c r="N40" s="14">
        <f>VLOOKUP($A40,WormsCanopeoKhPlantChloro!$A$3:$M$203,12,FALSE)</f>
        <v>30.172039999999999</v>
      </c>
      <c r="O40" s="14">
        <f>VLOOKUP($A40,WormsCanopeoKhPlantChloro!$A$3:$M$203,13,FALSE)</f>
        <v>15.093310000000001</v>
      </c>
      <c r="P40" s="14"/>
      <c r="Q40" s="14"/>
      <c r="R40" s="46">
        <f>VLOOKUP($A40,WormsCanopeoKhPlantChloro!$A$3:$S$203,18,FALSE)</f>
        <v>4.3562999999999998E-2</v>
      </c>
      <c r="S40" s="46">
        <f>VLOOKUP($A40,WormsCanopeoKhPlantChloro!$A$3:$S$203,19,FALSE)</f>
        <v>6.0489999999999997E-3</v>
      </c>
      <c r="T40" s="14">
        <f>VLOOKUP($A40,WormsCanopeoKhPlantChloro!$A$3:$V$203,21,FALSE)</f>
        <v>43.894599999999997</v>
      </c>
      <c r="U40" s="48">
        <f>VLOOKUP($A40,WormsCanopeoKhPlantChloro!$A$3:$V$203,22,FALSE)</f>
        <v>4.1808490000000003</v>
      </c>
    </row>
    <row r="41" spans="1:21" x14ac:dyDescent="0.35">
      <c r="A41" t="str">
        <f t="shared" si="0"/>
        <v>Pu-1</v>
      </c>
      <c r="B41" s="2" t="s">
        <v>86</v>
      </c>
      <c r="C41">
        <v>1</v>
      </c>
      <c r="D41" s="2" t="s">
        <v>375</v>
      </c>
      <c r="E41" s="43">
        <f>VLOOKUP($A41,BD_biomass!$A$4:$R$43,17,FALSE)</f>
        <v>0.97235712481993453</v>
      </c>
      <c r="F41" s="44">
        <f>VLOOKUP($A41,BD_biomass!$A$4:$R$43,18,FALSE)</f>
        <v>0.63307278308681714</v>
      </c>
      <c r="G41" s="43">
        <f>VLOOKUP($A41,BD_biomass!$A$4:$R$43,11,FALSE)</f>
        <v>2643.3691756272401</v>
      </c>
      <c r="H41" s="47">
        <f>VLOOKUP($A41,VESS!$A$3:$O$203,14,FALSE)</f>
        <v>3.4207073386383735</v>
      </c>
      <c r="I41" s="47">
        <f>VLOOKUP($A41,VESS!$A$4:$O$203,15,FALSE)</f>
        <v>0.34862594310158457</v>
      </c>
      <c r="J41">
        <f>VLOOKUP($A41,WormsCanopeoKhPlantChloro!$A$3:$M$203,6,FALSE)/(0.1*0.2)</f>
        <v>29.999999999999993</v>
      </c>
      <c r="K41" s="14">
        <f>VLOOKUP($A41,WormsCanopeoKhPlantChloro!$A$3:$M$203,7,FALSE)/(0.1*0.2)</f>
        <v>59.999999999999986</v>
      </c>
      <c r="L41" s="14">
        <f>_xlfn.NUMBERVALUE((VLOOKUP($A41,WormsCanopeoKhPlantChloro!$A$3:$M$203,9,FALSE)))</f>
        <v>75.416666669999998</v>
      </c>
      <c r="M41" s="14">
        <f>_xlfn.NUMBERVALUE((VLOOKUP($A41,WormsCanopeoKhPlantChloro!$A$3:$M$203,10,FALSE)))</f>
        <v>9.5483270000000005</v>
      </c>
      <c r="N41" s="14">
        <f>VLOOKUP($A41,WormsCanopeoKhPlantChloro!$A$3:$M$203,12,FALSE)</f>
        <v>9.7434980000000007</v>
      </c>
      <c r="O41" s="14">
        <f>VLOOKUP($A41,WormsCanopeoKhPlantChloro!$A$3:$M$203,13,FALSE)</f>
        <v>3.5887169999999999</v>
      </c>
      <c r="P41" s="14"/>
      <c r="Q41" s="14"/>
      <c r="R41" s="46">
        <f>VLOOKUP($A41,WormsCanopeoKhPlantChloro!$A$3:$S$203,18,FALSE)</f>
        <v>4.3651000000000002E-2</v>
      </c>
      <c r="S41" s="46">
        <f>VLOOKUP($A41,WormsCanopeoKhPlantChloro!$A$3:$S$203,19,FALSE)</f>
        <v>7.2199999999999999E-3</v>
      </c>
      <c r="T41" s="14">
        <f>VLOOKUP($A41,WormsCanopeoKhPlantChloro!$A$3:$V$203,21,FALSE)</f>
        <v>43.914400000000001</v>
      </c>
      <c r="U41" s="48">
        <f>VLOOKUP($A41,WormsCanopeoKhPlantChloro!$A$3:$V$203,22,FALSE)</f>
        <v>4.9112780000000003</v>
      </c>
    </row>
    <row r="42" spans="1:21" x14ac:dyDescent="0.35">
      <c r="A42" t="str">
        <f t="shared" si="0"/>
        <v>Si-0</v>
      </c>
      <c r="B42" s="2" t="s">
        <v>70</v>
      </c>
      <c r="C42">
        <v>0</v>
      </c>
      <c r="D42" s="2" t="s">
        <v>375</v>
      </c>
      <c r="E42" s="43">
        <f>VLOOKUP($A42,BD_biomass!$A$4:$R$43,17,FALSE)</f>
        <v>0.93292648766891739</v>
      </c>
      <c r="F42" s="44">
        <f>VLOOKUP($A42,BD_biomass!$A$4:$R$43,18,FALSE)</f>
        <v>0.64795226880418211</v>
      </c>
      <c r="G42" s="43">
        <f>VLOOKUP($A42,BD_biomass!$A$4:$R$43,11,FALSE)</f>
        <v>5316.6069295101561</v>
      </c>
      <c r="H42" s="47">
        <f>VLOOKUP($A42,VESS!$A$3:$O$203,14,FALSE)</f>
        <v>3.7442367415193503</v>
      </c>
      <c r="I42" s="47">
        <f>VLOOKUP($A42,VESS!$A$4:$O$203,15,FALSE)</f>
        <v>0.10428988697188954</v>
      </c>
      <c r="J42">
        <f>VLOOKUP($A42,WormsCanopeoKhPlantChloro!$A$3:$M$203,6,FALSE)/(0.1*0.2)</f>
        <v>37.499999999999993</v>
      </c>
      <c r="K42" s="14">
        <f>VLOOKUP($A42,WormsCanopeoKhPlantChloro!$A$3:$M$203,7,FALSE)/(0.1*0.2)</f>
        <v>41.457809879442486</v>
      </c>
      <c r="L42" s="14">
        <f>_xlfn.NUMBERVALUE((VLOOKUP($A42,WormsCanopeoKhPlantChloro!$A$3:$M$203,9,FALSE)))</f>
        <v>84.146666670000002</v>
      </c>
      <c r="M42" s="14">
        <f>_xlfn.NUMBERVALUE((VLOOKUP($A42,WormsCanopeoKhPlantChloro!$A$3:$M$203,10,FALSE)))</f>
        <v>2.6618460000000002</v>
      </c>
      <c r="N42" s="14">
        <f>VLOOKUP($A42,WormsCanopeoKhPlantChloro!$A$3:$M$203,12,FALSE)</f>
        <v>45.014499999999998</v>
      </c>
      <c r="O42" s="14">
        <f>VLOOKUP($A42,WormsCanopeoKhPlantChloro!$A$3:$M$203,13,FALSE)</f>
        <v>26.473520000000001</v>
      </c>
      <c r="P42" s="14"/>
      <c r="Q42" s="14"/>
      <c r="R42" s="46">
        <f>VLOOKUP($A42,WormsCanopeoKhPlantChloro!$A$3:$S$203,18,FALSE)</f>
        <v>5.7361000000000002E-2</v>
      </c>
      <c r="S42" s="46">
        <f>VLOOKUP($A42,WormsCanopeoKhPlantChloro!$A$3:$S$203,19,FALSE)</f>
        <v>5.3010000000000002E-3</v>
      </c>
      <c r="T42" s="14">
        <f>VLOOKUP($A42,WormsCanopeoKhPlantChloro!$A$3:$V$203,21,FALSE)</f>
        <v>52.804600000000001</v>
      </c>
      <c r="U42" s="48">
        <f>VLOOKUP($A42,WormsCanopeoKhPlantChloro!$A$3:$V$203,22,FALSE)</f>
        <v>3.2496139999999998</v>
      </c>
    </row>
    <row r="43" spans="1:21" x14ac:dyDescent="0.35">
      <c r="A43" t="str">
        <f t="shared" si="0"/>
        <v>Si-1</v>
      </c>
      <c r="B43" s="2" t="s">
        <v>70</v>
      </c>
      <c r="C43">
        <v>1</v>
      </c>
      <c r="D43" s="2" t="s">
        <v>375</v>
      </c>
      <c r="E43" s="43">
        <f>VLOOKUP($A43,BD_biomass!$A$4:$R$43,17,FALSE)</f>
        <v>0.9271703838937605</v>
      </c>
      <c r="F43" s="44">
        <f>VLOOKUP($A43,BD_biomass!$A$4:$R$43,18,FALSE)</f>
        <v>0.65012438343631684</v>
      </c>
      <c r="G43" s="43">
        <f>VLOOKUP($A43,BD_biomass!$A$4:$R$43,11,FALSE)</f>
        <v>4305.6266712180695</v>
      </c>
      <c r="H43" s="47">
        <f>VLOOKUP($A43,VESS!$A$3:$O$203,14,FALSE)</f>
        <v>3.7935981230098879</v>
      </c>
      <c r="I43" s="47">
        <f>VLOOKUP($A43,VESS!$A$4:$O$203,15,FALSE)</f>
        <v>0.3155881597270786</v>
      </c>
      <c r="J43">
        <f>VLOOKUP($A43,WormsCanopeoKhPlantChloro!$A$3:$M$203,6,FALSE)/(0.1*0.2)</f>
        <v>12.499999999999998</v>
      </c>
      <c r="K43" s="14">
        <f>VLOOKUP($A43,WormsCanopeoKhPlantChloro!$A$3:$M$203,7,FALSE)/(0.1*0.2)</f>
        <v>21.650635094610962</v>
      </c>
      <c r="L43" s="14">
        <f>_xlfn.NUMBERVALUE((VLOOKUP($A43,WormsCanopeoKhPlantChloro!$A$3:$M$203,9,FALSE)))</f>
        <v>77.59</v>
      </c>
      <c r="M43" s="14">
        <f>_xlfn.NUMBERVALUE((VLOOKUP($A43,WormsCanopeoKhPlantChloro!$A$3:$M$203,10,FALSE)))</f>
        <v>6.6576620000000002</v>
      </c>
      <c r="N43" s="14">
        <f>VLOOKUP($A43,WormsCanopeoKhPlantChloro!$A$3:$M$203,12,FALSE)</f>
        <v>27.084800000000001</v>
      </c>
      <c r="O43" s="14">
        <f>VLOOKUP($A43,WormsCanopeoKhPlantChloro!$A$3:$M$203,13,FALSE)</f>
        <v>20.077369999999998</v>
      </c>
      <c r="P43" s="14"/>
      <c r="Q43" s="14"/>
      <c r="R43" s="46">
        <f>VLOOKUP($A43,WormsCanopeoKhPlantChloro!$A$3:$S$203,18,FALSE)</f>
        <v>5.6864999999999999E-2</v>
      </c>
      <c r="S43" s="46">
        <f>VLOOKUP($A43,WormsCanopeoKhPlantChloro!$A$3:$S$203,19,FALSE)</f>
        <v>8.4939999999999998E-3</v>
      </c>
      <c r="T43" s="14">
        <f>VLOOKUP($A43,WormsCanopeoKhPlantChloro!$A$3:$V$203,21,FALSE)</f>
        <v>52.4086</v>
      </c>
      <c r="U43" s="48">
        <f>VLOOKUP($A43,WormsCanopeoKhPlantChloro!$A$3:$V$203,22,FALSE)</f>
        <v>5.2447949999999999</v>
      </c>
    </row>
    <row r="44" spans="1:21" x14ac:dyDescent="0.35">
      <c r="J44">
        <f>MAX(J4:J43)</f>
        <v>166.66666666666663</v>
      </c>
    </row>
  </sheetData>
  <autoFilter ref="A3:U3" xr:uid="{EC26E323-63E0-46BB-B1C6-0AA350F0EACF}">
    <sortState xmlns:xlrd2="http://schemas.microsoft.com/office/spreadsheetml/2017/richdata2" ref="A4:U43">
      <sortCondition ref="A3"/>
    </sortState>
  </autoFilter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26FD92-8A8B-4BAF-A436-7A87E55C23E9}">
  <sheetPr>
    <tabColor theme="7"/>
  </sheetPr>
  <dimension ref="A1:AC203"/>
  <sheetViews>
    <sheetView zoomScaleNormal="100" workbookViewId="0">
      <pane xSplit="4" ySplit="3" topLeftCell="E9" activePane="bottomRight" state="frozen"/>
      <selection pane="topRight" activeCell="E1" sqref="E1"/>
      <selection pane="bottomLeft" activeCell="A4" sqref="A4"/>
      <selection pane="bottomRight" activeCell="A3" sqref="A3"/>
    </sheetView>
  </sheetViews>
  <sheetFormatPr defaultRowHeight="14.5" x14ac:dyDescent="0.35"/>
  <cols>
    <col min="2" max="3" width="8.7265625" hidden="1" customWidth="1"/>
    <col min="13" max="13" width="11.453125" customWidth="1"/>
    <col min="14" max="14" width="10.54296875" customWidth="1"/>
    <col min="20" max="22" width="10.453125" bestFit="1" customWidth="1"/>
    <col min="23" max="23" width="11.81640625" bestFit="1" customWidth="1"/>
  </cols>
  <sheetData>
    <row r="1" spans="1:29" x14ac:dyDescent="0.35">
      <c r="A1" s="1" t="s">
        <v>396</v>
      </c>
    </row>
    <row r="3" spans="1:29" ht="15" thickBot="1" x14ac:dyDescent="0.4">
      <c r="A3" s="4" t="s">
        <v>387</v>
      </c>
      <c r="B3" s="4" t="s">
        <v>66</v>
      </c>
      <c r="C3" s="4" t="s">
        <v>91</v>
      </c>
      <c r="D3" s="4" t="s">
        <v>67</v>
      </c>
      <c r="E3" s="4" t="s">
        <v>102</v>
      </c>
      <c r="F3" s="4" t="s">
        <v>103</v>
      </c>
      <c r="G3" s="4" t="s">
        <v>104</v>
      </c>
      <c r="H3" s="4" t="s">
        <v>105</v>
      </c>
      <c r="I3" s="4" t="s">
        <v>92</v>
      </c>
      <c r="J3" s="4" t="s">
        <v>93</v>
      </c>
      <c r="K3" s="4" t="s">
        <v>94</v>
      </c>
      <c r="L3" s="4" t="s">
        <v>95</v>
      </c>
      <c r="M3" s="4" t="s">
        <v>96</v>
      </c>
      <c r="N3" s="4" t="s">
        <v>122</v>
      </c>
      <c r="O3" s="4" t="s">
        <v>113</v>
      </c>
      <c r="P3" s="4" t="s">
        <v>141</v>
      </c>
      <c r="Q3" s="4" t="s">
        <v>142</v>
      </c>
      <c r="R3" s="4" t="s">
        <v>143</v>
      </c>
      <c r="S3" s="4" t="s">
        <v>144</v>
      </c>
      <c r="T3" s="4" t="s">
        <v>137</v>
      </c>
      <c r="U3" s="4" t="s">
        <v>138</v>
      </c>
      <c r="V3" s="4" t="s">
        <v>139</v>
      </c>
      <c r="W3" s="4" t="s">
        <v>140</v>
      </c>
      <c r="X3" s="4" t="s">
        <v>155</v>
      </c>
      <c r="Y3" s="4" t="s">
        <v>156</v>
      </c>
      <c r="Z3" s="4" t="s">
        <v>157</v>
      </c>
      <c r="AA3" s="4" t="s">
        <v>158</v>
      </c>
      <c r="AC3" s="28" t="s">
        <v>410</v>
      </c>
    </row>
    <row r="4" spans="1:29" ht="15" thickTop="1" x14ac:dyDescent="0.35">
      <c r="A4" t="str">
        <f t="shared" ref="A4:A35" si="0">B4&amp;"-"&amp;C4</f>
        <v>AE-0</v>
      </c>
      <c r="B4" s="2" t="s">
        <v>98</v>
      </c>
      <c r="C4">
        <v>0</v>
      </c>
      <c r="D4" s="3">
        <v>1</v>
      </c>
      <c r="E4">
        <v>5</v>
      </c>
      <c r="F4">
        <v>15</v>
      </c>
      <c r="G4">
        <v>5</v>
      </c>
      <c r="I4">
        <v>1</v>
      </c>
      <c r="J4">
        <v>2</v>
      </c>
      <c r="K4">
        <v>3</v>
      </c>
      <c r="M4">
        <f t="array" ref="M4">SUM(E4:H4*I4:L4)/SUM(E4:H4)</f>
        <v>2</v>
      </c>
      <c r="N4">
        <f>AVERAGE(M4:M6)</f>
        <v>2.3666666666666667</v>
      </c>
      <c r="O4">
        <f>_xlfn.STDEV.P(M4:M6)</f>
        <v>0.26246692913372799</v>
      </c>
      <c r="P4">
        <f>0-AVERAGE(E4:E8)</f>
        <v>-6.333333333333333</v>
      </c>
      <c r="Q4">
        <f>0-AVERAGE(F4:F8)</f>
        <v>-11.666666666666666</v>
      </c>
      <c r="R4">
        <f>0-AVERAGE(G4:G8)</f>
        <v>-8</v>
      </c>
      <c r="S4" t="e">
        <f>IF(ISNUMBER(0-AVERAGE(H4:H8)),0-AVERAGE(H4:H8),NA())</f>
        <v>#N/A</v>
      </c>
      <c r="T4">
        <f>AVERAGE(I4:I8)</f>
        <v>2</v>
      </c>
      <c r="U4">
        <f>AVERAGE(J4:J8)</f>
        <v>2</v>
      </c>
      <c r="V4">
        <f>AVERAGE(K4:K8)</f>
        <v>3</v>
      </c>
      <c r="W4" t="str">
        <f>IF(ISNUMBER(AVERAGE(L4:L8)), AVERAGE(L4:L8), "")</f>
        <v/>
      </c>
      <c r="X4">
        <f>IF(ISNUMBER(_xlfn.STDEV.P(I4:I8)),_xlfn.STDEV.P(I4:I8),"")</f>
        <v>0.81649658092772603</v>
      </c>
      <c r="Y4">
        <f>IF(ISNUMBER(_xlfn.STDEV.P(J4:J8)),_xlfn.STDEV.P(J4:J8),"")</f>
        <v>0</v>
      </c>
      <c r="Z4">
        <f>IF(ISNUMBER(_xlfn.STDEV.P(K4:K8)),_xlfn.STDEV.P(K4:K8),"")</f>
        <v>0</v>
      </c>
      <c r="AA4" t="str">
        <f>IF(ISNUMBER(_xlfn.STDEV.P(L4:L8)),_xlfn.STDEV.P(L4:L8),"")</f>
        <v/>
      </c>
      <c r="AC4">
        <f>AVERAGEA(I4:I6)</f>
        <v>2</v>
      </c>
    </row>
    <row r="5" spans="1:29" x14ac:dyDescent="0.35">
      <c r="A5" t="str">
        <f t="shared" si="0"/>
        <v>AE-0</v>
      </c>
      <c r="B5" s="2" t="s">
        <v>98</v>
      </c>
      <c r="C5">
        <v>0</v>
      </c>
      <c r="D5" s="3">
        <v>2</v>
      </c>
      <c r="E5">
        <v>4</v>
      </c>
      <c r="F5">
        <v>10</v>
      </c>
      <c r="G5">
        <v>14</v>
      </c>
      <c r="I5">
        <v>2</v>
      </c>
      <c r="J5">
        <v>2</v>
      </c>
      <c r="K5">
        <v>3</v>
      </c>
      <c r="M5">
        <f t="array" ref="M5">SUM(E5:H5*I5:L5)/SUM(E5:H5)</f>
        <v>2.5</v>
      </c>
      <c r="AC5">
        <v>0</v>
      </c>
    </row>
    <row r="6" spans="1:29" x14ac:dyDescent="0.35">
      <c r="A6" t="str">
        <f t="shared" si="0"/>
        <v>AE-0</v>
      </c>
      <c r="B6" s="2" t="s">
        <v>98</v>
      </c>
      <c r="C6">
        <v>0</v>
      </c>
      <c r="D6" s="3">
        <v>3</v>
      </c>
      <c r="E6">
        <v>10</v>
      </c>
      <c r="F6">
        <v>10</v>
      </c>
      <c r="G6">
        <v>5</v>
      </c>
      <c r="I6">
        <v>3</v>
      </c>
      <c r="J6">
        <v>2</v>
      </c>
      <c r="K6">
        <v>3</v>
      </c>
      <c r="M6">
        <f t="array" ref="M6">SUM(E6:H6*I6:L6)/SUM(E6:H6)</f>
        <v>2.6</v>
      </c>
      <c r="AC6">
        <v>0</v>
      </c>
    </row>
    <row r="7" spans="1:29" x14ac:dyDescent="0.35">
      <c r="A7" t="str">
        <f t="shared" si="0"/>
        <v>AE-0</v>
      </c>
      <c r="B7" s="2" t="s">
        <v>98</v>
      </c>
      <c r="C7">
        <v>0</v>
      </c>
      <c r="D7" s="3">
        <v>4</v>
      </c>
      <c r="M7" t="e">
        <f t="array" ref="M7">SUM(E7:H7*I7:L7)/SUM(E7:H7)</f>
        <v>#DIV/0!</v>
      </c>
      <c r="AC7">
        <v>0</v>
      </c>
    </row>
    <row r="8" spans="1:29" x14ac:dyDescent="0.35">
      <c r="A8" t="str">
        <f t="shared" si="0"/>
        <v>AE-0</v>
      </c>
      <c r="B8" s="2" t="s">
        <v>98</v>
      </c>
      <c r="C8">
        <v>0</v>
      </c>
      <c r="D8" s="3">
        <v>5</v>
      </c>
      <c r="M8" t="e">
        <f t="array" ref="M8">SUM(E8:H8*I8:L8)/SUM(E8:H8)</f>
        <v>#DIV/0!</v>
      </c>
      <c r="AC8">
        <v>0</v>
      </c>
    </row>
    <row r="9" spans="1:29" x14ac:dyDescent="0.35">
      <c r="A9" t="str">
        <f t="shared" si="0"/>
        <v>AE-1</v>
      </c>
      <c r="B9" s="2" t="s">
        <v>98</v>
      </c>
      <c r="C9">
        <v>1</v>
      </c>
      <c r="D9" s="3">
        <v>1</v>
      </c>
      <c r="E9">
        <v>14</v>
      </c>
      <c r="F9">
        <v>12</v>
      </c>
      <c r="I9">
        <v>2</v>
      </c>
      <c r="J9">
        <v>2</v>
      </c>
      <c r="M9">
        <f t="array" ref="M9">SUM(E9:H9*I9:L9)/SUM(E9:H9)</f>
        <v>2</v>
      </c>
      <c r="N9">
        <f>AVERAGE(M9:M11)</f>
        <v>1.6666666666666667</v>
      </c>
      <c r="O9">
        <f>_xlfn.STDEV.P(M9:M11)</f>
        <v>0.47140452079103168</v>
      </c>
      <c r="P9">
        <f>0-AVERAGE(E9:E13)</f>
        <v>-15</v>
      </c>
      <c r="Q9">
        <f>0-AVERAGE(F9:F13)</f>
        <v>-11.333333333333334</v>
      </c>
      <c r="R9" s="157" t="e">
        <f>IF(ISNUMBER(0-AVERAGE(G9:G13)),0-AVERAGE(G9:G13),NA())</f>
        <v>#N/A</v>
      </c>
      <c r="S9" t="e">
        <f>IF(ISNUMBER(0-AVERAGE(H9:H13)),0-AVERAGE(H9:H13),NA())</f>
        <v>#N/A</v>
      </c>
      <c r="T9">
        <f>AVERAGE(I9:I13)</f>
        <v>1.6666666666666667</v>
      </c>
      <c r="U9">
        <f>AVERAGE(J9:J13)</f>
        <v>1.6666666666666667</v>
      </c>
      <c r="V9" t="e">
        <f>AVERAGE(K9:K13)</f>
        <v>#DIV/0!</v>
      </c>
      <c r="W9" t="str">
        <f>IF(ISNUMBER(AVERAGE(L9:L13)), AVERAGE(L9:L13), "")</f>
        <v/>
      </c>
      <c r="X9">
        <f>IF(ISNUMBER(_xlfn.STDEV.P(I9:I13)),_xlfn.STDEV.P(I9:I13),"")</f>
        <v>0.47140452079103168</v>
      </c>
      <c r="Y9">
        <f>IF(ISNUMBER(_xlfn.STDEV.P(J9:J13)),_xlfn.STDEV.P(J9:J13),"")</f>
        <v>0.47140452079103168</v>
      </c>
      <c r="Z9" t="str">
        <f>IF(ISNUMBER(_xlfn.STDEV.P(K9:K13)),_xlfn.STDEV.P(K9:K13),"")</f>
        <v/>
      </c>
      <c r="AA9" t="str">
        <f>IF(ISNUMBER(_xlfn.STDEV.P(L9:L13)),_xlfn.STDEV.P(L9:L13),"")</f>
        <v/>
      </c>
      <c r="AC9">
        <f>AVERAGEA(I9:I12)</f>
        <v>1.6666666666666667</v>
      </c>
    </row>
    <row r="10" spans="1:29" x14ac:dyDescent="0.35">
      <c r="A10" t="str">
        <f t="shared" si="0"/>
        <v>AE-1</v>
      </c>
      <c r="B10" s="2" t="s">
        <v>98</v>
      </c>
      <c r="C10">
        <v>1</v>
      </c>
      <c r="D10" s="3">
        <v>2</v>
      </c>
      <c r="E10">
        <v>11</v>
      </c>
      <c r="F10">
        <v>15</v>
      </c>
      <c r="I10">
        <v>1</v>
      </c>
      <c r="J10">
        <v>1</v>
      </c>
      <c r="M10">
        <f t="array" ref="M10">SUM(E10:H10*I10:L10)/SUM(E10:H10)</f>
        <v>1</v>
      </c>
      <c r="AC10">
        <v>0</v>
      </c>
    </row>
    <row r="11" spans="1:29" x14ac:dyDescent="0.35">
      <c r="A11" t="str">
        <f t="shared" si="0"/>
        <v>AE-1</v>
      </c>
      <c r="B11" s="2" t="s">
        <v>98</v>
      </c>
      <c r="C11">
        <v>1</v>
      </c>
      <c r="D11" s="3">
        <v>3</v>
      </c>
      <c r="E11">
        <v>20</v>
      </c>
      <c r="F11">
        <v>7</v>
      </c>
      <c r="I11">
        <v>2</v>
      </c>
      <c r="J11">
        <v>2</v>
      </c>
      <c r="M11">
        <f t="array" ref="M11">SUM(E11:H11*I11:L11)/SUM(E11:H11)</f>
        <v>2</v>
      </c>
      <c r="AC11">
        <v>0</v>
      </c>
    </row>
    <row r="12" spans="1:29" x14ac:dyDescent="0.35">
      <c r="A12" t="str">
        <f t="shared" si="0"/>
        <v>AE-1</v>
      </c>
      <c r="B12" s="2" t="s">
        <v>98</v>
      </c>
      <c r="C12">
        <v>1</v>
      </c>
      <c r="D12" s="3">
        <v>4</v>
      </c>
      <c r="M12" t="e">
        <f t="array" ref="M12">SUM(E12:H12*I12:L12)/SUM(E12:H12)</f>
        <v>#DIV/0!</v>
      </c>
      <c r="AC12">
        <v>0</v>
      </c>
    </row>
    <row r="13" spans="1:29" x14ac:dyDescent="0.35">
      <c r="A13" t="str">
        <f t="shared" si="0"/>
        <v>AE-1</v>
      </c>
      <c r="B13" s="2" t="s">
        <v>98</v>
      </c>
      <c r="C13">
        <v>1</v>
      </c>
      <c r="D13" s="3">
        <v>5</v>
      </c>
      <c r="M13" t="e">
        <f t="array" ref="M13">SUM(E13:H13*I13:L13)/SUM(E13:H13)</f>
        <v>#DIV/0!</v>
      </c>
      <c r="AC13">
        <v>0</v>
      </c>
    </row>
    <row r="14" spans="1:29" x14ac:dyDescent="0.35">
      <c r="A14" t="str">
        <f t="shared" si="0"/>
        <v>Ai-0</v>
      </c>
      <c r="B14" s="2" t="s">
        <v>76</v>
      </c>
      <c r="C14">
        <v>0</v>
      </c>
      <c r="D14" s="3">
        <v>1</v>
      </c>
      <c r="E14">
        <v>7</v>
      </c>
      <c r="F14">
        <v>15</v>
      </c>
      <c r="G14">
        <v>5</v>
      </c>
      <c r="I14">
        <v>1</v>
      </c>
      <c r="J14">
        <v>2</v>
      </c>
      <c r="K14">
        <v>4</v>
      </c>
      <c r="M14">
        <f t="array" ref="M14">SUM(E14:H14*I14:L14)/SUM(E14:H14)</f>
        <v>2.1111111111111112</v>
      </c>
      <c r="N14">
        <f>AVERAGE(M14:M18)</f>
        <v>3.2118996415770611</v>
      </c>
      <c r="O14">
        <f>_xlfn.STDEV.P(M14:M18)</f>
        <v>0.57469027731398148</v>
      </c>
      <c r="P14">
        <f>0-AVERAGE(E14:E18)</f>
        <v>-6</v>
      </c>
      <c r="Q14">
        <f>0-AVERAGE(F14:F18)</f>
        <v>-12</v>
      </c>
      <c r="R14">
        <f>0-AVERAGE(G14:G18)</f>
        <v>-8.1999999999999993</v>
      </c>
      <c r="S14" t="e">
        <f>IF(ISNUMBER(0-AVERAGE(H14:H18)),0-AVERAGE(H14:H18),NA())</f>
        <v>#N/A</v>
      </c>
      <c r="T14">
        <f>AVERAGE(I14:I18)</f>
        <v>1</v>
      </c>
      <c r="U14">
        <f>AVERAGE(J14:J18)</f>
        <v>3.6</v>
      </c>
      <c r="V14">
        <f>AVERAGE(K14:K18)</f>
        <v>4.4000000000000004</v>
      </c>
      <c r="W14" t="str">
        <f>IF(ISNUMBER(AVERAGE(L14:L18)), AVERAGE(L14:L18), "")</f>
        <v/>
      </c>
      <c r="X14">
        <f>IF(ISNUMBER(_xlfn.STDEV.P(I14:I18)),_xlfn.STDEV.P(I14:I18),"")</f>
        <v>0</v>
      </c>
      <c r="Y14">
        <f>IF(ISNUMBER(_xlfn.STDEV.P(J14:J18)),_xlfn.STDEV.P(J14:J18),"")</f>
        <v>0.8</v>
      </c>
      <c r="Z14">
        <f>IF(ISNUMBER(_xlfn.STDEV.P(K14:K18)),_xlfn.STDEV.P(K14:K18),"")</f>
        <v>0.4898979485566356</v>
      </c>
      <c r="AA14" t="str">
        <f>IF(ISNUMBER(_xlfn.STDEV.P(L14:L18)),_xlfn.STDEV.P(L14:L18),"")</f>
        <v/>
      </c>
      <c r="AC14">
        <f>AVERAGEA(I14:I17)</f>
        <v>1</v>
      </c>
    </row>
    <row r="15" spans="1:29" x14ac:dyDescent="0.35">
      <c r="A15" t="str">
        <f t="shared" si="0"/>
        <v>Ai-0</v>
      </c>
      <c r="B15" s="2" t="s">
        <v>76</v>
      </c>
      <c r="C15">
        <v>0</v>
      </c>
      <c r="D15" s="3">
        <v>2</v>
      </c>
      <c r="E15">
        <v>8</v>
      </c>
      <c r="F15">
        <v>13</v>
      </c>
      <c r="G15">
        <v>10</v>
      </c>
      <c r="I15">
        <v>1</v>
      </c>
      <c r="J15">
        <v>4</v>
      </c>
      <c r="K15">
        <v>5</v>
      </c>
      <c r="M15">
        <f t="array" ref="M15">SUM(E15:H15*I15:L15)/SUM(E15:H15)</f>
        <v>3.5483870967741935</v>
      </c>
      <c r="AC15">
        <v>0</v>
      </c>
    </row>
    <row r="16" spans="1:29" x14ac:dyDescent="0.35">
      <c r="A16" t="str">
        <f t="shared" si="0"/>
        <v>Ai-0</v>
      </c>
      <c r="B16" s="2" t="s">
        <v>76</v>
      </c>
      <c r="C16">
        <v>0</v>
      </c>
      <c r="D16" s="3">
        <v>3</v>
      </c>
      <c r="E16">
        <v>5</v>
      </c>
      <c r="F16">
        <v>15</v>
      </c>
      <c r="G16">
        <v>8</v>
      </c>
      <c r="I16">
        <v>1</v>
      </c>
      <c r="J16">
        <v>4</v>
      </c>
      <c r="K16">
        <v>5</v>
      </c>
      <c r="M16">
        <f t="array" ref="M16">SUM(E16:H16*I16:L16)/SUM(E16:H16)</f>
        <v>3.75</v>
      </c>
      <c r="AC16">
        <v>0</v>
      </c>
    </row>
    <row r="17" spans="1:29" x14ac:dyDescent="0.35">
      <c r="A17" t="str">
        <f t="shared" si="0"/>
        <v>Ai-0</v>
      </c>
      <c r="B17" s="2" t="s">
        <v>76</v>
      </c>
      <c r="C17">
        <v>0</v>
      </c>
      <c r="D17" s="3">
        <v>4</v>
      </c>
      <c r="E17">
        <v>5</v>
      </c>
      <c r="F17">
        <v>12</v>
      </c>
      <c r="G17">
        <v>8</v>
      </c>
      <c r="I17">
        <v>1</v>
      </c>
      <c r="J17">
        <v>4</v>
      </c>
      <c r="K17">
        <v>4</v>
      </c>
      <c r="M17">
        <f t="array" ref="M17">SUM(E17:H17*I17:L17)/SUM(E17:H17)</f>
        <v>3.4</v>
      </c>
      <c r="AC17">
        <v>0</v>
      </c>
    </row>
    <row r="18" spans="1:29" x14ac:dyDescent="0.35">
      <c r="A18" t="str">
        <f t="shared" si="0"/>
        <v>Ai-0</v>
      </c>
      <c r="B18" s="2" t="s">
        <v>76</v>
      </c>
      <c r="C18">
        <v>0</v>
      </c>
      <c r="D18" s="3">
        <v>5</v>
      </c>
      <c r="E18">
        <v>5</v>
      </c>
      <c r="F18">
        <v>5</v>
      </c>
      <c r="G18">
        <v>10</v>
      </c>
      <c r="I18">
        <v>1</v>
      </c>
      <c r="J18">
        <v>4</v>
      </c>
      <c r="K18">
        <v>4</v>
      </c>
      <c r="M18">
        <f t="array" ref="M18">SUM(E18:H18*I18:L18)/SUM(E18:H18)</f>
        <v>3.25</v>
      </c>
      <c r="AC18">
        <v>0</v>
      </c>
    </row>
    <row r="19" spans="1:29" x14ac:dyDescent="0.35">
      <c r="A19" t="str">
        <f t="shared" si="0"/>
        <v>Ai-1</v>
      </c>
      <c r="B19" s="2" t="s">
        <v>76</v>
      </c>
      <c r="C19">
        <v>1</v>
      </c>
      <c r="D19" s="3">
        <v>1</v>
      </c>
      <c r="E19">
        <v>6</v>
      </c>
      <c r="F19">
        <v>7</v>
      </c>
      <c r="G19">
        <v>7</v>
      </c>
      <c r="H19">
        <v>5</v>
      </c>
      <c r="I19">
        <v>2</v>
      </c>
      <c r="J19">
        <v>3</v>
      </c>
      <c r="K19">
        <v>3</v>
      </c>
      <c r="L19">
        <v>4</v>
      </c>
      <c r="M19">
        <f t="array" ref="M19">SUM(E19:H19*I19:L19)/SUM(E19:H19)</f>
        <v>2.96</v>
      </c>
      <c r="N19">
        <f>AVERAGE(M19:M23)</f>
        <v>3.1999425857790706</v>
      </c>
      <c r="O19">
        <f>_xlfn.STDEV.P(M19:M23)</f>
        <v>0.18026855841509445</v>
      </c>
      <c r="P19">
        <f>0-AVERAGE(E19:E23)</f>
        <v>-5.6</v>
      </c>
      <c r="Q19">
        <f>0-AVERAGE(F19:F23)</f>
        <v>-7.6</v>
      </c>
      <c r="R19">
        <f>0-AVERAGE(G19:G23)</f>
        <v>-10</v>
      </c>
      <c r="S19">
        <f>IF(ISNUMBER(0-AVERAGE(H19:H23)),0-AVERAGE(H19:H23),NA())</f>
        <v>-4.75</v>
      </c>
      <c r="T19">
        <f>AVERAGE(I19:I23)</f>
        <v>1.4</v>
      </c>
      <c r="U19">
        <f>AVERAGE(J19:J23)</f>
        <v>3</v>
      </c>
      <c r="V19">
        <f>AVERAGE(K19:K23)</f>
        <v>3.8</v>
      </c>
      <c r="W19">
        <f>IF(ISNUMBER(AVERAGE(L19:L23)), AVERAGE(L19:L23), "")</f>
        <v>4.25</v>
      </c>
      <c r="X19">
        <f>IF(ISNUMBER(_xlfn.STDEV.P(I19:I23)),_xlfn.STDEV.P(I19:I23),"")</f>
        <v>0.4898979485566356</v>
      </c>
      <c r="Y19">
        <f>IF(ISNUMBER(_xlfn.STDEV.P(J19:J23)),_xlfn.STDEV.P(J19:J23),"")</f>
        <v>0.63245553203367588</v>
      </c>
      <c r="Z19">
        <f>IF(ISNUMBER(_xlfn.STDEV.P(K19:K23)),_xlfn.STDEV.P(K19:K23),"")</f>
        <v>0.4</v>
      </c>
      <c r="AA19">
        <f>IF(ISNUMBER(_xlfn.STDEV.P(L19:L23)),_xlfn.STDEV.P(L19:L23),"")</f>
        <v>0.4330127018922193</v>
      </c>
      <c r="AC19">
        <f>AVERAGEA(I19:I22)</f>
        <v>1.5</v>
      </c>
    </row>
    <row r="20" spans="1:29" x14ac:dyDescent="0.35">
      <c r="A20" t="str">
        <f t="shared" si="0"/>
        <v>Ai-1</v>
      </c>
      <c r="B20" s="2" t="s">
        <v>76</v>
      </c>
      <c r="C20">
        <v>1</v>
      </c>
      <c r="D20" s="3">
        <v>2</v>
      </c>
      <c r="E20">
        <v>6</v>
      </c>
      <c r="F20">
        <v>12</v>
      </c>
      <c r="G20">
        <v>7</v>
      </c>
      <c r="H20">
        <v>6</v>
      </c>
      <c r="I20">
        <v>2</v>
      </c>
      <c r="J20">
        <v>3</v>
      </c>
      <c r="K20">
        <v>4</v>
      </c>
      <c r="L20">
        <v>5</v>
      </c>
      <c r="M20">
        <f t="array" ref="M20">SUM(E20:H20*I20:L20)/SUM(E20:H20)</f>
        <v>3.4193548387096775</v>
      </c>
      <c r="AC20">
        <v>0</v>
      </c>
    </row>
    <row r="21" spans="1:29" x14ac:dyDescent="0.35">
      <c r="A21" t="str">
        <f t="shared" si="0"/>
        <v>Ai-1</v>
      </c>
      <c r="B21" s="2" t="s">
        <v>76</v>
      </c>
      <c r="C21">
        <v>1</v>
      </c>
      <c r="D21" s="3">
        <v>3</v>
      </c>
      <c r="E21">
        <v>6</v>
      </c>
      <c r="F21">
        <v>5</v>
      </c>
      <c r="G21">
        <v>15</v>
      </c>
      <c r="H21">
        <v>3</v>
      </c>
      <c r="I21">
        <v>1</v>
      </c>
      <c r="J21">
        <v>3</v>
      </c>
      <c r="K21">
        <v>4</v>
      </c>
      <c r="L21">
        <v>4</v>
      </c>
      <c r="M21">
        <f t="array" ref="M21">SUM(E21:H21*I21:L21)/SUM(E21:H21)</f>
        <v>3.2068965517241379</v>
      </c>
      <c r="AC21">
        <v>0</v>
      </c>
    </row>
    <row r="22" spans="1:29" x14ac:dyDescent="0.35">
      <c r="A22" t="str">
        <f t="shared" si="0"/>
        <v>Ai-1</v>
      </c>
      <c r="B22" s="2" t="s">
        <v>76</v>
      </c>
      <c r="C22">
        <v>1</v>
      </c>
      <c r="D22" s="3">
        <v>4</v>
      </c>
      <c r="E22">
        <v>5</v>
      </c>
      <c r="F22">
        <v>9</v>
      </c>
      <c r="G22">
        <v>10</v>
      </c>
      <c r="I22">
        <v>1</v>
      </c>
      <c r="J22">
        <v>4</v>
      </c>
      <c r="K22">
        <v>4</v>
      </c>
      <c r="M22">
        <f t="array" ref="M22">SUM(E22:H22*I22:L22)/SUM(E22:H22)</f>
        <v>3.375</v>
      </c>
      <c r="AC22">
        <v>0</v>
      </c>
    </row>
    <row r="23" spans="1:29" x14ac:dyDescent="0.35">
      <c r="A23" t="str">
        <f t="shared" si="0"/>
        <v>Ai-1</v>
      </c>
      <c r="B23" s="2" t="s">
        <v>76</v>
      </c>
      <c r="C23">
        <v>1</v>
      </c>
      <c r="D23" s="3">
        <v>5</v>
      </c>
      <c r="E23">
        <v>5</v>
      </c>
      <c r="F23">
        <v>5</v>
      </c>
      <c r="G23">
        <v>11</v>
      </c>
      <c r="H23">
        <v>5</v>
      </c>
      <c r="I23">
        <v>1</v>
      </c>
      <c r="J23">
        <v>2</v>
      </c>
      <c r="K23">
        <v>4</v>
      </c>
      <c r="L23">
        <v>4</v>
      </c>
      <c r="M23">
        <f t="array" ref="M23">SUM(E23:H23*I23:L23)/SUM(E23:H23)</f>
        <v>3.0384615384615383</v>
      </c>
      <c r="AC23">
        <v>0</v>
      </c>
    </row>
    <row r="24" spans="1:29" x14ac:dyDescent="0.35">
      <c r="A24" t="str">
        <f t="shared" si="0"/>
        <v>Ik-0</v>
      </c>
      <c r="B24" s="2" t="s">
        <v>99</v>
      </c>
      <c r="C24">
        <v>0</v>
      </c>
      <c r="D24" s="3">
        <v>1</v>
      </c>
      <c r="E24">
        <v>5</v>
      </c>
      <c r="F24">
        <v>7</v>
      </c>
      <c r="G24">
        <v>12</v>
      </c>
      <c r="H24">
        <v>10</v>
      </c>
      <c r="I24">
        <v>1</v>
      </c>
      <c r="J24">
        <v>3</v>
      </c>
      <c r="K24">
        <v>4</v>
      </c>
      <c r="L24">
        <v>2</v>
      </c>
      <c r="M24">
        <f t="array" ref="M24">SUM(E24:H24*I24:L24)/SUM(E24:H24)</f>
        <v>2.7647058823529411</v>
      </c>
      <c r="N24">
        <f>AVERAGE(M24:M26)</f>
        <v>3.4607209263015548</v>
      </c>
      <c r="O24">
        <f>_xlfn.STDEV.P(M24:M26)</f>
        <v>0.52462275146611537</v>
      </c>
      <c r="P24">
        <f>0-AVERAGE(E24:E28)</f>
        <v>-4.333333333333333</v>
      </c>
      <c r="Q24">
        <f>0-AVERAGE(F24:F28)</f>
        <v>-13.333333333333334</v>
      </c>
      <c r="R24">
        <f>0-AVERAGE(G24:G28)</f>
        <v>-9</v>
      </c>
      <c r="S24">
        <f>IF(ISNUMBER(0-AVERAGE(H24:H28)),0-AVERAGE(H24:H28),NA())</f>
        <v>-7.5</v>
      </c>
      <c r="T24">
        <f>AVERAGE(I24:I28)</f>
        <v>1.6666666666666667</v>
      </c>
      <c r="U24">
        <f>AVERAGE(J24:J28)</f>
        <v>3.6666666666666665</v>
      </c>
      <c r="V24">
        <f>AVERAGE(K24:K28)</f>
        <v>4</v>
      </c>
      <c r="W24">
        <f>IF(ISNUMBER(AVERAGE(L24:L28)), AVERAGE(L24:L28), "")</f>
        <v>3.5</v>
      </c>
      <c r="X24">
        <f>IF(ISNUMBER(_xlfn.STDEV.P(I24:I28)),_xlfn.STDEV.P(I24:I28),"")</f>
        <v>0.94280904158206336</v>
      </c>
      <c r="Y24">
        <f>IF(ISNUMBER(_xlfn.STDEV.P(J24:J28)),_xlfn.STDEV.P(J24:J28),"")</f>
        <v>0.47140452079103168</v>
      </c>
      <c r="Z24">
        <f>IF(ISNUMBER(_xlfn.STDEV.P(K24:K28)),_xlfn.STDEV.P(K24:K28),"")</f>
        <v>0</v>
      </c>
      <c r="AA24">
        <f>IF(ISNUMBER(_xlfn.STDEV.P(L24:L28)),_xlfn.STDEV.P(L24:L28),"")</f>
        <v>1.5</v>
      </c>
      <c r="AC24">
        <f>AVERAGEA(I24:I27)</f>
        <v>1.6666666666666667</v>
      </c>
    </row>
    <row r="25" spans="1:29" x14ac:dyDescent="0.35">
      <c r="A25" t="str">
        <f t="shared" si="0"/>
        <v>Ik-0</v>
      </c>
      <c r="B25" s="2" t="s">
        <v>99</v>
      </c>
      <c r="C25">
        <v>0</v>
      </c>
      <c r="D25" s="3">
        <v>2</v>
      </c>
      <c r="E25">
        <v>4</v>
      </c>
      <c r="F25">
        <v>20</v>
      </c>
      <c r="G25">
        <v>5</v>
      </c>
      <c r="I25">
        <v>1</v>
      </c>
      <c r="J25">
        <v>4</v>
      </c>
      <c r="K25">
        <v>4</v>
      </c>
      <c r="M25">
        <f t="array" ref="M25">SUM(E25:H25*I25:L25)/SUM(E25:H25)</f>
        <v>3.5862068965517242</v>
      </c>
      <c r="AC25">
        <v>0</v>
      </c>
    </row>
    <row r="26" spans="1:29" x14ac:dyDescent="0.35">
      <c r="A26" t="str">
        <f t="shared" si="0"/>
        <v>Ik-0</v>
      </c>
      <c r="B26" s="2" t="s">
        <v>99</v>
      </c>
      <c r="C26">
        <v>0</v>
      </c>
      <c r="D26" s="3">
        <v>3</v>
      </c>
      <c r="E26">
        <v>4</v>
      </c>
      <c r="F26">
        <v>13</v>
      </c>
      <c r="G26">
        <v>10</v>
      </c>
      <c r="H26">
        <v>5</v>
      </c>
      <c r="I26">
        <v>3</v>
      </c>
      <c r="J26">
        <v>4</v>
      </c>
      <c r="K26">
        <v>4</v>
      </c>
      <c r="L26">
        <v>5</v>
      </c>
      <c r="M26">
        <f t="array" ref="M26">SUM(E26:H26*I26:L26)/SUM(E26:H26)</f>
        <v>4.03125</v>
      </c>
      <c r="AC26">
        <v>0</v>
      </c>
    </row>
    <row r="27" spans="1:29" x14ac:dyDescent="0.35">
      <c r="A27" t="str">
        <f t="shared" si="0"/>
        <v>Ik-0</v>
      </c>
      <c r="B27" s="2" t="s">
        <v>99</v>
      </c>
      <c r="C27">
        <v>0</v>
      </c>
      <c r="D27" s="3">
        <v>4</v>
      </c>
      <c r="M27" t="e">
        <f t="array" ref="M27">SUM(E27:H27*I27:L27)/SUM(E27:H27)</f>
        <v>#DIV/0!</v>
      </c>
      <c r="AC27">
        <v>0</v>
      </c>
    </row>
    <row r="28" spans="1:29" x14ac:dyDescent="0.35">
      <c r="A28" t="str">
        <f t="shared" si="0"/>
        <v>Ik-0</v>
      </c>
      <c r="B28" s="2" t="s">
        <v>99</v>
      </c>
      <c r="C28">
        <v>0</v>
      </c>
      <c r="D28" s="3">
        <v>5</v>
      </c>
      <c r="M28" t="e">
        <f t="array" ref="M28">SUM(E28:H28*I28:L28)/SUM(E28:H28)</f>
        <v>#DIV/0!</v>
      </c>
      <c r="AC28">
        <v>0</v>
      </c>
    </row>
    <row r="29" spans="1:29" x14ac:dyDescent="0.35">
      <c r="A29" t="str">
        <f t="shared" si="0"/>
        <v>Ik-1</v>
      </c>
      <c r="B29" s="2" t="s">
        <v>99</v>
      </c>
      <c r="C29">
        <v>1</v>
      </c>
      <c r="D29" s="3">
        <v>1</v>
      </c>
      <c r="E29">
        <v>5</v>
      </c>
      <c r="F29">
        <v>20</v>
      </c>
      <c r="G29">
        <v>5</v>
      </c>
      <c r="I29">
        <v>1</v>
      </c>
      <c r="J29">
        <v>2</v>
      </c>
      <c r="K29">
        <v>2</v>
      </c>
      <c r="M29">
        <f t="array" ref="M29">SUM(E29:H29*I29:L29)/SUM(E29:H29)</f>
        <v>1.8333333333333333</v>
      </c>
      <c r="N29">
        <f>AVERAGE(M29:M31)</f>
        <v>1.9506172839506171</v>
      </c>
      <c r="O29">
        <f>_xlfn.STDEV.P(M29:M31)</f>
        <v>0.1658645536116593</v>
      </c>
      <c r="P29">
        <f>0-AVERAGE(E29:E33)</f>
        <v>-5</v>
      </c>
      <c r="Q29">
        <f>0-AVERAGE(F29:F33)</f>
        <v>-19</v>
      </c>
      <c r="R29">
        <f>0-AVERAGE(G29:G33)</f>
        <v>-5</v>
      </c>
      <c r="S29" t="e">
        <f>IF(ISNUMBER(0-AVERAGE(H29:H33)),0-AVERAGE(H29:H33),NA())</f>
        <v>#N/A</v>
      </c>
      <c r="T29">
        <f>AVERAGE(I29:I33)</f>
        <v>1</v>
      </c>
      <c r="U29">
        <f>AVERAGE(J29:J33)</f>
        <v>2</v>
      </c>
      <c r="V29">
        <f>AVERAGE(K29:K33)</f>
        <v>2.6666666666666665</v>
      </c>
      <c r="W29" t="str">
        <f>IF(ISNUMBER(AVERAGE(L29:L33)), AVERAGE(L29:L33), "")</f>
        <v/>
      </c>
      <c r="X29">
        <f>IF(ISNUMBER(_xlfn.STDEV.P(I29:I33)),_xlfn.STDEV.P(I29:I33),"")</f>
        <v>0</v>
      </c>
      <c r="Y29">
        <f>IF(ISNUMBER(_xlfn.STDEV.P(J29:J33)),_xlfn.STDEV.P(J29:J33),"")</f>
        <v>0</v>
      </c>
      <c r="Z29">
        <f>IF(ISNUMBER(_xlfn.STDEV.P(K29:K33)),_xlfn.STDEV.P(K29:K33),"")</f>
        <v>0.94280904158206336</v>
      </c>
      <c r="AA29" t="str">
        <f>IF(ISNUMBER(_xlfn.STDEV.P(L29:L33)),_xlfn.STDEV.P(L29:L33),"")</f>
        <v/>
      </c>
      <c r="AC29">
        <f>AVERAGEA(I29:I32)</f>
        <v>1</v>
      </c>
    </row>
    <row r="30" spans="1:29" x14ac:dyDescent="0.35">
      <c r="A30" t="str">
        <f t="shared" si="0"/>
        <v>Ik-1</v>
      </c>
      <c r="B30" s="2" t="s">
        <v>99</v>
      </c>
      <c r="C30">
        <v>1</v>
      </c>
      <c r="D30" s="3">
        <v>2</v>
      </c>
      <c r="E30">
        <v>5</v>
      </c>
      <c r="F30">
        <v>20</v>
      </c>
      <c r="G30">
        <v>5</v>
      </c>
      <c r="I30">
        <v>1</v>
      </c>
      <c r="J30">
        <v>2</v>
      </c>
      <c r="K30">
        <v>2</v>
      </c>
      <c r="M30">
        <f t="array" ref="M30">SUM(E30:H30*I30:L30)/SUM(E30:H30)</f>
        <v>1.8333333333333333</v>
      </c>
      <c r="AC30">
        <v>0</v>
      </c>
    </row>
    <row r="31" spans="1:29" x14ac:dyDescent="0.35">
      <c r="A31" t="str">
        <f t="shared" si="0"/>
        <v>Ik-1</v>
      </c>
      <c r="B31" s="2" t="s">
        <v>99</v>
      </c>
      <c r="C31">
        <v>1</v>
      </c>
      <c r="D31" s="3">
        <v>3</v>
      </c>
      <c r="E31">
        <v>5</v>
      </c>
      <c r="F31">
        <v>17</v>
      </c>
      <c r="G31">
        <v>5</v>
      </c>
      <c r="I31">
        <v>1</v>
      </c>
      <c r="J31">
        <v>2</v>
      </c>
      <c r="K31">
        <v>4</v>
      </c>
      <c r="M31">
        <f t="array" ref="M31">SUM(E31:H31*I31:L31)/SUM(E31:H31)</f>
        <v>2.1851851851851851</v>
      </c>
      <c r="AC31">
        <v>0</v>
      </c>
    </row>
    <row r="32" spans="1:29" x14ac:dyDescent="0.35">
      <c r="A32" t="str">
        <f t="shared" si="0"/>
        <v>Ik-1</v>
      </c>
      <c r="B32" s="2" t="s">
        <v>99</v>
      </c>
      <c r="C32">
        <v>1</v>
      </c>
      <c r="D32" s="3">
        <v>4</v>
      </c>
      <c r="M32" t="e">
        <f t="array" ref="M32">SUM(E32:H32*I32:L32)/SUM(E32:H32)</f>
        <v>#DIV/0!</v>
      </c>
      <c r="AC32">
        <v>0</v>
      </c>
    </row>
    <row r="33" spans="1:29" x14ac:dyDescent="0.35">
      <c r="A33" t="str">
        <f t="shared" si="0"/>
        <v>Ik-1</v>
      </c>
      <c r="B33" s="2" t="s">
        <v>99</v>
      </c>
      <c r="C33">
        <v>1</v>
      </c>
      <c r="D33" s="3">
        <v>5</v>
      </c>
      <c r="M33" t="e">
        <f t="array" ref="M33">SUM(E33:H33*I33:L33)/SUM(E33:H33)</f>
        <v>#DIV/0!</v>
      </c>
      <c r="AC33">
        <v>0</v>
      </c>
    </row>
    <row r="34" spans="1:29" x14ac:dyDescent="0.35">
      <c r="A34" t="str">
        <f t="shared" si="0"/>
        <v>Ja-0</v>
      </c>
      <c r="B34" s="2" t="s">
        <v>73</v>
      </c>
      <c r="C34">
        <v>0</v>
      </c>
      <c r="D34" s="3">
        <v>1</v>
      </c>
      <c r="E34">
        <v>6</v>
      </c>
      <c r="F34">
        <v>12</v>
      </c>
      <c r="G34">
        <v>8</v>
      </c>
      <c r="H34">
        <v>6</v>
      </c>
      <c r="I34">
        <v>1</v>
      </c>
      <c r="J34">
        <v>4</v>
      </c>
      <c r="K34">
        <v>4</v>
      </c>
      <c r="L34">
        <v>5</v>
      </c>
      <c r="M34">
        <f t="array" ref="M34">SUM(E34:H34*I34:L34)/SUM(E34:H34)</f>
        <v>3.625</v>
      </c>
      <c r="N34">
        <f>AVERAGE(M34:M36)</f>
        <v>3.2221264367816089</v>
      </c>
      <c r="O34">
        <f>_xlfn.STDEV.P(M34:M36)</f>
        <v>0.33707986675300428</v>
      </c>
      <c r="P34">
        <f>0-AVERAGE(E34:E38)</f>
        <v>-6</v>
      </c>
      <c r="Q34">
        <f>0-AVERAGE(F34:F38)</f>
        <v>-11.333333333333334</v>
      </c>
      <c r="R34">
        <f>0-AVERAGE(G34:G38)</f>
        <v>-9</v>
      </c>
      <c r="S34">
        <f>IF(ISNUMBER(0-AVERAGE(H34:H38)),0-AVERAGE(H34:H38),"")</f>
        <v>-6</v>
      </c>
      <c r="T34">
        <f>AVERAGE(I34:I38)</f>
        <v>1</v>
      </c>
      <c r="U34">
        <f>AVERAGE(J34:J38)</f>
        <v>3.3333333333333335</v>
      </c>
      <c r="V34">
        <f>AVERAGE(K34:K38)</f>
        <v>4</v>
      </c>
      <c r="W34">
        <f>IF(ISNUMBER(AVERAGE(L34:L38)), AVERAGE(L34:L38), "")</f>
        <v>4.5</v>
      </c>
      <c r="X34">
        <f>IF(ISNUMBER(_xlfn.STDEV.P(I34:I38)),_xlfn.STDEV.P(I34:I38),"")</f>
        <v>0</v>
      </c>
      <c r="Y34">
        <f>IF(ISNUMBER(_xlfn.STDEV.P(J34:J38)),_xlfn.STDEV.P(J34:J38),"")</f>
        <v>0.47140452079103168</v>
      </c>
      <c r="Z34">
        <f>IF(ISNUMBER(_xlfn.STDEV.P(K34:K38)),_xlfn.STDEV.P(K34:K38),"")</f>
        <v>0</v>
      </c>
      <c r="AA34">
        <f>IF(ISNUMBER(_xlfn.STDEV.P(L34:L38)),_xlfn.STDEV.P(L34:L38),"")</f>
        <v>0.5</v>
      </c>
      <c r="AC34">
        <f>AVERAGEA(I34:I37)</f>
        <v>1</v>
      </c>
    </row>
    <row r="35" spans="1:29" x14ac:dyDescent="0.35">
      <c r="A35" t="str">
        <f t="shared" si="0"/>
        <v>Ja-0</v>
      </c>
      <c r="B35" s="2" t="s">
        <v>73</v>
      </c>
      <c r="C35">
        <v>0</v>
      </c>
      <c r="D35" s="3">
        <v>2</v>
      </c>
      <c r="E35">
        <v>6</v>
      </c>
      <c r="F35">
        <v>18</v>
      </c>
      <c r="G35">
        <v>6</v>
      </c>
      <c r="I35">
        <v>1</v>
      </c>
      <c r="J35">
        <v>3</v>
      </c>
      <c r="K35">
        <v>4</v>
      </c>
      <c r="M35">
        <f t="array" ref="M35">SUM(E35:H35*I35:L35)/SUM(E35:H35)</f>
        <v>2.8</v>
      </c>
      <c r="AC35">
        <v>0</v>
      </c>
    </row>
    <row r="36" spans="1:29" x14ac:dyDescent="0.35">
      <c r="A36" t="str">
        <f t="shared" ref="A36:A67" si="1">B36&amp;"-"&amp;C36</f>
        <v>Ja-0</v>
      </c>
      <c r="B36" s="2" t="s">
        <v>73</v>
      </c>
      <c r="C36">
        <v>0</v>
      </c>
      <c r="D36" s="3">
        <v>3</v>
      </c>
      <c r="E36">
        <v>6</v>
      </c>
      <c r="F36">
        <v>4</v>
      </c>
      <c r="G36">
        <v>13</v>
      </c>
      <c r="H36">
        <v>6</v>
      </c>
      <c r="I36">
        <v>1</v>
      </c>
      <c r="J36">
        <v>3</v>
      </c>
      <c r="K36">
        <v>4</v>
      </c>
      <c r="L36">
        <v>4</v>
      </c>
      <c r="M36">
        <f t="array" ref="M36">SUM(E36:H36*I36:L36)/SUM(E36:H36)</f>
        <v>3.2413793103448274</v>
      </c>
      <c r="AC36">
        <v>0</v>
      </c>
    </row>
    <row r="37" spans="1:29" x14ac:dyDescent="0.35">
      <c r="A37" t="str">
        <f t="shared" si="1"/>
        <v>Ja-0</v>
      </c>
      <c r="B37" s="2" t="s">
        <v>73</v>
      </c>
      <c r="C37">
        <v>0</v>
      </c>
      <c r="D37" s="3">
        <v>4</v>
      </c>
      <c r="M37" t="e">
        <f t="array" ref="M37">SUM(E37:H37*I37:L37)/SUM(E37:H37)</f>
        <v>#DIV/0!</v>
      </c>
      <c r="AC37">
        <v>0</v>
      </c>
    </row>
    <row r="38" spans="1:29" x14ac:dyDescent="0.35">
      <c r="A38" t="str">
        <f t="shared" si="1"/>
        <v>Ja-0</v>
      </c>
      <c r="B38" s="2" t="s">
        <v>73</v>
      </c>
      <c r="C38">
        <v>0</v>
      </c>
      <c r="D38" s="3">
        <v>5</v>
      </c>
      <c r="M38" t="e">
        <f t="array" ref="M38">SUM(E38:H38*I38:L38)/SUM(E38:H38)</f>
        <v>#DIV/0!</v>
      </c>
      <c r="AC38">
        <v>0</v>
      </c>
    </row>
    <row r="39" spans="1:29" x14ac:dyDescent="0.35">
      <c r="A39" t="str">
        <f t="shared" si="1"/>
        <v>Ja-1</v>
      </c>
      <c r="B39" s="2" t="s">
        <v>73</v>
      </c>
      <c r="C39">
        <v>1</v>
      </c>
      <c r="D39" s="3">
        <v>1</v>
      </c>
      <c r="E39">
        <v>6</v>
      </c>
      <c r="F39">
        <v>10</v>
      </c>
      <c r="G39">
        <v>11</v>
      </c>
      <c r="H39">
        <v>5</v>
      </c>
      <c r="I39">
        <v>1</v>
      </c>
      <c r="J39">
        <v>2</v>
      </c>
      <c r="K39">
        <v>3</v>
      </c>
      <c r="L39">
        <v>4</v>
      </c>
      <c r="M39">
        <f t="array" ref="M39">SUM(E39:H39*I39:L39)/SUM(E39:H39)</f>
        <v>2.46875</v>
      </c>
      <c r="N39">
        <f>AVERAGE(M39:M41)</f>
        <v>3.1042032163742692</v>
      </c>
      <c r="O39">
        <f>_xlfn.STDEV.P(M39:M41)</f>
        <v>0.48134674693086393</v>
      </c>
      <c r="P39">
        <f>0-AVERAGE(E39:E43)</f>
        <v>-5.333333333333333</v>
      </c>
      <c r="Q39">
        <f>0-AVERAGE(F39:F43)</f>
        <v>-13.333333333333334</v>
      </c>
      <c r="R39">
        <f>0-AVERAGE(G39:G43)</f>
        <v>-9.6666666666666661</v>
      </c>
      <c r="S39">
        <f>IF(ISNUMBER(0-AVERAGE(H39:H43)),0-AVERAGE(H39:H43),"")</f>
        <v>-5</v>
      </c>
      <c r="T39">
        <f>AVERAGE(I39:I43)</f>
        <v>1</v>
      </c>
      <c r="U39">
        <f>AVERAGE(J39:J43)</f>
        <v>3</v>
      </c>
      <c r="V39">
        <f>AVERAGE(K39:K43)</f>
        <v>3.6666666666666665</v>
      </c>
      <c r="W39">
        <f>IF(ISNUMBER(AVERAGE(L39:L43)), AVERAGE(L39:L43), "")</f>
        <v>4.333333333333333</v>
      </c>
      <c r="X39">
        <f>IF(ISNUMBER(_xlfn.STDEV.P(I39:I43)),_xlfn.STDEV.P(I39:I43),"")</f>
        <v>0</v>
      </c>
      <c r="Y39">
        <f>IF(ISNUMBER(_xlfn.STDEV.P(J39:J43)),_xlfn.STDEV.P(J39:J43),"")</f>
        <v>0.81649658092772603</v>
      </c>
      <c r="Z39">
        <f>IF(ISNUMBER(_xlfn.STDEV.P(K39:K43)),_xlfn.STDEV.P(K39:K43),"")</f>
        <v>0.47140452079103168</v>
      </c>
      <c r="AA39">
        <f>IF(ISNUMBER(_xlfn.STDEV.P(L39:L43)),_xlfn.STDEV.P(L39:L43),"")</f>
        <v>0.47140452079103168</v>
      </c>
      <c r="AC39">
        <f>AVERAGEA(I39:I42)</f>
        <v>1</v>
      </c>
    </row>
    <row r="40" spans="1:29" x14ac:dyDescent="0.35">
      <c r="A40" t="str">
        <f t="shared" si="1"/>
        <v>Ja-1</v>
      </c>
      <c r="B40" s="2" t="s">
        <v>73</v>
      </c>
      <c r="C40">
        <v>1</v>
      </c>
      <c r="D40" s="3">
        <v>2</v>
      </c>
      <c r="E40">
        <v>5</v>
      </c>
      <c r="F40">
        <v>15</v>
      </c>
      <c r="G40">
        <v>12</v>
      </c>
      <c r="H40">
        <v>6</v>
      </c>
      <c r="I40">
        <v>1</v>
      </c>
      <c r="J40">
        <v>3</v>
      </c>
      <c r="K40">
        <v>4</v>
      </c>
      <c r="L40">
        <v>4</v>
      </c>
      <c r="M40">
        <f t="array" ref="M40">SUM(E40:H40*I40:L40)/SUM(E40:H40)</f>
        <v>3.2105263157894739</v>
      </c>
      <c r="AC40">
        <v>0</v>
      </c>
    </row>
    <row r="41" spans="1:29" x14ac:dyDescent="0.35">
      <c r="A41" t="str">
        <f t="shared" si="1"/>
        <v>Ja-1</v>
      </c>
      <c r="B41" s="2" t="s">
        <v>73</v>
      </c>
      <c r="C41">
        <v>1</v>
      </c>
      <c r="D41" s="3">
        <v>3</v>
      </c>
      <c r="E41">
        <v>5</v>
      </c>
      <c r="F41">
        <v>15</v>
      </c>
      <c r="G41">
        <v>6</v>
      </c>
      <c r="H41">
        <v>4</v>
      </c>
      <c r="I41">
        <v>1</v>
      </c>
      <c r="J41">
        <v>4</v>
      </c>
      <c r="K41">
        <v>4</v>
      </c>
      <c r="L41">
        <v>5</v>
      </c>
      <c r="M41">
        <f t="array" ref="M41">SUM(E41:H41*I41:L41)/SUM(E41:H41)</f>
        <v>3.6333333333333333</v>
      </c>
      <c r="AC41">
        <v>0</v>
      </c>
    </row>
    <row r="42" spans="1:29" x14ac:dyDescent="0.35">
      <c r="A42" t="str">
        <f t="shared" si="1"/>
        <v>Ja-1</v>
      </c>
      <c r="B42" s="2" t="s">
        <v>73</v>
      </c>
      <c r="C42">
        <v>1</v>
      </c>
      <c r="D42" s="3">
        <v>4</v>
      </c>
      <c r="M42" t="e">
        <f t="array" ref="M42">SUM(E42:H42*I42:L42)/SUM(E42:H42)</f>
        <v>#DIV/0!</v>
      </c>
      <c r="AC42">
        <v>0</v>
      </c>
    </row>
    <row r="43" spans="1:29" x14ac:dyDescent="0.35">
      <c r="A43" t="str">
        <f t="shared" si="1"/>
        <v>Ja-1</v>
      </c>
      <c r="B43" s="2" t="s">
        <v>73</v>
      </c>
      <c r="C43">
        <v>1</v>
      </c>
      <c r="D43" s="3">
        <v>5</v>
      </c>
      <c r="M43" t="e">
        <f t="array" ref="M43">SUM(E43:H43*I43:L43)/SUM(E43:H43)</f>
        <v>#DIV/0!</v>
      </c>
      <c r="AC43">
        <v>0</v>
      </c>
    </row>
    <row r="44" spans="1:29" x14ac:dyDescent="0.35">
      <c r="A44" t="str">
        <f t="shared" si="1"/>
        <v>Jn-0</v>
      </c>
      <c r="B44" s="2" t="s">
        <v>84</v>
      </c>
      <c r="C44">
        <v>0</v>
      </c>
      <c r="D44" s="3">
        <v>1</v>
      </c>
      <c r="E44">
        <v>5</v>
      </c>
      <c r="F44">
        <v>13</v>
      </c>
      <c r="G44">
        <v>9</v>
      </c>
      <c r="I44">
        <v>1</v>
      </c>
      <c r="J44">
        <v>3</v>
      </c>
      <c r="K44">
        <v>4</v>
      </c>
      <c r="M44">
        <f t="array" ref="M44">SUM(E44:H44*I44:L44)/SUM(E44:H44)</f>
        <v>2.9629629629629628</v>
      </c>
      <c r="N44">
        <f>AVERAGE(M44:M46)</f>
        <v>2.7416225749559082</v>
      </c>
      <c r="O44">
        <f>_xlfn.STDEV.P(M44:M46)</f>
        <v>0.22759866052470007</v>
      </c>
      <c r="P44">
        <f>0-AVERAGE(E44:E48)</f>
        <v>-6</v>
      </c>
      <c r="Q44">
        <f>0-AVERAGE(F44:F48)</f>
        <v>-11.333333333333334</v>
      </c>
      <c r="R44">
        <f>0-AVERAGE(G44:G48)</f>
        <v>-9</v>
      </c>
      <c r="S44">
        <f>IF(ISNUMBER(0-AVERAGE(H44:H48)),0-AVERAGE(H44:H48),NA())</f>
        <v>-6</v>
      </c>
      <c r="T44">
        <f>AVERAGE(I44:I48)</f>
        <v>1</v>
      </c>
      <c r="U44">
        <f>AVERAGE(J44:J48)</f>
        <v>2.8333333333333335</v>
      </c>
      <c r="V44">
        <f>AVERAGE(K44:K48)</f>
        <v>3.5</v>
      </c>
      <c r="W44">
        <f>IF(ISNUMBER(AVERAGE(L44:L48)), AVERAGE(L44:L48), "")</f>
        <v>3</v>
      </c>
      <c r="X44">
        <f>IF(ISNUMBER(_xlfn.STDEV.P(I44:I48)),_xlfn.STDEV.P(I44:I48),"")</f>
        <v>0</v>
      </c>
      <c r="Y44">
        <f>IF(ISNUMBER(_xlfn.STDEV.P(J44:J48)),_xlfn.STDEV.P(J44:J48),"")</f>
        <v>0.62360956446232352</v>
      </c>
      <c r="Z44">
        <f>IF(ISNUMBER(_xlfn.STDEV.P(K44:K48)),_xlfn.STDEV.P(K44:K48),"")</f>
        <v>0.40824829046386302</v>
      </c>
      <c r="AA44">
        <f>IF(ISNUMBER(_xlfn.STDEV.P(L44:L48)),_xlfn.STDEV.P(L44:L48),"")</f>
        <v>0</v>
      </c>
      <c r="AC44">
        <f>AVERAGEA(I44:I47)</f>
        <v>1</v>
      </c>
    </row>
    <row r="45" spans="1:29" x14ac:dyDescent="0.35">
      <c r="A45" t="str">
        <f t="shared" si="1"/>
        <v>Jn-0</v>
      </c>
      <c r="B45" s="2" t="s">
        <v>84</v>
      </c>
      <c r="C45">
        <v>0</v>
      </c>
      <c r="D45" s="3">
        <v>2</v>
      </c>
      <c r="E45">
        <v>8</v>
      </c>
      <c r="F45">
        <v>15</v>
      </c>
      <c r="G45">
        <v>7</v>
      </c>
      <c r="I45">
        <v>1</v>
      </c>
      <c r="J45">
        <v>3.5</v>
      </c>
      <c r="K45">
        <v>3.5</v>
      </c>
      <c r="M45">
        <f t="array" ref="M45">SUM(E45:H45*I45:L45)/SUM(E45:H45)</f>
        <v>2.8333333333333335</v>
      </c>
      <c r="AC45">
        <v>0</v>
      </c>
    </row>
    <row r="46" spans="1:29" x14ac:dyDescent="0.35">
      <c r="A46" t="str">
        <f t="shared" si="1"/>
        <v>Jn-0</v>
      </c>
      <c r="B46" s="2" t="s">
        <v>84</v>
      </c>
      <c r="C46">
        <v>0</v>
      </c>
      <c r="D46" s="3">
        <v>3</v>
      </c>
      <c r="E46">
        <v>5</v>
      </c>
      <c r="F46">
        <v>6</v>
      </c>
      <c r="G46">
        <v>11</v>
      </c>
      <c r="H46">
        <v>6</v>
      </c>
      <c r="I46">
        <v>1</v>
      </c>
      <c r="J46">
        <v>2</v>
      </c>
      <c r="K46">
        <v>3</v>
      </c>
      <c r="L46">
        <v>3</v>
      </c>
      <c r="M46">
        <f t="array" ref="M46">SUM(E46:H46*I46:L46)/SUM(E46:H46)</f>
        <v>2.4285714285714284</v>
      </c>
      <c r="AC46">
        <v>0</v>
      </c>
    </row>
    <row r="47" spans="1:29" x14ac:dyDescent="0.35">
      <c r="A47" t="str">
        <f t="shared" si="1"/>
        <v>Jn-0</v>
      </c>
      <c r="B47" s="2" t="s">
        <v>84</v>
      </c>
      <c r="C47">
        <v>0</v>
      </c>
      <c r="D47" s="3">
        <v>4</v>
      </c>
      <c r="M47" t="e">
        <f t="array" ref="M47">SUM(E47:H47*I47:L47)/SUM(E47:H47)</f>
        <v>#DIV/0!</v>
      </c>
      <c r="AC47">
        <v>0</v>
      </c>
    </row>
    <row r="48" spans="1:29" x14ac:dyDescent="0.35">
      <c r="A48" t="str">
        <f t="shared" si="1"/>
        <v>Jn-0</v>
      </c>
      <c r="B48" s="2" t="s">
        <v>84</v>
      </c>
      <c r="C48">
        <v>0</v>
      </c>
      <c r="D48" s="3">
        <v>5</v>
      </c>
      <c r="M48" t="e">
        <f t="array" ref="M48">SUM(E48:H48*I48:L48)/SUM(E48:H48)</f>
        <v>#DIV/0!</v>
      </c>
      <c r="AC48">
        <v>0</v>
      </c>
    </row>
    <row r="49" spans="1:29" x14ac:dyDescent="0.35">
      <c r="A49" t="str">
        <f t="shared" si="1"/>
        <v>Jn-1</v>
      </c>
      <c r="B49" s="2" t="s">
        <v>84</v>
      </c>
      <c r="C49">
        <v>1</v>
      </c>
      <c r="D49" s="3">
        <v>1</v>
      </c>
      <c r="E49">
        <v>7</v>
      </c>
      <c r="F49">
        <v>15</v>
      </c>
      <c r="G49">
        <v>8</v>
      </c>
      <c r="I49">
        <v>1</v>
      </c>
      <c r="J49">
        <v>2</v>
      </c>
      <c r="K49">
        <v>3</v>
      </c>
      <c r="M49">
        <f t="array" ref="M49">SUM(E49:H49*I49:L49)/SUM(E49:H49)</f>
        <v>2.0333333333333332</v>
      </c>
      <c r="N49">
        <f>AVERAGE(M49:M51)</f>
        <v>2.2521072796934867</v>
      </c>
      <c r="O49">
        <f>_xlfn.STDEV.P(M49:M51)</f>
        <v>0.30939308203641147</v>
      </c>
      <c r="P49">
        <f>0-AVERAGE(E49:E53)</f>
        <v>-7</v>
      </c>
      <c r="Q49">
        <f>0-AVERAGE(F49:F53)</f>
        <v>-15.666666666666666</v>
      </c>
      <c r="R49">
        <f>0-AVERAGE(G49:G53)</f>
        <v>-7</v>
      </c>
      <c r="S49" t="e">
        <f>IF(ISNUMBER(0-AVERAGE(H49:H53)),0-AVERAGE(H49:H53),NA())</f>
        <v>#N/A</v>
      </c>
      <c r="T49">
        <f>AVERAGE(I49:I53)</f>
        <v>1</v>
      </c>
      <c r="U49">
        <f>AVERAGE(J49:J53)</f>
        <v>2.3333333333333335</v>
      </c>
      <c r="V49">
        <f>AVERAGE(K49:K53)</f>
        <v>3.3333333333333335</v>
      </c>
      <c r="W49" t="str">
        <f>IF(ISNUMBER(AVERAGE(L49:L53)), AVERAGE(L49:L53), "")</f>
        <v/>
      </c>
      <c r="X49">
        <f>IF(ISNUMBER(_xlfn.STDEV.P(I49:I53)),_xlfn.STDEV.P(I49:I53),"")</f>
        <v>0</v>
      </c>
      <c r="Y49">
        <f>IF(ISNUMBER(_xlfn.STDEV.P(J49:J53)),_xlfn.STDEV.P(J49:J53),"")</f>
        <v>0.47140452079103168</v>
      </c>
      <c r="Z49">
        <f>IF(ISNUMBER(_xlfn.STDEV.P(K49:K53)),_xlfn.STDEV.P(K49:K53),"")</f>
        <v>0.47140452079103168</v>
      </c>
      <c r="AA49" t="str">
        <f>IF(ISNUMBER(_xlfn.STDEV.P(L49:L53)),_xlfn.STDEV.P(L49:L53),"")</f>
        <v/>
      </c>
      <c r="AC49">
        <f>AVERAGEA(I49:I52)</f>
        <v>1</v>
      </c>
    </row>
    <row r="50" spans="1:29" x14ac:dyDescent="0.35">
      <c r="A50" t="str">
        <f t="shared" si="1"/>
        <v>Jn-1</v>
      </c>
      <c r="B50" s="2" t="s">
        <v>84</v>
      </c>
      <c r="C50">
        <v>1</v>
      </c>
      <c r="D50" s="3">
        <v>2</v>
      </c>
      <c r="E50">
        <v>7</v>
      </c>
      <c r="F50">
        <v>15</v>
      </c>
      <c r="G50">
        <v>8</v>
      </c>
      <c r="I50">
        <v>1</v>
      </c>
      <c r="J50">
        <v>2</v>
      </c>
      <c r="K50">
        <v>3</v>
      </c>
      <c r="M50">
        <f t="array" ref="M50">SUM(E50:H50*I50:L50)/SUM(E50:H50)</f>
        <v>2.0333333333333332</v>
      </c>
      <c r="AC50">
        <v>0</v>
      </c>
    </row>
    <row r="51" spans="1:29" x14ac:dyDescent="0.35">
      <c r="A51" t="str">
        <f t="shared" si="1"/>
        <v>Jn-1</v>
      </c>
      <c r="B51" s="2" t="s">
        <v>84</v>
      </c>
      <c r="C51">
        <v>1</v>
      </c>
      <c r="D51" s="3">
        <v>3</v>
      </c>
      <c r="E51">
        <v>7</v>
      </c>
      <c r="F51">
        <v>17</v>
      </c>
      <c r="G51">
        <v>5</v>
      </c>
      <c r="I51">
        <v>1</v>
      </c>
      <c r="J51">
        <v>3</v>
      </c>
      <c r="K51">
        <v>4</v>
      </c>
      <c r="M51">
        <f t="array" ref="M51">SUM(E51:H51*I51:L51)/SUM(E51:H51)</f>
        <v>2.6896551724137931</v>
      </c>
      <c r="AC51">
        <v>0</v>
      </c>
    </row>
    <row r="52" spans="1:29" x14ac:dyDescent="0.35">
      <c r="A52" t="str">
        <f t="shared" si="1"/>
        <v>Jn-1</v>
      </c>
      <c r="B52" s="2" t="s">
        <v>84</v>
      </c>
      <c r="C52">
        <v>1</v>
      </c>
      <c r="D52" s="3">
        <v>4</v>
      </c>
      <c r="M52" t="e">
        <f t="array" ref="M52">SUM(E52:H52*I52:L52)/SUM(E52:H52)</f>
        <v>#DIV/0!</v>
      </c>
      <c r="AC52">
        <v>0</v>
      </c>
    </row>
    <row r="53" spans="1:29" x14ac:dyDescent="0.35">
      <c r="A53" t="str">
        <f t="shared" si="1"/>
        <v>Jn-1</v>
      </c>
      <c r="B53" s="2" t="s">
        <v>84</v>
      </c>
      <c r="C53">
        <v>1</v>
      </c>
      <c r="D53" s="3">
        <v>5</v>
      </c>
      <c r="M53" t="e">
        <f t="array" ref="M53">SUM(E53:H53*I53:L53)/SUM(E53:H53)</f>
        <v>#DIV/0!</v>
      </c>
      <c r="AC53">
        <v>0</v>
      </c>
    </row>
    <row r="54" spans="1:29" x14ac:dyDescent="0.35">
      <c r="A54" t="str">
        <f t="shared" si="1"/>
        <v>Ki-0</v>
      </c>
      <c r="B54" s="2" t="s">
        <v>72</v>
      </c>
      <c r="C54">
        <v>0</v>
      </c>
      <c r="D54" s="3">
        <v>1</v>
      </c>
      <c r="E54">
        <v>5</v>
      </c>
      <c r="F54">
        <v>12</v>
      </c>
      <c r="G54">
        <v>8</v>
      </c>
      <c r="H54">
        <v>3</v>
      </c>
      <c r="I54">
        <v>1</v>
      </c>
      <c r="J54">
        <v>3</v>
      </c>
      <c r="K54">
        <v>4</v>
      </c>
      <c r="L54">
        <v>2</v>
      </c>
      <c r="M54">
        <f t="array" ref="M54">SUM(E54:H54*I54:L54)/SUM(E54:H54)</f>
        <v>2.8214285714285716</v>
      </c>
      <c r="N54">
        <f>AVERAGE(M54:M56)</f>
        <v>2.6623152709359608</v>
      </c>
      <c r="O54">
        <f>_xlfn.STDEV.P(M54:M56)</f>
        <v>0.33215653288520885</v>
      </c>
      <c r="P54">
        <f>0-AVERAGE(E54:E58)</f>
        <v>-5.666666666666667</v>
      </c>
      <c r="Q54">
        <f>0-AVERAGE(F54:F58)</f>
        <v>-14</v>
      </c>
      <c r="R54">
        <f>0-AVERAGE(G54:G58)</f>
        <v>-8.3333333333333339</v>
      </c>
      <c r="S54">
        <f>IF(ISNUMBER(0-AVERAGE(H54:H58)),0-AVERAGE(H54:H58),"")</f>
        <v>-3</v>
      </c>
      <c r="T54">
        <f>AVERAGE(I54:I58)</f>
        <v>1.3333333333333333</v>
      </c>
      <c r="U54">
        <f>AVERAGE(J54:J58)</f>
        <v>2.6666666666666665</v>
      </c>
      <c r="V54">
        <f>AVERAGE(K54:K58)</f>
        <v>3.6666666666666665</v>
      </c>
      <c r="W54">
        <f>IF(ISNUMBER(AVERAGE(L54:L58)), AVERAGE(L54:L58), "")</f>
        <v>2</v>
      </c>
      <c r="X54">
        <f>IF(ISNUMBER(_xlfn.STDEV.P(I54:I58)),_xlfn.STDEV.P(I54:I58),"")</f>
        <v>0.47140452079103168</v>
      </c>
      <c r="Y54">
        <f>IF(ISNUMBER(_xlfn.STDEV.P(J54:J58)),_xlfn.STDEV.P(J54:J58),"")</f>
        <v>0.47140452079103168</v>
      </c>
      <c r="Z54">
        <f>IF(ISNUMBER(_xlfn.STDEV.P(K54:K58)),_xlfn.STDEV.P(K54:K58),"")</f>
        <v>0.47140452079103168</v>
      </c>
      <c r="AA54">
        <f>IF(ISNUMBER(_xlfn.STDEV.P(L54:L58)),_xlfn.STDEV.P(L54:L58),"")</f>
        <v>0</v>
      </c>
      <c r="AC54">
        <f>AVERAGEA(I54:I57)</f>
        <v>1.3333333333333333</v>
      </c>
    </row>
    <row r="55" spans="1:29" x14ac:dyDescent="0.35">
      <c r="A55" t="str">
        <f t="shared" si="1"/>
        <v>Ki-0</v>
      </c>
      <c r="B55" s="2" t="s">
        <v>72</v>
      </c>
      <c r="C55">
        <v>0</v>
      </c>
      <c r="D55" s="3">
        <v>2</v>
      </c>
      <c r="E55">
        <v>6</v>
      </c>
      <c r="F55">
        <v>18</v>
      </c>
      <c r="G55">
        <v>5</v>
      </c>
      <c r="I55">
        <v>2</v>
      </c>
      <c r="J55">
        <v>3</v>
      </c>
      <c r="K55">
        <v>4</v>
      </c>
      <c r="M55">
        <f t="array" ref="M55">SUM(E55:H55*I55:L55)/SUM(E55:H55)</f>
        <v>2.9655172413793105</v>
      </c>
      <c r="AC55">
        <v>0</v>
      </c>
    </row>
    <row r="56" spans="1:29" x14ac:dyDescent="0.35">
      <c r="A56" t="str">
        <f t="shared" si="1"/>
        <v>Ki-0</v>
      </c>
      <c r="B56" s="2" t="s">
        <v>72</v>
      </c>
      <c r="C56">
        <v>0</v>
      </c>
      <c r="D56" s="3">
        <v>3</v>
      </c>
      <c r="E56">
        <v>6</v>
      </c>
      <c r="F56">
        <v>12</v>
      </c>
      <c r="G56">
        <v>12</v>
      </c>
      <c r="I56">
        <v>1</v>
      </c>
      <c r="J56">
        <v>2</v>
      </c>
      <c r="K56">
        <v>3</v>
      </c>
      <c r="M56">
        <f t="array" ref="M56">SUM(E56:H56*I56:L56)/SUM(E56:H56)</f>
        <v>2.2000000000000002</v>
      </c>
      <c r="AC56">
        <v>0</v>
      </c>
    </row>
    <row r="57" spans="1:29" x14ac:dyDescent="0.35">
      <c r="A57" t="str">
        <f t="shared" si="1"/>
        <v>Ki-0</v>
      </c>
      <c r="B57" s="2" t="s">
        <v>72</v>
      </c>
      <c r="C57">
        <v>0</v>
      </c>
      <c r="D57" s="3">
        <v>4</v>
      </c>
      <c r="M57" t="e">
        <f t="array" ref="M57">SUM(E57:H57*I57:L57)/SUM(E57:H57)</f>
        <v>#DIV/0!</v>
      </c>
      <c r="AC57">
        <v>0</v>
      </c>
    </row>
    <row r="58" spans="1:29" x14ac:dyDescent="0.35">
      <c r="A58" t="str">
        <f t="shared" si="1"/>
        <v>Ki-0</v>
      </c>
      <c r="B58" s="2" t="s">
        <v>72</v>
      </c>
      <c r="C58">
        <v>0</v>
      </c>
      <c r="D58" s="3">
        <v>5</v>
      </c>
      <c r="M58" t="e">
        <f t="array" ref="M58">SUM(E58:H58*I58:L58)/SUM(E58:H58)</f>
        <v>#DIV/0!</v>
      </c>
      <c r="AC58">
        <v>0</v>
      </c>
    </row>
    <row r="59" spans="1:29" x14ac:dyDescent="0.35">
      <c r="A59" t="str">
        <f t="shared" si="1"/>
        <v>Ki-1</v>
      </c>
      <c r="B59" s="2" t="s">
        <v>72</v>
      </c>
      <c r="C59">
        <v>1</v>
      </c>
      <c r="D59" s="3">
        <v>1</v>
      </c>
      <c r="E59">
        <v>6</v>
      </c>
      <c r="F59">
        <v>18</v>
      </c>
      <c r="G59">
        <v>6</v>
      </c>
      <c r="I59">
        <v>1</v>
      </c>
      <c r="J59">
        <v>3</v>
      </c>
      <c r="K59">
        <v>2</v>
      </c>
      <c r="M59">
        <f t="array" ref="M59">SUM(E59:H59*I59:L59)/SUM(E59:H59)</f>
        <v>2.4</v>
      </c>
      <c r="N59">
        <f>AVERAGE(M59:M62)</f>
        <v>2.2312903225806449</v>
      </c>
      <c r="O59">
        <f>_xlfn.STDEV.P(M59:M62)</f>
        <v>0.357186805680062</v>
      </c>
      <c r="P59">
        <f>0-AVERAGE(E59:E63)</f>
        <v>-5.25</v>
      </c>
      <c r="Q59">
        <f>0-AVERAGE(F59:F63)</f>
        <v>-11.5</v>
      </c>
      <c r="R59">
        <f>0-AVERAGE(G59:G63)</f>
        <v>-9.75</v>
      </c>
      <c r="S59">
        <f>IF(ISNUMBER(0-AVERAGE(H59:H63)),0-AVERAGE(H59:H63),"")</f>
        <v>-5</v>
      </c>
      <c r="T59">
        <f>AVERAGE(I59:I63)</f>
        <v>1</v>
      </c>
      <c r="U59">
        <f>AVERAGE(J59:J63)</f>
        <v>2.25</v>
      </c>
      <c r="V59">
        <f>AVERAGE(K59:K63)</f>
        <v>2.25</v>
      </c>
      <c r="W59">
        <f>IF(ISNUMBER(AVERAGE(L59:L63)), AVERAGE(L59:L63), "")</f>
        <v>3.5</v>
      </c>
      <c r="X59">
        <f>IF(ISNUMBER(_xlfn.STDEV.P(I59:I63)),_xlfn.STDEV.P(I59:I63),"")</f>
        <v>0</v>
      </c>
      <c r="Y59">
        <f>IF(ISNUMBER(_xlfn.STDEV.P(J59:J63)),_xlfn.STDEV.P(J59:J63),"")</f>
        <v>0.82915619758884995</v>
      </c>
      <c r="Z59">
        <f>IF(ISNUMBER(_xlfn.STDEV.P(K59:K63)),_xlfn.STDEV.P(K59:K63),"")</f>
        <v>0.4330127018922193</v>
      </c>
      <c r="AA59">
        <f>IF(ISNUMBER(_xlfn.STDEV.P(L59:L63)),_xlfn.STDEV.P(L59:L63),"")</f>
        <v>0.5</v>
      </c>
      <c r="AC59">
        <f>AVERAGEA(I59:I62)</f>
        <v>1</v>
      </c>
    </row>
    <row r="60" spans="1:29" x14ac:dyDescent="0.35">
      <c r="A60" t="str">
        <f t="shared" si="1"/>
        <v>Ki-1</v>
      </c>
      <c r="B60" s="2" t="s">
        <v>72</v>
      </c>
      <c r="C60">
        <v>1</v>
      </c>
      <c r="D60" s="3">
        <v>2</v>
      </c>
      <c r="E60">
        <v>5</v>
      </c>
      <c r="F60">
        <v>7</v>
      </c>
      <c r="G60">
        <v>13</v>
      </c>
      <c r="H60">
        <v>5</v>
      </c>
      <c r="I60">
        <v>1</v>
      </c>
      <c r="J60">
        <v>2</v>
      </c>
      <c r="K60">
        <v>3</v>
      </c>
      <c r="L60">
        <v>4</v>
      </c>
      <c r="M60">
        <f t="array" ref="M60">SUM(E60:H60*I60:L60)/SUM(E60:H60)</f>
        <v>2.6</v>
      </c>
      <c r="AC60">
        <v>0</v>
      </c>
    </row>
    <row r="61" spans="1:29" x14ac:dyDescent="0.35">
      <c r="A61" t="str">
        <f t="shared" si="1"/>
        <v>Ki-1</v>
      </c>
      <c r="B61" s="2" t="s">
        <v>72</v>
      </c>
      <c r="C61">
        <v>1</v>
      </c>
      <c r="D61" s="3">
        <v>3</v>
      </c>
      <c r="E61">
        <v>4</v>
      </c>
      <c r="F61">
        <v>11</v>
      </c>
      <c r="G61">
        <v>10</v>
      </c>
      <c r="I61">
        <v>1</v>
      </c>
      <c r="J61">
        <v>3</v>
      </c>
      <c r="K61">
        <v>2</v>
      </c>
      <c r="M61">
        <f t="array" ref="M61">SUM(E61:H61*I61:L61)/SUM(E61:H61)</f>
        <v>2.2799999999999998</v>
      </c>
      <c r="AC61">
        <v>0</v>
      </c>
    </row>
    <row r="62" spans="1:29" x14ac:dyDescent="0.35">
      <c r="A62" t="str">
        <f t="shared" si="1"/>
        <v>Ki-1</v>
      </c>
      <c r="B62" s="2" t="s">
        <v>72</v>
      </c>
      <c r="C62">
        <v>1</v>
      </c>
      <c r="D62" s="3">
        <v>4</v>
      </c>
      <c r="E62">
        <v>6</v>
      </c>
      <c r="F62">
        <v>10</v>
      </c>
      <c r="G62">
        <v>10</v>
      </c>
      <c r="H62">
        <v>5</v>
      </c>
      <c r="I62">
        <v>1</v>
      </c>
      <c r="J62">
        <v>1</v>
      </c>
      <c r="K62">
        <v>2</v>
      </c>
      <c r="L62">
        <v>3</v>
      </c>
      <c r="M62">
        <f t="array" ref="M62">SUM(E62:H62*I62:L62)/SUM(E62:H62)</f>
        <v>1.6451612903225807</v>
      </c>
      <c r="AC62">
        <v>0</v>
      </c>
    </row>
    <row r="63" spans="1:29" x14ac:dyDescent="0.35">
      <c r="A63" t="str">
        <f t="shared" si="1"/>
        <v>Ki-1</v>
      </c>
      <c r="B63" s="2" t="s">
        <v>72</v>
      </c>
      <c r="C63">
        <v>1</v>
      </c>
      <c r="D63" s="3">
        <v>5</v>
      </c>
      <c r="M63" t="e">
        <f t="array" ref="M63">SUM(E63:H63*I63:L63)/SUM(E63:H63)</f>
        <v>#DIV/0!</v>
      </c>
      <c r="AC63">
        <v>0</v>
      </c>
    </row>
    <row r="64" spans="1:29" x14ac:dyDescent="0.35">
      <c r="A64" t="str">
        <f t="shared" si="1"/>
        <v>Ko-0</v>
      </c>
      <c r="B64" s="2" t="s">
        <v>79</v>
      </c>
      <c r="C64">
        <v>0</v>
      </c>
      <c r="D64" s="3">
        <v>1</v>
      </c>
      <c r="E64">
        <v>5</v>
      </c>
      <c r="F64">
        <v>20</v>
      </c>
      <c r="G64">
        <v>5</v>
      </c>
      <c r="H64">
        <v>5</v>
      </c>
      <c r="I64">
        <v>2</v>
      </c>
      <c r="J64">
        <v>3.5</v>
      </c>
      <c r="K64">
        <v>4</v>
      </c>
      <c r="L64">
        <v>5</v>
      </c>
      <c r="M64">
        <f t="array" ref="M64">SUM(E64:H64*I64:L64)/SUM(E64:H64)</f>
        <v>3.5714285714285716</v>
      </c>
      <c r="N64">
        <f>AVERAGE(M64:M66)</f>
        <v>3.6133253719460616</v>
      </c>
      <c r="O64">
        <f>_xlfn.STDEV.P(M64:M66)</f>
        <v>0.27207687919772738</v>
      </c>
      <c r="P64">
        <f>0-AVERAGE(E64:E68)</f>
        <v>-4.333333333333333</v>
      </c>
      <c r="Q64">
        <f>0-AVERAGE(F64:F68)</f>
        <v>-14.666666666666666</v>
      </c>
      <c r="R64">
        <f>0-AVERAGE(G64:G68)</f>
        <v>-6.666666666666667</v>
      </c>
      <c r="S64">
        <f>IF(ISNUMBER(0-AVERAGE(H64:H68)),0-AVERAGE(H64:H68),NA())</f>
        <v>-6.666666666666667</v>
      </c>
      <c r="T64">
        <f>AVERAGE(I64:I68)</f>
        <v>1.6666666666666667</v>
      </c>
      <c r="U64">
        <f>AVERAGE(J64:J68)</f>
        <v>3.5</v>
      </c>
      <c r="V64">
        <f>AVERAGE(K64:K68)</f>
        <v>4</v>
      </c>
      <c r="W64">
        <f>IF(ISNUMBER(AVERAGE(L64:L68)), AVERAGE(L64:L68), "")</f>
        <v>4.666666666666667</v>
      </c>
      <c r="X64">
        <f>IF(ISNUMBER(_xlfn.STDEV.P(I64:I68)),_xlfn.STDEV.P(I64:I68),"")</f>
        <v>0.47140452079103168</v>
      </c>
      <c r="Y64">
        <f>IF(ISNUMBER(_xlfn.STDEV.P(J64:J68)),_xlfn.STDEV.P(J64:J68),"")</f>
        <v>0.40824829046386302</v>
      </c>
      <c r="Z64">
        <f>IF(ISNUMBER(_xlfn.STDEV.P(K64:K68)),_xlfn.STDEV.P(K64:K68),"")</f>
        <v>0</v>
      </c>
      <c r="AA64">
        <f>IF(ISNUMBER(_xlfn.STDEV.P(L64:L68)),_xlfn.STDEV.P(L64:L68),"")</f>
        <v>0.47140452079103168</v>
      </c>
      <c r="AC64">
        <f>AVERAGEA(I64:I67)</f>
        <v>1.6666666666666667</v>
      </c>
    </row>
    <row r="65" spans="1:29" x14ac:dyDescent="0.35">
      <c r="A65" t="str">
        <f t="shared" si="1"/>
        <v>Ko-0</v>
      </c>
      <c r="B65" s="2" t="s">
        <v>79</v>
      </c>
      <c r="C65">
        <v>0</v>
      </c>
      <c r="D65" s="3">
        <v>2</v>
      </c>
      <c r="E65">
        <v>5</v>
      </c>
      <c r="F65">
        <v>8</v>
      </c>
      <c r="G65">
        <v>10</v>
      </c>
      <c r="H65">
        <v>10</v>
      </c>
      <c r="I65">
        <v>1</v>
      </c>
      <c r="J65">
        <v>3</v>
      </c>
      <c r="K65">
        <v>4</v>
      </c>
      <c r="L65">
        <v>4</v>
      </c>
      <c r="M65">
        <f t="array" ref="M65">SUM(E65:H65*I65:L65)/SUM(E65:H65)</f>
        <v>3.3030303030303032</v>
      </c>
      <c r="AC65">
        <v>0</v>
      </c>
    </row>
    <row r="66" spans="1:29" x14ac:dyDescent="0.35">
      <c r="A66" t="str">
        <f t="shared" si="1"/>
        <v>Ko-0</v>
      </c>
      <c r="B66" s="2" t="s">
        <v>79</v>
      </c>
      <c r="C66">
        <v>0</v>
      </c>
      <c r="D66" s="3">
        <v>3</v>
      </c>
      <c r="E66">
        <v>3</v>
      </c>
      <c r="F66">
        <v>16</v>
      </c>
      <c r="G66">
        <v>5</v>
      </c>
      <c r="H66">
        <v>5</v>
      </c>
      <c r="I66">
        <v>2</v>
      </c>
      <c r="J66">
        <v>4</v>
      </c>
      <c r="K66">
        <v>4</v>
      </c>
      <c r="L66">
        <v>5</v>
      </c>
      <c r="M66">
        <f t="array" ref="M66">SUM(E66:H66*I66:L66)/SUM(E66:H66)</f>
        <v>3.9655172413793105</v>
      </c>
      <c r="AC66">
        <v>0</v>
      </c>
    </row>
    <row r="67" spans="1:29" x14ac:dyDescent="0.35">
      <c r="A67" t="str">
        <f t="shared" si="1"/>
        <v>Ko-0</v>
      </c>
      <c r="B67" s="2" t="s">
        <v>79</v>
      </c>
      <c r="C67">
        <v>0</v>
      </c>
      <c r="D67" s="3">
        <v>4</v>
      </c>
      <c r="M67" t="e">
        <f t="array" ref="M67">SUM(E67:H67*I67:L67)/SUM(E67:H67)</f>
        <v>#DIV/0!</v>
      </c>
      <c r="AC67">
        <v>0</v>
      </c>
    </row>
    <row r="68" spans="1:29" x14ac:dyDescent="0.35">
      <c r="A68" t="str">
        <f t="shared" ref="A68:A99" si="2">B68&amp;"-"&amp;C68</f>
        <v>Ko-0</v>
      </c>
      <c r="B68" s="2" t="s">
        <v>79</v>
      </c>
      <c r="C68">
        <v>0</v>
      </c>
      <c r="D68" s="3">
        <v>5</v>
      </c>
      <c r="M68" t="e">
        <f t="array" ref="M68">SUM(E68:H68*I68:L68)/SUM(E68:H68)</f>
        <v>#DIV/0!</v>
      </c>
      <c r="AC68">
        <v>0</v>
      </c>
    </row>
    <row r="69" spans="1:29" x14ac:dyDescent="0.35">
      <c r="A69" t="str">
        <f t="shared" si="2"/>
        <v>Ko-1</v>
      </c>
      <c r="B69" s="2" t="s">
        <v>79</v>
      </c>
      <c r="C69">
        <v>1</v>
      </c>
      <c r="D69" s="3">
        <v>1</v>
      </c>
      <c r="E69">
        <v>5</v>
      </c>
      <c r="F69">
        <v>12</v>
      </c>
      <c r="G69">
        <v>10</v>
      </c>
      <c r="H69">
        <v>5</v>
      </c>
      <c r="I69">
        <v>2</v>
      </c>
      <c r="J69">
        <v>3</v>
      </c>
      <c r="K69">
        <v>4</v>
      </c>
      <c r="L69">
        <v>3</v>
      </c>
      <c r="M69">
        <f t="array" ref="M69">SUM(E69:H69*I69:L69)/SUM(E69:H69)</f>
        <v>3.15625</v>
      </c>
      <c r="N69">
        <f>AVERAGE(M69:M71)</f>
        <v>3.17906746031746</v>
      </c>
      <c r="O69">
        <f>_xlfn.STDEV.P(M69:M71)</f>
        <v>2.5263554718743819E-2</v>
      </c>
      <c r="P69">
        <f>0-AVERAGE(E69:E73)</f>
        <v>-5</v>
      </c>
      <c r="Q69">
        <f>0-AVERAGE(F69:F73)</f>
        <v>-15.666666666666666</v>
      </c>
      <c r="R69">
        <f>0-AVERAGE(G69:G73)</f>
        <v>-7.333333333333333</v>
      </c>
      <c r="S69">
        <f>IF(ISNUMBER(0-AVERAGE(H69:H73)),0-AVERAGE(H69:H73),NA())</f>
        <v>-5</v>
      </c>
      <c r="T69">
        <f>AVERAGE(I69:I73)</f>
        <v>1.6666666666666667</v>
      </c>
      <c r="U69">
        <f>AVERAGE(J69:J73)</f>
        <v>3.1666666666666665</v>
      </c>
      <c r="V69">
        <f>AVERAGE(K69:K73)</f>
        <v>3.8333333333333335</v>
      </c>
      <c r="W69">
        <f>IF(ISNUMBER(AVERAGE(L69:L73)), AVERAGE(L69:L73), "")</f>
        <v>4</v>
      </c>
      <c r="X69">
        <f>IF(ISNUMBER(_xlfn.STDEV.P(I69:I73)),_xlfn.STDEV.P(I69:I73),"")</f>
        <v>0.47140452079103168</v>
      </c>
      <c r="Y69">
        <f>IF(ISNUMBER(_xlfn.STDEV.P(J69:J73)),_xlfn.STDEV.P(J69:J73),"")</f>
        <v>0.23570226039551584</v>
      </c>
      <c r="Z69">
        <f>IF(ISNUMBER(_xlfn.STDEV.P(K69:K73)),_xlfn.STDEV.P(K69:K73),"")</f>
        <v>0.23570226039551584</v>
      </c>
      <c r="AA69">
        <f>IF(ISNUMBER(_xlfn.STDEV.P(L69:L73)),_xlfn.STDEV.P(L69:L73),"")</f>
        <v>1</v>
      </c>
      <c r="AC69">
        <f>AVERAGEA(I69:I72)</f>
        <v>1.6666666666666667</v>
      </c>
    </row>
    <row r="70" spans="1:29" x14ac:dyDescent="0.35">
      <c r="A70" t="str">
        <f t="shared" si="2"/>
        <v>Ko-1</v>
      </c>
      <c r="B70" s="2" t="s">
        <v>79</v>
      </c>
      <c r="C70">
        <v>1</v>
      </c>
      <c r="D70" s="3">
        <v>2</v>
      </c>
      <c r="E70">
        <v>5</v>
      </c>
      <c r="F70">
        <v>15</v>
      </c>
      <c r="G70">
        <v>7</v>
      </c>
      <c r="I70">
        <v>1</v>
      </c>
      <c r="J70">
        <v>3.5</v>
      </c>
      <c r="K70">
        <v>4</v>
      </c>
      <c r="M70">
        <f t="array" ref="M70">SUM(E70:H70*I70:L70)/SUM(E70:H70)</f>
        <v>3.1666666666666665</v>
      </c>
      <c r="AC70">
        <v>0</v>
      </c>
    </row>
    <row r="71" spans="1:29" x14ac:dyDescent="0.35">
      <c r="A71" t="str">
        <f t="shared" si="2"/>
        <v>Ko-1</v>
      </c>
      <c r="B71" s="2" t="s">
        <v>79</v>
      </c>
      <c r="C71">
        <v>1</v>
      </c>
      <c r="D71" s="3">
        <v>3</v>
      </c>
      <c r="E71">
        <v>5</v>
      </c>
      <c r="F71">
        <v>20</v>
      </c>
      <c r="G71">
        <v>5</v>
      </c>
      <c r="H71">
        <v>5</v>
      </c>
      <c r="I71">
        <v>2</v>
      </c>
      <c r="J71">
        <v>3</v>
      </c>
      <c r="K71">
        <v>3.5</v>
      </c>
      <c r="L71">
        <v>5</v>
      </c>
      <c r="M71">
        <f t="array" ref="M71">SUM(E71:H71*I71:L71)/SUM(E71:H71)</f>
        <v>3.2142857142857144</v>
      </c>
      <c r="AC71">
        <v>0</v>
      </c>
    </row>
    <row r="72" spans="1:29" x14ac:dyDescent="0.35">
      <c r="A72" t="str">
        <f t="shared" si="2"/>
        <v>Ko-1</v>
      </c>
      <c r="B72" s="2" t="s">
        <v>79</v>
      </c>
      <c r="C72">
        <v>1</v>
      </c>
      <c r="D72" s="3">
        <v>4</v>
      </c>
      <c r="M72" t="e">
        <f t="array" ref="M72">SUM(E72:H72*I72:L72)/SUM(E72:H72)</f>
        <v>#DIV/0!</v>
      </c>
      <c r="AC72">
        <v>0</v>
      </c>
    </row>
    <row r="73" spans="1:29" x14ac:dyDescent="0.35">
      <c r="A73" t="str">
        <f t="shared" si="2"/>
        <v>Ko-1</v>
      </c>
      <c r="B73" s="2" t="s">
        <v>79</v>
      </c>
      <c r="C73">
        <v>1</v>
      </c>
      <c r="D73" s="3">
        <v>5</v>
      </c>
      <c r="M73" t="e">
        <f t="array" ref="M73">SUM(E73:H73*I73:L73)/SUM(E73:H73)</f>
        <v>#DIV/0!</v>
      </c>
      <c r="AC73">
        <v>0</v>
      </c>
    </row>
    <row r="74" spans="1:29" x14ac:dyDescent="0.35">
      <c r="A74" t="str">
        <f t="shared" si="2"/>
        <v>KP-0</v>
      </c>
      <c r="B74" s="2" t="s">
        <v>88</v>
      </c>
      <c r="C74">
        <v>0</v>
      </c>
      <c r="D74" s="3">
        <v>1</v>
      </c>
      <c r="E74">
        <v>5</v>
      </c>
      <c r="F74">
        <v>10</v>
      </c>
      <c r="G74">
        <v>12</v>
      </c>
      <c r="I74">
        <v>2</v>
      </c>
      <c r="J74">
        <v>3</v>
      </c>
      <c r="K74">
        <v>4</v>
      </c>
      <c r="M74">
        <f t="array" ref="M74">SUM(E74:H74*I74:L74)/SUM(E74:H74)</f>
        <v>3.2592592592592591</v>
      </c>
      <c r="N74">
        <f>AVERAGE(M74:M76)</f>
        <v>3.2477445394112059</v>
      </c>
      <c r="O74">
        <f>_xlfn.STDEV.P(M74:M76)</f>
        <v>4.1372237279776347E-2</v>
      </c>
      <c r="P74">
        <f>0-AVERAGE(E74:E78)</f>
        <v>-5.333333333333333</v>
      </c>
      <c r="Q74">
        <f>0-AVERAGE(F74:F78)</f>
        <v>-9.6666666666666661</v>
      </c>
      <c r="R74">
        <f>0-AVERAGE(G74:G78)</f>
        <v>-9</v>
      </c>
      <c r="S74">
        <f>IF(ISNUMBER(0-AVERAGE(H74:H78)),0-AVERAGE(H74:H78),"")</f>
        <v>-5</v>
      </c>
      <c r="T74">
        <f>AVERAGE(I74:I78)</f>
        <v>1.3333333333333333</v>
      </c>
      <c r="U74">
        <f>AVERAGE(J74:J78)</f>
        <v>3.3333333333333335</v>
      </c>
      <c r="V74">
        <f>AVERAGE(K74:K78)</f>
        <v>4</v>
      </c>
      <c r="W74">
        <f>IF(ISNUMBER(AVERAGE(L74:L78)), AVERAGE(L74:L78), "")</f>
        <v>4</v>
      </c>
      <c r="X74">
        <f>IF(ISNUMBER(_xlfn.STDEV.P(I74:I78)),_xlfn.STDEV.P(I74:I78),"")</f>
        <v>0.47140452079103168</v>
      </c>
      <c r="Y74">
        <f>IF(ISNUMBER(_xlfn.STDEV.P(J74:J78)),_xlfn.STDEV.P(J74:J78),"")</f>
        <v>0.47140452079103168</v>
      </c>
      <c r="Z74">
        <f>IF(ISNUMBER(_xlfn.STDEV.P(K74:K78)),_xlfn.STDEV.P(K74:K78),"")</f>
        <v>0</v>
      </c>
      <c r="AA74">
        <f>IF(ISNUMBER(_xlfn.STDEV.P(L74:L78)),_xlfn.STDEV.P(L74:L78),"")</f>
        <v>0</v>
      </c>
      <c r="AC74">
        <f>AVERAGEA(I74:I77)</f>
        <v>1.3333333333333333</v>
      </c>
    </row>
    <row r="75" spans="1:29" x14ac:dyDescent="0.35">
      <c r="A75" t="str">
        <f t="shared" si="2"/>
        <v>KP-0</v>
      </c>
      <c r="B75" s="2" t="s">
        <v>88</v>
      </c>
      <c r="C75">
        <v>0</v>
      </c>
      <c r="D75" s="3">
        <v>2</v>
      </c>
      <c r="E75">
        <v>7</v>
      </c>
      <c r="F75">
        <v>14</v>
      </c>
      <c r="G75">
        <v>5</v>
      </c>
      <c r="I75">
        <v>1</v>
      </c>
      <c r="J75">
        <v>4</v>
      </c>
      <c r="K75">
        <v>4</v>
      </c>
      <c r="M75">
        <f t="array" ref="M75">SUM(E75:H75*I75:L75)/SUM(E75:H75)</f>
        <v>3.1923076923076925</v>
      </c>
      <c r="AC75">
        <v>0</v>
      </c>
    </row>
    <row r="76" spans="1:29" x14ac:dyDescent="0.35">
      <c r="A76" t="str">
        <f t="shared" si="2"/>
        <v>KP-0</v>
      </c>
      <c r="B76" s="2" t="s">
        <v>88</v>
      </c>
      <c r="C76">
        <v>0</v>
      </c>
      <c r="D76" s="3">
        <v>3</v>
      </c>
      <c r="E76">
        <v>4</v>
      </c>
      <c r="F76">
        <v>5</v>
      </c>
      <c r="G76">
        <v>10</v>
      </c>
      <c r="H76">
        <v>5</v>
      </c>
      <c r="I76">
        <v>1</v>
      </c>
      <c r="J76">
        <v>3</v>
      </c>
      <c r="K76">
        <v>4</v>
      </c>
      <c r="L76">
        <v>4</v>
      </c>
      <c r="M76">
        <f t="array" ref="M76">SUM(E76:H76*I76:L76)/SUM(E76:H76)</f>
        <v>3.2916666666666665</v>
      </c>
      <c r="AC76">
        <v>0</v>
      </c>
    </row>
    <row r="77" spans="1:29" x14ac:dyDescent="0.35">
      <c r="A77" t="str">
        <f t="shared" si="2"/>
        <v>KP-0</v>
      </c>
      <c r="B77" s="2" t="s">
        <v>88</v>
      </c>
      <c r="C77">
        <v>0</v>
      </c>
      <c r="D77" s="3">
        <v>4</v>
      </c>
      <c r="M77" t="e">
        <f t="array" ref="M77">SUM(E77:H77*I77:L77)/SUM(E77:H77)</f>
        <v>#DIV/0!</v>
      </c>
      <c r="AC77">
        <v>0</v>
      </c>
    </row>
    <row r="78" spans="1:29" x14ac:dyDescent="0.35">
      <c r="A78" t="str">
        <f t="shared" si="2"/>
        <v>KP-0</v>
      </c>
      <c r="B78" s="2" t="s">
        <v>88</v>
      </c>
      <c r="C78">
        <v>0</v>
      </c>
      <c r="D78" s="3">
        <v>5</v>
      </c>
      <c r="M78" t="e">
        <f t="array" ref="M78">SUM(E78:H78*I78:L78)/SUM(E78:H78)</f>
        <v>#DIV/0!</v>
      </c>
      <c r="AC78">
        <v>0</v>
      </c>
    </row>
    <row r="79" spans="1:29" x14ac:dyDescent="0.35">
      <c r="A79" t="str">
        <f t="shared" si="2"/>
        <v>KP-1</v>
      </c>
      <c r="B79" s="2" t="s">
        <v>88</v>
      </c>
      <c r="C79">
        <v>1</v>
      </c>
      <c r="D79" s="3">
        <v>1</v>
      </c>
      <c r="E79">
        <v>5</v>
      </c>
      <c r="F79">
        <v>12</v>
      </c>
      <c r="G79">
        <v>8</v>
      </c>
      <c r="I79">
        <v>1</v>
      </c>
      <c r="J79">
        <v>4</v>
      </c>
      <c r="K79">
        <v>4</v>
      </c>
      <c r="M79">
        <f t="array" ref="M79">SUM(E79:H79*I79:L79)/SUM(E79:H79)</f>
        <v>3.4</v>
      </c>
      <c r="N79">
        <f>AVERAGE(M79:M81)</f>
        <v>3.1232600732600733</v>
      </c>
      <c r="O79">
        <f>_xlfn.STDEV.P(M79:M81)</f>
        <v>0.20961680484462786</v>
      </c>
      <c r="P79">
        <f>0-AVERAGE(E79:E83)</f>
        <v>-6</v>
      </c>
      <c r="Q79">
        <f>0-AVERAGE(F79:F83)</f>
        <v>-11.333333333333334</v>
      </c>
      <c r="R79">
        <f>0-AVERAGE(G79:G83)</f>
        <v>-6.666666666666667</v>
      </c>
      <c r="S79">
        <f>IF(ISNUMBER(0-AVERAGE(H79:H83)),0-AVERAGE(H79:H83),"")</f>
        <v>-7</v>
      </c>
      <c r="T79">
        <f>AVERAGE(I79:I83)</f>
        <v>1.3333333333333333</v>
      </c>
      <c r="U79">
        <f>AVERAGE(J79:J83)</f>
        <v>3.3333333333333335</v>
      </c>
      <c r="V79">
        <f>AVERAGE(K79:K83)</f>
        <v>4</v>
      </c>
      <c r="W79">
        <f>IF(ISNUMBER(AVERAGE(L79:L83)), AVERAGE(L79:L83), "")</f>
        <v>4</v>
      </c>
      <c r="X79">
        <f>IF(ISNUMBER(_xlfn.STDEV.P(I79:I83)),_xlfn.STDEV.P(I79:I83),"")</f>
        <v>0.47140452079103168</v>
      </c>
      <c r="Y79">
        <f>IF(ISNUMBER(_xlfn.STDEV.P(J79:J83)),_xlfn.STDEV.P(J79:J83),"")</f>
        <v>0.47140452079103168</v>
      </c>
      <c r="Z79">
        <f>IF(ISNUMBER(_xlfn.STDEV.P(K79:K83)),_xlfn.STDEV.P(K79:K83),"")</f>
        <v>0</v>
      </c>
      <c r="AA79">
        <f>IF(ISNUMBER(_xlfn.STDEV.P(L79:L83)),_xlfn.STDEV.P(L79:L83),"")</f>
        <v>0</v>
      </c>
      <c r="AC79">
        <f>AVERAGEA(I79:I82)</f>
        <v>1.3333333333333333</v>
      </c>
    </row>
    <row r="80" spans="1:29" x14ac:dyDescent="0.35">
      <c r="A80" t="str">
        <f t="shared" si="2"/>
        <v>KP-1</v>
      </c>
      <c r="B80" s="2" t="s">
        <v>88</v>
      </c>
      <c r="C80">
        <v>1</v>
      </c>
      <c r="D80" s="3">
        <v>2</v>
      </c>
      <c r="E80">
        <v>6</v>
      </c>
      <c r="F80">
        <v>12</v>
      </c>
      <c r="G80">
        <v>8</v>
      </c>
      <c r="I80">
        <v>2</v>
      </c>
      <c r="J80">
        <v>3</v>
      </c>
      <c r="K80">
        <v>4</v>
      </c>
      <c r="M80">
        <f t="array" ref="M80">SUM(E80:H80*I80:L80)/SUM(E80:H80)</f>
        <v>3.0769230769230771</v>
      </c>
      <c r="AC80">
        <v>0</v>
      </c>
    </row>
    <row r="81" spans="1:29" x14ac:dyDescent="0.35">
      <c r="A81" t="str">
        <f t="shared" si="2"/>
        <v>KP-1</v>
      </c>
      <c r="B81" s="2" t="s">
        <v>88</v>
      </c>
      <c r="C81">
        <v>1</v>
      </c>
      <c r="D81" s="3">
        <v>3</v>
      </c>
      <c r="E81">
        <v>7</v>
      </c>
      <c r="F81">
        <v>10</v>
      </c>
      <c r="G81">
        <v>4</v>
      </c>
      <c r="H81">
        <v>7</v>
      </c>
      <c r="I81">
        <v>1</v>
      </c>
      <c r="J81">
        <v>3</v>
      </c>
      <c r="K81">
        <v>4</v>
      </c>
      <c r="L81">
        <v>4</v>
      </c>
      <c r="M81">
        <f t="array" ref="M81">SUM(E81:H81*I81:L81)/SUM(E81:H81)</f>
        <v>2.8928571428571428</v>
      </c>
      <c r="AC81">
        <v>0</v>
      </c>
    </row>
    <row r="82" spans="1:29" x14ac:dyDescent="0.35">
      <c r="A82" t="str">
        <f t="shared" si="2"/>
        <v>KP-1</v>
      </c>
      <c r="B82" s="2" t="s">
        <v>88</v>
      </c>
      <c r="C82">
        <v>1</v>
      </c>
      <c r="D82" s="3">
        <v>4</v>
      </c>
      <c r="M82" t="e">
        <f t="array" ref="M82">SUM(E82:H82*I82:L82)/SUM(E82:H82)</f>
        <v>#DIV/0!</v>
      </c>
      <c r="AC82">
        <v>0</v>
      </c>
    </row>
    <row r="83" spans="1:29" x14ac:dyDescent="0.35">
      <c r="A83" t="str">
        <f t="shared" si="2"/>
        <v>KP-1</v>
      </c>
      <c r="B83" s="2" t="s">
        <v>88</v>
      </c>
      <c r="C83">
        <v>1</v>
      </c>
      <c r="D83" s="3">
        <v>5</v>
      </c>
      <c r="M83" t="e">
        <f t="array" ref="M83">SUM(E83:H83*I83:L83)/SUM(E83:H83)</f>
        <v>#DIV/0!</v>
      </c>
      <c r="AC83">
        <v>0</v>
      </c>
    </row>
    <row r="84" spans="1:29" x14ac:dyDescent="0.35">
      <c r="A84" t="str">
        <f t="shared" si="2"/>
        <v>La-0</v>
      </c>
      <c r="B84" s="2" t="s">
        <v>89</v>
      </c>
      <c r="C84">
        <v>0</v>
      </c>
      <c r="D84" s="3">
        <v>1</v>
      </c>
      <c r="E84">
        <v>5</v>
      </c>
      <c r="F84">
        <v>15</v>
      </c>
      <c r="G84">
        <v>8</v>
      </c>
      <c r="I84">
        <v>2</v>
      </c>
      <c r="J84">
        <v>3</v>
      </c>
      <c r="K84">
        <v>3</v>
      </c>
      <c r="M84">
        <f t="array" ref="M84">SUM(E84:H84*I84:L84)/SUM(E84:H84)</f>
        <v>2.8214285714285716</v>
      </c>
      <c r="N84">
        <f>AVERAGE(M84:M86)</f>
        <v>3.014669738863287</v>
      </c>
      <c r="O84">
        <f>_xlfn.STDEV.P(M84:M86)</f>
        <v>0.65831581420500251</v>
      </c>
      <c r="P84">
        <f>0-AVERAGE(E84:E88)</f>
        <v>-4.333333333333333</v>
      </c>
      <c r="Q84">
        <f>0-AVERAGE(F84:F88)</f>
        <v>-15</v>
      </c>
      <c r="R84">
        <f>0-AVERAGE(G84:G88)</f>
        <v>-8</v>
      </c>
      <c r="S84">
        <f>IF(ISNUMBER(0-AVERAGE(H84:H88)),0-AVERAGE(H84:H88),NA())</f>
        <v>-7</v>
      </c>
      <c r="T84">
        <f>AVERAGE(I84:I88)</f>
        <v>2</v>
      </c>
      <c r="U84">
        <f>AVERAGE(J84:J88)</f>
        <v>3</v>
      </c>
      <c r="V84">
        <f>AVERAGE(K84:K88)</f>
        <v>3</v>
      </c>
      <c r="W84">
        <f>IF(ISNUMBER(AVERAGE(L84:L88)), AVERAGE(L84:L88), "")</f>
        <v>5</v>
      </c>
      <c r="X84">
        <f>IF(ISNUMBER(_xlfn.STDEV.P(I84:I88)),_xlfn.STDEV.P(I84:I88),"")</f>
        <v>0</v>
      </c>
      <c r="Y84">
        <f>IF(ISNUMBER(_xlfn.STDEV.P(J84:J88)),_xlfn.STDEV.P(J84:J88),"")</f>
        <v>0.81649658092772603</v>
      </c>
      <c r="Z84">
        <f>IF(ISNUMBER(_xlfn.STDEV.P(K84:K88)),_xlfn.STDEV.P(K84:K88),"")</f>
        <v>0</v>
      </c>
      <c r="AA84">
        <f>IF(ISNUMBER(_xlfn.STDEV.P(L84:L88)),_xlfn.STDEV.P(L84:L88),"")</f>
        <v>0</v>
      </c>
      <c r="AC84">
        <f>AVERAGEA(I84:I87)</f>
        <v>2</v>
      </c>
    </row>
    <row r="85" spans="1:29" x14ac:dyDescent="0.35">
      <c r="A85" t="str">
        <f t="shared" si="2"/>
        <v>La-0</v>
      </c>
      <c r="B85" s="2" t="s">
        <v>89</v>
      </c>
      <c r="C85">
        <v>0</v>
      </c>
      <c r="D85" s="3">
        <v>2</v>
      </c>
      <c r="E85">
        <v>6</v>
      </c>
      <c r="F85">
        <v>15</v>
      </c>
      <c r="G85">
        <v>10</v>
      </c>
      <c r="I85">
        <v>2</v>
      </c>
      <c r="J85">
        <v>2</v>
      </c>
      <c r="K85">
        <v>3</v>
      </c>
      <c r="M85">
        <f t="array" ref="M85">SUM(E85:H85*I85:L85)/SUM(E85:H85)</f>
        <v>2.3225806451612905</v>
      </c>
      <c r="AC85">
        <v>0</v>
      </c>
    </row>
    <row r="86" spans="1:29" x14ac:dyDescent="0.35">
      <c r="A86" t="str">
        <f t="shared" si="2"/>
        <v>La-0</v>
      </c>
      <c r="B86" s="2" t="s">
        <v>89</v>
      </c>
      <c r="C86">
        <v>0</v>
      </c>
      <c r="D86" s="3">
        <v>3</v>
      </c>
      <c r="E86">
        <v>2</v>
      </c>
      <c r="F86">
        <v>15</v>
      </c>
      <c r="G86">
        <v>6</v>
      </c>
      <c r="H86">
        <v>7</v>
      </c>
      <c r="I86">
        <v>2</v>
      </c>
      <c r="J86">
        <v>4</v>
      </c>
      <c r="K86">
        <v>3</v>
      </c>
      <c r="L86">
        <v>5</v>
      </c>
      <c r="M86">
        <f t="array" ref="M86">SUM(E86:H86*I86:L86)/SUM(E86:H86)</f>
        <v>3.9</v>
      </c>
      <c r="AC86">
        <v>0</v>
      </c>
    </row>
    <row r="87" spans="1:29" x14ac:dyDescent="0.35">
      <c r="A87" t="str">
        <f t="shared" si="2"/>
        <v>La-0</v>
      </c>
      <c r="B87" s="2" t="s">
        <v>89</v>
      </c>
      <c r="C87">
        <v>0</v>
      </c>
      <c r="D87" s="3">
        <v>4</v>
      </c>
      <c r="M87" t="e">
        <f t="array" ref="M87">SUM(E87:H87*I87:L87)/SUM(E87:H87)</f>
        <v>#DIV/0!</v>
      </c>
      <c r="AC87">
        <v>0</v>
      </c>
    </row>
    <row r="88" spans="1:29" x14ac:dyDescent="0.35">
      <c r="A88" t="str">
        <f t="shared" si="2"/>
        <v>La-0</v>
      </c>
      <c r="B88" s="2" t="s">
        <v>89</v>
      </c>
      <c r="C88">
        <v>0</v>
      </c>
      <c r="D88" s="3">
        <v>5</v>
      </c>
      <c r="M88" t="e">
        <f t="array" ref="M88">SUM(E88:H88*I88:L88)/SUM(E88:H88)</f>
        <v>#DIV/0!</v>
      </c>
      <c r="AC88">
        <v>0</v>
      </c>
    </row>
    <row r="89" spans="1:29" x14ac:dyDescent="0.35">
      <c r="A89" t="str">
        <f t="shared" si="2"/>
        <v>La-1</v>
      </c>
      <c r="B89" s="2" t="s">
        <v>89</v>
      </c>
      <c r="C89">
        <v>1</v>
      </c>
      <c r="D89" s="3">
        <v>1</v>
      </c>
      <c r="E89">
        <v>3</v>
      </c>
      <c r="F89">
        <v>6</v>
      </c>
      <c r="G89">
        <v>11</v>
      </c>
      <c r="H89">
        <v>5</v>
      </c>
      <c r="I89">
        <v>2</v>
      </c>
      <c r="J89">
        <v>2</v>
      </c>
      <c r="K89">
        <v>4</v>
      </c>
      <c r="L89">
        <v>3</v>
      </c>
      <c r="M89">
        <f t="array" ref="M89">SUM(E89:H89*I89:L89)/SUM(E89:H89)</f>
        <v>3.08</v>
      </c>
      <c r="N89">
        <f>AVERAGE(M89:M91)</f>
        <v>2.36</v>
      </c>
      <c r="O89">
        <f>_xlfn.STDEV.P(M89:M91)</f>
        <v>0.52699005542658717</v>
      </c>
      <c r="P89">
        <f>0-AVERAGE(E89:E93)</f>
        <v>-4.333333333333333</v>
      </c>
      <c r="Q89">
        <f>0-AVERAGE(F89:F93)</f>
        <v>-9.3333333333333339</v>
      </c>
      <c r="R89">
        <f>0-AVERAGE(G89:G93)</f>
        <v>-8.6666666666666661</v>
      </c>
      <c r="S89">
        <f>IF(ISNUMBER(0-AVERAGE(H89:H93)),0-AVERAGE(H89:H93),NA())</f>
        <v>-6</v>
      </c>
      <c r="T89">
        <f>AVERAGE(I89:I93)</f>
        <v>1.3333333333333333</v>
      </c>
      <c r="U89">
        <f>AVERAGE(J89:J93)</f>
        <v>2.3333333333333335</v>
      </c>
      <c r="V89">
        <f>AVERAGE(K89:K93)</f>
        <v>2.6666666666666665</v>
      </c>
      <c r="W89">
        <f>IF(ISNUMBER(AVERAGE(L89:L93)), AVERAGE(L89:L93), "")</f>
        <v>2.3333333333333335</v>
      </c>
      <c r="X89">
        <f>IF(ISNUMBER(_xlfn.STDEV.P(I89:I93)),_xlfn.STDEV.P(I89:I93),"")</f>
        <v>0.47140452079103168</v>
      </c>
      <c r="Y89">
        <f>IF(ISNUMBER(_xlfn.STDEV.P(J89:J93)),_xlfn.STDEV.P(J89:J93),"")</f>
        <v>0.47140452079103168</v>
      </c>
      <c r="Z89">
        <f>IF(ISNUMBER(_xlfn.STDEV.P(K89:K93)),_xlfn.STDEV.P(K89:K93),"")</f>
        <v>0.94280904158206336</v>
      </c>
      <c r="AA89">
        <f>IF(ISNUMBER(_xlfn.STDEV.P(L89:L93)),_xlfn.STDEV.P(L89:L93),"")</f>
        <v>0.47140452079103168</v>
      </c>
      <c r="AC89">
        <f>AVERAGEA(I89:I92)</f>
        <v>1.3333333333333333</v>
      </c>
    </row>
    <row r="90" spans="1:29" x14ac:dyDescent="0.35">
      <c r="A90" t="str">
        <f t="shared" si="2"/>
        <v>La-1</v>
      </c>
      <c r="B90" s="2" t="s">
        <v>89</v>
      </c>
      <c r="C90">
        <v>1</v>
      </c>
      <c r="D90" s="3">
        <v>2</v>
      </c>
      <c r="E90">
        <v>5</v>
      </c>
      <c r="F90">
        <v>12</v>
      </c>
      <c r="G90">
        <v>5</v>
      </c>
      <c r="H90">
        <v>8</v>
      </c>
      <c r="I90">
        <v>1</v>
      </c>
      <c r="J90">
        <v>2</v>
      </c>
      <c r="K90">
        <v>2</v>
      </c>
      <c r="L90">
        <v>2</v>
      </c>
      <c r="M90">
        <f t="array" ref="M90">SUM(E90:H90*I90:L90)/SUM(E90:H90)</f>
        <v>1.8333333333333333</v>
      </c>
      <c r="AC90">
        <v>0</v>
      </c>
    </row>
    <row r="91" spans="1:29" x14ac:dyDescent="0.35">
      <c r="A91" t="str">
        <f t="shared" si="2"/>
        <v>La-1</v>
      </c>
      <c r="B91" s="2" t="s">
        <v>89</v>
      </c>
      <c r="C91">
        <v>1</v>
      </c>
      <c r="D91" s="3">
        <v>3</v>
      </c>
      <c r="E91">
        <v>5</v>
      </c>
      <c r="F91">
        <v>10</v>
      </c>
      <c r="G91">
        <v>10</v>
      </c>
      <c r="H91">
        <v>5</v>
      </c>
      <c r="I91">
        <v>1</v>
      </c>
      <c r="J91">
        <v>3</v>
      </c>
      <c r="K91">
        <v>2</v>
      </c>
      <c r="L91">
        <v>2</v>
      </c>
      <c r="M91">
        <f t="array" ref="M91">SUM(E91:H91*I91:L91)/SUM(E91:H91)</f>
        <v>2.1666666666666665</v>
      </c>
      <c r="AC91">
        <v>0</v>
      </c>
    </row>
    <row r="92" spans="1:29" x14ac:dyDescent="0.35">
      <c r="A92" t="str">
        <f t="shared" si="2"/>
        <v>La-1</v>
      </c>
      <c r="B92" s="2" t="s">
        <v>89</v>
      </c>
      <c r="C92">
        <v>1</v>
      </c>
      <c r="D92" s="3">
        <v>4</v>
      </c>
      <c r="M92" t="e">
        <f t="array" ref="M92">SUM(E92:H92*I92:L92)/SUM(E92:H92)</f>
        <v>#DIV/0!</v>
      </c>
      <c r="AC92">
        <v>0</v>
      </c>
    </row>
    <row r="93" spans="1:29" x14ac:dyDescent="0.35">
      <c r="A93" t="str">
        <f t="shared" si="2"/>
        <v>La-1</v>
      </c>
      <c r="B93" s="2" t="s">
        <v>89</v>
      </c>
      <c r="C93">
        <v>1</v>
      </c>
      <c r="D93" s="3">
        <v>5</v>
      </c>
      <c r="M93" t="e">
        <f t="array" ref="M93">SUM(E93:H93*I93:L93)/SUM(E93:H93)</f>
        <v>#DIV/0!</v>
      </c>
      <c r="AC93">
        <v>0</v>
      </c>
    </row>
    <row r="94" spans="1:29" x14ac:dyDescent="0.35">
      <c r="A94" t="str">
        <f t="shared" si="2"/>
        <v>Li-0</v>
      </c>
      <c r="B94" s="2" t="s">
        <v>69</v>
      </c>
      <c r="C94">
        <v>0</v>
      </c>
      <c r="D94" s="3">
        <v>1</v>
      </c>
      <c r="E94">
        <v>2</v>
      </c>
      <c r="F94">
        <v>9</v>
      </c>
      <c r="G94">
        <v>10</v>
      </c>
      <c r="I94">
        <v>1</v>
      </c>
      <c r="J94">
        <v>3</v>
      </c>
      <c r="K94">
        <v>5</v>
      </c>
      <c r="M94">
        <f t="array" ref="M94">SUM(E94:H94*I94:L94)/SUM(E94:H94)</f>
        <v>3.7619047619047619</v>
      </c>
      <c r="N94">
        <f>AVERAGE(M94:M98)</f>
        <v>3.7529670329670326</v>
      </c>
      <c r="O94">
        <f>_xlfn.STDEV.P(M94:M98)</f>
        <v>0.3703072858384891</v>
      </c>
      <c r="P94">
        <f>0-AVERAGE(E94:E98)</f>
        <v>-4.2</v>
      </c>
      <c r="Q94">
        <f>0-AVERAGE(F94:F98)</f>
        <v>-13.6</v>
      </c>
      <c r="R94">
        <f>0-AVERAGE(G94:G98)</f>
        <v>-6.6</v>
      </c>
      <c r="S94">
        <f>IF(ISNUMBER(0-AVERAGE(H94:H98)),0-AVERAGE(H94:H98),NA())</f>
        <v>-5</v>
      </c>
      <c r="T94">
        <f>AVERAGE(I94:I98)</f>
        <v>1</v>
      </c>
      <c r="U94">
        <f>AVERAGE(J94:J98)</f>
        <v>3.8</v>
      </c>
      <c r="V94">
        <f>AVERAGE(K94:K98)</f>
        <v>4.8</v>
      </c>
      <c r="W94">
        <f>IF(ISNUMBER(AVERAGE(L94:L98)), AVERAGE(L94:L98), "")</f>
        <v>5</v>
      </c>
      <c r="X94">
        <f>IF(ISNUMBER(_xlfn.STDEV.P(I94:I98)),_xlfn.STDEV.P(I94:I98),"")</f>
        <v>0</v>
      </c>
      <c r="Y94">
        <f>IF(ISNUMBER(_xlfn.STDEV.P(J94:J98)),_xlfn.STDEV.P(J94:J98),"")</f>
        <v>0.74833147735478833</v>
      </c>
      <c r="Z94">
        <f>IF(ISNUMBER(_xlfn.STDEV.P(K94:K98)),_xlfn.STDEV.P(K94:K98),"")</f>
        <v>0.39999999999999997</v>
      </c>
      <c r="AA94">
        <f>IF(ISNUMBER(_xlfn.STDEV.P(L94:L98)),_xlfn.STDEV.P(L94:L98),"")</f>
        <v>0</v>
      </c>
      <c r="AC94">
        <f>AVERAGEA(I94:I97)</f>
        <v>1</v>
      </c>
    </row>
    <row r="95" spans="1:29" x14ac:dyDescent="0.35">
      <c r="A95" t="str">
        <f t="shared" si="2"/>
        <v>Li-0</v>
      </c>
      <c r="B95" s="2" t="s">
        <v>69</v>
      </c>
      <c r="C95">
        <v>0</v>
      </c>
      <c r="D95" s="3">
        <v>2</v>
      </c>
      <c r="E95">
        <v>4</v>
      </c>
      <c r="F95">
        <v>20</v>
      </c>
      <c r="G95">
        <v>4</v>
      </c>
      <c r="I95">
        <v>1</v>
      </c>
      <c r="J95">
        <v>5</v>
      </c>
      <c r="K95">
        <v>5</v>
      </c>
      <c r="M95">
        <f t="array" ref="M95">SUM(E95:H95*I95:L95)/SUM(E95:H95)</f>
        <v>4.4285714285714288</v>
      </c>
      <c r="AC95">
        <v>0</v>
      </c>
    </row>
    <row r="96" spans="1:29" x14ac:dyDescent="0.35">
      <c r="A96" t="str">
        <f t="shared" si="2"/>
        <v>Li-0</v>
      </c>
      <c r="B96" s="2" t="s">
        <v>69</v>
      </c>
      <c r="C96">
        <v>0</v>
      </c>
      <c r="D96" s="3">
        <v>3</v>
      </c>
      <c r="E96">
        <v>5</v>
      </c>
      <c r="F96">
        <v>8</v>
      </c>
      <c r="G96">
        <v>8</v>
      </c>
      <c r="H96">
        <v>5</v>
      </c>
      <c r="I96">
        <v>1</v>
      </c>
      <c r="J96">
        <v>3</v>
      </c>
      <c r="K96">
        <v>4</v>
      </c>
      <c r="L96">
        <v>5</v>
      </c>
      <c r="M96">
        <f t="array" ref="M96">SUM(E96:H96*I96:L96)/SUM(E96:H96)</f>
        <v>3.3076923076923075</v>
      </c>
      <c r="AC96">
        <v>0</v>
      </c>
    </row>
    <row r="97" spans="1:29" x14ac:dyDescent="0.35">
      <c r="A97" t="str">
        <f t="shared" si="2"/>
        <v>Li-0</v>
      </c>
      <c r="B97" s="2" t="s">
        <v>69</v>
      </c>
      <c r="C97">
        <v>0</v>
      </c>
      <c r="D97" s="3">
        <v>4</v>
      </c>
      <c r="E97">
        <v>5</v>
      </c>
      <c r="F97">
        <v>15</v>
      </c>
      <c r="G97">
        <v>5</v>
      </c>
      <c r="I97">
        <v>1</v>
      </c>
      <c r="J97">
        <v>4</v>
      </c>
      <c r="K97">
        <v>5</v>
      </c>
      <c r="M97">
        <f t="array" ref="M97">SUM(E97:H97*I97:L97)/SUM(E97:H97)</f>
        <v>3.6</v>
      </c>
      <c r="AC97">
        <v>0</v>
      </c>
    </row>
    <row r="98" spans="1:29" x14ac:dyDescent="0.35">
      <c r="A98" t="str">
        <f t="shared" si="2"/>
        <v>Li-0</v>
      </c>
      <c r="B98" s="2" t="s">
        <v>69</v>
      </c>
      <c r="C98">
        <v>0</v>
      </c>
      <c r="D98" s="3">
        <v>5</v>
      </c>
      <c r="E98">
        <v>5</v>
      </c>
      <c r="F98">
        <v>16</v>
      </c>
      <c r="G98">
        <v>6</v>
      </c>
      <c r="I98">
        <v>1</v>
      </c>
      <c r="J98">
        <v>4</v>
      </c>
      <c r="K98">
        <v>5</v>
      </c>
      <c r="M98">
        <f t="array" ref="M98">SUM(E98:H98*I98:L98)/SUM(E98:H98)</f>
        <v>3.6666666666666665</v>
      </c>
      <c r="AC98">
        <v>0</v>
      </c>
    </row>
    <row r="99" spans="1:29" x14ac:dyDescent="0.35">
      <c r="A99" s="2" t="str">
        <f t="shared" si="2"/>
        <v>Li-1</v>
      </c>
      <c r="B99" s="2" t="s">
        <v>69</v>
      </c>
      <c r="C99">
        <v>1</v>
      </c>
      <c r="D99" s="3">
        <v>1</v>
      </c>
      <c r="E99">
        <v>5</v>
      </c>
      <c r="F99">
        <v>20</v>
      </c>
      <c r="G99">
        <v>5</v>
      </c>
      <c r="I99">
        <v>1</v>
      </c>
      <c r="J99">
        <v>4</v>
      </c>
      <c r="K99">
        <v>5</v>
      </c>
      <c r="M99">
        <f t="array" ref="M99">SUM(E99:H99*I99:L99)/SUM(E99:H99)</f>
        <v>3.6666666666666665</v>
      </c>
      <c r="N99">
        <f>AVERAGE(M99:M103)</f>
        <v>3.5216091954022986</v>
      </c>
      <c r="O99">
        <f>_xlfn.STDEV.P(M99:M103)</f>
        <v>0.34289450500740803</v>
      </c>
      <c r="P99">
        <f>0-AVERAGE(E99:E103)</f>
        <v>-5</v>
      </c>
      <c r="Q99">
        <f>0-AVERAGE(F99:F103)</f>
        <v>-13.2</v>
      </c>
      <c r="R99">
        <f>0-AVERAGE(G99:G103)</f>
        <v>-10</v>
      </c>
      <c r="S99">
        <f>IF(ISNUMBER(0-AVERAGE(H99:H103)),0-AVERAGE(H99:H103),NA())</f>
        <v>-5</v>
      </c>
      <c r="T99">
        <f>AVERAGE(I99:I103)</f>
        <v>1</v>
      </c>
      <c r="U99">
        <f>AVERAGE(J99:J103)</f>
        <v>3.4</v>
      </c>
      <c r="V99">
        <f>AVERAGE(K99:K103)</f>
        <v>4.8</v>
      </c>
      <c r="W99">
        <f>IF(ISNUMBER(AVERAGE(L99:L103)), AVERAGE(L99:L103), "")</f>
        <v>4</v>
      </c>
      <c r="X99">
        <f>IF(ISNUMBER(_xlfn.STDEV.P(I99:I103)),_xlfn.STDEV.P(I99:I103),"")</f>
        <v>0</v>
      </c>
      <c r="Y99">
        <f>IF(ISNUMBER(_xlfn.STDEV.P(J99:J103)),_xlfn.STDEV.P(J99:J103),"")</f>
        <v>0.4898979485566356</v>
      </c>
      <c r="Z99">
        <f>IF(ISNUMBER(_xlfn.STDEV.P(K99:K103)),_xlfn.STDEV.P(K99:K103),"")</f>
        <v>0.39999999999999997</v>
      </c>
      <c r="AA99">
        <f>IF(ISNUMBER(_xlfn.STDEV.P(L99:L103)),_xlfn.STDEV.P(L99:L103),"")</f>
        <v>0</v>
      </c>
      <c r="AC99">
        <f>AVERAGEA(I99:I102)</f>
        <v>1</v>
      </c>
    </row>
    <row r="100" spans="1:29" x14ac:dyDescent="0.35">
      <c r="A100" s="2" t="str">
        <f t="shared" ref="A100:A131" si="3">B100&amp;"-"&amp;C100</f>
        <v>Li-1</v>
      </c>
      <c r="B100" s="2" t="s">
        <v>69</v>
      </c>
      <c r="C100">
        <v>1</v>
      </c>
      <c r="D100" s="3">
        <v>2</v>
      </c>
      <c r="E100">
        <v>5</v>
      </c>
      <c r="F100">
        <v>7</v>
      </c>
      <c r="G100">
        <v>18</v>
      </c>
      <c r="I100">
        <v>1</v>
      </c>
      <c r="J100">
        <v>3</v>
      </c>
      <c r="K100">
        <v>5</v>
      </c>
      <c r="M100">
        <f t="array" ref="M100">SUM(E100:H100*I100:L100)/SUM(E100:H100)</f>
        <v>3.8666666666666667</v>
      </c>
      <c r="AC100">
        <v>0</v>
      </c>
    </row>
    <row r="101" spans="1:29" x14ac:dyDescent="0.35">
      <c r="A101" s="2" t="str">
        <f t="shared" si="3"/>
        <v>Li-1</v>
      </c>
      <c r="B101" s="2" t="s">
        <v>69</v>
      </c>
      <c r="C101">
        <v>1</v>
      </c>
      <c r="D101" s="3">
        <v>3</v>
      </c>
      <c r="E101">
        <v>5</v>
      </c>
      <c r="F101">
        <v>15</v>
      </c>
      <c r="G101">
        <v>10</v>
      </c>
      <c r="I101">
        <v>1</v>
      </c>
      <c r="J101">
        <v>4</v>
      </c>
      <c r="K101">
        <v>5</v>
      </c>
      <c r="M101">
        <f t="array" ref="M101">SUM(E101:H101*I101:L101)/SUM(E101:H101)</f>
        <v>3.8333333333333335</v>
      </c>
      <c r="AC101">
        <v>0</v>
      </c>
    </row>
    <row r="102" spans="1:29" x14ac:dyDescent="0.35">
      <c r="A102" s="2" t="str">
        <f t="shared" si="3"/>
        <v>Li-1</v>
      </c>
      <c r="B102" s="2" t="s">
        <v>69</v>
      </c>
      <c r="C102">
        <v>1</v>
      </c>
      <c r="D102" s="3">
        <v>4</v>
      </c>
      <c r="E102">
        <v>5</v>
      </c>
      <c r="F102">
        <v>7</v>
      </c>
      <c r="G102">
        <v>12</v>
      </c>
      <c r="H102">
        <v>5</v>
      </c>
      <c r="I102">
        <v>1</v>
      </c>
      <c r="J102">
        <v>3</v>
      </c>
      <c r="K102">
        <v>4</v>
      </c>
      <c r="L102">
        <v>4</v>
      </c>
      <c r="M102">
        <f t="array" ref="M102">SUM(E102:H102*I102:L102)/SUM(E102:H102)</f>
        <v>3.2413793103448274</v>
      </c>
      <c r="AC102">
        <v>0</v>
      </c>
    </row>
    <row r="103" spans="1:29" x14ac:dyDescent="0.35">
      <c r="A103" s="2" t="str">
        <f t="shared" si="3"/>
        <v>Li-1</v>
      </c>
      <c r="B103" s="2" t="s">
        <v>69</v>
      </c>
      <c r="C103">
        <v>1</v>
      </c>
      <c r="D103" s="3">
        <v>5</v>
      </c>
      <c r="E103">
        <v>5</v>
      </c>
      <c r="F103">
        <v>17</v>
      </c>
      <c r="G103">
        <v>5</v>
      </c>
      <c r="I103">
        <v>1</v>
      </c>
      <c r="J103">
        <v>3</v>
      </c>
      <c r="K103">
        <v>5</v>
      </c>
      <c r="M103">
        <f t="array" ref="M103">SUM(E103:H103*I103:L103)/SUM(E103:H103)</f>
        <v>3</v>
      </c>
      <c r="AC103">
        <v>0</v>
      </c>
    </row>
    <row r="104" spans="1:29" x14ac:dyDescent="0.35">
      <c r="A104" t="str">
        <f t="shared" si="3"/>
        <v>Mi-0</v>
      </c>
      <c r="B104" s="2" t="s">
        <v>68</v>
      </c>
      <c r="C104">
        <v>0</v>
      </c>
      <c r="D104" s="3">
        <v>1</v>
      </c>
      <c r="E104">
        <v>5</v>
      </c>
      <c r="F104">
        <v>8</v>
      </c>
      <c r="G104">
        <v>5</v>
      </c>
      <c r="H104">
        <v>3</v>
      </c>
      <c r="I104">
        <v>2</v>
      </c>
      <c r="J104">
        <v>2</v>
      </c>
      <c r="K104">
        <v>3</v>
      </c>
      <c r="L104">
        <v>4</v>
      </c>
      <c r="M104">
        <f t="array" ref="M104">SUM(E104:H104*I104:L104)/SUM(E104:H104)</f>
        <v>2.5238095238095237</v>
      </c>
      <c r="N104">
        <f>AVERAGE(M104:M108)</f>
        <v>2.3486692368101663</v>
      </c>
      <c r="O104">
        <f>_xlfn.STDEV.P(M104:M108)</f>
        <v>0.17320941510142432</v>
      </c>
      <c r="P104">
        <f>0-AVERAGE(E104:E108)</f>
        <v>-5.6</v>
      </c>
      <c r="Q104">
        <f>0-AVERAGE(F104:F108)</f>
        <v>-11.6</v>
      </c>
      <c r="R104">
        <f>0-AVERAGE(G104:G108)</f>
        <v>-9.25</v>
      </c>
      <c r="S104">
        <f>IF(ISNUMBER(0-AVERAGE(H104:H108)),0-AVERAGE(H104:H108),NA())</f>
        <v>-4</v>
      </c>
      <c r="T104">
        <f>AVERAGE(I104:I108)</f>
        <v>1.2</v>
      </c>
      <c r="U104">
        <f>AVERAGE(J104:J108)</f>
        <v>2.2000000000000002</v>
      </c>
      <c r="V104">
        <f>AVERAGE(K104:K108)</f>
        <v>3</v>
      </c>
      <c r="W104">
        <f>IF(ISNUMBER(AVERAGE(L104:L108)), AVERAGE(L104:L108), "")</f>
        <v>4</v>
      </c>
      <c r="X104">
        <f>IF(ISNUMBER(_xlfn.STDEV.P(I104:I108)),_xlfn.STDEV.P(I104:I108),"")</f>
        <v>0.4</v>
      </c>
      <c r="Y104">
        <f>IF(ISNUMBER(_xlfn.STDEV.P(J104:J108)),_xlfn.STDEV.P(J104:J108),"")</f>
        <v>0.4</v>
      </c>
      <c r="Z104">
        <f>IF(ISNUMBER(_xlfn.STDEV.P(K104:K108)),_xlfn.STDEV.P(K104:K108),"")</f>
        <v>0</v>
      </c>
      <c r="AA104">
        <f>IF(ISNUMBER(_xlfn.STDEV.P(L104:L108)),_xlfn.STDEV.P(L104:L108),"")</f>
        <v>0</v>
      </c>
      <c r="AC104">
        <f>AVERAGEA(I104:I107)</f>
        <v>1.25</v>
      </c>
    </row>
    <row r="105" spans="1:29" x14ac:dyDescent="0.35">
      <c r="A105" t="str">
        <f t="shared" si="3"/>
        <v>Mi-0</v>
      </c>
      <c r="B105" s="2" t="s">
        <v>68</v>
      </c>
      <c r="C105">
        <v>0</v>
      </c>
      <c r="D105" s="3">
        <v>2</v>
      </c>
      <c r="E105">
        <v>8</v>
      </c>
      <c r="F105">
        <v>15</v>
      </c>
      <c r="I105">
        <v>1</v>
      </c>
      <c r="J105">
        <v>3</v>
      </c>
      <c r="M105">
        <f t="array" ref="M105">SUM(E105:H105*I105:L105)/SUM(E105:H105)</f>
        <v>2.3043478260869565</v>
      </c>
      <c r="AC105">
        <v>0</v>
      </c>
    </row>
    <row r="106" spans="1:29" x14ac:dyDescent="0.35">
      <c r="A106" t="str">
        <f t="shared" si="3"/>
        <v>Mi-0</v>
      </c>
      <c r="B106" s="2" t="s">
        <v>68</v>
      </c>
      <c r="C106">
        <v>0</v>
      </c>
      <c r="D106" s="3">
        <v>3</v>
      </c>
      <c r="E106">
        <v>5</v>
      </c>
      <c r="F106">
        <v>12</v>
      </c>
      <c r="G106">
        <v>12</v>
      </c>
      <c r="I106">
        <v>1</v>
      </c>
      <c r="J106">
        <v>2</v>
      </c>
      <c r="K106">
        <v>3</v>
      </c>
      <c r="M106">
        <f t="array" ref="M106">SUM(E106:H106*I106:L106)/SUM(E106:H106)</f>
        <v>2.2413793103448274</v>
      </c>
      <c r="AC106">
        <v>0</v>
      </c>
    </row>
    <row r="107" spans="1:29" x14ac:dyDescent="0.35">
      <c r="A107" t="str">
        <f t="shared" si="3"/>
        <v>Mi-0</v>
      </c>
      <c r="B107" s="2" t="s">
        <v>68</v>
      </c>
      <c r="C107">
        <v>0</v>
      </c>
      <c r="D107" s="3">
        <v>4</v>
      </c>
      <c r="E107">
        <v>5</v>
      </c>
      <c r="F107">
        <v>8</v>
      </c>
      <c r="G107">
        <v>12</v>
      </c>
      <c r="H107">
        <v>5</v>
      </c>
      <c r="I107">
        <v>1</v>
      </c>
      <c r="J107">
        <v>2</v>
      </c>
      <c r="K107">
        <v>3</v>
      </c>
      <c r="L107">
        <v>4</v>
      </c>
      <c r="M107">
        <f t="array" ref="M107">SUM(E107:H107*I107:L107)/SUM(E107:H107)</f>
        <v>2.5666666666666669</v>
      </c>
      <c r="AC107">
        <v>0</v>
      </c>
    </row>
    <row r="108" spans="1:29" x14ac:dyDescent="0.35">
      <c r="A108" t="str">
        <f t="shared" si="3"/>
        <v>Mi-0</v>
      </c>
      <c r="B108" s="2" t="s">
        <v>68</v>
      </c>
      <c r="C108">
        <v>0</v>
      </c>
      <c r="D108" s="3">
        <v>5</v>
      </c>
      <c r="E108">
        <v>5</v>
      </c>
      <c r="F108">
        <v>15</v>
      </c>
      <c r="G108">
        <v>8</v>
      </c>
      <c r="I108">
        <v>1</v>
      </c>
      <c r="J108">
        <v>2</v>
      </c>
      <c r="K108">
        <v>3</v>
      </c>
      <c r="M108">
        <f t="array" ref="M108">SUM(E108:H108*I108:L108)/SUM(E108:H108)</f>
        <v>2.1071428571428572</v>
      </c>
      <c r="AC108">
        <v>0</v>
      </c>
    </row>
    <row r="109" spans="1:29" x14ac:dyDescent="0.35">
      <c r="A109" t="str">
        <f t="shared" si="3"/>
        <v>Mi-1</v>
      </c>
      <c r="B109" s="2" t="s">
        <v>68</v>
      </c>
      <c r="C109">
        <v>1</v>
      </c>
      <c r="D109" s="3">
        <v>1</v>
      </c>
      <c r="E109">
        <v>10</v>
      </c>
      <c r="F109">
        <v>17</v>
      </c>
      <c r="G109">
        <v>7</v>
      </c>
      <c r="I109">
        <v>1</v>
      </c>
      <c r="J109">
        <v>2</v>
      </c>
      <c r="K109">
        <v>3</v>
      </c>
      <c r="M109">
        <f t="array" ref="M109">SUM(E109:H109*I109:L109)/SUM(E109:H109)</f>
        <v>1.911764705882353</v>
      </c>
      <c r="N109">
        <f>AVERAGE(M109:M113)</f>
        <v>2.3614005602240895</v>
      </c>
      <c r="O109">
        <f>_xlfn.STDEV.P(M109:M113)</f>
        <v>0.46727731492074154</v>
      </c>
      <c r="P109">
        <f>0-AVERAGE(E109:E113)</f>
        <v>-7.2</v>
      </c>
      <c r="Q109">
        <f>0-AVERAGE(F109:F113)</f>
        <v>-13.4</v>
      </c>
      <c r="R109">
        <f>0-AVERAGE(G109:G113)</f>
        <v>-8.4</v>
      </c>
      <c r="S109">
        <f>IF(ISNUMBER(0-AVERAGE(H109:H113)),0-AVERAGE(H109:H113),NA())</f>
        <v>-7</v>
      </c>
      <c r="T109">
        <f>AVERAGE(I109:I113)</f>
        <v>1.4</v>
      </c>
      <c r="U109">
        <f>AVERAGE(J109:J113)</f>
        <v>2.6</v>
      </c>
      <c r="V109">
        <f>AVERAGE(K109:K113)</f>
        <v>2.8</v>
      </c>
      <c r="W109">
        <f>IF(ISNUMBER(AVERAGE(L109:L113)), AVERAGE(L109:L113), "")</f>
        <v>2</v>
      </c>
      <c r="X109">
        <f>IF(ISNUMBER(_xlfn.STDEV.P(I109:I113)),_xlfn.STDEV.P(I109:I113),"")</f>
        <v>0.8</v>
      </c>
      <c r="Y109">
        <f>IF(ISNUMBER(_xlfn.STDEV.P(J109:J113)),_xlfn.STDEV.P(J109:J113),"")</f>
        <v>0.4898979485566356</v>
      </c>
      <c r="Z109">
        <f>IF(ISNUMBER(_xlfn.STDEV.P(K109:K113)),_xlfn.STDEV.P(K109:K113),"")</f>
        <v>0.74833147735478833</v>
      </c>
      <c r="AA109">
        <f>IF(ISNUMBER(_xlfn.STDEV.P(L109:L113)),_xlfn.STDEV.P(L109:L113),"")</f>
        <v>0</v>
      </c>
      <c r="AC109">
        <f>AVERAGEA(I109:I112)</f>
        <v>1.5</v>
      </c>
    </row>
    <row r="110" spans="1:29" x14ac:dyDescent="0.35">
      <c r="A110" t="str">
        <f t="shared" si="3"/>
        <v>Mi-1</v>
      </c>
      <c r="B110" s="2" t="s">
        <v>68</v>
      </c>
      <c r="C110">
        <v>1</v>
      </c>
      <c r="D110" s="3">
        <v>2</v>
      </c>
      <c r="E110">
        <v>8</v>
      </c>
      <c r="F110">
        <v>15</v>
      </c>
      <c r="G110">
        <v>7</v>
      </c>
      <c r="I110">
        <v>3</v>
      </c>
      <c r="J110">
        <v>3</v>
      </c>
      <c r="K110">
        <v>4</v>
      </c>
      <c r="M110">
        <f t="array" ref="M110">SUM(E110:H110*I110:L110)/SUM(E110:H110)</f>
        <v>3.2333333333333334</v>
      </c>
      <c r="AC110">
        <v>0</v>
      </c>
    </row>
    <row r="111" spans="1:29" x14ac:dyDescent="0.35">
      <c r="A111" t="str">
        <f t="shared" si="3"/>
        <v>Mi-1</v>
      </c>
      <c r="B111" s="2" t="s">
        <v>68</v>
      </c>
      <c r="C111">
        <v>1</v>
      </c>
      <c r="D111" s="3">
        <v>3</v>
      </c>
      <c r="E111">
        <v>5</v>
      </c>
      <c r="F111">
        <v>17</v>
      </c>
      <c r="G111">
        <v>6</v>
      </c>
      <c r="I111">
        <v>1</v>
      </c>
      <c r="J111">
        <v>3</v>
      </c>
      <c r="K111">
        <v>2</v>
      </c>
      <c r="M111">
        <f t="array" ref="M111">SUM(E111:H111*I111:L111)/SUM(E111:H111)</f>
        <v>2.4285714285714284</v>
      </c>
      <c r="AC111">
        <v>0</v>
      </c>
    </row>
    <row r="112" spans="1:29" x14ac:dyDescent="0.35">
      <c r="A112" t="str">
        <f t="shared" si="3"/>
        <v>Mi-1</v>
      </c>
      <c r="B112" s="2" t="s">
        <v>68</v>
      </c>
      <c r="C112">
        <v>1</v>
      </c>
      <c r="D112" s="3">
        <v>4</v>
      </c>
      <c r="E112">
        <v>8</v>
      </c>
      <c r="F112">
        <v>10</v>
      </c>
      <c r="G112">
        <v>12</v>
      </c>
      <c r="I112">
        <v>1</v>
      </c>
      <c r="J112">
        <v>3</v>
      </c>
      <c r="K112">
        <v>2</v>
      </c>
      <c r="M112">
        <f t="array" ref="M112">SUM(E112:H112*I112:L112)/SUM(E112:H112)</f>
        <v>2.0666666666666669</v>
      </c>
      <c r="AC112">
        <v>0</v>
      </c>
    </row>
    <row r="113" spans="1:29" x14ac:dyDescent="0.35">
      <c r="A113" t="str">
        <f t="shared" si="3"/>
        <v>Mi-1</v>
      </c>
      <c r="B113" s="2" t="s">
        <v>68</v>
      </c>
      <c r="C113">
        <v>1</v>
      </c>
      <c r="D113" s="3">
        <v>5</v>
      </c>
      <c r="E113">
        <v>5</v>
      </c>
      <c r="F113">
        <v>8</v>
      </c>
      <c r="G113">
        <v>10</v>
      </c>
      <c r="H113">
        <v>7</v>
      </c>
      <c r="I113">
        <v>1</v>
      </c>
      <c r="J113">
        <v>2</v>
      </c>
      <c r="K113">
        <v>3</v>
      </c>
      <c r="L113">
        <v>2</v>
      </c>
      <c r="M113">
        <f t="array" ref="M113">SUM(E113:H113*I113:L113)/SUM(E113:H113)</f>
        <v>2.1666666666666665</v>
      </c>
      <c r="AC113">
        <v>0</v>
      </c>
    </row>
    <row r="114" spans="1:29" x14ac:dyDescent="0.35">
      <c r="A114" t="str">
        <f t="shared" si="3"/>
        <v>Mo-0</v>
      </c>
      <c r="B114" s="2" t="s">
        <v>78</v>
      </c>
      <c r="C114">
        <v>0</v>
      </c>
      <c r="D114" s="3">
        <v>1</v>
      </c>
      <c r="E114">
        <v>15</v>
      </c>
      <c r="F114">
        <v>5</v>
      </c>
      <c r="G114">
        <v>6</v>
      </c>
      <c r="I114">
        <v>5</v>
      </c>
      <c r="J114">
        <v>4</v>
      </c>
      <c r="K114">
        <v>5</v>
      </c>
      <c r="M114">
        <f t="array" ref="M114">SUM(E114:H114*I114:L114)/SUM(E114:H114)</f>
        <v>4.8076923076923075</v>
      </c>
      <c r="N114">
        <f>AVERAGE(M114:M118)</f>
        <v>4.1053876678876673</v>
      </c>
      <c r="O114">
        <f>_xlfn.STDEV.P(M114:M118)</f>
        <v>0.41842378078143144</v>
      </c>
      <c r="P114">
        <f>0-AVERAGE(E114:E118)</f>
        <v>-12.4</v>
      </c>
      <c r="Q114">
        <f>0-AVERAGE(F114:F118)</f>
        <v>-7.4</v>
      </c>
      <c r="R114">
        <f>0-AVERAGE(G114:G118)</f>
        <v>-7</v>
      </c>
      <c r="S114">
        <f>IF(ISNUMBER(0-AVERAGE(H114:H118)),0-AVERAGE(H114:H118),NA())</f>
        <v>-4.5</v>
      </c>
      <c r="T114">
        <f>AVERAGE(I114:I118)</f>
        <v>4.4000000000000004</v>
      </c>
      <c r="U114">
        <f>AVERAGE(J114:J118)</f>
        <v>3.8</v>
      </c>
      <c r="V114">
        <f>AVERAGE(K114:K118)</f>
        <v>3.8</v>
      </c>
      <c r="W114">
        <f>IF(ISNUMBER(AVERAGE(L114:L118)), AVERAGE(L114:L118), "")</f>
        <v>4</v>
      </c>
      <c r="X114">
        <f>IF(ISNUMBER(_xlfn.STDEV.P(I114:I118)),_xlfn.STDEV.P(I114:I118),"")</f>
        <v>0.4898979485566356</v>
      </c>
      <c r="Y114">
        <f>IF(ISNUMBER(_xlfn.STDEV.P(J114:J118)),_xlfn.STDEV.P(J114:J118),"")</f>
        <v>0.4</v>
      </c>
      <c r="Z114">
        <f>IF(ISNUMBER(_xlfn.STDEV.P(K114:K118)),_xlfn.STDEV.P(K114:K118),"")</f>
        <v>0.74833147735478833</v>
      </c>
      <c r="AA114">
        <f>IF(ISNUMBER(_xlfn.STDEV.P(L114:L118)),_xlfn.STDEV.P(L114:L118),"")</f>
        <v>1</v>
      </c>
      <c r="AC114">
        <f>AVERAGEA(I114:I117)</f>
        <v>4.25</v>
      </c>
    </row>
    <row r="115" spans="1:29" x14ac:dyDescent="0.35">
      <c r="A115" t="str">
        <f t="shared" si="3"/>
        <v>Mo-0</v>
      </c>
      <c r="B115" s="2" t="s">
        <v>78</v>
      </c>
      <c r="C115">
        <v>0</v>
      </c>
      <c r="D115" s="3">
        <v>2</v>
      </c>
      <c r="E115">
        <v>7</v>
      </c>
      <c r="F115">
        <v>13</v>
      </c>
      <c r="G115">
        <v>10</v>
      </c>
      <c r="I115">
        <v>4</v>
      </c>
      <c r="J115">
        <v>4</v>
      </c>
      <c r="K115">
        <v>3</v>
      </c>
      <c r="M115">
        <f t="array" ref="M115">SUM(E115:H115*I115:L115)/SUM(E115:H115)</f>
        <v>3.6666666666666665</v>
      </c>
      <c r="AC115">
        <v>0</v>
      </c>
    </row>
    <row r="116" spans="1:29" x14ac:dyDescent="0.35">
      <c r="A116" t="str">
        <f t="shared" si="3"/>
        <v>Mo-0</v>
      </c>
      <c r="B116" s="2" t="s">
        <v>78</v>
      </c>
      <c r="C116">
        <v>0</v>
      </c>
      <c r="D116" s="3">
        <v>3</v>
      </c>
      <c r="E116">
        <v>15</v>
      </c>
      <c r="F116">
        <v>5</v>
      </c>
      <c r="G116">
        <v>7</v>
      </c>
      <c r="H116">
        <v>5</v>
      </c>
      <c r="I116">
        <v>4</v>
      </c>
      <c r="J116">
        <v>3</v>
      </c>
      <c r="K116">
        <v>4</v>
      </c>
      <c r="L116">
        <v>3</v>
      </c>
      <c r="M116">
        <f t="array" ref="M116">SUM(E116:H116*I116:L116)/SUM(E116:H116)</f>
        <v>3.6875</v>
      </c>
      <c r="AC116">
        <v>0</v>
      </c>
    </row>
    <row r="117" spans="1:29" x14ac:dyDescent="0.35">
      <c r="A117" t="str">
        <f t="shared" si="3"/>
        <v>Mo-0</v>
      </c>
      <c r="B117" s="2" t="s">
        <v>78</v>
      </c>
      <c r="C117">
        <v>0</v>
      </c>
      <c r="D117" s="3">
        <v>4</v>
      </c>
      <c r="E117">
        <v>13</v>
      </c>
      <c r="F117">
        <v>5</v>
      </c>
      <c r="G117">
        <v>6</v>
      </c>
      <c r="H117">
        <v>4</v>
      </c>
      <c r="I117">
        <v>4</v>
      </c>
      <c r="J117">
        <v>4</v>
      </c>
      <c r="K117">
        <v>4</v>
      </c>
      <c r="L117">
        <v>5</v>
      </c>
      <c r="M117">
        <f t="array" ref="M117">SUM(E117:H117*I117:L117)/SUM(E117:H117)</f>
        <v>4.1428571428571432</v>
      </c>
      <c r="AC117">
        <v>0</v>
      </c>
    </row>
    <row r="118" spans="1:29" x14ac:dyDescent="0.35">
      <c r="A118" t="str">
        <f t="shared" si="3"/>
        <v>Mo-0</v>
      </c>
      <c r="B118" s="2" t="s">
        <v>78</v>
      </c>
      <c r="C118">
        <v>0</v>
      </c>
      <c r="D118" s="3">
        <v>5</v>
      </c>
      <c r="E118">
        <v>12</v>
      </c>
      <c r="F118">
        <v>9</v>
      </c>
      <c r="G118">
        <v>6</v>
      </c>
      <c r="I118">
        <v>5</v>
      </c>
      <c r="J118">
        <v>4</v>
      </c>
      <c r="K118">
        <v>3</v>
      </c>
      <c r="M118">
        <f t="array" ref="M118">SUM(E118:H118*I118:L118)/SUM(E118:H118)</f>
        <v>4.2222222222222223</v>
      </c>
      <c r="AC118">
        <v>0</v>
      </c>
    </row>
    <row r="119" spans="1:29" x14ac:dyDescent="0.35">
      <c r="A119" t="str">
        <f t="shared" si="3"/>
        <v>Mo-1</v>
      </c>
      <c r="B119" s="2" t="s">
        <v>78</v>
      </c>
      <c r="C119">
        <v>1</v>
      </c>
      <c r="D119" s="3">
        <v>1</v>
      </c>
      <c r="E119">
        <v>15</v>
      </c>
      <c r="F119">
        <v>5</v>
      </c>
      <c r="G119">
        <v>8</v>
      </c>
      <c r="I119">
        <v>4</v>
      </c>
      <c r="J119">
        <v>2</v>
      </c>
      <c r="K119">
        <v>3</v>
      </c>
      <c r="M119">
        <f t="array" ref="M119">SUM(E119:H119*I119:L119)/SUM(E119:H119)</f>
        <v>3.3571428571428572</v>
      </c>
      <c r="N119">
        <f>AVERAGE(M119:M123)</f>
        <v>3.0047619047619052</v>
      </c>
      <c r="O119">
        <f>_xlfn.STDEV.P(M119:M123)</f>
        <v>0.31159664089375849</v>
      </c>
      <c r="P119">
        <f>0-AVERAGE(E119:E123)</f>
        <v>-8</v>
      </c>
      <c r="Q119">
        <f>0-AVERAGE(F119:F123)</f>
        <v>-9.1999999999999993</v>
      </c>
      <c r="R119">
        <f>0-AVERAGE(G119:G123)</f>
        <v>-10</v>
      </c>
      <c r="S119">
        <f>IF(ISNUMBER(0-AVERAGE(H119:H123)),0-AVERAGE(H119:H123),NA())</f>
        <v>-2</v>
      </c>
      <c r="T119">
        <f>AVERAGE(I119:I123)</f>
        <v>2.4</v>
      </c>
      <c r="U119">
        <f>AVERAGE(J119:J123)</f>
        <v>3</v>
      </c>
      <c r="V119">
        <f>AVERAGE(K119:K123)</f>
        <v>3</v>
      </c>
      <c r="W119">
        <f>IF(ISNUMBER(AVERAGE(L119:L123)), AVERAGE(L119:L123), "")</f>
        <v>4</v>
      </c>
      <c r="X119">
        <f>IF(ISNUMBER(_xlfn.STDEV.P(I119:I123)),_xlfn.STDEV.P(I119:I123),"")</f>
        <v>1.019803902718557</v>
      </c>
      <c r="Y119">
        <f>IF(ISNUMBER(_xlfn.STDEV.P(J119:J123)),_xlfn.STDEV.P(J119:J123),"")</f>
        <v>1.0954451150103321</v>
      </c>
      <c r="Z119">
        <f>IF(ISNUMBER(_xlfn.STDEV.P(K119:K123)),_xlfn.STDEV.P(K119:K123),"")</f>
        <v>0.89442719099991586</v>
      </c>
      <c r="AA119">
        <f>IF(ISNUMBER(_xlfn.STDEV.P(L119:L123)),_xlfn.STDEV.P(L119:L123),"")</f>
        <v>0</v>
      </c>
      <c r="AC119">
        <f>AVERAGEA(I119:I122)</f>
        <v>2.25</v>
      </c>
    </row>
    <row r="120" spans="1:29" x14ac:dyDescent="0.35">
      <c r="A120" t="str">
        <f t="shared" si="3"/>
        <v>Mo-1</v>
      </c>
      <c r="B120" s="2" t="s">
        <v>78</v>
      </c>
      <c r="C120">
        <v>1</v>
      </c>
      <c r="D120" s="3">
        <v>2</v>
      </c>
      <c r="E120">
        <v>5</v>
      </c>
      <c r="F120">
        <v>10</v>
      </c>
      <c r="G120">
        <v>15</v>
      </c>
      <c r="I120">
        <v>2</v>
      </c>
      <c r="J120">
        <v>5</v>
      </c>
      <c r="K120">
        <v>2</v>
      </c>
      <c r="M120">
        <f t="array" ref="M120">SUM(E120:H120*I120:L120)/SUM(E120:H120)</f>
        <v>3</v>
      </c>
      <c r="AC120">
        <v>0</v>
      </c>
    </row>
    <row r="121" spans="1:29" x14ac:dyDescent="0.35">
      <c r="A121" t="str">
        <f t="shared" si="3"/>
        <v>Mo-1</v>
      </c>
      <c r="B121" s="2" t="s">
        <v>78</v>
      </c>
      <c r="C121">
        <v>1</v>
      </c>
      <c r="D121" s="3">
        <v>3</v>
      </c>
      <c r="E121">
        <v>5</v>
      </c>
      <c r="F121">
        <v>12</v>
      </c>
      <c r="G121">
        <v>10</v>
      </c>
      <c r="I121">
        <v>2</v>
      </c>
      <c r="J121">
        <v>3</v>
      </c>
      <c r="K121">
        <v>2</v>
      </c>
      <c r="M121">
        <f t="array" ref="M121">SUM(E121:H121*I121:L121)/SUM(E121:H121)</f>
        <v>2.4444444444444446</v>
      </c>
      <c r="AC121">
        <v>0</v>
      </c>
    </row>
    <row r="122" spans="1:29" x14ac:dyDescent="0.35">
      <c r="A122" t="str">
        <f t="shared" si="3"/>
        <v>Mo-1</v>
      </c>
      <c r="B122" s="2" t="s">
        <v>78</v>
      </c>
      <c r="C122">
        <v>1</v>
      </c>
      <c r="D122" s="3">
        <v>4</v>
      </c>
      <c r="E122">
        <v>3</v>
      </c>
      <c r="F122">
        <v>12</v>
      </c>
      <c r="G122">
        <v>12</v>
      </c>
      <c r="I122">
        <v>1</v>
      </c>
      <c r="J122">
        <v>3</v>
      </c>
      <c r="K122">
        <v>4</v>
      </c>
      <c r="M122">
        <f t="array" ref="M122">SUM(E122:H122*I122:L122)/SUM(E122:H122)</f>
        <v>3.2222222222222223</v>
      </c>
      <c r="AC122">
        <v>0</v>
      </c>
    </row>
    <row r="123" spans="1:29" x14ac:dyDescent="0.35">
      <c r="A123" t="str">
        <f t="shared" si="3"/>
        <v>Mo-1</v>
      </c>
      <c r="B123" s="2" t="s">
        <v>78</v>
      </c>
      <c r="C123">
        <v>1</v>
      </c>
      <c r="D123" s="3">
        <v>5</v>
      </c>
      <c r="E123">
        <v>12</v>
      </c>
      <c r="F123">
        <v>7</v>
      </c>
      <c r="G123">
        <v>5</v>
      </c>
      <c r="H123">
        <v>2</v>
      </c>
      <c r="I123">
        <v>3</v>
      </c>
      <c r="J123">
        <v>2</v>
      </c>
      <c r="K123">
        <v>4</v>
      </c>
      <c r="L123">
        <v>4</v>
      </c>
      <c r="M123">
        <f t="array" ref="M123">SUM(E123:H123*I123:L123)/SUM(E123:H123)</f>
        <v>3</v>
      </c>
      <c r="AC123">
        <v>0</v>
      </c>
    </row>
    <row r="124" spans="1:29" x14ac:dyDescent="0.35">
      <c r="A124" t="str">
        <f t="shared" si="3"/>
        <v>Mu-0</v>
      </c>
      <c r="B124" s="2" t="s">
        <v>74</v>
      </c>
      <c r="C124">
        <v>0</v>
      </c>
      <c r="D124" s="3">
        <v>1</v>
      </c>
      <c r="E124">
        <v>6</v>
      </c>
      <c r="F124">
        <v>10</v>
      </c>
      <c r="G124">
        <v>8</v>
      </c>
      <c r="H124">
        <v>5</v>
      </c>
      <c r="I124">
        <v>1</v>
      </c>
      <c r="J124">
        <v>2</v>
      </c>
      <c r="K124">
        <v>3</v>
      </c>
      <c r="L124">
        <v>5</v>
      </c>
      <c r="M124">
        <f t="array" ref="M124">SUM(E124:H124*I124:L124)/SUM(E124:H124)</f>
        <v>2.5862068965517242</v>
      </c>
      <c r="N124">
        <f>AVERAGE(M124:M126)</f>
        <v>2.9565390116001908</v>
      </c>
      <c r="O124">
        <f>_xlfn.STDEV.P(M124:M126)</f>
        <v>0.3144151770219073</v>
      </c>
      <c r="P124">
        <f>0-AVERAGE(E124:E128)</f>
        <v>-5.333333333333333</v>
      </c>
      <c r="Q124">
        <f>0-AVERAGE(F124:F128)</f>
        <v>-12.333333333333334</v>
      </c>
      <c r="R124">
        <f>0-AVERAGE(G124:G128)</f>
        <v>-7.666666666666667</v>
      </c>
      <c r="S124">
        <f>IF(ISNUMBER(0-AVERAGE(H124:H128)),0-AVERAGE(H124:H128),NA())</f>
        <v>-6</v>
      </c>
      <c r="T124">
        <f>AVERAGE(I124:I128)</f>
        <v>1</v>
      </c>
      <c r="U124">
        <f>AVERAGE(J124:J128)</f>
        <v>2.6666666666666665</v>
      </c>
      <c r="V124">
        <f>AVERAGE(K124:K128)</f>
        <v>3.6666666666666665</v>
      </c>
      <c r="W124">
        <f>IF(ISNUMBER(AVERAGE(L124:L128)), AVERAGE(L124:L128), "")</f>
        <v>5</v>
      </c>
      <c r="X124">
        <f>IF(ISNUMBER(_xlfn.STDEV.P(I124:I128)),_xlfn.STDEV.P(I124:I128),"")</f>
        <v>0</v>
      </c>
      <c r="Y124">
        <f>IF(ISNUMBER(_xlfn.STDEV.P(J124:J128)),_xlfn.STDEV.P(J124:J128),"")</f>
        <v>0.47140452079103168</v>
      </c>
      <c r="Z124">
        <f>IF(ISNUMBER(_xlfn.STDEV.P(K124:K128)),_xlfn.STDEV.P(K124:K128),"")</f>
        <v>0.47140452079103168</v>
      </c>
      <c r="AA124">
        <f>IF(ISNUMBER(_xlfn.STDEV.P(L124:L128)),_xlfn.STDEV.P(L124:L128),"")</f>
        <v>0</v>
      </c>
      <c r="AC124">
        <f>AVERAGEA(I124:I127)</f>
        <v>1</v>
      </c>
    </row>
    <row r="125" spans="1:29" x14ac:dyDescent="0.35">
      <c r="A125" t="str">
        <f t="shared" si="3"/>
        <v>Mu-0</v>
      </c>
      <c r="B125" s="2" t="s">
        <v>74</v>
      </c>
      <c r="C125">
        <v>0</v>
      </c>
      <c r="D125" s="3">
        <v>2</v>
      </c>
      <c r="E125">
        <v>5</v>
      </c>
      <c r="F125">
        <v>12</v>
      </c>
      <c r="G125">
        <v>7</v>
      </c>
      <c r="H125">
        <v>7</v>
      </c>
      <c r="I125">
        <v>1</v>
      </c>
      <c r="J125">
        <v>3</v>
      </c>
      <c r="K125">
        <v>4</v>
      </c>
      <c r="L125">
        <v>5</v>
      </c>
      <c r="M125">
        <f t="array" ref="M125">SUM(E125:H125*I125:L125)/SUM(E125:H125)</f>
        <v>3.3548387096774195</v>
      </c>
      <c r="AC125">
        <v>0</v>
      </c>
    </row>
    <row r="126" spans="1:29" x14ac:dyDescent="0.35">
      <c r="A126" t="str">
        <f t="shared" si="3"/>
        <v>Mu-0</v>
      </c>
      <c r="B126" s="2" t="s">
        <v>74</v>
      </c>
      <c r="C126">
        <v>0</v>
      </c>
      <c r="D126" s="3">
        <v>3</v>
      </c>
      <c r="E126">
        <v>5</v>
      </c>
      <c r="F126">
        <v>15</v>
      </c>
      <c r="G126">
        <v>8</v>
      </c>
      <c r="I126">
        <v>1</v>
      </c>
      <c r="J126">
        <v>3</v>
      </c>
      <c r="K126">
        <v>4</v>
      </c>
      <c r="M126">
        <f t="array" ref="M126">SUM(E126:H126*I126:L126)/SUM(E126:H126)</f>
        <v>2.9285714285714284</v>
      </c>
      <c r="AC126">
        <v>0</v>
      </c>
    </row>
    <row r="127" spans="1:29" x14ac:dyDescent="0.35">
      <c r="A127" t="str">
        <f t="shared" si="3"/>
        <v>Mu-0</v>
      </c>
      <c r="B127" s="2" t="s">
        <v>74</v>
      </c>
      <c r="C127">
        <v>0</v>
      </c>
      <c r="D127" s="3">
        <v>4</v>
      </c>
      <c r="M127" t="e">
        <f t="array" ref="M127">SUM(E127:H127*I127:L127)/SUM(E127:H127)</f>
        <v>#DIV/0!</v>
      </c>
      <c r="AC127">
        <v>0</v>
      </c>
    </row>
    <row r="128" spans="1:29" x14ac:dyDescent="0.35">
      <c r="A128" t="str">
        <f t="shared" si="3"/>
        <v>Mu-0</v>
      </c>
      <c r="B128" s="2" t="s">
        <v>74</v>
      </c>
      <c r="C128">
        <v>0</v>
      </c>
      <c r="D128" s="3">
        <v>5</v>
      </c>
      <c r="M128" t="e">
        <f t="array" ref="M128">SUM(E128:H128*I128:L128)/SUM(E128:H128)</f>
        <v>#DIV/0!</v>
      </c>
      <c r="AC128">
        <v>0</v>
      </c>
    </row>
    <row r="129" spans="1:29" x14ac:dyDescent="0.35">
      <c r="A129" t="str">
        <f t="shared" si="3"/>
        <v>Mu-1</v>
      </c>
      <c r="B129" s="2" t="s">
        <v>74</v>
      </c>
      <c r="C129">
        <v>1</v>
      </c>
      <c r="D129" s="3">
        <v>1</v>
      </c>
      <c r="E129">
        <v>5</v>
      </c>
      <c r="F129">
        <v>12</v>
      </c>
      <c r="G129">
        <v>7</v>
      </c>
      <c r="H129">
        <v>5</v>
      </c>
      <c r="I129">
        <v>2</v>
      </c>
      <c r="J129">
        <v>4</v>
      </c>
      <c r="K129">
        <v>4</v>
      </c>
      <c r="L129">
        <v>5</v>
      </c>
      <c r="M129">
        <f t="array" ref="M129">SUM(E129:H129*I129:L129)/SUM(E129:H129)</f>
        <v>3.8275862068965516</v>
      </c>
      <c r="N129">
        <f>AVERAGE(M129:M131)</f>
        <v>3.2968410899445382</v>
      </c>
      <c r="O129">
        <f>_xlfn.STDEV.P(M129:M131)</f>
        <v>0.38836758089478651</v>
      </c>
      <c r="P129">
        <f>0-AVERAGE(E129:E133)</f>
        <v>-4.666666666666667</v>
      </c>
      <c r="Q129">
        <f>0-AVERAGE(F129:F133)</f>
        <v>-11.333333333333334</v>
      </c>
      <c r="R129">
        <f>0-AVERAGE(G129:G133)</f>
        <v>-9</v>
      </c>
      <c r="S129">
        <f>IF(ISNUMBER(0-AVERAGE(H129:H133)),0-AVERAGE(H129:H133),"")</f>
        <v>-4.333333333333333</v>
      </c>
      <c r="T129">
        <f>AVERAGE(I129:I133)</f>
        <v>1.3333333333333333</v>
      </c>
      <c r="U129">
        <f>AVERAGE(J129:J133)</f>
        <v>3</v>
      </c>
      <c r="V129">
        <f>AVERAGE(K129:K133)</f>
        <v>4</v>
      </c>
      <c r="W129">
        <f>IF(ISNUMBER(AVERAGE(L129:L133)), AVERAGE(L129:L133), "")</f>
        <v>4.666666666666667</v>
      </c>
      <c r="X129">
        <f>IF(ISNUMBER(_xlfn.STDEV.P(I129:I133)),_xlfn.STDEV.P(I129:I133),"")</f>
        <v>0.47140452079103168</v>
      </c>
      <c r="Y129">
        <f>IF(ISNUMBER(_xlfn.STDEV.P(J129:J133)),_xlfn.STDEV.P(J129:J133),"")</f>
        <v>0.81649658092772603</v>
      </c>
      <c r="Z129">
        <f>IF(ISNUMBER(_xlfn.STDEV.P(K129:K133)),_xlfn.STDEV.P(K129:K133),"")</f>
        <v>0</v>
      </c>
      <c r="AA129">
        <f>IF(ISNUMBER(_xlfn.STDEV.P(L129:L133)),_xlfn.STDEV.P(L129:L133),"")</f>
        <v>0.47140452079103168</v>
      </c>
      <c r="AC129">
        <f>AVERAGEA(I129:I132)</f>
        <v>1.3333333333333333</v>
      </c>
    </row>
    <row r="130" spans="1:29" x14ac:dyDescent="0.35">
      <c r="A130" t="str">
        <f t="shared" si="3"/>
        <v>Mu-1</v>
      </c>
      <c r="B130" s="2" t="s">
        <v>74</v>
      </c>
      <c r="C130">
        <v>1</v>
      </c>
      <c r="D130" s="3">
        <v>2</v>
      </c>
      <c r="E130">
        <v>5</v>
      </c>
      <c r="F130">
        <v>12</v>
      </c>
      <c r="G130">
        <v>13</v>
      </c>
      <c r="H130">
        <v>3</v>
      </c>
      <c r="I130">
        <v>1</v>
      </c>
      <c r="J130">
        <v>2</v>
      </c>
      <c r="K130">
        <v>4</v>
      </c>
      <c r="L130">
        <v>5</v>
      </c>
      <c r="M130">
        <f t="array" ref="M130">SUM(E130:H130*I130:L130)/SUM(E130:H130)</f>
        <v>2.9090909090909092</v>
      </c>
      <c r="AC130">
        <v>0</v>
      </c>
    </row>
    <row r="131" spans="1:29" x14ac:dyDescent="0.35">
      <c r="A131" t="str">
        <f t="shared" si="3"/>
        <v>Mu-1</v>
      </c>
      <c r="B131" s="2" t="s">
        <v>74</v>
      </c>
      <c r="C131">
        <v>1</v>
      </c>
      <c r="D131" s="3">
        <v>3</v>
      </c>
      <c r="E131">
        <v>4</v>
      </c>
      <c r="F131">
        <v>10</v>
      </c>
      <c r="G131">
        <v>7</v>
      </c>
      <c r="H131">
        <v>5</v>
      </c>
      <c r="I131">
        <v>1</v>
      </c>
      <c r="J131">
        <v>3</v>
      </c>
      <c r="K131">
        <v>4</v>
      </c>
      <c r="L131">
        <v>4</v>
      </c>
      <c r="M131">
        <f t="array" ref="M131">SUM(E131:H131*I131:L131)/SUM(E131:H131)</f>
        <v>3.1538461538461537</v>
      </c>
      <c r="AC131">
        <v>0</v>
      </c>
    </row>
    <row r="132" spans="1:29" x14ac:dyDescent="0.35">
      <c r="A132" t="str">
        <f t="shared" ref="A132:A163" si="4">B132&amp;"-"&amp;C132</f>
        <v>Mu-1</v>
      </c>
      <c r="B132" s="2" t="s">
        <v>74</v>
      </c>
      <c r="C132">
        <v>1</v>
      </c>
      <c r="D132" s="3">
        <v>4</v>
      </c>
      <c r="M132" t="e">
        <f t="array" ref="M132">SUM(E132:H132*I132:L132)/SUM(E132:H132)</f>
        <v>#DIV/0!</v>
      </c>
      <c r="AC132">
        <v>0</v>
      </c>
    </row>
    <row r="133" spans="1:29" x14ac:dyDescent="0.35">
      <c r="A133" t="str">
        <f t="shared" si="4"/>
        <v>Mu-1</v>
      </c>
      <c r="B133" s="2" t="s">
        <v>74</v>
      </c>
      <c r="C133">
        <v>1</v>
      </c>
      <c r="D133" s="3">
        <v>5</v>
      </c>
      <c r="M133" t="e">
        <f t="array" ref="M133">SUM(E133:H133*I133:L133)/SUM(E133:H133)</f>
        <v>#DIV/0!</v>
      </c>
      <c r="AC133">
        <v>0</v>
      </c>
    </row>
    <row r="134" spans="1:29" x14ac:dyDescent="0.35">
      <c r="A134" t="str">
        <f t="shared" si="4"/>
        <v>Na-0</v>
      </c>
      <c r="B134" s="2" t="s">
        <v>101</v>
      </c>
      <c r="C134">
        <v>0</v>
      </c>
      <c r="D134" s="3">
        <v>1</v>
      </c>
      <c r="E134">
        <v>3</v>
      </c>
      <c r="F134">
        <v>15</v>
      </c>
      <c r="G134">
        <v>6</v>
      </c>
      <c r="H134">
        <v>5</v>
      </c>
      <c r="I134">
        <v>2</v>
      </c>
      <c r="J134">
        <v>4</v>
      </c>
      <c r="K134">
        <v>4</v>
      </c>
      <c r="L134">
        <v>4</v>
      </c>
      <c r="M134">
        <f t="array" ref="M134">SUM(E134:H134*I134:L134)/SUM(E134:H134)</f>
        <v>3.7931034482758621</v>
      </c>
      <c r="N134">
        <f>AVERAGE(M134:M136)</f>
        <v>3.3969074986316365</v>
      </c>
      <c r="O134">
        <f>_xlfn.STDEV.P(M134:M136)</f>
        <v>0.35421841717186636</v>
      </c>
      <c r="P134">
        <f>0-AVERAGE(E134:E138)</f>
        <v>-3.6666666666666665</v>
      </c>
      <c r="Q134">
        <f>0-AVERAGE(F134:F138)</f>
        <v>-10.666666666666666</v>
      </c>
      <c r="R134">
        <f>0-AVERAGE(G134:G138)</f>
        <v>-9</v>
      </c>
      <c r="S134">
        <f>IF(ISNUMBER(0-AVERAGE(H134:H138)),0-AVERAGE(H134:H138),NA())</f>
        <v>-5.666666666666667</v>
      </c>
      <c r="T134">
        <f>AVERAGE(I134:I138)</f>
        <v>1.6666666666666667</v>
      </c>
      <c r="U134">
        <f>AVERAGE(J134:J138)</f>
        <v>3</v>
      </c>
      <c r="V134">
        <f>AVERAGE(K134:K138)</f>
        <v>4</v>
      </c>
      <c r="W134">
        <f>IF(ISNUMBER(AVERAGE(L134:L138)), AVERAGE(L134:L138), "")</f>
        <v>4</v>
      </c>
      <c r="X134">
        <f>IF(ISNUMBER(_xlfn.STDEV.P(I134:I138)),_xlfn.STDEV.P(I134:I138),"")</f>
        <v>0.47140452079103168</v>
      </c>
      <c r="Y134">
        <f>IF(ISNUMBER(_xlfn.STDEV.P(J134:J138)),_xlfn.STDEV.P(J134:J138),"")</f>
        <v>0.81649658092772603</v>
      </c>
      <c r="Z134">
        <f>IF(ISNUMBER(_xlfn.STDEV.P(K134:K138)),_xlfn.STDEV.P(K134:K138),"")</f>
        <v>0</v>
      </c>
      <c r="AA134">
        <f>IF(ISNUMBER(_xlfn.STDEV.P(L134:L138)),_xlfn.STDEV.P(L134:L138),"")</f>
        <v>0</v>
      </c>
      <c r="AC134">
        <f>AVERAGEA(I134:I137)</f>
        <v>1.6666666666666667</v>
      </c>
    </row>
    <row r="135" spans="1:29" x14ac:dyDescent="0.35">
      <c r="A135" t="str">
        <f t="shared" si="4"/>
        <v>Na-0</v>
      </c>
      <c r="B135" s="2" t="s">
        <v>101</v>
      </c>
      <c r="C135">
        <v>0</v>
      </c>
      <c r="D135" s="3">
        <v>2</v>
      </c>
      <c r="E135">
        <v>4</v>
      </c>
      <c r="F135">
        <v>7</v>
      </c>
      <c r="G135">
        <v>11</v>
      </c>
      <c r="H135">
        <v>6</v>
      </c>
      <c r="I135">
        <v>2</v>
      </c>
      <c r="J135">
        <v>3</v>
      </c>
      <c r="K135">
        <v>4</v>
      </c>
      <c r="L135">
        <v>4</v>
      </c>
      <c r="M135">
        <f t="array" ref="M135">SUM(E135:H135*I135:L135)/SUM(E135:H135)</f>
        <v>3.4642857142857144</v>
      </c>
      <c r="AC135">
        <v>0</v>
      </c>
    </row>
    <row r="136" spans="1:29" x14ac:dyDescent="0.35">
      <c r="A136" t="str">
        <f t="shared" si="4"/>
        <v>Na-0</v>
      </c>
      <c r="B136" s="2" t="s">
        <v>101</v>
      </c>
      <c r="C136">
        <v>0</v>
      </c>
      <c r="D136" s="3">
        <v>3</v>
      </c>
      <c r="E136">
        <v>4</v>
      </c>
      <c r="F136">
        <v>10</v>
      </c>
      <c r="G136">
        <v>10</v>
      </c>
      <c r="H136">
        <v>6</v>
      </c>
      <c r="I136">
        <v>1</v>
      </c>
      <c r="J136">
        <v>2</v>
      </c>
      <c r="K136">
        <v>4</v>
      </c>
      <c r="L136">
        <v>4</v>
      </c>
      <c r="M136">
        <f t="array" ref="M136">SUM(E136:H136*I136:L136)/SUM(E136:H136)</f>
        <v>2.9333333333333331</v>
      </c>
      <c r="AC136">
        <v>0</v>
      </c>
    </row>
    <row r="137" spans="1:29" x14ac:dyDescent="0.35">
      <c r="A137" t="str">
        <f t="shared" si="4"/>
        <v>Na-0</v>
      </c>
      <c r="B137" s="2" t="s">
        <v>101</v>
      </c>
      <c r="C137">
        <v>0</v>
      </c>
      <c r="D137" s="3">
        <v>4</v>
      </c>
      <c r="M137" t="e">
        <f t="array" ref="M137">SUM(E137:H137*I137:L137)/SUM(E137:H137)</f>
        <v>#DIV/0!</v>
      </c>
      <c r="AC137">
        <v>0</v>
      </c>
    </row>
    <row r="138" spans="1:29" x14ac:dyDescent="0.35">
      <c r="A138" t="str">
        <f t="shared" si="4"/>
        <v>Na-0</v>
      </c>
      <c r="B138" s="2" t="s">
        <v>101</v>
      </c>
      <c r="C138">
        <v>0</v>
      </c>
      <c r="D138" s="3">
        <v>5</v>
      </c>
      <c r="M138" t="e">
        <f t="array" ref="M138">SUM(E138:H138*I138:L138)/SUM(E138:H138)</f>
        <v>#DIV/0!</v>
      </c>
      <c r="AC138">
        <v>0</v>
      </c>
    </row>
    <row r="139" spans="1:29" x14ac:dyDescent="0.35">
      <c r="A139" t="str">
        <f t="shared" si="4"/>
        <v>Na-1</v>
      </c>
      <c r="B139" s="2" t="s">
        <v>101</v>
      </c>
      <c r="C139">
        <v>1</v>
      </c>
      <c r="D139" s="3">
        <v>1</v>
      </c>
      <c r="E139">
        <v>3</v>
      </c>
      <c r="F139">
        <v>8</v>
      </c>
      <c r="G139">
        <v>6</v>
      </c>
      <c r="H139">
        <v>10</v>
      </c>
      <c r="I139">
        <v>1</v>
      </c>
      <c r="J139">
        <v>2</v>
      </c>
      <c r="K139">
        <v>3</v>
      </c>
      <c r="L139">
        <v>2.5</v>
      </c>
      <c r="M139">
        <f t="array" ref="M139">SUM(E139:H139*I139:L139)/SUM(E139:H139)</f>
        <v>2.2962962962962963</v>
      </c>
      <c r="N139">
        <f>AVERAGE(M139:M141)</f>
        <v>2.8158584984688062</v>
      </c>
      <c r="O139">
        <f>_xlfn.STDEV.P(M139:M141)</f>
        <v>0.42811278389573121</v>
      </c>
      <c r="P139">
        <f>0-AVERAGE(E139:E143)</f>
        <v>-4</v>
      </c>
      <c r="Q139">
        <f>0-AVERAGE(F139:F143)</f>
        <v>-8.6666666666666661</v>
      </c>
      <c r="R139">
        <f>0-AVERAGE(G139:G143)</f>
        <v>-10.333333333333334</v>
      </c>
      <c r="S139">
        <f>IF(ISNUMBER(0-AVERAGE(H139:H143)),0-AVERAGE(H139:H143),NA())</f>
        <v>-6</v>
      </c>
      <c r="T139">
        <f>AVERAGE(I139:I143)</f>
        <v>1</v>
      </c>
      <c r="U139">
        <f>AVERAGE(J139:J143)</f>
        <v>2.3333333333333335</v>
      </c>
      <c r="V139">
        <f>AVERAGE(K139:K143)</f>
        <v>3.6666666666666665</v>
      </c>
      <c r="W139">
        <f>IF(ISNUMBER(AVERAGE(L139:L143)), AVERAGE(L139:L143), "")</f>
        <v>3.5</v>
      </c>
      <c r="X139">
        <f>IF(ISNUMBER(_xlfn.STDEV.P(I139:I143)),_xlfn.STDEV.P(I139:I143),"")</f>
        <v>0</v>
      </c>
      <c r="Y139">
        <f>IF(ISNUMBER(_xlfn.STDEV.P(J139:J143)),_xlfn.STDEV.P(J139:J143),"")</f>
        <v>0.47140452079103168</v>
      </c>
      <c r="Z139">
        <f>IF(ISNUMBER(_xlfn.STDEV.P(K139:K143)),_xlfn.STDEV.P(K139:K143),"")</f>
        <v>0.47140452079103168</v>
      </c>
      <c r="AA139">
        <f>IF(ISNUMBER(_xlfn.STDEV.P(L139:L143)),_xlfn.STDEV.P(L139:L143),"")</f>
        <v>0.70710678118654757</v>
      </c>
      <c r="AC139">
        <f>AVERAGEA(I139:I142)</f>
        <v>1</v>
      </c>
    </row>
    <row r="140" spans="1:29" x14ac:dyDescent="0.35">
      <c r="A140" t="str">
        <f t="shared" si="4"/>
        <v>Na-1</v>
      </c>
      <c r="B140" s="2" t="s">
        <v>101</v>
      </c>
      <c r="C140">
        <v>1</v>
      </c>
      <c r="D140" s="3">
        <v>2</v>
      </c>
      <c r="E140">
        <v>4</v>
      </c>
      <c r="F140">
        <v>7</v>
      </c>
      <c r="G140">
        <v>13</v>
      </c>
      <c r="H140">
        <v>5</v>
      </c>
      <c r="I140">
        <v>1</v>
      </c>
      <c r="J140">
        <v>3</v>
      </c>
      <c r="K140">
        <v>4</v>
      </c>
      <c r="L140">
        <v>4</v>
      </c>
      <c r="M140">
        <f t="array" ref="M140">SUM(E140:H140*I140:L140)/SUM(E140:H140)</f>
        <v>3.3448275862068964</v>
      </c>
      <c r="AC140">
        <v>0</v>
      </c>
    </row>
    <row r="141" spans="1:29" x14ac:dyDescent="0.35">
      <c r="A141" t="str">
        <f t="shared" si="4"/>
        <v>Na-1</v>
      </c>
      <c r="B141" s="2" t="s">
        <v>101</v>
      </c>
      <c r="C141">
        <v>1</v>
      </c>
      <c r="D141" s="3">
        <v>3</v>
      </c>
      <c r="E141">
        <v>5</v>
      </c>
      <c r="F141">
        <v>11</v>
      </c>
      <c r="G141">
        <v>12</v>
      </c>
      <c r="H141">
        <v>3</v>
      </c>
      <c r="I141">
        <v>1</v>
      </c>
      <c r="J141">
        <v>2</v>
      </c>
      <c r="K141">
        <v>4</v>
      </c>
      <c r="L141">
        <v>4</v>
      </c>
      <c r="M141">
        <f t="array" ref="M141">SUM(E141:H141*I141:L141)/SUM(E141:H141)</f>
        <v>2.806451612903226</v>
      </c>
      <c r="AC141">
        <v>0</v>
      </c>
    </row>
    <row r="142" spans="1:29" x14ac:dyDescent="0.35">
      <c r="A142" t="str">
        <f t="shared" si="4"/>
        <v>Na-1</v>
      </c>
      <c r="B142" s="2" t="s">
        <v>101</v>
      </c>
      <c r="C142">
        <v>1</v>
      </c>
      <c r="D142" s="3">
        <v>4</v>
      </c>
      <c r="M142" t="e">
        <f t="array" ref="M142">SUM(E142:H142*I142:L142)/SUM(E142:H142)</f>
        <v>#DIV/0!</v>
      </c>
      <c r="AC142">
        <v>0</v>
      </c>
    </row>
    <row r="143" spans="1:29" x14ac:dyDescent="0.35">
      <c r="A143" t="str">
        <f t="shared" si="4"/>
        <v>Na-1</v>
      </c>
      <c r="B143" s="2" t="s">
        <v>101</v>
      </c>
      <c r="C143">
        <v>1</v>
      </c>
      <c r="D143" s="3">
        <v>5</v>
      </c>
      <c r="M143" t="e">
        <f t="array" ref="M143">SUM(E143:H143*I143:L143)/SUM(E143:H143)</f>
        <v>#DIV/0!</v>
      </c>
      <c r="AC143">
        <v>0</v>
      </c>
    </row>
    <row r="144" spans="1:29" x14ac:dyDescent="0.35">
      <c r="A144" t="str">
        <f t="shared" si="4"/>
        <v>Ne-0</v>
      </c>
      <c r="B144" s="2" t="s">
        <v>100</v>
      </c>
      <c r="C144">
        <v>0</v>
      </c>
      <c r="D144" s="3">
        <v>1</v>
      </c>
      <c r="E144">
        <v>3</v>
      </c>
      <c r="F144">
        <v>14</v>
      </c>
      <c r="G144">
        <v>8</v>
      </c>
      <c r="I144">
        <v>1</v>
      </c>
      <c r="J144">
        <v>2</v>
      </c>
      <c r="K144">
        <v>3</v>
      </c>
      <c r="M144">
        <f t="array" ref="M144">SUM(E144:H144*I144:L144)/SUM(E144:H144)</f>
        <v>2.2000000000000002</v>
      </c>
      <c r="N144">
        <f>AVERAGE(M144:M146)</f>
        <v>2.4376190476190476</v>
      </c>
      <c r="O144">
        <f>_xlfn.STDEV.P(M144:M146)</f>
        <v>0.21463569303735011</v>
      </c>
      <c r="P144">
        <f>0-AVERAGE(E144:E148)</f>
        <v>-4</v>
      </c>
      <c r="Q144">
        <f>0-AVERAGE(F144:F148)</f>
        <v>-12</v>
      </c>
      <c r="R144">
        <f>0-AVERAGE(G144:G148)</f>
        <v>-8.3333333333333339</v>
      </c>
      <c r="S144">
        <f>IF(ISNUMBER(0-AVERAGE(H144:H148)),0-AVERAGE(H144:H148),NA())</f>
        <v>-5</v>
      </c>
      <c r="T144">
        <f>AVERAGE(I144:I148)</f>
        <v>1.3333333333333333</v>
      </c>
      <c r="U144">
        <f>AVERAGE(J144:J148)</f>
        <v>2</v>
      </c>
      <c r="V144">
        <f>AVERAGE(K144:K148)</f>
        <v>3.3333333333333335</v>
      </c>
      <c r="W144">
        <f>IF(ISNUMBER(AVERAGE(L144:L148)), AVERAGE(L144:L148), "")</f>
        <v>4</v>
      </c>
      <c r="X144">
        <f>IF(ISNUMBER(_xlfn.STDEV.P(I144:I148)),_xlfn.STDEV.P(I144:I148),"")</f>
        <v>0.47140452079103168</v>
      </c>
      <c r="Y144">
        <f>IF(ISNUMBER(_xlfn.STDEV.P(J144:J148)),_xlfn.STDEV.P(J144:J148),"")</f>
        <v>0</v>
      </c>
      <c r="Z144">
        <f>IF(ISNUMBER(_xlfn.STDEV.P(K144:K148)),_xlfn.STDEV.P(K144:K148),"")</f>
        <v>0.47140452079103168</v>
      </c>
      <c r="AA144">
        <f>IF(ISNUMBER(_xlfn.STDEV.P(L144:L148)),_xlfn.STDEV.P(L144:L148),"")</f>
        <v>0</v>
      </c>
      <c r="AC144">
        <f>AVERAGEA(I144:I147)</f>
        <v>1.3333333333333333</v>
      </c>
    </row>
    <row r="145" spans="1:29" x14ac:dyDescent="0.35">
      <c r="A145" t="str">
        <f t="shared" si="4"/>
        <v>Ne-0</v>
      </c>
      <c r="B145" s="2" t="s">
        <v>100</v>
      </c>
      <c r="C145">
        <v>0</v>
      </c>
      <c r="D145" s="3">
        <v>2</v>
      </c>
      <c r="E145">
        <v>4</v>
      </c>
      <c r="F145">
        <v>10</v>
      </c>
      <c r="G145">
        <v>6</v>
      </c>
      <c r="H145">
        <v>5</v>
      </c>
      <c r="I145">
        <v>1</v>
      </c>
      <c r="J145">
        <v>2</v>
      </c>
      <c r="K145">
        <v>4</v>
      </c>
      <c r="L145">
        <v>4</v>
      </c>
      <c r="M145">
        <f t="array" ref="M145">SUM(E145:H145*I145:L145)/SUM(E145:H145)</f>
        <v>2.72</v>
      </c>
      <c r="AC145">
        <v>0</v>
      </c>
    </row>
    <row r="146" spans="1:29" x14ac:dyDescent="0.35">
      <c r="A146" t="str">
        <f t="shared" si="4"/>
        <v>Ne-0</v>
      </c>
      <c r="B146" s="2" t="s">
        <v>100</v>
      </c>
      <c r="C146">
        <v>0</v>
      </c>
      <c r="D146" s="3">
        <v>3</v>
      </c>
      <c r="E146">
        <v>5</v>
      </c>
      <c r="F146">
        <v>12</v>
      </c>
      <c r="G146">
        <v>11</v>
      </c>
      <c r="I146">
        <v>2</v>
      </c>
      <c r="J146">
        <v>2</v>
      </c>
      <c r="K146">
        <v>3</v>
      </c>
      <c r="M146">
        <f t="array" ref="M146">SUM(E146:H146*I146:L146)/SUM(E146:H146)</f>
        <v>2.3928571428571428</v>
      </c>
      <c r="AC146">
        <v>0</v>
      </c>
    </row>
    <row r="147" spans="1:29" x14ac:dyDescent="0.35">
      <c r="A147" t="str">
        <f t="shared" si="4"/>
        <v>Ne-0</v>
      </c>
      <c r="B147" s="2" t="s">
        <v>100</v>
      </c>
      <c r="C147">
        <v>0</v>
      </c>
      <c r="D147" s="3">
        <v>4</v>
      </c>
      <c r="M147" t="e">
        <f t="array" ref="M147">SUM(E147:H147*I147:L147)/SUM(E147:H147)</f>
        <v>#DIV/0!</v>
      </c>
      <c r="AC147">
        <v>0</v>
      </c>
    </row>
    <row r="148" spans="1:29" x14ac:dyDescent="0.35">
      <c r="A148" t="str">
        <f t="shared" si="4"/>
        <v>Ne-0</v>
      </c>
      <c r="B148" s="2" t="s">
        <v>100</v>
      </c>
      <c r="C148">
        <v>0</v>
      </c>
      <c r="D148" s="3">
        <v>5</v>
      </c>
      <c r="M148" t="e">
        <f t="array" ref="M148">SUM(E148:H148*I148:L148)/SUM(E148:H148)</f>
        <v>#DIV/0!</v>
      </c>
      <c r="AC148">
        <v>0</v>
      </c>
    </row>
    <row r="149" spans="1:29" x14ac:dyDescent="0.35">
      <c r="A149" t="str">
        <f t="shared" si="4"/>
        <v>Ne-1</v>
      </c>
      <c r="B149" s="2" t="s">
        <v>100</v>
      </c>
      <c r="C149">
        <v>1</v>
      </c>
      <c r="D149" s="3">
        <v>1</v>
      </c>
      <c r="E149">
        <v>4</v>
      </c>
      <c r="F149">
        <v>20</v>
      </c>
      <c r="G149">
        <v>5</v>
      </c>
      <c r="I149">
        <v>1</v>
      </c>
      <c r="J149">
        <v>2</v>
      </c>
      <c r="K149">
        <v>4</v>
      </c>
      <c r="M149">
        <f t="array" ref="M149">SUM(E149:H149*I149:L149)/SUM(E149:H149)</f>
        <v>2.2068965517241379</v>
      </c>
      <c r="N149">
        <f>AVERAGE(M149:M151)</f>
        <v>2.2042145593869731</v>
      </c>
      <c r="O149">
        <f>_xlfn.STDEV.P(M149:M151)</f>
        <v>2.49424993084441E-2</v>
      </c>
      <c r="P149">
        <f>0-AVERAGE(E149:E153)</f>
        <v>-4.666666666666667</v>
      </c>
      <c r="Q149">
        <f>0-AVERAGE(F149:F153)</f>
        <v>-14.333333333333334</v>
      </c>
      <c r="R149">
        <f>0-AVERAGE(G149:G153)</f>
        <v>-8.6666666666666661</v>
      </c>
      <c r="S149">
        <f>IF(ISNUMBER(0-AVERAGE(H149:H153)),0-AVERAGE(H149:H153),NA())</f>
        <v>-5</v>
      </c>
      <c r="T149">
        <f>AVERAGE(I149:I153)</f>
        <v>1</v>
      </c>
      <c r="U149">
        <f>AVERAGE(J149:J153)</f>
        <v>2</v>
      </c>
      <c r="V149">
        <f>AVERAGE(K149:K153)</f>
        <v>3.3333333333333335</v>
      </c>
      <c r="W149">
        <f>IF(ISNUMBER(AVERAGE(L149:L153)), AVERAGE(L149:L153), "")</f>
        <v>4</v>
      </c>
      <c r="X149">
        <f>IF(ISNUMBER(_xlfn.STDEV.P(I149:I153)),_xlfn.STDEV.P(I149:I153),"")</f>
        <v>0</v>
      </c>
      <c r="Y149">
        <f>IF(ISNUMBER(_xlfn.STDEV.P(J149:J153)),_xlfn.STDEV.P(J149:J153),"")</f>
        <v>0</v>
      </c>
      <c r="Z149">
        <f>IF(ISNUMBER(_xlfn.STDEV.P(K149:K153)),_xlfn.STDEV.P(K149:K153),"")</f>
        <v>0.94280904158206336</v>
      </c>
      <c r="AA149">
        <f>IF(ISNUMBER(_xlfn.STDEV.P(L149:L153)),_xlfn.STDEV.P(L149:L153),"")</f>
        <v>0</v>
      </c>
      <c r="AC149">
        <f>AVERAGEA(I149:I152)</f>
        <v>1</v>
      </c>
    </row>
    <row r="150" spans="1:29" x14ac:dyDescent="0.35">
      <c r="A150" t="str">
        <f t="shared" si="4"/>
        <v>Ne-1</v>
      </c>
      <c r="B150" s="2" t="s">
        <v>100</v>
      </c>
      <c r="C150">
        <v>1</v>
      </c>
      <c r="D150" s="3">
        <v>2</v>
      </c>
      <c r="E150">
        <v>3</v>
      </c>
      <c r="F150">
        <v>7</v>
      </c>
      <c r="G150">
        <v>15</v>
      </c>
      <c r="H150">
        <v>5</v>
      </c>
      <c r="I150">
        <v>1</v>
      </c>
      <c r="J150">
        <v>2</v>
      </c>
      <c r="K150">
        <v>2</v>
      </c>
      <c r="L150">
        <v>4</v>
      </c>
      <c r="M150">
        <f t="array" ref="M150">SUM(E150:H150*I150:L150)/SUM(E150:H150)</f>
        <v>2.2333333333333334</v>
      </c>
      <c r="AC150">
        <v>0</v>
      </c>
    </row>
    <row r="151" spans="1:29" x14ac:dyDescent="0.35">
      <c r="A151" t="str">
        <f t="shared" si="4"/>
        <v>Ne-1</v>
      </c>
      <c r="B151" s="2" t="s">
        <v>100</v>
      </c>
      <c r="C151">
        <v>1</v>
      </c>
      <c r="D151" s="3">
        <v>3</v>
      </c>
      <c r="E151">
        <v>7</v>
      </c>
      <c r="F151">
        <v>16</v>
      </c>
      <c r="G151">
        <v>6</v>
      </c>
      <c r="I151">
        <v>1</v>
      </c>
      <c r="J151">
        <v>2</v>
      </c>
      <c r="K151">
        <v>4</v>
      </c>
      <c r="M151">
        <f t="array" ref="M151">SUM(E151:H151*I151:L151)/SUM(E151:H151)</f>
        <v>2.1724137931034484</v>
      </c>
      <c r="AC151">
        <v>0</v>
      </c>
    </row>
    <row r="152" spans="1:29" x14ac:dyDescent="0.35">
      <c r="A152" t="str">
        <f t="shared" si="4"/>
        <v>Ne-1</v>
      </c>
      <c r="B152" s="2" t="s">
        <v>100</v>
      </c>
      <c r="C152">
        <v>1</v>
      </c>
      <c r="D152" s="3">
        <v>4</v>
      </c>
      <c r="M152" t="e">
        <f t="array" ref="M152">SUM(E152:H152*I152:L152)/SUM(E152:H152)</f>
        <v>#DIV/0!</v>
      </c>
      <c r="AC152">
        <v>0</v>
      </c>
    </row>
    <row r="153" spans="1:29" x14ac:dyDescent="0.35">
      <c r="A153" t="str">
        <f t="shared" si="4"/>
        <v>Ne-1</v>
      </c>
      <c r="B153" s="2" t="s">
        <v>100</v>
      </c>
      <c r="C153">
        <v>1</v>
      </c>
      <c r="D153" s="3">
        <v>5</v>
      </c>
      <c r="M153" t="e">
        <f t="array" ref="M153">SUM(E153:H153*I153:L153)/SUM(E153:H153)</f>
        <v>#DIV/0!</v>
      </c>
      <c r="AC153">
        <v>0</v>
      </c>
    </row>
    <row r="154" spans="1:29" x14ac:dyDescent="0.35">
      <c r="A154" t="str">
        <f t="shared" si="4"/>
        <v>Ni-0</v>
      </c>
      <c r="B154" s="2" t="s">
        <v>82</v>
      </c>
      <c r="C154">
        <v>0</v>
      </c>
      <c r="D154" s="3">
        <v>1</v>
      </c>
      <c r="E154">
        <v>6</v>
      </c>
      <c r="F154">
        <v>15</v>
      </c>
      <c r="G154">
        <v>9</v>
      </c>
      <c r="I154">
        <v>2</v>
      </c>
      <c r="J154">
        <v>3</v>
      </c>
      <c r="K154">
        <v>5</v>
      </c>
      <c r="M154">
        <f t="array" ref="M154">SUM(E154:H154*I154:L154)/SUM(E154:H154)</f>
        <v>3.4</v>
      </c>
      <c r="N154">
        <f>AVERAGE(M154:M155)</f>
        <v>2.8724137931034481</v>
      </c>
      <c r="O154">
        <f>_xlfn.STDEV.P(M154:M155)</f>
        <v>0.527586206896551</v>
      </c>
      <c r="P154">
        <f>0-AVERAGE(E154:E158)</f>
        <v>-8.6666666666666661</v>
      </c>
      <c r="Q154">
        <f>0-AVERAGE(F154:F158)</f>
        <v>-14.666666666666666</v>
      </c>
      <c r="R154">
        <f>0-AVERAGE(G154:G158)</f>
        <v>-7.666666666666667</v>
      </c>
      <c r="S154" t="e">
        <f>IF(ISNUMBER(0-AVERAGE(H154:H158)),0-AVERAGE(H154:H158),NA())</f>
        <v>#N/A</v>
      </c>
      <c r="T154">
        <f>AVERAGE(I154:I158)</f>
        <v>1.3333333333333333</v>
      </c>
      <c r="U154">
        <f>AVERAGE(J154:J158)</f>
        <v>2.3333333333333335</v>
      </c>
      <c r="V154">
        <f>AVERAGE(K154:K158)</f>
        <v>4.666666666666667</v>
      </c>
      <c r="W154" t="str">
        <f>IF(ISNUMBER(AVERAGE(L154:L158)), AVERAGE(L154:L158), "")</f>
        <v/>
      </c>
      <c r="X154">
        <f>IF(ISNUMBER(_xlfn.STDEV.P(I154:I158)),_xlfn.STDEV.P(I154:I158),"")</f>
        <v>0.47140452079103168</v>
      </c>
      <c r="Y154">
        <f>IF(ISNUMBER(_xlfn.STDEV.P(J154:J158)),_xlfn.STDEV.P(J154:J158),"")</f>
        <v>0.47140452079103168</v>
      </c>
      <c r="Z154">
        <f>IF(ISNUMBER(_xlfn.STDEV.P(K154:K158)),_xlfn.STDEV.P(K154:K158),"")</f>
        <v>0.47140452079103168</v>
      </c>
      <c r="AA154" t="str">
        <f>IF(ISNUMBER(_xlfn.STDEV.P(L154:L158)),_xlfn.STDEV.P(L154:L158),"")</f>
        <v/>
      </c>
      <c r="AC154">
        <f>AVERAGEA(I154:I157)</f>
        <v>1.3333333333333333</v>
      </c>
    </row>
    <row r="155" spans="1:29" x14ac:dyDescent="0.35">
      <c r="A155" t="str">
        <f t="shared" si="4"/>
        <v>Ni-0</v>
      </c>
      <c r="B155" s="2" t="s">
        <v>82</v>
      </c>
      <c r="C155">
        <v>0</v>
      </c>
      <c r="D155" s="3">
        <v>2</v>
      </c>
      <c r="E155">
        <v>8</v>
      </c>
      <c r="F155">
        <v>15</v>
      </c>
      <c r="G155">
        <v>6</v>
      </c>
      <c r="I155">
        <v>1</v>
      </c>
      <c r="J155">
        <v>2</v>
      </c>
      <c r="K155">
        <v>5</v>
      </c>
      <c r="M155">
        <f t="array" ref="M155">SUM(E155:H155*I155:L155)/SUM(E155:H155)</f>
        <v>2.3448275862068964</v>
      </c>
      <c r="AC155">
        <v>0</v>
      </c>
    </row>
    <row r="156" spans="1:29" x14ac:dyDescent="0.35">
      <c r="A156" t="str">
        <f t="shared" si="4"/>
        <v>Ni-0</v>
      </c>
      <c r="B156" s="2" t="s">
        <v>82</v>
      </c>
      <c r="C156">
        <v>0</v>
      </c>
      <c r="D156" s="3">
        <v>3</v>
      </c>
      <c r="E156">
        <v>12</v>
      </c>
      <c r="F156">
        <v>14</v>
      </c>
      <c r="G156">
        <v>8</v>
      </c>
      <c r="I156">
        <v>1</v>
      </c>
      <c r="J156">
        <v>2</v>
      </c>
      <c r="K156">
        <v>4</v>
      </c>
      <c r="M156">
        <f t="array" ref="M156">SUM(E156:H156*I156:L156)/SUM(E156:H156)</f>
        <v>2.1176470588235294</v>
      </c>
      <c r="AC156">
        <v>0</v>
      </c>
    </row>
    <row r="157" spans="1:29" x14ac:dyDescent="0.35">
      <c r="A157" t="str">
        <f t="shared" si="4"/>
        <v>Ni-0</v>
      </c>
      <c r="B157" s="2" t="s">
        <v>82</v>
      </c>
      <c r="C157">
        <v>0</v>
      </c>
      <c r="D157" s="3">
        <v>4</v>
      </c>
      <c r="M157" t="e">
        <f t="array" ref="M157">SUM(E157:H157*I157:L157)/SUM(E157:H157)</f>
        <v>#DIV/0!</v>
      </c>
      <c r="AC157">
        <v>0</v>
      </c>
    </row>
    <row r="158" spans="1:29" x14ac:dyDescent="0.35">
      <c r="A158" t="str">
        <f t="shared" si="4"/>
        <v>Ni-0</v>
      </c>
      <c r="B158" s="2" t="s">
        <v>82</v>
      </c>
      <c r="C158">
        <v>0</v>
      </c>
      <c r="D158" s="3">
        <v>5</v>
      </c>
      <c r="M158" t="e">
        <f t="array" ref="M158">SUM(E158:H158*I158:L158)/SUM(E158:H158)</f>
        <v>#DIV/0!</v>
      </c>
      <c r="AC158">
        <v>0</v>
      </c>
    </row>
    <row r="159" spans="1:29" x14ac:dyDescent="0.35">
      <c r="A159" t="str">
        <f t="shared" si="4"/>
        <v>Ni-1</v>
      </c>
      <c r="B159" s="2" t="s">
        <v>82</v>
      </c>
      <c r="C159">
        <v>1</v>
      </c>
      <c r="D159" s="3">
        <v>1</v>
      </c>
      <c r="E159">
        <v>8</v>
      </c>
      <c r="F159">
        <v>15</v>
      </c>
      <c r="G159">
        <v>8</v>
      </c>
      <c r="I159">
        <v>1</v>
      </c>
      <c r="J159">
        <v>1</v>
      </c>
      <c r="K159">
        <v>5</v>
      </c>
      <c r="M159">
        <f t="array" ref="M159">SUM(E159:H159*I159:L159)/SUM(E159:H159)</f>
        <v>2.032258064516129</v>
      </c>
      <c r="N159">
        <f>AVERAGE(M159:M161)</f>
        <v>2.1748941023134569</v>
      </c>
      <c r="O159">
        <f>_xlfn.STDEV.P(M159:M161)</f>
        <v>0.10090631788810274</v>
      </c>
      <c r="P159">
        <f>0-AVERAGE(E159:E163)</f>
        <v>-7</v>
      </c>
      <c r="Q159">
        <f>0-AVERAGE(F159:F163)</f>
        <v>-16.333333333333332</v>
      </c>
      <c r="R159">
        <f>0-AVERAGE(G159:G163)</f>
        <v>-7.333333333333333</v>
      </c>
      <c r="S159" t="e">
        <f>IF(ISNUMBER(0-AVERAGE(H159:H163)),0-AVERAGE(H159:H163),NA())</f>
        <v>#N/A</v>
      </c>
      <c r="T159">
        <f>AVERAGE(I159:I163)</f>
        <v>1</v>
      </c>
      <c r="U159">
        <f>AVERAGE(J159:J163)</f>
        <v>1.6666666666666667</v>
      </c>
      <c r="V159">
        <f>AVERAGE(K159:K163)</f>
        <v>4.333333333333333</v>
      </c>
      <c r="W159" t="str">
        <f>IF(ISNUMBER(AVERAGE(L159:L163)), AVERAGE(L159:L163), "")</f>
        <v/>
      </c>
      <c r="X159">
        <f>IF(ISNUMBER(_xlfn.STDEV.P(I159:I163)),_xlfn.STDEV.P(I159:I163),"")</f>
        <v>0</v>
      </c>
      <c r="Y159">
        <f>IF(ISNUMBER(_xlfn.STDEV.P(J159:J163)),_xlfn.STDEV.P(J159:J163),"")</f>
        <v>0.47140452079103168</v>
      </c>
      <c r="Z159">
        <f>IF(ISNUMBER(_xlfn.STDEV.P(K159:K163)),_xlfn.STDEV.P(K159:K163),"")</f>
        <v>0.47140452079103168</v>
      </c>
      <c r="AA159" t="str">
        <f>IF(ISNUMBER(_xlfn.STDEV.P(L159:L163)),_xlfn.STDEV.P(L159:L163),"")</f>
        <v/>
      </c>
      <c r="AC159">
        <f>AVERAGEA(I159:I162)</f>
        <v>1</v>
      </c>
    </row>
    <row r="160" spans="1:29" x14ac:dyDescent="0.35">
      <c r="A160" t="str">
        <f t="shared" si="4"/>
        <v>Ni-1</v>
      </c>
      <c r="B160" s="2" t="s">
        <v>82</v>
      </c>
      <c r="C160">
        <v>1</v>
      </c>
      <c r="D160" s="3">
        <v>2</v>
      </c>
      <c r="E160">
        <v>8</v>
      </c>
      <c r="F160">
        <v>17</v>
      </c>
      <c r="G160">
        <v>8</v>
      </c>
      <c r="I160">
        <v>1</v>
      </c>
      <c r="J160">
        <v>2</v>
      </c>
      <c r="K160">
        <v>4</v>
      </c>
      <c r="M160">
        <f t="array" ref="M160">SUM(E160:H160*I160:L160)/SUM(E160:H160)</f>
        <v>2.2424242424242422</v>
      </c>
      <c r="AC160">
        <v>0</v>
      </c>
    </row>
    <row r="161" spans="1:29" x14ac:dyDescent="0.35">
      <c r="A161" t="str">
        <f t="shared" si="4"/>
        <v>Ni-1</v>
      </c>
      <c r="B161" s="2" t="s">
        <v>82</v>
      </c>
      <c r="C161">
        <v>1</v>
      </c>
      <c r="D161" s="3">
        <v>3</v>
      </c>
      <c r="E161">
        <v>5</v>
      </c>
      <c r="F161">
        <v>17</v>
      </c>
      <c r="G161">
        <v>6</v>
      </c>
      <c r="I161">
        <v>1</v>
      </c>
      <c r="J161">
        <v>2</v>
      </c>
      <c r="K161">
        <v>4</v>
      </c>
      <c r="M161">
        <f t="array" ref="M161">SUM(E161:H161*I161:L161)/SUM(E161:H161)</f>
        <v>2.25</v>
      </c>
      <c r="AC161">
        <v>0</v>
      </c>
    </row>
    <row r="162" spans="1:29" x14ac:dyDescent="0.35">
      <c r="A162" t="str">
        <f t="shared" si="4"/>
        <v>Ni-1</v>
      </c>
      <c r="B162" s="2" t="s">
        <v>82</v>
      </c>
      <c r="C162">
        <v>1</v>
      </c>
      <c r="D162" s="3">
        <v>4</v>
      </c>
      <c r="M162" t="e">
        <f t="array" ref="M162">SUM(E162:H162*I162:L162)/SUM(E162:H162)</f>
        <v>#DIV/0!</v>
      </c>
      <c r="AC162">
        <v>0</v>
      </c>
    </row>
    <row r="163" spans="1:29" x14ac:dyDescent="0.35">
      <c r="A163" t="str">
        <f t="shared" si="4"/>
        <v>Ni-1</v>
      </c>
      <c r="B163" s="2" t="s">
        <v>82</v>
      </c>
      <c r="C163">
        <v>1</v>
      </c>
      <c r="D163" s="3">
        <v>5</v>
      </c>
      <c r="M163" t="e">
        <f t="array" ref="M163">SUM(E163:H163*I163:L163)/SUM(E163:H163)</f>
        <v>#DIV/0!</v>
      </c>
      <c r="AC163">
        <v>0</v>
      </c>
    </row>
    <row r="164" spans="1:29" x14ac:dyDescent="0.35">
      <c r="A164" t="str">
        <f t="shared" ref="A164:A195" si="5">B164&amp;"-"&amp;C164</f>
        <v>Pa-0</v>
      </c>
      <c r="B164" s="2" t="s">
        <v>71</v>
      </c>
      <c r="C164">
        <v>0</v>
      </c>
      <c r="D164" s="3">
        <v>1</v>
      </c>
      <c r="E164">
        <v>5</v>
      </c>
      <c r="F164">
        <v>11</v>
      </c>
      <c r="G164">
        <v>11</v>
      </c>
      <c r="H164">
        <v>5</v>
      </c>
      <c r="I164">
        <v>2</v>
      </c>
      <c r="J164">
        <v>4</v>
      </c>
      <c r="K164">
        <v>4</v>
      </c>
      <c r="L164">
        <v>4</v>
      </c>
      <c r="M164">
        <f t="array" ref="M164">SUM(E164:H164*I164:L164)/SUM(E164:H164)</f>
        <v>3.6875</v>
      </c>
      <c r="N164">
        <f>AVERAGE(M164:M166)</f>
        <v>3.1339285714285716</v>
      </c>
      <c r="O164">
        <f>_xlfn.STDEV.P(M164:M166)</f>
        <v>0.4084435156079424</v>
      </c>
      <c r="P164">
        <f>0-AVERAGE(E164:E168)</f>
        <v>-5.666666666666667</v>
      </c>
      <c r="Q164">
        <f>0-AVERAGE(F164:F168)</f>
        <v>-14.666666666666666</v>
      </c>
      <c r="R164">
        <f>0-AVERAGE(G164:G168)</f>
        <v>-7</v>
      </c>
      <c r="S164">
        <f>IF(ISNUMBER(0-AVERAGE(H164:H168)),0-AVERAGE(H164:H168),NA())</f>
        <v>-5</v>
      </c>
      <c r="T164">
        <f>AVERAGE(I164:I168)</f>
        <v>1.3333333333333333</v>
      </c>
      <c r="U164">
        <f>AVERAGE(J164:J168)</f>
        <v>3.3333333333333335</v>
      </c>
      <c r="V164">
        <f>AVERAGE(K164:K168)</f>
        <v>4.333333333333333</v>
      </c>
      <c r="W164">
        <f>IF(ISNUMBER(AVERAGE(L164:L168)), AVERAGE(L164:L168), "")</f>
        <v>4</v>
      </c>
      <c r="X164">
        <f>IF(ISNUMBER(_xlfn.STDEV.P(I164:I168)),_xlfn.STDEV.P(I164:I168),"")</f>
        <v>0.47140452079103168</v>
      </c>
      <c r="Y164">
        <f>IF(ISNUMBER(_xlfn.STDEV.P(J164:J168)),_xlfn.STDEV.P(J164:J168),"")</f>
        <v>0.47140452079103168</v>
      </c>
      <c r="Z164">
        <f>IF(ISNUMBER(_xlfn.STDEV.P(K164:K168)),_xlfn.STDEV.P(K164:K168),"")</f>
        <v>0.47140452079103168</v>
      </c>
      <c r="AA164">
        <f>IF(ISNUMBER(_xlfn.STDEV.P(L164:L168)),_xlfn.STDEV.P(L164:L168),"")</f>
        <v>0</v>
      </c>
      <c r="AC164">
        <f>AVERAGEA(I164:I167)</f>
        <v>1.3333333333333333</v>
      </c>
    </row>
    <row r="165" spans="1:29" x14ac:dyDescent="0.35">
      <c r="A165" t="str">
        <f t="shared" si="5"/>
        <v>Pa-0</v>
      </c>
      <c r="B165" s="2" t="s">
        <v>71</v>
      </c>
      <c r="C165">
        <v>0</v>
      </c>
      <c r="D165" s="3">
        <v>2</v>
      </c>
      <c r="E165">
        <v>6</v>
      </c>
      <c r="F165">
        <v>15</v>
      </c>
      <c r="G165">
        <v>6</v>
      </c>
      <c r="I165">
        <v>1</v>
      </c>
      <c r="J165">
        <v>3</v>
      </c>
      <c r="K165">
        <v>5</v>
      </c>
      <c r="M165">
        <f t="array" ref="M165">SUM(E165:H165*I165:L165)/SUM(E165:H165)</f>
        <v>3</v>
      </c>
      <c r="AC165">
        <v>0</v>
      </c>
    </row>
    <row r="166" spans="1:29" x14ac:dyDescent="0.35">
      <c r="A166" t="str">
        <f t="shared" si="5"/>
        <v>Pa-0</v>
      </c>
      <c r="B166" s="2" t="s">
        <v>71</v>
      </c>
      <c r="C166">
        <v>0</v>
      </c>
      <c r="D166" s="3">
        <v>3</v>
      </c>
      <c r="E166">
        <v>6</v>
      </c>
      <c r="F166">
        <v>18</v>
      </c>
      <c r="G166">
        <v>4</v>
      </c>
      <c r="I166">
        <v>1</v>
      </c>
      <c r="J166">
        <v>3</v>
      </c>
      <c r="K166">
        <v>4</v>
      </c>
      <c r="M166">
        <f t="array" ref="M166">SUM(E166:H166*I166:L166)/SUM(E166:H166)</f>
        <v>2.7142857142857144</v>
      </c>
      <c r="AC166">
        <v>0</v>
      </c>
    </row>
    <row r="167" spans="1:29" x14ac:dyDescent="0.35">
      <c r="A167" t="str">
        <f t="shared" si="5"/>
        <v>Pa-0</v>
      </c>
      <c r="B167" s="2" t="s">
        <v>71</v>
      </c>
      <c r="C167">
        <v>0</v>
      </c>
      <c r="D167" s="3">
        <v>4</v>
      </c>
      <c r="M167" t="e">
        <f t="array" ref="M167">SUM(E167:H167*I167:L167)/SUM(E167:H167)</f>
        <v>#DIV/0!</v>
      </c>
      <c r="AC167">
        <v>0</v>
      </c>
    </row>
    <row r="168" spans="1:29" x14ac:dyDescent="0.35">
      <c r="A168" t="str">
        <f t="shared" si="5"/>
        <v>Pa-0</v>
      </c>
      <c r="B168" s="2" t="s">
        <v>71</v>
      </c>
      <c r="C168">
        <v>0</v>
      </c>
      <c r="D168" s="3">
        <v>5</v>
      </c>
      <c r="M168" t="e">
        <f t="array" ref="M168">SUM(E168:H168*I168:L168)/SUM(E168:H168)</f>
        <v>#DIV/0!</v>
      </c>
      <c r="AC168">
        <v>0</v>
      </c>
    </row>
    <row r="169" spans="1:29" x14ac:dyDescent="0.35">
      <c r="A169" t="str">
        <f t="shared" si="5"/>
        <v>Pa-1</v>
      </c>
      <c r="B169" s="2" t="s">
        <v>71</v>
      </c>
      <c r="C169">
        <v>1</v>
      </c>
      <c r="D169" s="3">
        <v>1</v>
      </c>
      <c r="E169">
        <v>6</v>
      </c>
      <c r="F169">
        <v>14</v>
      </c>
      <c r="G169">
        <v>8</v>
      </c>
      <c r="I169">
        <v>2</v>
      </c>
      <c r="J169">
        <v>4</v>
      </c>
      <c r="K169">
        <v>4</v>
      </c>
      <c r="M169">
        <f t="array" ref="M169">SUM(E169:H169*I169:L169)/SUM(E169:H169)</f>
        <v>3.5714285714285716</v>
      </c>
      <c r="N169">
        <f>AVERAGE(M169:M171)</f>
        <v>3.4851190476190474</v>
      </c>
      <c r="O169">
        <f>_xlfn.STDEV.P(M169:M171)</f>
        <v>0.20956269931290405</v>
      </c>
      <c r="P169">
        <f>0-AVERAGE(E169:E173)</f>
        <v>-5.666666666666667</v>
      </c>
      <c r="Q169">
        <f>0-AVERAGE(F169:F173)</f>
        <v>-15.666666666666666</v>
      </c>
      <c r="R169">
        <f>0-AVERAGE(G169:G173)</f>
        <v>-8</v>
      </c>
      <c r="S169" t="e">
        <f>IF(ISNUMBER(0-AVERAGE(H169:H173)),0-AVERAGE(H169:H173),NA())</f>
        <v>#N/A</v>
      </c>
      <c r="T169">
        <f>AVERAGE(I169:I173)</f>
        <v>1.3333333333333333</v>
      </c>
      <c r="U169">
        <f>AVERAGE(J169:J173)</f>
        <v>3.8333333333333335</v>
      </c>
      <c r="V169">
        <f>AVERAGE(K169:K173)</f>
        <v>4.333333333333333</v>
      </c>
      <c r="W169" t="str">
        <f>IF(ISNUMBER(AVERAGE(L169:L173)), AVERAGE(L169:L173), "")</f>
        <v/>
      </c>
      <c r="X169">
        <f>IF(ISNUMBER(_xlfn.STDEV.P(I169:I173)),_xlfn.STDEV.P(I169:I173),"")</f>
        <v>0.47140452079103168</v>
      </c>
      <c r="Y169">
        <f>IF(ISNUMBER(_xlfn.STDEV.P(J169:J173)),_xlfn.STDEV.P(J169:J173),"")</f>
        <v>0.23570226039551584</v>
      </c>
      <c r="Z169">
        <f>IF(ISNUMBER(_xlfn.STDEV.P(K169:K173)),_xlfn.STDEV.P(K169:K173),"")</f>
        <v>0.47140452079103168</v>
      </c>
      <c r="AA169" t="str">
        <f>IF(ISNUMBER(_xlfn.STDEV.P(L169:L173)),_xlfn.STDEV.P(L169:L173),"")</f>
        <v/>
      </c>
      <c r="AC169">
        <f>AVERAGEA(I169:I172)</f>
        <v>1.3333333333333333</v>
      </c>
    </row>
    <row r="170" spans="1:29" x14ac:dyDescent="0.35">
      <c r="A170" t="str">
        <f t="shared" si="5"/>
        <v>Pa-1</v>
      </c>
      <c r="B170" s="2" t="s">
        <v>71</v>
      </c>
      <c r="C170">
        <v>1</v>
      </c>
      <c r="D170" s="3">
        <v>2</v>
      </c>
      <c r="E170">
        <v>5</v>
      </c>
      <c r="F170">
        <v>15</v>
      </c>
      <c r="G170">
        <v>8</v>
      </c>
      <c r="I170">
        <v>1</v>
      </c>
      <c r="J170">
        <v>3.5</v>
      </c>
      <c r="K170">
        <v>4</v>
      </c>
      <c r="M170">
        <f t="array" ref="M170">SUM(E170:H170*I170:L170)/SUM(E170:H170)</f>
        <v>3.1964285714285716</v>
      </c>
      <c r="AC170">
        <v>0</v>
      </c>
    </row>
    <row r="171" spans="1:29" x14ac:dyDescent="0.35">
      <c r="A171" t="str">
        <f t="shared" si="5"/>
        <v>Pa-1</v>
      </c>
      <c r="B171" s="2" t="s">
        <v>71</v>
      </c>
      <c r="C171">
        <v>1</v>
      </c>
      <c r="D171" s="3">
        <v>3</v>
      </c>
      <c r="E171">
        <v>6</v>
      </c>
      <c r="F171">
        <v>18</v>
      </c>
      <c r="G171">
        <v>8</v>
      </c>
      <c r="I171">
        <v>1</v>
      </c>
      <c r="J171">
        <v>4</v>
      </c>
      <c r="K171">
        <v>5</v>
      </c>
      <c r="M171">
        <f t="array" ref="M171">SUM(E171:H171*I171:L171)/SUM(E171:H171)</f>
        <v>3.6875</v>
      </c>
      <c r="AC171">
        <v>0</v>
      </c>
    </row>
    <row r="172" spans="1:29" x14ac:dyDescent="0.35">
      <c r="A172" t="str">
        <f t="shared" si="5"/>
        <v>Pa-1</v>
      </c>
      <c r="B172" s="2" t="s">
        <v>71</v>
      </c>
      <c r="C172">
        <v>1</v>
      </c>
      <c r="D172" s="3">
        <v>4</v>
      </c>
      <c r="M172" t="e">
        <f t="array" ref="M172">SUM(E172:H172*I172:L172)/SUM(E172:H172)</f>
        <v>#DIV/0!</v>
      </c>
      <c r="AC172">
        <v>0</v>
      </c>
    </row>
    <row r="173" spans="1:29" x14ac:dyDescent="0.35">
      <c r="A173" t="str">
        <f t="shared" si="5"/>
        <v>Pa-1</v>
      </c>
      <c r="B173" s="2" t="s">
        <v>71</v>
      </c>
      <c r="C173">
        <v>1</v>
      </c>
      <c r="D173" s="3">
        <v>5</v>
      </c>
      <c r="M173" t="e">
        <f t="array" ref="M173">SUM(E173:H173*I173:L173)/SUM(E173:H173)</f>
        <v>#DIV/0!</v>
      </c>
      <c r="AC173">
        <v>0</v>
      </c>
    </row>
    <row r="174" spans="1:29" x14ac:dyDescent="0.35">
      <c r="A174" t="str">
        <f t="shared" si="5"/>
        <v>Pi-0</v>
      </c>
      <c r="B174" s="2" t="s">
        <v>97</v>
      </c>
      <c r="C174">
        <v>0</v>
      </c>
      <c r="D174" s="3">
        <v>1</v>
      </c>
      <c r="E174">
        <v>5</v>
      </c>
      <c r="F174">
        <v>5</v>
      </c>
      <c r="G174">
        <v>18</v>
      </c>
      <c r="H174">
        <v>2</v>
      </c>
      <c r="I174">
        <v>1</v>
      </c>
      <c r="J174">
        <v>2</v>
      </c>
      <c r="K174">
        <v>3</v>
      </c>
      <c r="L174">
        <v>5</v>
      </c>
      <c r="M174">
        <f t="array" ref="M174">SUM(E174:H174*I174:L174)/SUM(E174:H174)</f>
        <v>2.6333333333333333</v>
      </c>
      <c r="N174">
        <f>AVERAGE(M174:M178)</f>
        <v>2.9217037037037037</v>
      </c>
      <c r="O174">
        <f>_xlfn.STDEV.P(M174:M178)</f>
        <v>0.33194935736846709</v>
      </c>
      <c r="P174">
        <f>0-AVERAGE(E174:E178)</f>
        <v>-5</v>
      </c>
      <c r="Q174">
        <f>0-AVERAGE(F174:F178)</f>
        <v>-10.4</v>
      </c>
      <c r="R174">
        <f>0-AVERAGE(G174:G178)</f>
        <v>-10</v>
      </c>
      <c r="S174">
        <f>IF(ISNUMBER(0-AVERAGE(H174:H178)),0-AVERAGE(H174:H178),"")</f>
        <v>-3.5</v>
      </c>
      <c r="T174">
        <f>AVERAGE(I174:I178)</f>
        <v>1</v>
      </c>
      <c r="U174">
        <f>AVERAGE(J174:J178)</f>
        <v>3</v>
      </c>
      <c r="V174">
        <f>AVERAGE(K174:K178)</f>
        <v>3.4</v>
      </c>
      <c r="W174">
        <f>IF(ISNUMBER(AVERAGE(L174:L178)), AVERAGE(L174:L178), "")</f>
        <v>5</v>
      </c>
      <c r="X174">
        <f>IF(ISNUMBER(_xlfn.STDEV.P(I174:I178)),_xlfn.STDEV.P(I174:I178),"")</f>
        <v>0</v>
      </c>
      <c r="Y174">
        <f>IF(ISNUMBER(_xlfn.STDEV.P(J174:J178)),_xlfn.STDEV.P(J174:J178),"")</f>
        <v>0.63245553203367588</v>
      </c>
      <c r="Z174">
        <f>IF(ISNUMBER(_xlfn.STDEV.P(K174:K178)),_xlfn.STDEV.P(K174:K178),"")</f>
        <v>0.4898979485566356</v>
      </c>
      <c r="AA174">
        <f>IF(ISNUMBER(_xlfn.STDEV.P(L174:L178)),_xlfn.STDEV.P(L174:L178),"")</f>
        <v>0</v>
      </c>
      <c r="AC174">
        <f>AVERAGEA(I174:I177)</f>
        <v>1</v>
      </c>
    </row>
    <row r="175" spans="1:29" x14ac:dyDescent="0.35">
      <c r="A175" t="str">
        <f t="shared" si="5"/>
        <v>Pi-0</v>
      </c>
      <c r="B175" s="2" t="s">
        <v>97</v>
      </c>
      <c r="C175">
        <v>0</v>
      </c>
      <c r="D175" s="3">
        <v>2</v>
      </c>
      <c r="E175">
        <v>6</v>
      </c>
      <c r="F175">
        <v>13</v>
      </c>
      <c r="G175">
        <v>6</v>
      </c>
      <c r="I175">
        <v>1</v>
      </c>
      <c r="J175">
        <v>4</v>
      </c>
      <c r="K175">
        <v>3</v>
      </c>
      <c r="M175">
        <f t="array" ref="M175">SUM(E175:H175*I175:L175)/SUM(E175:H175)</f>
        <v>3.04</v>
      </c>
      <c r="AC175">
        <v>0</v>
      </c>
    </row>
    <row r="176" spans="1:29" x14ac:dyDescent="0.35">
      <c r="A176" t="str">
        <f t="shared" si="5"/>
        <v>Pi-0</v>
      </c>
      <c r="B176" s="2" t="s">
        <v>97</v>
      </c>
      <c r="C176">
        <v>0</v>
      </c>
      <c r="D176" s="3">
        <v>3</v>
      </c>
      <c r="E176">
        <v>6</v>
      </c>
      <c r="F176">
        <v>13</v>
      </c>
      <c r="G176">
        <v>8</v>
      </c>
      <c r="I176">
        <v>1</v>
      </c>
      <c r="J176">
        <v>3</v>
      </c>
      <c r="K176">
        <v>4</v>
      </c>
      <c r="M176">
        <f t="array" ref="M176">SUM(E176:H176*I176:L176)/SUM(E176:H176)</f>
        <v>2.8518518518518516</v>
      </c>
      <c r="AC176">
        <v>0</v>
      </c>
    </row>
    <row r="177" spans="1:29" x14ac:dyDescent="0.35">
      <c r="A177" t="str">
        <f t="shared" si="5"/>
        <v>Pi-0</v>
      </c>
      <c r="B177" s="2" t="s">
        <v>97</v>
      </c>
      <c r="C177">
        <v>0</v>
      </c>
      <c r="D177" s="3">
        <v>4</v>
      </c>
      <c r="E177">
        <v>5</v>
      </c>
      <c r="F177">
        <v>11</v>
      </c>
      <c r="G177">
        <v>8</v>
      </c>
      <c r="I177">
        <v>1</v>
      </c>
      <c r="J177">
        <v>3</v>
      </c>
      <c r="K177">
        <v>3</v>
      </c>
      <c r="M177">
        <f t="array" ref="M177">SUM(E177:H177*I177:L177)/SUM(E177:H177)</f>
        <v>2.5833333333333335</v>
      </c>
      <c r="AC177">
        <v>0</v>
      </c>
    </row>
    <row r="178" spans="1:29" x14ac:dyDescent="0.35">
      <c r="A178" t="str">
        <f t="shared" si="5"/>
        <v>Pi-0</v>
      </c>
      <c r="B178" s="2" t="s">
        <v>97</v>
      </c>
      <c r="C178">
        <v>0</v>
      </c>
      <c r="D178" s="3">
        <v>5</v>
      </c>
      <c r="E178">
        <v>3</v>
      </c>
      <c r="F178">
        <v>10</v>
      </c>
      <c r="G178">
        <v>10</v>
      </c>
      <c r="H178">
        <v>5</v>
      </c>
      <c r="I178">
        <v>1</v>
      </c>
      <c r="J178">
        <v>3</v>
      </c>
      <c r="K178">
        <v>4</v>
      </c>
      <c r="L178">
        <v>5</v>
      </c>
      <c r="M178">
        <f t="array" ref="M178">SUM(E178:H178*I178:L178)/SUM(E178:H178)</f>
        <v>3.5</v>
      </c>
      <c r="AC178">
        <v>0</v>
      </c>
    </row>
    <row r="179" spans="1:29" x14ac:dyDescent="0.35">
      <c r="A179" t="str">
        <f t="shared" si="5"/>
        <v>Pi-1</v>
      </c>
      <c r="B179" s="2" t="s">
        <v>97</v>
      </c>
      <c r="C179">
        <v>1</v>
      </c>
      <c r="D179" s="3">
        <v>1</v>
      </c>
      <c r="E179">
        <v>3</v>
      </c>
      <c r="F179" s="2">
        <v>5</v>
      </c>
      <c r="G179" s="2">
        <v>15</v>
      </c>
      <c r="H179" s="2">
        <v>4</v>
      </c>
      <c r="I179">
        <v>1</v>
      </c>
      <c r="J179">
        <v>2</v>
      </c>
      <c r="K179">
        <v>3</v>
      </c>
      <c r="L179">
        <v>4</v>
      </c>
      <c r="M179">
        <f t="array" ref="M179">SUM(E179:H179*I179:L179)/SUM(E179:H179)</f>
        <v>2.7407407407407409</v>
      </c>
      <c r="N179">
        <f>AVERAGE(M179:M183)</f>
        <v>2.6674847655537315</v>
      </c>
      <c r="O179">
        <f>_xlfn.STDEV.P(M179:M183)</f>
        <v>0.36671095088974193</v>
      </c>
      <c r="P179">
        <f>0-AVERAGE(E179:E183)</f>
        <v>-5.6</v>
      </c>
      <c r="Q179">
        <f>0-AVERAGE(F179:F183)</f>
        <v>-11.8</v>
      </c>
      <c r="R179">
        <f>0-AVERAGE(G179:G183)</f>
        <v>-7.6</v>
      </c>
      <c r="S179">
        <f>IF(ISNUMBER(0-AVERAGE(H179:H183)),0-AVERAGE(H179:H183),"")</f>
        <v>-5.5</v>
      </c>
      <c r="T179">
        <f>AVERAGE(I179:I183)</f>
        <v>1.2</v>
      </c>
      <c r="U179">
        <f>AVERAGE(J179:J183)</f>
        <v>2.2000000000000002</v>
      </c>
      <c r="V179">
        <f>AVERAGE(K179:K183)</f>
        <v>4</v>
      </c>
      <c r="W179">
        <f>IF(ISNUMBER(AVERAGE(L179:L183)), AVERAGE(L179:L183), "")</f>
        <v>4.5</v>
      </c>
      <c r="X179">
        <f>IF(ISNUMBER(_xlfn.STDEV.P(I179:I183)),_xlfn.STDEV.P(I179:I183),"")</f>
        <v>0.4</v>
      </c>
      <c r="Y179">
        <f>IF(ISNUMBER(_xlfn.STDEV.P(J179:J183)),_xlfn.STDEV.P(J179:J183),"")</f>
        <v>0.4</v>
      </c>
      <c r="Z179">
        <f>IF(ISNUMBER(_xlfn.STDEV.P(K179:K183)),_xlfn.STDEV.P(K179:K183),"")</f>
        <v>0.63245553203367588</v>
      </c>
      <c r="AA179">
        <f>IF(ISNUMBER(_xlfn.STDEV.P(L179:L183)),_xlfn.STDEV.P(L179:L183),"")</f>
        <v>0.5</v>
      </c>
      <c r="AC179">
        <f>AVERAGEA(I179:I182)</f>
        <v>1.25</v>
      </c>
    </row>
    <row r="180" spans="1:29" x14ac:dyDescent="0.35">
      <c r="A180" t="str">
        <f t="shared" si="5"/>
        <v>Pi-1</v>
      </c>
      <c r="B180" s="2" t="s">
        <v>97</v>
      </c>
      <c r="C180">
        <v>1</v>
      </c>
      <c r="D180" s="3">
        <v>2</v>
      </c>
      <c r="E180">
        <v>4</v>
      </c>
      <c r="F180" s="2">
        <v>17</v>
      </c>
      <c r="G180" s="2">
        <v>4</v>
      </c>
      <c r="I180">
        <v>1</v>
      </c>
      <c r="J180">
        <v>2</v>
      </c>
      <c r="K180">
        <v>5</v>
      </c>
      <c r="M180">
        <f t="array" ref="M180">SUM(E180:H180*I180:L180)/SUM(E180:H180)</f>
        <v>2.3199999999999998</v>
      </c>
      <c r="AC180">
        <v>0</v>
      </c>
    </row>
    <row r="181" spans="1:29" x14ac:dyDescent="0.35">
      <c r="A181" t="str">
        <f t="shared" si="5"/>
        <v>Pi-1</v>
      </c>
      <c r="B181" s="2" t="s">
        <v>97</v>
      </c>
      <c r="C181">
        <v>1</v>
      </c>
      <c r="D181" s="3">
        <v>3</v>
      </c>
      <c r="E181">
        <v>8</v>
      </c>
      <c r="F181" s="2">
        <v>15</v>
      </c>
      <c r="G181" s="2">
        <v>5</v>
      </c>
      <c r="H181" s="2"/>
      <c r="I181" s="2">
        <v>2</v>
      </c>
      <c r="J181" s="2">
        <v>2</v>
      </c>
      <c r="K181" s="2">
        <v>4</v>
      </c>
      <c r="L181" s="2"/>
      <c r="M181">
        <f t="array" ref="M181">SUM(E181:H181*I181:L181)/SUM(E181:H181)</f>
        <v>2.3571428571428572</v>
      </c>
      <c r="AC181">
        <v>0</v>
      </c>
    </row>
    <row r="182" spans="1:29" x14ac:dyDescent="0.35">
      <c r="A182" t="str">
        <f t="shared" si="5"/>
        <v>Pi-1</v>
      </c>
      <c r="B182" s="2" t="s">
        <v>97</v>
      </c>
      <c r="C182">
        <v>1</v>
      </c>
      <c r="D182" s="3">
        <v>4</v>
      </c>
      <c r="E182">
        <v>5</v>
      </c>
      <c r="F182" s="2">
        <v>5</v>
      </c>
      <c r="G182" s="2">
        <v>10</v>
      </c>
      <c r="H182" s="2">
        <v>7</v>
      </c>
      <c r="I182" s="2">
        <v>1</v>
      </c>
      <c r="J182" s="2">
        <v>2</v>
      </c>
      <c r="K182" s="2">
        <v>4</v>
      </c>
      <c r="L182" s="2">
        <v>5</v>
      </c>
      <c r="M182">
        <f t="array" ref="M182">SUM(E182:H182*I182:L182)/SUM(E182:H182)</f>
        <v>3.3333333333333335</v>
      </c>
      <c r="AC182">
        <v>0</v>
      </c>
    </row>
    <row r="183" spans="1:29" x14ac:dyDescent="0.35">
      <c r="A183" t="str">
        <f t="shared" si="5"/>
        <v>Pi-1</v>
      </c>
      <c r="B183" s="2" t="s">
        <v>97</v>
      </c>
      <c r="C183">
        <v>1</v>
      </c>
      <c r="D183" s="3">
        <v>5</v>
      </c>
      <c r="E183">
        <v>8</v>
      </c>
      <c r="F183" s="2">
        <v>17</v>
      </c>
      <c r="G183" s="2">
        <v>4</v>
      </c>
      <c r="I183" s="2">
        <v>1</v>
      </c>
      <c r="J183" s="2">
        <v>3</v>
      </c>
      <c r="K183" s="2">
        <v>4</v>
      </c>
      <c r="M183">
        <f t="array" ref="M183">SUM(E183:H183*I183:L183)/SUM(E183:H183)</f>
        <v>2.5862068965517242</v>
      </c>
      <c r="AC183">
        <v>0</v>
      </c>
    </row>
    <row r="184" spans="1:29" x14ac:dyDescent="0.35">
      <c r="A184" t="str">
        <f t="shared" si="5"/>
        <v>Pu-0</v>
      </c>
      <c r="B184" s="2" t="s">
        <v>86</v>
      </c>
      <c r="C184">
        <v>0</v>
      </c>
      <c r="D184" s="3">
        <v>1</v>
      </c>
      <c r="E184">
        <v>5</v>
      </c>
      <c r="F184">
        <v>12</v>
      </c>
      <c r="G184">
        <v>7</v>
      </c>
      <c r="H184">
        <v>4</v>
      </c>
      <c r="I184">
        <v>1</v>
      </c>
      <c r="J184">
        <v>2</v>
      </c>
      <c r="K184">
        <v>3</v>
      </c>
      <c r="L184">
        <v>5</v>
      </c>
      <c r="M184">
        <f t="array" ref="M184">SUM(E184:H184*I184:L184)/SUM(E184:H184)</f>
        <v>2.5</v>
      </c>
      <c r="N184">
        <f>AVERAGE(M184:M188)</f>
        <v>3.2579365079365075</v>
      </c>
      <c r="O184">
        <f>_xlfn.STDEV.P(M184:M188)</f>
        <v>0.42785065786690091</v>
      </c>
      <c r="P184">
        <f>0-AVERAGE(E184:E188)</f>
        <v>-5.2</v>
      </c>
      <c r="Q184">
        <f>0-AVERAGE(F184:F188)</f>
        <v>-10.6</v>
      </c>
      <c r="R184">
        <f>0-AVERAGE(G184:G188)</f>
        <v>-6</v>
      </c>
      <c r="S184">
        <f>IF(ISNUMBER(0-AVERAGE(H184:H188)),0-AVERAGE(H184:H188),NA())</f>
        <v>-6.2</v>
      </c>
      <c r="T184">
        <f>AVERAGE(I184:I188)</f>
        <v>1.2</v>
      </c>
      <c r="U184">
        <f>AVERAGE(J184:J188)</f>
        <v>3.2</v>
      </c>
      <c r="V184">
        <f>AVERAGE(K184:K188)</f>
        <v>4.2</v>
      </c>
      <c r="W184">
        <f>IF(ISNUMBER(AVERAGE(L184:L188)), AVERAGE(L184:L188), "")</f>
        <v>4.2</v>
      </c>
      <c r="X184">
        <f>IF(ISNUMBER(_xlfn.STDEV.P(I184:I188)),_xlfn.STDEV.P(I184:I188),"")</f>
        <v>0.4</v>
      </c>
      <c r="Y184">
        <f>IF(ISNUMBER(_xlfn.STDEV.P(J184:J188)),_xlfn.STDEV.P(J184:J188),"")</f>
        <v>0.74833147735478833</v>
      </c>
      <c r="Z184">
        <f>IF(ISNUMBER(_xlfn.STDEV.P(K184:K188)),_xlfn.STDEV.P(K184:K188),"")</f>
        <v>0.74833147735478833</v>
      </c>
      <c r="AA184">
        <f>IF(ISNUMBER(_xlfn.STDEV.P(L184:L188)),_xlfn.STDEV.P(L184:L188),"")</f>
        <v>0.74833147735478833</v>
      </c>
      <c r="AC184">
        <f>AVERAGEA(I184:I187)</f>
        <v>1.25</v>
      </c>
    </row>
    <row r="185" spans="1:29" x14ac:dyDescent="0.35">
      <c r="A185" t="str">
        <f t="shared" si="5"/>
        <v>Pu-0</v>
      </c>
      <c r="B185" s="2" t="s">
        <v>86</v>
      </c>
      <c r="C185">
        <v>0</v>
      </c>
      <c r="D185" s="3">
        <v>2</v>
      </c>
      <c r="E185">
        <v>5</v>
      </c>
      <c r="F185">
        <v>10</v>
      </c>
      <c r="G185">
        <v>5</v>
      </c>
      <c r="H185">
        <v>7</v>
      </c>
      <c r="I185">
        <v>1</v>
      </c>
      <c r="J185">
        <v>3</v>
      </c>
      <c r="K185">
        <v>4</v>
      </c>
      <c r="L185">
        <v>5</v>
      </c>
      <c r="M185">
        <f t="array" ref="M185">SUM(E185:H185*I185:L185)/SUM(E185:H185)</f>
        <v>3.3333333333333335</v>
      </c>
      <c r="AC185">
        <v>0</v>
      </c>
    </row>
    <row r="186" spans="1:29" x14ac:dyDescent="0.35">
      <c r="A186" t="str">
        <f t="shared" si="5"/>
        <v>Pu-0</v>
      </c>
      <c r="B186" s="2" t="s">
        <v>86</v>
      </c>
      <c r="C186">
        <v>0</v>
      </c>
      <c r="D186" s="3">
        <v>3</v>
      </c>
      <c r="E186">
        <v>6</v>
      </c>
      <c r="F186">
        <v>7</v>
      </c>
      <c r="G186">
        <v>6</v>
      </c>
      <c r="H186">
        <v>8</v>
      </c>
      <c r="I186" s="48">
        <v>2</v>
      </c>
      <c r="J186">
        <v>4</v>
      </c>
      <c r="K186">
        <v>5</v>
      </c>
      <c r="L186">
        <v>4</v>
      </c>
      <c r="M186">
        <f t="array" ref="M186">SUM(E186:H186*I186:L186)/SUM(E186:H186)</f>
        <v>3.7777777777777777</v>
      </c>
      <c r="AC186">
        <v>0</v>
      </c>
    </row>
    <row r="187" spans="1:29" x14ac:dyDescent="0.35">
      <c r="A187" t="str">
        <f t="shared" si="5"/>
        <v>Pu-0</v>
      </c>
      <c r="B187" s="2" t="s">
        <v>86</v>
      </c>
      <c r="C187">
        <v>0</v>
      </c>
      <c r="D187" s="3">
        <v>4</v>
      </c>
      <c r="E187">
        <v>6</v>
      </c>
      <c r="F187">
        <v>13</v>
      </c>
      <c r="G187">
        <v>7</v>
      </c>
      <c r="H187">
        <v>4</v>
      </c>
      <c r="I187">
        <v>1</v>
      </c>
      <c r="J187">
        <v>4</v>
      </c>
      <c r="K187">
        <v>5</v>
      </c>
      <c r="L187">
        <v>3</v>
      </c>
      <c r="M187">
        <f t="array" ref="M187">SUM(E187:H187*I187:L187)/SUM(E187:H187)</f>
        <v>3.5</v>
      </c>
      <c r="AC187">
        <v>0</v>
      </c>
    </row>
    <row r="188" spans="1:29" x14ac:dyDescent="0.35">
      <c r="A188" t="str">
        <f t="shared" si="5"/>
        <v>Pu-0</v>
      </c>
      <c r="B188" s="2" t="s">
        <v>86</v>
      </c>
      <c r="C188">
        <v>0</v>
      </c>
      <c r="D188" s="3">
        <v>5</v>
      </c>
      <c r="E188">
        <v>4</v>
      </c>
      <c r="F188">
        <v>11</v>
      </c>
      <c r="G188">
        <v>5</v>
      </c>
      <c r="H188">
        <v>8</v>
      </c>
      <c r="I188">
        <v>1</v>
      </c>
      <c r="J188">
        <v>3</v>
      </c>
      <c r="K188">
        <v>4</v>
      </c>
      <c r="L188">
        <v>4</v>
      </c>
      <c r="M188">
        <f t="array" ref="M188">SUM(E188:H188*I188:L188)/SUM(E188:H188)</f>
        <v>3.1785714285714284</v>
      </c>
      <c r="AC188">
        <v>0</v>
      </c>
    </row>
    <row r="189" spans="1:29" x14ac:dyDescent="0.35">
      <c r="A189" t="str">
        <f t="shared" si="5"/>
        <v>Pu-1</v>
      </c>
      <c r="B189" s="2" t="s">
        <v>86</v>
      </c>
      <c r="C189">
        <v>1</v>
      </c>
      <c r="D189" s="3">
        <v>1</v>
      </c>
      <c r="E189">
        <v>8</v>
      </c>
      <c r="F189">
        <v>11</v>
      </c>
      <c r="G189">
        <v>5</v>
      </c>
      <c r="H189">
        <v>6</v>
      </c>
      <c r="I189">
        <v>2</v>
      </c>
      <c r="J189">
        <v>3</v>
      </c>
      <c r="K189">
        <v>5</v>
      </c>
      <c r="L189">
        <v>4</v>
      </c>
      <c r="M189">
        <f t="array" ref="M189">SUM(E189:H189*I189:L189)/SUM(E189:H189)</f>
        <v>3.2666666666666666</v>
      </c>
      <c r="N189">
        <f>AVERAGE(M189:M193)</f>
        <v>3.4207073386383735</v>
      </c>
      <c r="O189">
        <f>_xlfn.STDEV.P(M189:M193)</f>
        <v>0.34862594310158457</v>
      </c>
      <c r="P189">
        <f>0-AVERAGE(E189:E193)</f>
        <v>-6</v>
      </c>
      <c r="Q189">
        <f>0-AVERAGE(F189:F193)</f>
        <v>-10.199999999999999</v>
      </c>
      <c r="R189">
        <f>0-AVERAGE(G189:G193)</f>
        <v>-9.6</v>
      </c>
      <c r="S189">
        <f>IF(ISNUMBER(0-AVERAGE(H189:H193)),0-AVERAGE(H189:H193),NA())</f>
        <v>-4.666666666666667</v>
      </c>
      <c r="T189">
        <f>AVERAGE(I189:I193)</f>
        <v>1.6</v>
      </c>
      <c r="U189">
        <f>AVERAGE(J189:J193)</f>
        <v>3.2</v>
      </c>
      <c r="V189">
        <f>AVERAGE(K189:K193)</f>
        <v>4.5999999999999996</v>
      </c>
      <c r="W189">
        <f>IF(ISNUMBER(AVERAGE(L189:L193)), AVERAGE(L189:L193), "")</f>
        <v>3.6666666666666665</v>
      </c>
      <c r="X189">
        <f>IF(ISNUMBER(_xlfn.STDEV.P(I189:I193)),_xlfn.STDEV.P(I189:I193),"")</f>
        <v>0.4898979485566356</v>
      </c>
      <c r="Y189">
        <f>IF(ISNUMBER(_xlfn.STDEV.P(J189:J193)),_xlfn.STDEV.P(J189:J193),"")</f>
        <v>0.74833147735478833</v>
      </c>
      <c r="Z189">
        <f>IF(ISNUMBER(_xlfn.STDEV.P(K189:K193)),_xlfn.STDEV.P(K189:K193),"")</f>
        <v>0.4898979485566356</v>
      </c>
      <c r="AA189">
        <f>IF(ISNUMBER(_xlfn.STDEV.P(L189:L193)),_xlfn.STDEV.P(L189:L193),"")</f>
        <v>0.47140452079103168</v>
      </c>
      <c r="AC189">
        <f>AVERAGEA(I189:I192)</f>
        <v>1.75</v>
      </c>
    </row>
    <row r="190" spans="1:29" x14ac:dyDescent="0.35">
      <c r="A190" t="str">
        <f t="shared" si="5"/>
        <v>Pu-1</v>
      </c>
      <c r="B190" s="2" t="s">
        <v>86</v>
      </c>
      <c r="C190">
        <v>1</v>
      </c>
      <c r="D190" s="3">
        <v>2</v>
      </c>
      <c r="E190">
        <v>6</v>
      </c>
      <c r="F190">
        <v>10</v>
      </c>
      <c r="G190">
        <v>13</v>
      </c>
      <c r="I190">
        <v>2</v>
      </c>
      <c r="J190">
        <v>4</v>
      </c>
      <c r="K190">
        <v>5</v>
      </c>
      <c r="M190">
        <f t="array" ref="M190">SUM(E190:H190*I190:L190)/SUM(E190:H190)</f>
        <v>4.0344827586206895</v>
      </c>
      <c r="AC190">
        <v>0</v>
      </c>
    </row>
    <row r="191" spans="1:29" x14ac:dyDescent="0.35">
      <c r="A191" t="str">
        <f t="shared" si="5"/>
        <v>Pu-1</v>
      </c>
      <c r="B191" s="2" t="s">
        <v>86</v>
      </c>
      <c r="C191">
        <v>1</v>
      </c>
      <c r="D191" s="3">
        <v>3</v>
      </c>
      <c r="E191">
        <v>6</v>
      </c>
      <c r="F191">
        <v>7</v>
      </c>
      <c r="G191">
        <v>12</v>
      </c>
      <c r="H191">
        <v>4</v>
      </c>
      <c r="I191">
        <v>1</v>
      </c>
      <c r="J191">
        <v>3</v>
      </c>
      <c r="K191">
        <v>5</v>
      </c>
      <c r="L191">
        <v>3</v>
      </c>
      <c r="M191">
        <f t="array" ref="M191">SUM(E191:H191*I191:L191)/SUM(E191:H191)</f>
        <v>3.4137931034482758</v>
      </c>
      <c r="AC191">
        <v>0</v>
      </c>
    </row>
    <row r="192" spans="1:29" x14ac:dyDescent="0.35">
      <c r="A192" t="str">
        <f t="shared" si="5"/>
        <v>Pu-1</v>
      </c>
      <c r="B192" s="2" t="s">
        <v>86</v>
      </c>
      <c r="C192">
        <v>1</v>
      </c>
      <c r="D192" s="3">
        <v>4</v>
      </c>
      <c r="E192">
        <v>5</v>
      </c>
      <c r="F192">
        <v>10</v>
      </c>
      <c r="G192">
        <v>10</v>
      </c>
      <c r="H192">
        <v>4</v>
      </c>
      <c r="I192">
        <v>2</v>
      </c>
      <c r="J192">
        <v>2</v>
      </c>
      <c r="K192">
        <v>4</v>
      </c>
      <c r="L192">
        <v>4</v>
      </c>
      <c r="M192">
        <f t="array" ref="M192">SUM(E192:H192*I192:L192)/SUM(E192:H192)</f>
        <v>2.9655172413793105</v>
      </c>
      <c r="AC192">
        <v>0</v>
      </c>
    </row>
    <row r="193" spans="1:29" x14ac:dyDescent="0.35">
      <c r="A193" t="str">
        <f t="shared" si="5"/>
        <v>Pu-1</v>
      </c>
      <c r="B193" s="2" t="s">
        <v>86</v>
      </c>
      <c r="C193">
        <v>1</v>
      </c>
      <c r="D193" s="3">
        <v>5</v>
      </c>
      <c r="E193">
        <v>5</v>
      </c>
      <c r="F193">
        <v>13</v>
      </c>
      <c r="G193">
        <v>8</v>
      </c>
      <c r="I193">
        <v>1</v>
      </c>
      <c r="J193">
        <v>4</v>
      </c>
      <c r="K193">
        <v>4</v>
      </c>
      <c r="M193">
        <f t="array" ref="M193">SUM(E193:H193*I193:L193)/SUM(E193:H193)</f>
        <v>3.4230769230769229</v>
      </c>
      <c r="AC193">
        <v>0</v>
      </c>
    </row>
    <row r="194" spans="1:29" x14ac:dyDescent="0.35">
      <c r="A194" t="str">
        <f t="shared" si="5"/>
        <v>Si-0</v>
      </c>
      <c r="B194" s="2" t="s">
        <v>70</v>
      </c>
      <c r="C194">
        <v>0</v>
      </c>
      <c r="D194" s="3">
        <v>1</v>
      </c>
      <c r="E194">
        <v>5</v>
      </c>
      <c r="F194">
        <v>13</v>
      </c>
      <c r="G194">
        <v>5</v>
      </c>
      <c r="I194">
        <v>1</v>
      </c>
      <c r="J194">
        <v>4</v>
      </c>
      <c r="K194">
        <v>5</v>
      </c>
      <c r="M194">
        <f t="array" ref="M194">SUM(E194:H194*I194:L194)/SUM(E194:H194)</f>
        <v>3.5652173913043477</v>
      </c>
      <c r="N194">
        <f>AVERAGE(M194:M197)</f>
        <v>3.7442367415193503</v>
      </c>
      <c r="O194">
        <f>_xlfn.STDEV.P(M194:M197)</f>
        <v>0.10428988697188954</v>
      </c>
      <c r="P194">
        <f>0-AVERAGE(E194:E198)</f>
        <v>-4.25</v>
      </c>
      <c r="Q194">
        <f>0-AVERAGE(F194:F198)</f>
        <v>-13.25</v>
      </c>
      <c r="R194">
        <f>0-AVERAGE(G194:G198)</f>
        <v>-7.5</v>
      </c>
      <c r="S194" t="e">
        <f>IF(ISNUMBER(0-AVERAGE(H194:H198)),0-AVERAGE(H194:H198),NA())</f>
        <v>#N/A</v>
      </c>
      <c r="T194">
        <f>AVERAGE(I194:I198)</f>
        <v>1</v>
      </c>
      <c r="U194">
        <f>AVERAGE(J194:J198)</f>
        <v>4.25</v>
      </c>
      <c r="V194">
        <f>AVERAGE(K194:K198)</f>
        <v>4.5</v>
      </c>
      <c r="W194" t="str">
        <f>IF(ISNUMBER(AVERAGE(L194:L198)), AVERAGE(L194:L198), "")</f>
        <v/>
      </c>
      <c r="X194">
        <f>IF(ISNUMBER(_xlfn.STDEV.P(I194:I198)),_xlfn.STDEV.P(I194:I198),"")</f>
        <v>0</v>
      </c>
      <c r="Y194">
        <f>IF(ISNUMBER(_xlfn.STDEV.P(J194:J198)),_xlfn.STDEV.P(J194:J198),"")</f>
        <v>0.4330127018922193</v>
      </c>
      <c r="Z194">
        <f>IF(ISNUMBER(_xlfn.STDEV.P(K194:K198)),_xlfn.STDEV.P(K194:K198),"")</f>
        <v>0.8660254037844386</v>
      </c>
      <c r="AA194" t="str">
        <f>IF(ISNUMBER(_xlfn.STDEV.P(L194:L198)),_xlfn.STDEV.P(L194:L198),"")</f>
        <v/>
      </c>
      <c r="AC194">
        <f>AVERAGEA(I194:I197)</f>
        <v>1</v>
      </c>
    </row>
    <row r="195" spans="1:29" x14ac:dyDescent="0.35">
      <c r="A195" t="str">
        <f t="shared" si="5"/>
        <v>Si-0</v>
      </c>
      <c r="B195" s="2" t="s">
        <v>70</v>
      </c>
      <c r="C195">
        <v>0</v>
      </c>
      <c r="D195" s="3">
        <v>2</v>
      </c>
      <c r="E195">
        <v>5</v>
      </c>
      <c r="F195">
        <v>13</v>
      </c>
      <c r="G195">
        <v>10</v>
      </c>
      <c r="I195">
        <v>1</v>
      </c>
      <c r="J195">
        <v>4</v>
      </c>
      <c r="K195">
        <v>5</v>
      </c>
      <c r="M195">
        <f t="array" ref="M195">SUM(E195:H195*I195:L195)/SUM(E195:H195)</f>
        <v>3.8214285714285716</v>
      </c>
      <c r="AC195">
        <v>0</v>
      </c>
    </row>
    <row r="196" spans="1:29" x14ac:dyDescent="0.35">
      <c r="A196" t="str">
        <f t="shared" ref="A196:A203" si="6">B196&amp;"-"&amp;C196</f>
        <v>Si-0</v>
      </c>
      <c r="B196" s="2" t="s">
        <v>70</v>
      </c>
      <c r="C196">
        <v>0</v>
      </c>
      <c r="D196" s="3">
        <v>3</v>
      </c>
      <c r="E196">
        <v>4</v>
      </c>
      <c r="F196">
        <v>15</v>
      </c>
      <c r="G196">
        <v>7</v>
      </c>
      <c r="I196">
        <v>1</v>
      </c>
      <c r="J196">
        <v>4</v>
      </c>
      <c r="K196">
        <v>5</v>
      </c>
      <c r="M196">
        <f t="array" ref="M196">SUM(E196:H196*I196:L196)/SUM(E196:H196)</f>
        <v>3.8076923076923075</v>
      </c>
      <c r="AC196">
        <v>0</v>
      </c>
    </row>
    <row r="197" spans="1:29" x14ac:dyDescent="0.35">
      <c r="A197" t="str">
        <f t="shared" si="6"/>
        <v>Si-0</v>
      </c>
      <c r="B197" s="2" t="s">
        <v>70</v>
      </c>
      <c r="C197">
        <v>0</v>
      </c>
      <c r="D197" s="3">
        <v>4</v>
      </c>
      <c r="E197">
        <v>3</v>
      </c>
      <c r="F197">
        <v>12</v>
      </c>
      <c r="G197">
        <v>8</v>
      </c>
      <c r="I197">
        <v>1</v>
      </c>
      <c r="J197">
        <v>5</v>
      </c>
      <c r="K197">
        <v>3</v>
      </c>
      <c r="M197">
        <f t="array" ref="M197">SUM(E197:H197*I197:L197)/SUM(E197:H197)</f>
        <v>3.7826086956521738</v>
      </c>
      <c r="AC197">
        <v>0</v>
      </c>
    </row>
    <row r="198" spans="1:29" x14ac:dyDescent="0.35">
      <c r="A198" t="str">
        <f t="shared" si="6"/>
        <v>Si-0</v>
      </c>
      <c r="B198" s="2" t="s">
        <v>70</v>
      </c>
      <c r="C198">
        <v>0</v>
      </c>
      <c r="D198" s="3">
        <v>5</v>
      </c>
      <c r="M198" t="e">
        <f t="array" ref="M198">SUM(E198:H198*I198:L198)/SUM(E198:H198)</f>
        <v>#DIV/0!</v>
      </c>
      <c r="AC198">
        <v>0</v>
      </c>
    </row>
    <row r="199" spans="1:29" x14ac:dyDescent="0.35">
      <c r="A199" t="str">
        <f t="shared" si="6"/>
        <v>Si-1</v>
      </c>
      <c r="B199" s="2" t="s">
        <v>70</v>
      </c>
      <c r="C199">
        <v>1</v>
      </c>
      <c r="D199" s="3">
        <v>1</v>
      </c>
      <c r="E199">
        <v>2</v>
      </c>
      <c r="F199">
        <v>15</v>
      </c>
      <c r="G199">
        <v>10</v>
      </c>
      <c r="I199">
        <v>1</v>
      </c>
      <c r="J199">
        <v>4</v>
      </c>
      <c r="K199">
        <v>5</v>
      </c>
      <c r="M199">
        <f t="array" ref="M199">SUM(E199:H199*I199:L199)/SUM(E199:H199)</f>
        <v>4.1481481481481479</v>
      </c>
      <c r="N199">
        <f>AVERAGE(M199:M202)</f>
        <v>3.7935981230098879</v>
      </c>
      <c r="O199">
        <f>_xlfn.STDEV.P(M199:M202)</f>
        <v>0.3155881597270786</v>
      </c>
      <c r="P199">
        <f>0-AVERAGE(E199:E203)</f>
        <v>-2.25</v>
      </c>
      <c r="Q199">
        <f>0-AVERAGE(F199:F203)</f>
        <v>-13.75</v>
      </c>
      <c r="R199">
        <f>0-AVERAGE(G199:G203)</f>
        <v>-7</v>
      </c>
      <c r="S199">
        <f>IF(ISNUMBER(0-AVERAGE(H199:H203)),0-AVERAGE(H199:H203),"")</f>
        <v>-5</v>
      </c>
      <c r="T199">
        <f>AVERAGE(I199:I203)</f>
        <v>1.5</v>
      </c>
      <c r="U199">
        <f>AVERAGE(J199:J203)</f>
        <v>4</v>
      </c>
      <c r="V199">
        <f>AVERAGE(K199:K203)</f>
        <v>4.666666666666667</v>
      </c>
      <c r="W199">
        <f>IF(ISNUMBER(AVERAGE(L199:L203)), AVERAGE(L199:L203), "")</f>
        <v>2</v>
      </c>
      <c r="X199">
        <f>IF(ISNUMBER(_xlfn.STDEV.P(I199:I203)),_xlfn.STDEV.P(I199:I203),"")</f>
        <v>0.5</v>
      </c>
      <c r="Y199">
        <f>IF(ISNUMBER(_xlfn.STDEV.P(J199:J203)),_xlfn.STDEV.P(J199:J203),"")</f>
        <v>0</v>
      </c>
      <c r="Z199">
        <f>IF(ISNUMBER(_xlfn.STDEV.P(K199:K203)),_xlfn.STDEV.P(K199:K203),"")</f>
        <v>0.47140452079103168</v>
      </c>
      <c r="AA199">
        <f>IF(ISNUMBER(_xlfn.STDEV.P(L199:L203)),_xlfn.STDEV.P(L199:L203),"")</f>
        <v>0</v>
      </c>
      <c r="AC199">
        <f>AVERAGEA(I199:I202)</f>
        <v>1.5</v>
      </c>
    </row>
    <row r="200" spans="1:29" x14ac:dyDescent="0.35">
      <c r="A200" t="str">
        <f t="shared" si="6"/>
        <v>Si-1</v>
      </c>
      <c r="B200" s="2" t="s">
        <v>70</v>
      </c>
      <c r="C200">
        <v>1</v>
      </c>
      <c r="D200" s="3">
        <v>2</v>
      </c>
      <c r="E200">
        <v>2</v>
      </c>
      <c r="F200">
        <v>10</v>
      </c>
      <c r="G200">
        <v>3</v>
      </c>
      <c r="H200">
        <v>5</v>
      </c>
      <c r="I200">
        <v>2</v>
      </c>
      <c r="J200">
        <v>4</v>
      </c>
      <c r="K200">
        <v>4</v>
      </c>
      <c r="L200">
        <v>2</v>
      </c>
      <c r="M200">
        <f t="array" ref="M200">SUM(E200:H200*I200:L200)/SUM(E200:H200)</f>
        <v>3.3</v>
      </c>
      <c r="AC200">
        <v>0</v>
      </c>
    </row>
    <row r="201" spans="1:29" x14ac:dyDescent="0.35">
      <c r="A201" t="str">
        <f t="shared" si="6"/>
        <v>Si-1</v>
      </c>
      <c r="B201" s="2" t="s">
        <v>70</v>
      </c>
      <c r="C201">
        <v>1</v>
      </c>
      <c r="D201" s="3">
        <v>3</v>
      </c>
      <c r="E201">
        <v>3</v>
      </c>
      <c r="F201">
        <v>15</v>
      </c>
      <c r="G201">
        <v>8</v>
      </c>
      <c r="I201">
        <v>1</v>
      </c>
      <c r="J201">
        <v>4</v>
      </c>
      <c r="K201">
        <v>5</v>
      </c>
      <c r="M201">
        <f t="array" ref="M201">SUM(E201:H201*I201:L201)/SUM(E201:H201)</f>
        <v>3.9615384615384617</v>
      </c>
      <c r="AC201">
        <v>0</v>
      </c>
    </row>
    <row r="202" spans="1:29" x14ac:dyDescent="0.35">
      <c r="A202" t="str">
        <f t="shared" si="6"/>
        <v>Si-1</v>
      </c>
      <c r="B202" s="2" t="s">
        <v>70</v>
      </c>
      <c r="C202">
        <v>1</v>
      </c>
      <c r="D202" s="3">
        <v>4</v>
      </c>
      <c r="E202">
        <v>2</v>
      </c>
      <c r="F202">
        <v>15</v>
      </c>
      <c r="I202">
        <v>2</v>
      </c>
      <c r="J202">
        <v>4</v>
      </c>
      <c r="M202">
        <f t="array" ref="M202">SUM(E202:H202*I202:L202)/SUM(E202:H202)</f>
        <v>3.7647058823529411</v>
      </c>
      <c r="AC202">
        <v>0</v>
      </c>
    </row>
    <row r="203" spans="1:29" x14ac:dyDescent="0.35">
      <c r="A203" t="str">
        <f t="shared" si="6"/>
        <v>Si-1</v>
      </c>
      <c r="B203" s="2" t="s">
        <v>70</v>
      </c>
      <c r="C203">
        <v>1</v>
      </c>
      <c r="D203" s="3">
        <v>5</v>
      </c>
      <c r="M203" t="e">
        <f t="array" ref="M203">SUM(E203:H203*I203:L203)/SUM(E203:H203)</f>
        <v>#DIV/0!</v>
      </c>
      <c r="AC203">
        <v>0</v>
      </c>
    </row>
  </sheetData>
  <autoFilter ref="A3:O203" xr:uid="{699EDD05-03B7-48BE-8BEF-063B7EA09569}"/>
  <sortState xmlns:xlrd2="http://schemas.microsoft.com/office/spreadsheetml/2017/richdata2" ref="A4:O203">
    <sortCondition ref="A4:A203"/>
    <sortCondition ref="D4:D203"/>
  </sortState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6D352-1EC4-4463-9F4B-55D45EDBA619}">
  <sheetPr>
    <tabColor theme="7"/>
  </sheetPr>
  <dimension ref="A3:AC203"/>
  <sheetViews>
    <sheetView zoomScale="85" zoomScaleNormal="85" workbookViewId="0">
      <pane xSplit="4" ySplit="3" topLeftCell="E146" activePane="bottomRight" state="frozen"/>
      <selection pane="topRight" activeCell="E1" sqref="E1"/>
      <selection pane="bottomLeft" activeCell="A4" sqref="A4"/>
      <selection pane="bottomRight" activeCell="P159" sqref="P159"/>
    </sheetView>
  </sheetViews>
  <sheetFormatPr defaultRowHeight="14.5" x14ac:dyDescent="0.35"/>
  <cols>
    <col min="2" max="3" width="8.7265625" hidden="1" customWidth="1"/>
    <col min="5" max="5" width="11.1796875" bestFit="1" customWidth="1"/>
    <col min="6" max="7" width="11.1796875" customWidth="1"/>
    <col min="8" max="8" width="10.7265625" bestFit="1" customWidth="1"/>
    <col min="9" max="9" width="11.81640625" bestFit="1" customWidth="1"/>
    <col min="11" max="11" width="13.7265625" style="56" bestFit="1" customWidth="1"/>
    <col min="12" max="13" width="8.7265625" style="56"/>
    <col min="14" max="14" width="12.81640625" style="88" customWidth="1"/>
    <col min="15" max="16" width="8.7265625" style="56"/>
    <col min="17" max="17" width="10.54296875" style="56" customWidth="1"/>
    <col min="18" max="22" width="8.7265625" style="56"/>
    <col min="25" max="25" width="10.81640625" bestFit="1" customWidth="1"/>
    <col min="26" max="26" width="10.81640625" customWidth="1"/>
  </cols>
  <sheetData>
    <row r="3" spans="1:29" ht="15" thickBot="1" x14ac:dyDescent="0.4">
      <c r="A3" s="4" t="s">
        <v>387</v>
      </c>
      <c r="B3" s="4" t="s">
        <v>66</v>
      </c>
      <c r="C3" s="4" t="s">
        <v>91</v>
      </c>
      <c r="D3" s="4" t="s">
        <v>67</v>
      </c>
      <c r="E3" s="4" t="s">
        <v>413</v>
      </c>
      <c r="F3" s="4" t="s">
        <v>122</v>
      </c>
      <c r="G3" s="4" t="s">
        <v>113</v>
      </c>
      <c r="H3" s="4" t="s">
        <v>108</v>
      </c>
      <c r="I3" s="4" t="s">
        <v>122</v>
      </c>
      <c r="J3" s="4" t="s">
        <v>113</v>
      </c>
      <c r="K3" s="113" t="s">
        <v>152</v>
      </c>
      <c r="L3" s="113" t="s">
        <v>122</v>
      </c>
      <c r="M3" s="113" t="s">
        <v>125</v>
      </c>
      <c r="N3" s="156" t="s">
        <v>397</v>
      </c>
      <c r="O3" s="113" t="s">
        <v>126</v>
      </c>
      <c r="P3" s="113" t="s">
        <v>125</v>
      </c>
      <c r="Q3" s="113" t="s">
        <v>388</v>
      </c>
      <c r="R3" s="113" t="s">
        <v>126</v>
      </c>
      <c r="S3" s="113" t="s">
        <v>125</v>
      </c>
      <c r="T3" s="113" t="s">
        <v>150</v>
      </c>
      <c r="U3" s="113" t="s">
        <v>126</v>
      </c>
      <c r="V3" s="113" t="s">
        <v>125</v>
      </c>
      <c r="Y3" s="4" t="s">
        <v>106</v>
      </c>
      <c r="Z3" s="4" t="s">
        <v>67</v>
      </c>
      <c r="AA3" s="4" t="s">
        <v>148</v>
      </c>
      <c r="AB3" s="4" t="s">
        <v>149</v>
      </c>
      <c r="AC3" s="4" t="s">
        <v>150</v>
      </c>
    </row>
    <row r="4" spans="1:29" ht="15" thickTop="1" x14ac:dyDescent="0.35">
      <c r="A4" t="str">
        <f t="shared" ref="A4:A35" si="0">B4&amp;"-"&amp;C4</f>
        <v>AE-0</v>
      </c>
      <c r="B4" s="2" t="s">
        <v>98</v>
      </c>
      <c r="C4">
        <v>0</v>
      </c>
      <c r="D4" s="3">
        <v>1</v>
      </c>
      <c r="E4">
        <v>0</v>
      </c>
      <c r="F4">
        <f>AVERAGE($E4:$E8)</f>
        <v>0</v>
      </c>
      <c r="G4">
        <f>_xlfn.STDEV.P($E4:$E8)</f>
        <v>0</v>
      </c>
      <c r="H4">
        <v>78.06</v>
      </c>
      <c r="I4">
        <v>79.826666669999994</v>
      </c>
      <c r="J4">
        <v>3.6190639999999998</v>
      </c>
      <c r="K4" s="56">
        <v>1.0569999999999999</v>
      </c>
      <c r="L4" s="56">
        <v>0.59699999999999998</v>
      </c>
      <c r="M4" s="56">
        <v>0.46</v>
      </c>
      <c r="N4" s="88">
        <v>52</v>
      </c>
      <c r="O4" s="56">
        <v>47.4</v>
      </c>
      <c r="P4" s="56">
        <v>4.3634849999999998</v>
      </c>
      <c r="Q4" s="56">
        <v>3.7504599999999999E-2</v>
      </c>
      <c r="R4" s="56">
        <v>4.7527E-2</v>
      </c>
      <c r="S4" s="56">
        <v>8.4480000000000006E-3</v>
      </c>
      <c r="T4" s="56">
        <v>39.795999999999999</v>
      </c>
      <c r="U4" s="56">
        <v>46.468600000000002</v>
      </c>
      <c r="V4" s="56">
        <v>5.4143499999999998</v>
      </c>
      <c r="X4" t="b">
        <f>EXACT(Y4,A4)</f>
        <v>0</v>
      </c>
      <c r="Y4" s="157" t="s">
        <v>63</v>
      </c>
      <c r="Z4" s="157">
        <v>1</v>
      </c>
      <c r="AA4" s="157">
        <v>40.200000000000003</v>
      </c>
      <c r="AB4" s="157">
        <f>8.68*10^-6*AA4^2+5.15*10^-4*AA4-1.05*10^-2</f>
        <v>2.4230227200000003E-2</v>
      </c>
      <c r="AC4" s="157">
        <f>0.99*AA4-10.1</f>
        <v>29.698</v>
      </c>
    </row>
    <row r="5" spans="1:29" x14ac:dyDescent="0.35">
      <c r="A5" t="str">
        <f t="shared" si="0"/>
        <v>AE-0</v>
      </c>
      <c r="B5" s="2" t="s">
        <v>98</v>
      </c>
      <c r="C5">
        <v>0</v>
      </c>
      <c r="D5" s="3">
        <v>2</v>
      </c>
      <c r="E5">
        <v>0</v>
      </c>
      <c r="H5">
        <v>76.55</v>
      </c>
      <c r="K5" s="56">
        <v>0.13700000000000001</v>
      </c>
      <c r="N5" s="88">
        <v>40</v>
      </c>
      <c r="Q5" s="56">
        <v>4.3788399999999998E-2</v>
      </c>
      <c r="T5" s="56">
        <v>44.152000000000001</v>
      </c>
      <c r="X5" s="157" t="b">
        <f t="shared" ref="X5:X68" si="1">EXACT(Y5,A5)</f>
        <v>0</v>
      </c>
      <c r="Y5" s="157" t="s">
        <v>63</v>
      </c>
      <c r="Z5" s="157">
        <v>2</v>
      </c>
      <c r="AA5" s="157">
        <v>41.5</v>
      </c>
      <c r="AB5" s="157">
        <f t="shared" ref="AB5:AB68" si="2">8.68*10^-6*AA5^2+5.15*10^-4*AA5-1.05*10^-2</f>
        <v>2.5821629999999998E-2</v>
      </c>
      <c r="AC5" s="157">
        <f t="shared" ref="AC5:AC68" si="3">0.99*AA5-10.1</f>
        <v>30.984999999999999</v>
      </c>
    </row>
    <row r="6" spans="1:29" x14ac:dyDescent="0.35">
      <c r="A6" t="str">
        <f t="shared" si="0"/>
        <v>AE-0</v>
      </c>
      <c r="B6" s="2" t="s">
        <v>98</v>
      </c>
      <c r="C6">
        <v>0</v>
      </c>
      <c r="D6" s="3">
        <v>3</v>
      </c>
      <c r="E6">
        <v>0</v>
      </c>
      <c r="H6">
        <v>84.87</v>
      </c>
      <c r="N6" s="88">
        <v>50</v>
      </c>
      <c r="Q6" s="56">
        <v>6.2969499999999998E-2</v>
      </c>
      <c r="T6" s="56">
        <v>56.23</v>
      </c>
      <c r="X6" s="157" t="b">
        <f t="shared" si="1"/>
        <v>0</v>
      </c>
      <c r="Y6" s="157" t="s">
        <v>63</v>
      </c>
      <c r="Z6" s="157">
        <v>3</v>
      </c>
      <c r="AA6" s="157">
        <v>40.9</v>
      </c>
      <c r="AB6" s="157">
        <f t="shared" si="2"/>
        <v>2.5083490799999997E-2</v>
      </c>
      <c r="AC6" s="157">
        <f t="shared" si="3"/>
        <v>30.390999999999998</v>
      </c>
    </row>
    <row r="7" spans="1:29" x14ac:dyDescent="0.35">
      <c r="A7" t="str">
        <f t="shared" si="0"/>
        <v>AE-0</v>
      </c>
      <c r="B7" s="2" t="s">
        <v>98</v>
      </c>
      <c r="C7">
        <v>0</v>
      </c>
      <c r="D7" s="3">
        <v>4</v>
      </c>
      <c r="N7" s="88">
        <v>50</v>
      </c>
      <c r="Q7" s="56">
        <v>4.5560499999999997E-2</v>
      </c>
      <c r="T7" s="56">
        <v>45.34</v>
      </c>
      <c r="X7" s="157" t="b">
        <f t="shared" si="1"/>
        <v>0</v>
      </c>
      <c r="Y7" s="157" t="s">
        <v>63</v>
      </c>
      <c r="Z7" s="157">
        <v>4</v>
      </c>
      <c r="AA7" s="157">
        <v>45.8</v>
      </c>
      <c r="AB7" s="157">
        <f t="shared" si="2"/>
        <v>3.1294515199999998E-2</v>
      </c>
      <c r="AC7" s="157">
        <f t="shared" si="3"/>
        <v>35.241999999999997</v>
      </c>
    </row>
    <row r="8" spans="1:29" x14ac:dyDescent="0.35">
      <c r="A8" t="str">
        <f t="shared" si="0"/>
        <v>AE-0</v>
      </c>
      <c r="B8" s="2" t="s">
        <v>98</v>
      </c>
      <c r="C8">
        <v>0</v>
      </c>
      <c r="D8" s="3">
        <v>5</v>
      </c>
      <c r="N8" s="88">
        <v>45</v>
      </c>
      <c r="Q8" s="56">
        <v>4.7810800000000001E-2</v>
      </c>
      <c r="T8" s="56">
        <v>46.825000000000003</v>
      </c>
      <c r="X8" s="157" t="b">
        <f t="shared" si="1"/>
        <v>0</v>
      </c>
      <c r="Y8" s="157" t="s">
        <v>63</v>
      </c>
      <c r="Z8" s="157">
        <v>5</v>
      </c>
      <c r="AA8" s="157">
        <v>37.4</v>
      </c>
      <c r="AB8" s="157">
        <f t="shared" si="2"/>
        <v>2.0902236799999994E-2</v>
      </c>
      <c r="AC8" s="157">
        <f t="shared" si="3"/>
        <v>26.925999999999995</v>
      </c>
    </row>
    <row r="9" spans="1:29" x14ac:dyDescent="0.35">
      <c r="A9" t="str">
        <f t="shared" si="0"/>
        <v>AE-1</v>
      </c>
      <c r="B9" s="2" t="s">
        <v>98</v>
      </c>
      <c r="C9">
        <v>1</v>
      </c>
      <c r="D9" s="3">
        <v>1</v>
      </c>
      <c r="E9">
        <v>2</v>
      </c>
      <c r="F9">
        <f>AVERAGE($E9:$E13)</f>
        <v>2.3333333333333335</v>
      </c>
      <c r="G9">
        <f>_xlfn.STDEV.P($E9:$E13)</f>
        <v>0.47140452079103168</v>
      </c>
      <c r="H9">
        <v>83.94</v>
      </c>
      <c r="I9">
        <v>78.73</v>
      </c>
      <c r="J9">
        <v>3.6854399999999998</v>
      </c>
      <c r="K9" s="56">
        <v>0.93899999999999995</v>
      </c>
      <c r="L9" s="56">
        <v>0.69599999999999995</v>
      </c>
      <c r="M9" s="56">
        <v>0.24299999999999999</v>
      </c>
      <c r="N9" s="88">
        <v>50</v>
      </c>
      <c r="O9" s="56">
        <v>47</v>
      </c>
      <c r="P9" s="56">
        <v>2.4494899999999999</v>
      </c>
      <c r="Q9" s="56">
        <v>5.0717199999999997E-2</v>
      </c>
      <c r="R9" s="56">
        <v>5.6537999999999998E-2</v>
      </c>
      <c r="S9" s="56">
        <v>4.8700000000000002E-3</v>
      </c>
      <c r="T9" s="56">
        <v>48.706000000000003</v>
      </c>
      <c r="U9" s="56">
        <v>52.309600000000003</v>
      </c>
      <c r="V9" s="56">
        <v>2.9591560000000001</v>
      </c>
      <c r="X9" s="157" t="b">
        <f t="shared" si="1"/>
        <v>0</v>
      </c>
      <c r="Y9" s="157" t="s">
        <v>62</v>
      </c>
      <c r="Z9" s="157">
        <v>1</v>
      </c>
      <c r="AA9" s="157">
        <v>41.8</v>
      </c>
      <c r="AB9" s="157">
        <f t="shared" si="2"/>
        <v>2.6193043199999995E-2</v>
      </c>
      <c r="AC9" s="157">
        <f t="shared" si="3"/>
        <v>31.281999999999996</v>
      </c>
    </row>
    <row r="10" spans="1:29" x14ac:dyDescent="0.35">
      <c r="A10" t="str">
        <f t="shared" si="0"/>
        <v>AE-1</v>
      </c>
      <c r="B10" s="2" t="s">
        <v>98</v>
      </c>
      <c r="C10">
        <v>1</v>
      </c>
      <c r="D10" s="3">
        <v>2</v>
      </c>
      <c r="E10">
        <v>2</v>
      </c>
      <c r="H10">
        <v>76</v>
      </c>
      <c r="K10" s="56">
        <v>0.45300000000000001</v>
      </c>
      <c r="N10" s="88">
        <v>45</v>
      </c>
      <c r="Q10" s="56">
        <v>6.5335900000000002E-2</v>
      </c>
      <c r="T10" s="56">
        <v>57.616</v>
      </c>
      <c r="X10" s="157" t="b">
        <f t="shared" si="1"/>
        <v>0</v>
      </c>
      <c r="Y10" s="157" t="s">
        <v>62</v>
      </c>
      <c r="Z10" s="157">
        <v>2</v>
      </c>
      <c r="AA10" s="157">
        <v>33.5</v>
      </c>
      <c r="AB10" s="157">
        <f t="shared" si="2"/>
        <v>1.6493630000000002E-2</v>
      </c>
      <c r="AC10" s="157">
        <f t="shared" si="3"/>
        <v>23.064999999999998</v>
      </c>
    </row>
    <row r="11" spans="1:29" x14ac:dyDescent="0.35">
      <c r="A11" t="str">
        <f t="shared" si="0"/>
        <v>AE-1</v>
      </c>
      <c r="B11" s="2" t="s">
        <v>98</v>
      </c>
      <c r="C11">
        <v>1</v>
      </c>
      <c r="D11" s="3">
        <v>3</v>
      </c>
      <c r="E11">
        <v>3</v>
      </c>
      <c r="H11">
        <v>76.25</v>
      </c>
      <c r="N11" s="88">
        <v>45</v>
      </c>
      <c r="Q11" s="56">
        <v>5.6395899999999999E-2</v>
      </c>
      <c r="T11" s="56">
        <v>52.27</v>
      </c>
      <c r="X11" s="157" t="b">
        <f t="shared" si="1"/>
        <v>0</v>
      </c>
      <c r="Y11" s="157" t="s">
        <v>62</v>
      </c>
      <c r="Z11" s="157">
        <v>3</v>
      </c>
      <c r="AA11" s="157">
        <v>41.1</v>
      </c>
      <c r="AB11" s="157">
        <f t="shared" si="2"/>
        <v>2.5328842800000001E-2</v>
      </c>
      <c r="AC11" s="157">
        <f t="shared" si="3"/>
        <v>30.588999999999999</v>
      </c>
    </row>
    <row r="12" spans="1:29" x14ac:dyDescent="0.35">
      <c r="A12" t="str">
        <f t="shared" si="0"/>
        <v>AE-1</v>
      </c>
      <c r="B12" s="2" t="s">
        <v>98</v>
      </c>
      <c r="C12">
        <v>1</v>
      </c>
      <c r="D12" s="3">
        <v>4</v>
      </c>
      <c r="N12" s="88">
        <v>45</v>
      </c>
      <c r="Q12" s="56">
        <v>5.3844299999999998E-2</v>
      </c>
      <c r="T12" s="56">
        <v>50.686</v>
      </c>
      <c r="X12" s="157" t="b">
        <f t="shared" si="1"/>
        <v>0</v>
      </c>
      <c r="Y12" s="157" t="s">
        <v>62</v>
      </c>
      <c r="Z12" s="157">
        <v>4</v>
      </c>
      <c r="AA12" s="157">
        <v>52.9</v>
      </c>
      <c r="AB12" s="157">
        <f t="shared" si="2"/>
        <v>4.1033698799999997E-2</v>
      </c>
      <c r="AC12" s="157">
        <f t="shared" si="3"/>
        <v>42.270999999999994</v>
      </c>
    </row>
    <row r="13" spans="1:29" x14ac:dyDescent="0.35">
      <c r="A13" t="str">
        <f t="shared" si="0"/>
        <v>AE-1</v>
      </c>
      <c r="B13" s="2" t="s">
        <v>98</v>
      </c>
      <c r="C13">
        <v>1</v>
      </c>
      <c r="D13" s="3">
        <v>5</v>
      </c>
      <c r="N13" s="88">
        <v>50</v>
      </c>
      <c r="Q13" s="56">
        <v>5.6395899999999999E-2</v>
      </c>
      <c r="T13" s="56">
        <v>52.27</v>
      </c>
      <c r="X13" s="157" t="b">
        <f t="shared" si="1"/>
        <v>0</v>
      </c>
      <c r="Y13" s="157" t="s">
        <v>62</v>
      </c>
      <c r="Z13" s="157">
        <v>5</v>
      </c>
      <c r="AA13" s="157">
        <v>41.6</v>
      </c>
      <c r="AB13" s="157">
        <f t="shared" si="2"/>
        <v>2.5945260800000002E-2</v>
      </c>
      <c r="AC13" s="157">
        <f t="shared" si="3"/>
        <v>31.083999999999996</v>
      </c>
    </row>
    <row r="14" spans="1:29" x14ac:dyDescent="0.35">
      <c r="A14" t="str">
        <f t="shared" si="0"/>
        <v>Ai-0</v>
      </c>
      <c r="B14" s="2" t="s">
        <v>76</v>
      </c>
      <c r="C14">
        <v>0</v>
      </c>
      <c r="D14" s="3">
        <v>1</v>
      </c>
      <c r="E14">
        <v>0</v>
      </c>
      <c r="F14">
        <f>AVERAGE($E14:$E18)</f>
        <v>0</v>
      </c>
      <c r="G14">
        <f>_xlfn.STDEV.P($E14:$E18)</f>
        <v>0</v>
      </c>
      <c r="H14">
        <v>43.56</v>
      </c>
      <c r="I14">
        <v>45.186666670000001</v>
      </c>
      <c r="J14">
        <v>2.3715160000000002</v>
      </c>
      <c r="K14" s="56">
        <v>13.465</v>
      </c>
      <c r="L14" s="56">
        <v>16.677</v>
      </c>
      <c r="M14" s="56">
        <v>4.7942220000000004</v>
      </c>
      <c r="N14" s="88">
        <v>40</v>
      </c>
      <c r="O14" s="56">
        <v>42</v>
      </c>
      <c r="P14" s="56">
        <v>2.4494899999999999</v>
      </c>
      <c r="Q14" s="56">
        <v>4.91797E-2</v>
      </c>
      <c r="R14" s="56">
        <v>4.82E-2</v>
      </c>
      <c r="S14" s="56">
        <v>5.476E-3</v>
      </c>
      <c r="T14" s="56">
        <v>47.716000000000001</v>
      </c>
      <c r="U14" s="56">
        <v>47.0032</v>
      </c>
      <c r="V14" s="56">
        <v>3.629076</v>
      </c>
      <c r="X14" s="157" t="b">
        <f t="shared" si="1"/>
        <v>0</v>
      </c>
      <c r="Y14" s="157" t="s">
        <v>135</v>
      </c>
      <c r="Z14" s="157">
        <v>1</v>
      </c>
      <c r="AA14" s="157"/>
      <c r="AB14" s="157"/>
      <c r="AC14" s="157"/>
    </row>
    <row r="15" spans="1:29" x14ac:dyDescent="0.35">
      <c r="A15" t="str">
        <f t="shared" si="0"/>
        <v>Ai-0</v>
      </c>
      <c r="B15" s="2" t="s">
        <v>76</v>
      </c>
      <c r="C15">
        <v>0</v>
      </c>
      <c r="D15" s="3">
        <v>2</v>
      </c>
      <c r="E15">
        <v>0</v>
      </c>
      <c r="H15">
        <v>48.54</v>
      </c>
      <c r="K15" s="56">
        <v>19.920999999999999</v>
      </c>
      <c r="N15" s="88">
        <v>40</v>
      </c>
      <c r="Q15" s="56">
        <v>5.4002399999999999E-2</v>
      </c>
      <c r="T15" s="56">
        <v>50.784999999999997</v>
      </c>
      <c r="X15" s="157" t="b">
        <f t="shared" si="1"/>
        <v>0</v>
      </c>
      <c r="Y15" s="157" t="s">
        <v>135</v>
      </c>
      <c r="Z15" s="157">
        <v>2</v>
      </c>
      <c r="AA15" s="157"/>
      <c r="AB15" s="157"/>
      <c r="AC15" s="157"/>
    </row>
    <row r="16" spans="1:29" x14ac:dyDescent="0.35">
      <c r="A16" t="str">
        <f t="shared" si="0"/>
        <v>Ai-0</v>
      </c>
      <c r="B16" s="2" t="s">
        <v>76</v>
      </c>
      <c r="C16">
        <v>0</v>
      </c>
      <c r="D16" s="3">
        <v>3</v>
      </c>
      <c r="E16">
        <v>0</v>
      </c>
      <c r="H16">
        <v>43.46</v>
      </c>
      <c r="K16" s="56">
        <v>11.141999999999999</v>
      </c>
      <c r="N16" s="88">
        <v>40</v>
      </c>
      <c r="Q16" s="56">
        <v>4.6156700000000002E-2</v>
      </c>
      <c r="T16" s="56">
        <v>45.735999999999997</v>
      </c>
      <c r="X16" s="157" t="b">
        <f t="shared" si="1"/>
        <v>0</v>
      </c>
      <c r="Y16" s="157" t="s">
        <v>135</v>
      </c>
      <c r="Z16" s="157">
        <v>3</v>
      </c>
      <c r="AA16" s="157"/>
      <c r="AB16" s="157"/>
      <c r="AC16" s="157"/>
    </row>
    <row r="17" spans="1:29" ht="14.5" customHeight="1" x14ac:dyDescent="0.35">
      <c r="A17" t="str">
        <f t="shared" si="0"/>
        <v>Ai-0</v>
      </c>
      <c r="B17" s="2" t="s">
        <v>76</v>
      </c>
      <c r="C17">
        <v>0</v>
      </c>
      <c r="D17" s="3">
        <v>4</v>
      </c>
      <c r="E17">
        <v>0</v>
      </c>
      <c r="K17" s="56">
        <v>14.513999999999999</v>
      </c>
      <c r="N17" s="88">
        <v>45</v>
      </c>
      <c r="Q17" s="56">
        <v>5.2898800000000003E-2</v>
      </c>
      <c r="T17" s="56">
        <v>50.091999999999999</v>
      </c>
      <c r="X17" s="157" t="b">
        <f t="shared" si="1"/>
        <v>0</v>
      </c>
      <c r="Y17" s="157" t="s">
        <v>135</v>
      </c>
      <c r="Z17" s="157">
        <v>4</v>
      </c>
      <c r="AA17" s="157"/>
      <c r="AB17" s="157"/>
      <c r="AC17" s="157"/>
    </row>
    <row r="18" spans="1:29" ht="15" customHeight="1" x14ac:dyDescent="0.35">
      <c r="A18" t="str">
        <f t="shared" si="0"/>
        <v>Ai-0</v>
      </c>
      <c r="B18" s="2" t="s">
        <v>76</v>
      </c>
      <c r="C18">
        <v>0</v>
      </c>
      <c r="D18" s="3">
        <v>5</v>
      </c>
      <c r="E18">
        <v>0</v>
      </c>
      <c r="K18" s="56">
        <v>24.343</v>
      </c>
      <c r="N18" s="88">
        <v>45</v>
      </c>
      <c r="Q18" s="56">
        <v>3.8762600000000001E-2</v>
      </c>
      <c r="T18" s="56">
        <v>40.686999999999998</v>
      </c>
      <c r="X18" s="157" t="b">
        <f t="shared" si="1"/>
        <v>0</v>
      </c>
      <c r="Y18" s="157" t="s">
        <v>135</v>
      </c>
      <c r="Z18" s="157">
        <v>5</v>
      </c>
      <c r="AA18" s="157"/>
      <c r="AB18" s="157"/>
      <c r="AC18" s="157"/>
    </row>
    <row r="19" spans="1:29" x14ac:dyDescent="0.35">
      <c r="A19" t="str">
        <f t="shared" si="0"/>
        <v>Ai-1</v>
      </c>
      <c r="B19" s="2" t="s">
        <v>76</v>
      </c>
      <c r="C19">
        <v>1</v>
      </c>
      <c r="D19" s="3">
        <v>1</v>
      </c>
      <c r="E19">
        <v>1</v>
      </c>
      <c r="F19">
        <f>AVERAGE($E19:$E23)</f>
        <v>0.6</v>
      </c>
      <c r="G19">
        <f>_xlfn.STDEV.P($E19:$E23)</f>
        <v>0.4898979485566356</v>
      </c>
      <c r="H19">
        <v>89.7</v>
      </c>
      <c r="I19">
        <v>91.4</v>
      </c>
      <c r="J19">
        <v>1.7</v>
      </c>
      <c r="K19" s="56">
        <v>40.024000000000001</v>
      </c>
      <c r="L19" s="56">
        <v>25.013200000000001</v>
      </c>
      <c r="M19" s="56">
        <v>11.00445</v>
      </c>
      <c r="N19" s="88">
        <v>100</v>
      </c>
      <c r="O19" s="56">
        <v>105</v>
      </c>
      <c r="P19" s="56">
        <v>5</v>
      </c>
      <c r="Q19" s="56">
        <v>3.62607E-2</v>
      </c>
      <c r="R19" s="56">
        <v>4.0536000000000003E-2</v>
      </c>
      <c r="S19" s="56">
        <v>3.3010000000000001E-3</v>
      </c>
      <c r="T19" s="56">
        <v>38.905000000000001</v>
      </c>
      <c r="U19" s="56">
        <v>41.894799999999996</v>
      </c>
      <c r="V19" s="56">
        <v>2.2829320000000002</v>
      </c>
      <c r="X19" s="157" t="b">
        <f t="shared" si="1"/>
        <v>0</v>
      </c>
      <c r="Y19" s="157" t="s">
        <v>136</v>
      </c>
      <c r="Z19" s="157">
        <v>1</v>
      </c>
      <c r="AA19" s="157"/>
      <c r="AB19" s="157"/>
      <c r="AC19" s="157"/>
    </row>
    <row r="20" spans="1:29" x14ac:dyDescent="0.35">
      <c r="A20" t="str">
        <f t="shared" si="0"/>
        <v>Ai-1</v>
      </c>
      <c r="B20" s="2" t="s">
        <v>76</v>
      </c>
      <c r="C20">
        <v>1</v>
      </c>
      <c r="D20" s="3">
        <v>2</v>
      </c>
      <c r="E20">
        <v>0</v>
      </c>
      <c r="H20">
        <v>93.1</v>
      </c>
      <c r="K20" s="56">
        <v>28.317</v>
      </c>
      <c r="N20" s="88">
        <v>110</v>
      </c>
      <c r="Q20" s="56">
        <v>4.5411899999999998E-2</v>
      </c>
      <c r="T20" s="56">
        <v>45.241</v>
      </c>
      <c r="X20" s="157" t="b">
        <f t="shared" si="1"/>
        <v>0</v>
      </c>
      <c r="Y20" s="157" t="s">
        <v>136</v>
      </c>
      <c r="Z20" s="157">
        <v>2</v>
      </c>
      <c r="AA20" s="157"/>
      <c r="AB20" s="157"/>
      <c r="AC20" s="157"/>
    </row>
    <row r="21" spans="1:29" x14ac:dyDescent="0.35">
      <c r="A21" t="str">
        <f t="shared" si="0"/>
        <v>Ai-1</v>
      </c>
      <c r="B21" s="2" t="s">
        <v>76</v>
      </c>
      <c r="C21">
        <v>1</v>
      </c>
      <c r="D21" s="3">
        <v>3</v>
      </c>
      <c r="E21">
        <v>0</v>
      </c>
      <c r="K21" s="56">
        <v>7.577</v>
      </c>
      <c r="N21" s="88">
        <v>110</v>
      </c>
      <c r="Q21" s="56">
        <v>3.8903199999999999E-2</v>
      </c>
      <c r="T21" s="56">
        <v>40.786000000000001</v>
      </c>
      <c r="X21" s="157" t="b">
        <f t="shared" si="1"/>
        <v>0</v>
      </c>
      <c r="Y21" s="157" t="s">
        <v>136</v>
      </c>
      <c r="Z21" s="157">
        <v>3</v>
      </c>
      <c r="AA21" s="157"/>
      <c r="AB21" s="157"/>
      <c r="AC21" s="157"/>
    </row>
    <row r="22" spans="1:29" x14ac:dyDescent="0.35">
      <c r="A22" t="str">
        <f t="shared" si="0"/>
        <v>Ai-1</v>
      </c>
      <c r="B22" s="2" t="s">
        <v>76</v>
      </c>
      <c r="C22">
        <v>1</v>
      </c>
      <c r="D22" s="3">
        <v>4</v>
      </c>
      <c r="E22">
        <v>1</v>
      </c>
      <c r="K22" s="56">
        <v>30.268000000000001</v>
      </c>
      <c r="N22" s="88">
        <v>100</v>
      </c>
      <c r="Q22" s="56">
        <v>3.8903199999999999E-2</v>
      </c>
      <c r="T22" s="56">
        <v>40.786000000000001</v>
      </c>
      <c r="X22" s="157" t="b">
        <f t="shared" si="1"/>
        <v>0</v>
      </c>
      <c r="Y22" s="157" t="s">
        <v>136</v>
      </c>
      <c r="Z22" s="157">
        <v>4</v>
      </c>
      <c r="AA22" s="157"/>
      <c r="AB22" s="157"/>
      <c r="AC22" s="157"/>
    </row>
    <row r="23" spans="1:29" x14ac:dyDescent="0.35">
      <c r="A23" t="str">
        <f t="shared" si="0"/>
        <v>Ai-1</v>
      </c>
      <c r="B23" s="2" t="s">
        <v>76</v>
      </c>
      <c r="C23">
        <v>1</v>
      </c>
      <c r="D23" s="3">
        <v>5</v>
      </c>
      <c r="E23">
        <v>1</v>
      </c>
      <c r="K23" s="56">
        <v>18.88</v>
      </c>
      <c r="Q23" s="56">
        <v>4.3203199999999997E-2</v>
      </c>
      <c r="T23" s="56">
        <v>43.756</v>
      </c>
      <c r="X23" s="157" t="b">
        <f t="shared" si="1"/>
        <v>0</v>
      </c>
      <c r="Y23" s="157" t="s">
        <v>136</v>
      </c>
      <c r="Z23" s="157">
        <v>5</v>
      </c>
      <c r="AA23" s="157"/>
      <c r="AB23" s="157"/>
      <c r="AC23" s="157"/>
    </row>
    <row r="24" spans="1:29" x14ac:dyDescent="0.35">
      <c r="A24" t="str">
        <f t="shared" si="0"/>
        <v>Ik-0</v>
      </c>
      <c r="B24" s="2" t="s">
        <v>99</v>
      </c>
      <c r="C24">
        <v>0</v>
      </c>
      <c r="D24" s="3">
        <v>1</v>
      </c>
      <c r="E24">
        <v>0</v>
      </c>
      <c r="F24">
        <f>AVERAGE($E24:$E28)</f>
        <v>0</v>
      </c>
      <c r="G24">
        <f>_xlfn.STDEV.P($E24:$E28)</f>
        <v>0</v>
      </c>
      <c r="H24">
        <v>83.23</v>
      </c>
      <c r="I24">
        <v>83.15</v>
      </c>
      <c r="J24">
        <v>0.165126</v>
      </c>
      <c r="K24" s="56">
        <v>18.509834009999999</v>
      </c>
      <c r="L24" s="56">
        <v>28.013580000000001</v>
      </c>
      <c r="M24" s="56">
        <v>20.656330000000001</v>
      </c>
      <c r="N24" s="88">
        <v>115</v>
      </c>
      <c r="O24" s="56">
        <v>108.75</v>
      </c>
      <c r="P24" s="56">
        <v>10.82532</v>
      </c>
      <c r="Q24" s="56">
        <v>4.1752499999999998E-2</v>
      </c>
      <c r="R24" s="56">
        <v>4.2471000000000002E-2</v>
      </c>
      <c r="S24" s="56">
        <v>6.313E-3</v>
      </c>
      <c r="T24" s="56">
        <v>42.765999999999998</v>
      </c>
      <c r="U24" s="56">
        <v>43.142200000000003</v>
      </c>
      <c r="V24" s="56">
        <v>4.3745900000000004</v>
      </c>
      <c r="X24" s="157" t="b">
        <f t="shared" si="1"/>
        <v>0</v>
      </c>
      <c r="Y24" s="157" t="s">
        <v>48</v>
      </c>
      <c r="Z24" s="157">
        <v>1</v>
      </c>
      <c r="AA24" s="157"/>
      <c r="AB24" s="157"/>
      <c r="AC24" s="157"/>
    </row>
    <row r="25" spans="1:29" x14ac:dyDescent="0.35">
      <c r="A25" t="str">
        <f t="shared" si="0"/>
        <v>Ik-0</v>
      </c>
      <c r="B25" s="2" t="s">
        <v>99</v>
      </c>
      <c r="C25">
        <v>0</v>
      </c>
      <c r="D25" s="3">
        <v>2</v>
      </c>
      <c r="E25">
        <v>0</v>
      </c>
      <c r="H25">
        <v>82.92</v>
      </c>
      <c r="K25" s="56">
        <v>63.374264570000001</v>
      </c>
      <c r="N25" s="88">
        <v>115</v>
      </c>
      <c r="Q25" s="56">
        <v>4.42291E-2</v>
      </c>
      <c r="T25" s="56">
        <v>44.448999999999998</v>
      </c>
      <c r="X25" s="157" t="b">
        <f t="shared" si="1"/>
        <v>0</v>
      </c>
      <c r="Y25" s="157" t="s">
        <v>48</v>
      </c>
      <c r="Z25" s="157">
        <v>2</v>
      </c>
      <c r="AA25" s="157"/>
      <c r="AB25" s="157"/>
      <c r="AC25" s="157"/>
    </row>
    <row r="26" spans="1:29" x14ac:dyDescent="0.35">
      <c r="A26" t="str">
        <f t="shared" si="0"/>
        <v>Ik-0</v>
      </c>
      <c r="B26" s="2" t="s">
        <v>99</v>
      </c>
      <c r="C26">
        <v>0</v>
      </c>
      <c r="D26" s="3">
        <v>3</v>
      </c>
      <c r="E26">
        <v>0</v>
      </c>
      <c r="H26">
        <v>83.3</v>
      </c>
      <c r="K26" s="56">
        <v>11.10101669</v>
      </c>
      <c r="N26" s="88">
        <v>115</v>
      </c>
      <c r="Q26" s="56">
        <v>3.1688300000000003E-2</v>
      </c>
      <c r="T26" s="56">
        <v>35.539000000000001</v>
      </c>
      <c r="X26" s="157" t="b">
        <f t="shared" si="1"/>
        <v>0</v>
      </c>
      <c r="Y26" s="157" t="s">
        <v>48</v>
      </c>
      <c r="Z26" s="157">
        <v>3</v>
      </c>
      <c r="AA26" s="157"/>
      <c r="AB26" s="157"/>
      <c r="AC26" s="157"/>
    </row>
    <row r="27" spans="1:29" x14ac:dyDescent="0.35">
      <c r="A27" t="str">
        <f t="shared" si="0"/>
        <v>Ik-0</v>
      </c>
      <c r="B27" s="2" t="s">
        <v>99</v>
      </c>
      <c r="C27">
        <v>0</v>
      </c>
      <c r="D27" s="3">
        <v>4</v>
      </c>
      <c r="K27" s="56">
        <v>19.069197240000001</v>
      </c>
      <c r="N27" s="88">
        <v>90</v>
      </c>
      <c r="Q27" s="56">
        <v>5.1337000000000001E-2</v>
      </c>
      <c r="T27" s="56">
        <v>49.101999999999997</v>
      </c>
      <c r="X27" s="157" t="b">
        <f t="shared" si="1"/>
        <v>0</v>
      </c>
      <c r="Y27" s="157" t="s">
        <v>48</v>
      </c>
      <c r="Z27" s="157">
        <v>4</v>
      </c>
      <c r="AA27" s="157"/>
      <c r="AB27" s="157"/>
      <c r="AC27" s="157"/>
    </row>
    <row r="28" spans="1:29" x14ac:dyDescent="0.35">
      <c r="A28" t="str">
        <f t="shared" si="0"/>
        <v>Ik-0</v>
      </c>
      <c r="B28" s="2" t="s">
        <v>99</v>
      </c>
      <c r="C28">
        <v>0</v>
      </c>
      <c r="D28" s="3">
        <v>5</v>
      </c>
      <c r="Q28" s="56">
        <v>4.33493E-2</v>
      </c>
      <c r="T28" s="56">
        <v>43.854999999999997</v>
      </c>
      <c r="X28" s="157" t="b">
        <f t="shared" si="1"/>
        <v>0</v>
      </c>
      <c r="Y28" s="157" t="s">
        <v>48</v>
      </c>
      <c r="Z28" s="157">
        <v>5</v>
      </c>
      <c r="AA28" s="157"/>
      <c r="AB28" s="157"/>
      <c r="AC28" s="157"/>
    </row>
    <row r="29" spans="1:29" x14ac:dyDescent="0.35">
      <c r="A29" t="str">
        <f t="shared" si="0"/>
        <v>Ik-1</v>
      </c>
      <c r="B29" s="2" t="s">
        <v>99</v>
      </c>
      <c r="C29">
        <v>1</v>
      </c>
      <c r="D29" s="3">
        <v>1</v>
      </c>
      <c r="E29">
        <v>0</v>
      </c>
      <c r="F29">
        <f>AVERAGE($E29:$E33)</f>
        <v>0</v>
      </c>
      <c r="G29">
        <f>_xlfn.STDEV.P($E29:$E33)</f>
        <v>0</v>
      </c>
      <c r="H29">
        <v>84.22</v>
      </c>
      <c r="I29">
        <v>88.003333330000004</v>
      </c>
      <c r="J29">
        <v>2.7911570000000001</v>
      </c>
      <c r="K29" s="56">
        <v>33.511284869999997</v>
      </c>
      <c r="L29" s="56">
        <v>38.743389999999998</v>
      </c>
      <c r="M29" s="56">
        <v>5.2321090000000003</v>
      </c>
      <c r="N29" s="88">
        <v>95</v>
      </c>
      <c r="O29" s="56">
        <v>105</v>
      </c>
      <c r="P29" s="56">
        <v>7.0710680000000004</v>
      </c>
      <c r="Q29" s="56">
        <v>3.8622099999999999E-2</v>
      </c>
      <c r="R29" s="56">
        <v>3.4861000000000003E-2</v>
      </c>
      <c r="S29" s="56">
        <v>5.1539999999999997E-3</v>
      </c>
      <c r="T29" s="56">
        <v>40.588000000000001</v>
      </c>
      <c r="U29" s="56">
        <v>37.796199999999999</v>
      </c>
      <c r="V29" s="56">
        <v>3.806238</v>
      </c>
      <c r="X29" s="157" t="b">
        <f t="shared" si="1"/>
        <v>0</v>
      </c>
      <c r="Y29" s="157" t="s">
        <v>49</v>
      </c>
      <c r="Z29" s="157">
        <v>1</v>
      </c>
      <c r="AA29" s="157"/>
      <c r="AB29" s="157"/>
      <c r="AC29" s="157"/>
    </row>
    <row r="30" spans="1:29" x14ac:dyDescent="0.35">
      <c r="A30" t="str">
        <f t="shared" si="0"/>
        <v>Ik-1</v>
      </c>
      <c r="B30" s="2" t="s">
        <v>99</v>
      </c>
      <c r="C30">
        <v>1</v>
      </c>
      <c r="D30" s="3">
        <v>2</v>
      </c>
      <c r="E30">
        <v>0</v>
      </c>
      <c r="H30">
        <v>90.87</v>
      </c>
      <c r="K30" s="56">
        <v>43.975501899999998</v>
      </c>
      <c r="N30" s="88">
        <v>110</v>
      </c>
      <c r="Q30" s="56">
        <v>2.7820600000000001E-2</v>
      </c>
      <c r="T30" s="56">
        <v>32.569000000000003</v>
      </c>
      <c r="X30" s="157" t="b">
        <f t="shared" si="1"/>
        <v>0</v>
      </c>
      <c r="Y30" s="157" t="s">
        <v>49</v>
      </c>
      <c r="Z30" s="157">
        <v>2</v>
      </c>
      <c r="AA30" s="157"/>
      <c r="AB30" s="157"/>
      <c r="AC30" s="157"/>
    </row>
    <row r="31" spans="1:29" x14ac:dyDescent="0.35">
      <c r="A31" t="str">
        <f t="shared" si="0"/>
        <v>Ik-1</v>
      </c>
      <c r="B31" s="2" t="s">
        <v>99</v>
      </c>
      <c r="C31">
        <v>1</v>
      </c>
      <c r="D31" s="3">
        <v>3</v>
      </c>
      <c r="E31">
        <v>0</v>
      </c>
      <c r="H31">
        <v>88.92</v>
      </c>
      <c r="N31" s="88">
        <v>110</v>
      </c>
      <c r="Q31" s="56">
        <v>3.9044000000000002E-2</v>
      </c>
      <c r="T31" s="56">
        <v>40.884999999999998</v>
      </c>
      <c r="X31" s="157" t="b">
        <f t="shared" si="1"/>
        <v>0</v>
      </c>
      <c r="Y31" s="157" t="s">
        <v>49</v>
      </c>
      <c r="Z31" s="157">
        <v>3</v>
      </c>
      <c r="AA31" s="157"/>
      <c r="AB31" s="157"/>
      <c r="AC31" s="157"/>
    </row>
    <row r="32" spans="1:29" x14ac:dyDescent="0.35">
      <c r="A32" t="str">
        <f t="shared" si="0"/>
        <v>Ik-1</v>
      </c>
      <c r="B32" s="2" t="s">
        <v>99</v>
      </c>
      <c r="C32">
        <v>1</v>
      </c>
      <c r="D32" s="3">
        <v>4</v>
      </c>
      <c r="Q32" s="56">
        <v>2.9348900000000001E-2</v>
      </c>
      <c r="T32" s="56">
        <v>33.756999999999998</v>
      </c>
      <c r="X32" s="157" t="b">
        <f t="shared" si="1"/>
        <v>0</v>
      </c>
      <c r="Y32" s="157" t="s">
        <v>49</v>
      </c>
      <c r="Z32" s="157">
        <v>4</v>
      </c>
      <c r="AA32" s="157"/>
      <c r="AB32" s="157"/>
      <c r="AC32" s="157"/>
    </row>
    <row r="33" spans="1:29" x14ac:dyDescent="0.35">
      <c r="A33" t="str">
        <f t="shared" si="0"/>
        <v>Ik-1</v>
      </c>
      <c r="B33" s="2" t="s">
        <v>99</v>
      </c>
      <c r="C33">
        <v>1</v>
      </c>
      <c r="D33" s="3">
        <v>5</v>
      </c>
      <c r="Q33" s="56">
        <v>3.9467500000000003E-2</v>
      </c>
      <c r="T33" s="56">
        <v>41.182000000000002</v>
      </c>
      <c r="X33" s="157" t="b">
        <f t="shared" si="1"/>
        <v>0</v>
      </c>
      <c r="Y33" s="157" t="s">
        <v>49</v>
      </c>
      <c r="Z33" s="157">
        <v>5</v>
      </c>
      <c r="AA33" s="157"/>
      <c r="AB33" s="157"/>
      <c r="AC33" s="157"/>
    </row>
    <row r="34" spans="1:29" x14ac:dyDescent="0.35">
      <c r="A34" t="str">
        <f t="shared" si="0"/>
        <v>Ja-0</v>
      </c>
      <c r="B34" s="2" t="s">
        <v>73</v>
      </c>
      <c r="C34">
        <v>0</v>
      </c>
      <c r="D34" s="3">
        <v>1</v>
      </c>
      <c r="E34">
        <v>0</v>
      </c>
      <c r="F34">
        <f>AVERAGE($E34:$E38)</f>
        <v>0</v>
      </c>
      <c r="G34">
        <f>_xlfn.STDEV.P($E34:$E38)</f>
        <v>0</v>
      </c>
      <c r="H34">
        <v>67.05</v>
      </c>
      <c r="I34">
        <v>73.543333329999996</v>
      </c>
      <c r="J34">
        <v>6.502929</v>
      </c>
      <c r="N34" s="88">
        <v>50</v>
      </c>
      <c r="O34" s="56">
        <v>53.75</v>
      </c>
      <c r="P34" s="56">
        <v>2.58602</v>
      </c>
      <c r="Q34" s="56">
        <v>0</v>
      </c>
      <c r="R34" s="56">
        <v>0</v>
      </c>
      <c r="S34" s="56">
        <v>0</v>
      </c>
      <c r="T34" s="56">
        <v>0</v>
      </c>
      <c r="U34" s="56">
        <v>0</v>
      </c>
      <c r="V34" s="56">
        <v>0</v>
      </c>
      <c r="X34" s="157" t="b">
        <f t="shared" si="1"/>
        <v>0</v>
      </c>
      <c r="Y34" s="157" t="s">
        <v>127</v>
      </c>
      <c r="Z34" s="157">
        <v>1</v>
      </c>
      <c r="AA34" s="157">
        <v>50.4</v>
      </c>
      <c r="AB34" s="157">
        <f t="shared" si="2"/>
        <v>3.7504588799999995E-2</v>
      </c>
      <c r="AC34" s="157">
        <f t="shared" si="3"/>
        <v>39.795999999999999</v>
      </c>
    </row>
    <row r="35" spans="1:29" x14ac:dyDescent="0.35">
      <c r="A35" t="str">
        <f t="shared" si="0"/>
        <v>Ja-0</v>
      </c>
      <c r="B35" s="2" t="s">
        <v>73</v>
      </c>
      <c r="C35">
        <v>0</v>
      </c>
      <c r="D35" s="3">
        <v>2</v>
      </c>
      <c r="E35">
        <v>0</v>
      </c>
      <c r="H35">
        <v>82.43</v>
      </c>
      <c r="N35" s="88">
        <v>53</v>
      </c>
      <c r="Q35" s="56">
        <v>0</v>
      </c>
      <c r="T35" s="56">
        <v>0</v>
      </c>
      <c r="X35" s="157" t="b">
        <f t="shared" si="1"/>
        <v>0</v>
      </c>
      <c r="Y35" s="157" t="s">
        <v>127</v>
      </c>
      <c r="Z35" s="157">
        <v>2</v>
      </c>
      <c r="AA35" s="157">
        <v>54.8</v>
      </c>
      <c r="AB35" s="157">
        <f t="shared" si="2"/>
        <v>4.3788387199999994E-2</v>
      </c>
      <c r="AC35" s="157">
        <f t="shared" si="3"/>
        <v>44.151999999999994</v>
      </c>
    </row>
    <row r="36" spans="1:29" x14ac:dyDescent="0.35">
      <c r="A36" t="str">
        <f t="shared" ref="A36:A67" si="4">B36&amp;"-"&amp;C36</f>
        <v>Ja-0</v>
      </c>
      <c r="B36" s="2" t="s">
        <v>73</v>
      </c>
      <c r="C36">
        <v>0</v>
      </c>
      <c r="D36" s="3">
        <v>3</v>
      </c>
      <c r="E36">
        <v>0</v>
      </c>
      <c r="H36">
        <v>71.150000000000006</v>
      </c>
      <c r="N36" s="88">
        <v>55</v>
      </c>
      <c r="Q36" s="56">
        <v>0</v>
      </c>
      <c r="T36" s="56">
        <v>0</v>
      </c>
      <c r="X36" s="157" t="b">
        <f t="shared" si="1"/>
        <v>0</v>
      </c>
      <c r="Y36" s="157" t="s">
        <v>127</v>
      </c>
      <c r="Z36" s="157">
        <v>3</v>
      </c>
      <c r="AA36" s="157">
        <v>67</v>
      </c>
      <c r="AB36" s="157">
        <f t="shared" si="2"/>
        <v>6.2969520000000015E-2</v>
      </c>
      <c r="AC36" s="157">
        <f t="shared" si="3"/>
        <v>56.23</v>
      </c>
    </row>
    <row r="37" spans="1:29" x14ac:dyDescent="0.35">
      <c r="A37" t="str">
        <f t="shared" si="4"/>
        <v>Ja-0</v>
      </c>
      <c r="B37" s="2" t="s">
        <v>73</v>
      </c>
      <c r="C37">
        <v>0</v>
      </c>
      <c r="D37" s="3">
        <v>4</v>
      </c>
      <c r="N37" s="88">
        <v>57</v>
      </c>
      <c r="Q37" s="56">
        <v>0</v>
      </c>
      <c r="T37" s="56">
        <v>0</v>
      </c>
      <c r="X37" s="157" t="b">
        <f t="shared" si="1"/>
        <v>0</v>
      </c>
      <c r="Y37" s="157" t="s">
        <v>127</v>
      </c>
      <c r="Z37" s="157">
        <v>4</v>
      </c>
      <c r="AA37" s="157">
        <v>56</v>
      </c>
      <c r="AB37" s="157">
        <f t="shared" si="2"/>
        <v>4.556048E-2</v>
      </c>
      <c r="AC37" s="157">
        <f t="shared" si="3"/>
        <v>45.339999999999996</v>
      </c>
    </row>
    <row r="38" spans="1:29" x14ac:dyDescent="0.35">
      <c r="A38" t="str">
        <f t="shared" si="4"/>
        <v>Ja-0</v>
      </c>
      <c r="B38" s="2" t="s">
        <v>73</v>
      </c>
      <c r="C38">
        <v>0</v>
      </c>
      <c r="D38" s="3">
        <v>5</v>
      </c>
      <c r="Q38" s="56">
        <v>0</v>
      </c>
      <c r="T38" s="56">
        <v>0</v>
      </c>
      <c r="X38" s="157" t="b">
        <f t="shared" si="1"/>
        <v>0</v>
      </c>
      <c r="Y38" s="157" t="s">
        <v>127</v>
      </c>
      <c r="Z38" s="157">
        <v>5</v>
      </c>
      <c r="AA38" s="157">
        <v>57.5</v>
      </c>
      <c r="AB38" s="157">
        <f t="shared" si="2"/>
        <v>4.7810749999999999E-2</v>
      </c>
      <c r="AC38" s="157">
        <f t="shared" si="3"/>
        <v>46.824999999999996</v>
      </c>
    </row>
    <row r="39" spans="1:29" x14ac:dyDescent="0.35">
      <c r="A39" t="str">
        <f t="shared" si="4"/>
        <v>Ja-1</v>
      </c>
      <c r="B39" s="2" t="s">
        <v>73</v>
      </c>
      <c r="C39">
        <v>1</v>
      </c>
      <c r="D39" s="3">
        <v>1</v>
      </c>
      <c r="E39">
        <v>0</v>
      </c>
      <c r="F39">
        <f>AVERAGE($E39:$E43)</f>
        <v>0</v>
      </c>
      <c r="G39">
        <f>_xlfn.STDEV.P($E39:$E43)</f>
        <v>0</v>
      </c>
      <c r="H39">
        <v>21.56</v>
      </c>
      <c r="I39">
        <v>22.45</v>
      </c>
      <c r="J39">
        <v>3.0099939999999998</v>
      </c>
      <c r="N39" s="88">
        <v>25</v>
      </c>
      <c r="O39" s="56">
        <v>26.4</v>
      </c>
      <c r="P39" s="56">
        <v>1.959592</v>
      </c>
      <c r="Q39" s="56">
        <v>0</v>
      </c>
      <c r="R39" s="56">
        <v>0</v>
      </c>
      <c r="S39" s="56">
        <v>0</v>
      </c>
      <c r="T39" s="56">
        <v>0</v>
      </c>
      <c r="U39" s="56">
        <v>0</v>
      </c>
      <c r="V39" s="56">
        <v>0</v>
      </c>
      <c r="X39" s="157" t="b">
        <f t="shared" si="1"/>
        <v>0</v>
      </c>
      <c r="Y39" s="157" t="s">
        <v>128</v>
      </c>
      <c r="Z39" s="157">
        <v>1</v>
      </c>
      <c r="AA39" s="157">
        <v>59.4</v>
      </c>
      <c r="AB39" s="157">
        <f t="shared" si="2"/>
        <v>5.0717164799999999E-2</v>
      </c>
      <c r="AC39" s="157">
        <f t="shared" si="3"/>
        <v>48.705999999999996</v>
      </c>
    </row>
    <row r="40" spans="1:29" x14ac:dyDescent="0.35">
      <c r="A40" t="str">
        <f t="shared" si="4"/>
        <v>Ja-1</v>
      </c>
      <c r="B40" s="2" t="s">
        <v>73</v>
      </c>
      <c r="C40">
        <v>1</v>
      </c>
      <c r="D40" s="3">
        <v>2</v>
      </c>
      <c r="E40">
        <v>0</v>
      </c>
      <c r="H40">
        <v>19.29</v>
      </c>
      <c r="N40" s="88">
        <v>27</v>
      </c>
      <c r="Q40" s="56">
        <v>0</v>
      </c>
      <c r="T40" s="56">
        <v>0</v>
      </c>
      <c r="X40" s="157" t="b">
        <f t="shared" si="1"/>
        <v>0</v>
      </c>
      <c r="Y40" s="157" t="s">
        <v>128</v>
      </c>
      <c r="Z40" s="157">
        <v>2</v>
      </c>
      <c r="AA40" s="157">
        <v>68.400000000000006</v>
      </c>
      <c r="AB40" s="157">
        <f t="shared" si="2"/>
        <v>6.5335900800000013E-2</v>
      </c>
      <c r="AC40" s="157">
        <f t="shared" si="3"/>
        <v>57.616000000000007</v>
      </c>
    </row>
    <row r="41" spans="1:29" x14ac:dyDescent="0.35">
      <c r="A41" t="str">
        <f t="shared" si="4"/>
        <v>Ja-1</v>
      </c>
      <c r="B41" s="2" t="s">
        <v>73</v>
      </c>
      <c r="C41">
        <v>1</v>
      </c>
      <c r="D41" s="3">
        <v>3</v>
      </c>
      <c r="E41">
        <v>0</v>
      </c>
      <c r="H41">
        <v>26.5</v>
      </c>
      <c r="N41" s="88">
        <v>25</v>
      </c>
      <c r="Q41" s="56">
        <v>0</v>
      </c>
      <c r="T41" s="56">
        <v>0</v>
      </c>
      <c r="X41" s="157" t="b">
        <f t="shared" si="1"/>
        <v>0</v>
      </c>
      <c r="Y41" s="157" t="s">
        <v>128</v>
      </c>
      <c r="Z41" s="157">
        <v>3</v>
      </c>
      <c r="AA41" s="157">
        <v>63</v>
      </c>
      <c r="AB41" s="157">
        <f t="shared" si="2"/>
        <v>5.6395919999999995E-2</v>
      </c>
      <c r="AC41" s="157">
        <f t="shared" si="3"/>
        <v>52.269999999999996</v>
      </c>
    </row>
    <row r="42" spans="1:29" x14ac:dyDescent="0.35">
      <c r="A42" t="str">
        <f t="shared" si="4"/>
        <v>Ja-1</v>
      </c>
      <c r="B42" s="2" t="s">
        <v>73</v>
      </c>
      <c r="C42">
        <v>1</v>
      </c>
      <c r="D42" s="3">
        <v>4</v>
      </c>
      <c r="N42" s="88">
        <v>25</v>
      </c>
      <c r="Q42" s="56">
        <v>0</v>
      </c>
      <c r="T42" s="56">
        <v>0</v>
      </c>
      <c r="X42" s="157" t="b">
        <f t="shared" si="1"/>
        <v>0</v>
      </c>
      <c r="Y42" s="157" t="s">
        <v>128</v>
      </c>
      <c r="Z42" s="157">
        <v>4</v>
      </c>
      <c r="AA42" s="157">
        <v>61.4</v>
      </c>
      <c r="AB42" s="157">
        <f t="shared" si="2"/>
        <v>5.3844252799999999E-2</v>
      </c>
      <c r="AC42" s="157">
        <f t="shared" si="3"/>
        <v>50.686</v>
      </c>
    </row>
    <row r="43" spans="1:29" x14ac:dyDescent="0.35">
      <c r="A43" t="str">
        <f t="shared" si="4"/>
        <v>Ja-1</v>
      </c>
      <c r="B43" s="2" t="s">
        <v>73</v>
      </c>
      <c r="C43">
        <v>1</v>
      </c>
      <c r="D43" s="3">
        <v>5</v>
      </c>
      <c r="N43" s="88">
        <v>30</v>
      </c>
      <c r="Q43" s="56">
        <v>0</v>
      </c>
      <c r="T43" s="56">
        <v>0</v>
      </c>
      <c r="X43" s="157" t="b">
        <f t="shared" si="1"/>
        <v>0</v>
      </c>
      <c r="Y43" s="157" t="s">
        <v>128</v>
      </c>
      <c r="Z43" s="157">
        <v>5</v>
      </c>
      <c r="AA43" s="157">
        <v>63</v>
      </c>
      <c r="AB43" s="157">
        <f t="shared" si="2"/>
        <v>5.6395919999999995E-2</v>
      </c>
      <c r="AC43" s="157">
        <f t="shared" si="3"/>
        <v>52.269999999999996</v>
      </c>
    </row>
    <row r="44" spans="1:29" x14ac:dyDescent="0.35">
      <c r="A44" t="str">
        <f t="shared" si="4"/>
        <v>Jn-0</v>
      </c>
      <c r="B44" s="2" t="s">
        <v>84</v>
      </c>
      <c r="C44">
        <v>0</v>
      </c>
      <c r="D44" s="3">
        <v>1</v>
      </c>
      <c r="E44">
        <v>2</v>
      </c>
      <c r="F44">
        <f>AVERAGE($E44:$E48)</f>
        <v>2</v>
      </c>
      <c r="G44">
        <f>_xlfn.STDEV.P($E44:$E48)</f>
        <v>0</v>
      </c>
      <c r="H44">
        <v>93.34</v>
      </c>
      <c r="I44">
        <v>85.646666670000002</v>
      </c>
      <c r="J44">
        <v>8.5761269999999996</v>
      </c>
      <c r="K44" s="56">
        <v>8.7449999999999992</v>
      </c>
      <c r="L44" s="56">
        <v>8.0105000000000004</v>
      </c>
      <c r="M44" s="56">
        <v>0.73450000000000004</v>
      </c>
      <c r="N44" s="88">
        <v>30</v>
      </c>
      <c r="O44" s="56">
        <v>29</v>
      </c>
      <c r="P44" s="56">
        <v>10.198040000000001</v>
      </c>
      <c r="Q44" s="56">
        <v>3.5986200000000003E-2</v>
      </c>
      <c r="R44" s="56">
        <v>3.3221000000000001E-2</v>
      </c>
      <c r="S44" s="56">
        <v>7.6160000000000004E-3</v>
      </c>
      <c r="T44" s="56">
        <v>38.707000000000001</v>
      </c>
      <c r="U44" s="56">
        <v>36.4696</v>
      </c>
      <c r="V44" s="56">
        <v>5.7055619999999996</v>
      </c>
      <c r="X44" s="157" t="b">
        <f t="shared" si="1"/>
        <v>0</v>
      </c>
      <c r="Y44" s="157" t="s">
        <v>25</v>
      </c>
      <c r="Z44" s="157">
        <v>1</v>
      </c>
      <c r="AA44" s="157"/>
      <c r="AB44" s="157"/>
      <c r="AC44" s="157"/>
    </row>
    <row r="45" spans="1:29" x14ac:dyDescent="0.35">
      <c r="A45" t="str">
        <f t="shared" si="4"/>
        <v>Jn-0</v>
      </c>
      <c r="B45" s="2" t="s">
        <v>84</v>
      </c>
      <c r="C45">
        <v>0</v>
      </c>
      <c r="D45" s="3">
        <v>2</v>
      </c>
      <c r="E45">
        <v>2</v>
      </c>
      <c r="H45">
        <v>89.92</v>
      </c>
      <c r="K45" s="56">
        <v>7.2759999999999998</v>
      </c>
      <c r="N45" s="88">
        <v>40</v>
      </c>
      <c r="Q45" s="56">
        <v>2.8454299999999998E-2</v>
      </c>
      <c r="T45" s="56">
        <v>33.064</v>
      </c>
      <c r="X45" s="157" t="b">
        <f t="shared" si="1"/>
        <v>0</v>
      </c>
      <c r="Y45" s="157" t="s">
        <v>25</v>
      </c>
      <c r="Z45" s="157">
        <v>2</v>
      </c>
      <c r="AA45" s="157"/>
      <c r="AB45" s="157"/>
      <c r="AC45" s="157"/>
    </row>
    <row r="46" spans="1:29" x14ac:dyDescent="0.35">
      <c r="A46" t="str">
        <f t="shared" si="4"/>
        <v>Jn-0</v>
      </c>
      <c r="B46" s="2" t="s">
        <v>84</v>
      </c>
      <c r="C46">
        <v>0</v>
      </c>
      <c r="D46" s="3">
        <v>3</v>
      </c>
      <c r="E46">
        <v>2</v>
      </c>
      <c r="H46">
        <v>73.680000000000007</v>
      </c>
      <c r="N46" s="88">
        <v>30</v>
      </c>
      <c r="Q46" s="56">
        <v>2.1721500000000001E-2</v>
      </c>
      <c r="T46" s="56">
        <v>27.619</v>
      </c>
      <c r="X46" s="157" t="b">
        <f t="shared" si="1"/>
        <v>0</v>
      </c>
      <c r="Y46" s="157" t="s">
        <v>25</v>
      </c>
      <c r="Z46" s="157">
        <v>3</v>
      </c>
      <c r="AA46" s="157"/>
      <c r="AB46" s="157"/>
      <c r="AC46" s="157"/>
    </row>
    <row r="47" spans="1:29" x14ac:dyDescent="0.35">
      <c r="A47" t="str">
        <f t="shared" si="4"/>
        <v>Jn-0</v>
      </c>
      <c r="B47" s="2" t="s">
        <v>84</v>
      </c>
      <c r="C47">
        <v>0</v>
      </c>
      <c r="D47" s="3">
        <v>4</v>
      </c>
      <c r="N47" s="88">
        <v>35</v>
      </c>
      <c r="Q47" s="56">
        <v>3.5712300000000002E-2</v>
      </c>
      <c r="T47" s="56">
        <v>38.509</v>
      </c>
      <c r="X47" s="157" t="b">
        <f t="shared" si="1"/>
        <v>0</v>
      </c>
      <c r="Y47" s="157" t="s">
        <v>25</v>
      </c>
      <c r="Z47" s="157">
        <v>4</v>
      </c>
      <c r="AA47" s="157"/>
      <c r="AB47" s="157"/>
      <c r="AC47" s="157"/>
    </row>
    <row r="48" spans="1:29" x14ac:dyDescent="0.35">
      <c r="A48" t="str">
        <f t="shared" si="4"/>
        <v>Jn-0</v>
      </c>
      <c r="B48" s="2" t="s">
        <v>84</v>
      </c>
      <c r="C48">
        <v>0</v>
      </c>
      <c r="D48" s="3">
        <v>5</v>
      </c>
      <c r="N48" s="88">
        <v>10</v>
      </c>
      <c r="Q48" s="56">
        <v>4.42291E-2</v>
      </c>
      <c r="T48" s="56">
        <v>44.448999999999998</v>
      </c>
      <c r="X48" s="157" t="b">
        <f t="shared" si="1"/>
        <v>0</v>
      </c>
      <c r="Y48" s="157" t="s">
        <v>25</v>
      </c>
      <c r="Z48" s="157">
        <v>5</v>
      </c>
      <c r="AA48" s="157"/>
      <c r="AB48" s="157"/>
      <c r="AC48" s="157"/>
    </row>
    <row r="49" spans="1:29" x14ac:dyDescent="0.35">
      <c r="A49" t="str">
        <f t="shared" si="4"/>
        <v>Jn-1</v>
      </c>
      <c r="B49" s="2" t="s">
        <v>84</v>
      </c>
      <c r="C49">
        <v>1</v>
      </c>
      <c r="D49" s="3">
        <v>1</v>
      </c>
      <c r="E49">
        <v>5</v>
      </c>
      <c r="F49">
        <f>AVERAGE($E49:$E53)</f>
        <v>3.3333333333333335</v>
      </c>
      <c r="G49">
        <f>_xlfn.STDEV.P($E49:$E53)</f>
        <v>2.3570226039551585</v>
      </c>
      <c r="H49">
        <v>90.36</v>
      </c>
      <c r="I49">
        <v>89.156666670000007</v>
      </c>
      <c r="J49">
        <v>3.236936</v>
      </c>
      <c r="K49" s="56">
        <v>30.795999999999999</v>
      </c>
      <c r="L49" s="56">
        <v>20.983000000000001</v>
      </c>
      <c r="M49" s="56">
        <v>9.8130000000000006</v>
      </c>
      <c r="N49" s="88">
        <v>40</v>
      </c>
      <c r="O49" s="56">
        <v>39</v>
      </c>
      <c r="P49" s="56">
        <v>6.6332500000000003</v>
      </c>
      <c r="Q49" s="56">
        <v>4.8265500000000003E-2</v>
      </c>
      <c r="R49" s="56">
        <v>4.854E-2</v>
      </c>
      <c r="S49" s="56">
        <v>6.496E-3</v>
      </c>
      <c r="T49" s="56">
        <v>47.122</v>
      </c>
      <c r="U49" s="56">
        <v>47.2012</v>
      </c>
      <c r="V49" s="56">
        <v>4.1539440000000001</v>
      </c>
      <c r="X49" s="157" t="b">
        <f t="shared" si="1"/>
        <v>0</v>
      </c>
      <c r="Y49" s="157" t="s">
        <v>24</v>
      </c>
      <c r="Z49" s="157">
        <v>1</v>
      </c>
      <c r="AA49" s="157"/>
      <c r="AB49" s="157"/>
      <c r="AC49" s="157"/>
    </row>
    <row r="50" spans="1:29" x14ac:dyDescent="0.35">
      <c r="A50" t="str">
        <f t="shared" si="4"/>
        <v>Jn-1</v>
      </c>
      <c r="B50" s="2" t="s">
        <v>84</v>
      </c>
      <c r="C50">
        <v>1</v>
      </c>
      <c r="D50" s="3">
        <v>2</v>
      </c>
      <c r="E50">
        <v>0</v>
      </c>
      <c r="H50">
        <v>84.73</v>
      </c>
      <c r="K50" s="56">
        <v>11.17</v>
      </c>
      <c r="N50" s="88">
        <v>50</v>
      </c>
      <c r="Q50" s="56">
        <v>4.1033699999999999E-2</v>
      </c>
      <c r="T50" s="56">
        <v>42.271000000000001</v>
      </c>
      <c r="X50" s="157" t="b">
        <f t="shared" si="1"/>
        <v>0</v>
      </c>
      <c r="Y50" s="157" t="s">
        <v>24</v>
      </c>
      <c r="Z50" s="157">
        <v>2</v>
      </c>
      <c r="AA50" s="157"/>
      <c r="AB50" s="157"/>
      <c r="AC50" s="157"/>
    </row>
    <row r="51" spans="1:29" x14ac:dyDescent="0.35">
      <c r="A51" t="str">
        <f t="shared" si="4"/>
        <v>Jn-1</v>
      </c>
      <c r="B51" s="2" t="s">
        <v>84</v>
      </c>
      <c r="C51">
        <v>1</v>
      </c>
      <c r="D51" s="3">
        <v>3</v>
      </c>
      <c r="E51">
        <v>5</v>
      </c>
      <c r="H51">
        <v>92.38</v>
      </c>
      <c r="N51" s="88">
        <v>40</v>
      </c>
      <c r="Q51" s="56">
        <v>4.8569500000000002E-2</v>
      </c>
      <c r="T51" s="56">
        <v>47.32</v>
      </c>
      <c r="X51" s="157" t="b">
        <f t="shared" si="1"/>
        <v>0</v>
      </c>
      <c r="Y51" s="157" t="s">
        <v>24</v>
      </c>
      <c r="Z51" s="157">
        <v>3</v>
      </c>
      <c r="AA51" s="157"/>
      <c r="AB51" s="157"/>
      <c r="AC51" s="157"/>
    </row>
    <row r="52" spans="1:29" x14ac:dyDescent="0.35">
      <c r="A52" t="str">
        <f t="shared" si="4"/>
        <v>Jn-1</v>
      </c>
      <c r="B52" s="2" t="s">
        <v>84</v>
      </c>
      <c r="C52">
        <v>1</v>
      </c>
      <c r="D52" s="3">
        <v>4</v>
      </c>
      <c r="N52" s="88">
        <v>35</v>
      </c>
      <c r="Q52" s="56">
        <v>6.0306699999999998E-2</v>
      </c>
      <c r="T52" s="56">
        <v>54.646000000000001</v>
      </c>
      <c r="X52" s="157" t="b">
        <f t="shared" si="1"/>
        <v>0</v>
      </c>
      <c r="Y52" s="157" t="s">
        <v>24</v>
      </c>
      <c r="Z52" s="157">
        <v>4</v>
      </c>
      <c r="AA52" s="157"/>
      <c r="AB52" s="157"/>
      <c r="AC52" s="157"/>
    </row>
    <row r="53" spans="1:29" x14ac:dyDescent="0.35">
      <c r="A53" t="str">
        <f t="shared" si="4"/>
        <v>Jn-1</v>
      </c>
      <c r="B53" s="2" t="s">
        <v>84</v>
      </c>
      <c r="C53">
        <v>1</v>
      </c>
      <c r="D53" s="3">
        <v>5</v>
      </c>
      <c r="N53" s="88">
        <v>30</v>
      </c>
      <c r="Q53" s="56">
        <v>4.4523699999999999E-2</v>
      </c>
      <c r="T53" s="56">
        <v>44.646999999999998</v>
      </c>
      <c r="X53" s="157" t="b">
        <f t="shared" si="1"/>
        <v>0</v>
      </c>
      <c r="Y53" s="157" t="s">
        <v>24</v>
      </c>
      <c r="Z53" s="157">
        <v>5</v>
      </c>
      <c r="AA53" s="157"/>
      <c r="AB53" s="157"/>
      <c r="AC53" s="157"/>
    </row>
    <row r="54" spans="1:29" x14ac:dyDescent="0.35">
      <c r="A54" t="str">
        <f t="shared" si="4"/>
        <v>Ki-0</v>
      </c>
      <c r="B54" s="2" t="s">
        <v>72</v>
      </c>
      <c r="C54">
        <v>0</v>
      </c>
      <c r="D54" s="3">
        <v>1</v>
      </c>
      <c r="E54">
        <v>0</v>
      </c>
      <c r="F54">
        <f>AVERAGE($E54:$E58)</f>
        <v>0.33333333333333331</v>
      </c>
      <c r="G54">
        <f>_xlfn.STDEV.P($E54:$E58)</f>
        <v>0.47140452079103168</v>
      </c>
      <c r="H54">
        <v>57.16</v>
      </c>
      <c r="I54">
        <v>49.866666670000001</v>
      </c>
      <c r="J54">
        <v>8.6662350000000004</v>
      </c>
      <c r="K54" s="56">
        <v>58.139000000000003</v>
      </c>
      <c r="L54" s="56">
        <v>47.168999999999997</v>
      </c>
      <c r="M54" s="56">
        <v>10.97</v>
      </c>
      <c r="N54" s="88">
        <v>20</v>
      </c>
      <c r="O54" s="56">
        <v>20</v>
      </c>
      <c r="P54" s="56">
        <v>5.2535699999999999</v>
      </c>
      <c r="Q54" s="56">
        <v>0</v>
      </c>
      <c r="R54" s="56">
        <v>0</v>
      </c>
      <c r="S54" s="56">
        <v>0</v>
      </c>
      <c r="T54" s="56">
        <v>0</v>
      </c>
      <c r="U54" s="56">
        <v>0</v>
      </c>
      <c r="V54" s="56">
        <v>0</v>
      </c>
      <c r="X54" s="157" t="b">
        <f t="shared" si="1"/>
        <v>0</v>
      </c>
      <c r="Y54" s="157" t="s">
        <v>31</v>
      </c>
      <c r="Z54" s="157">
        <v>1</v>
      </c>
      <c r="AA54" s="157"/>
      <c r="AB54" s="157"/>
      <c r="AC54" s="157"/>
    </row>
    <row r="55" spans="1:29" x14ac:dyDescent="0.35">
      <c r="A55" t="str">
        <f t="shared" si="4"/>
        <v>Ki-0</v>
      </c>
      <c r="B55" s="2" t="s">
        <v>72</v>
      </c>
      <c r="C55">
        <v>0</v>
      </c>
      <c r="D55" s="3">
        <v>2</v>
      </c>
      <c r="E55">
        <v>1</v>
      </c>
      <c r="H55">
        <v>37.69</v>
      </c>
      <c r="K55" s="56">
        <v>36.198999999999998</v>
      </c>
      <c r="N55" s="88">
        <v>30</v>
      </c>
      <c r="Q55" s="56">
        <v>0</v>
      </c>
      <c r="T55" s="56">
        <v>0</v>
      </c>
      <c r="X55" s="157" t="b">
        <f t="shared" si="1"/>
        <v>0</v>
      </c>
      <c r="Y55" s="157" t="s">
        <v>31</v>
      </c>
      <c r="Z55" s="157">
        <v>2</v>
      </c>
      <c r="AA55" s="157"/>
      <c r="AB55" s="157"/>
      <c r="AC55" s="157"/>
    </row>
    <row r="56" spans="1:29" x14ac:dyDescent="0.35">
      <c r="A56" t="str">
        <f t="shared" si="4"/>
        <v>Ki-0</v>
      </c>
      <c r="B56" s="2" t="s">
        <v>72</v>
      </c>
      <c r="C56">
        <v>0</v>
      </c>
      <c r="D56" s="3">
        <v>3</v>
      </c>
      <c r="E56">
        <v>0</v>
      </c>
      <c r="H56">
        <v>54.75</v>
      </c>
      <c r="N56" s="88">
        <v>17</v>
      </c>
      <c r="Q56" s="56">
        <v>0</v>
      </c>
      <c r="T56" s="56">
        <v>0</v>
      </c>
      <c r="X56" s="157" t="b">
        <f t="shared" si="1"/>
        <v>0</v>
      </c>
      <c r="Y56" s="157" t="s">
        <v>31</v>
      </c>
      <c r="Z56" s="157">
        <v>3</v>
      </c>
      <c r="AA56" s="157"/>
      <c r="AB56" s="157"/>
      <c r="AC56" s="157"/>
    </row>
    <row r="57" spans="1:29" x14ac:dyDescent="0.35">
      <c r="A57" t="str">
        <f t="shared" si="4"/>
        <v>Ki-0</v>
      </c>
      <c r="B57" s="2" t="s">
        <v>72</v>
      </c>
      <c r="C57">
        <v>0</v>
      </c>
      <c r="D57" s="3">
        <v>4</v>
      </c>
      <c r="N57" s="88">
        <v>15</v>
      </c>
      <c r="Q57" s="56">
        <v>0</v>
      </c>
      <c r="T57" s="56">
        <v>0</v>
      </c>
      <c r="X57" s="157" t="b">
        <f t="shared" si="1"/>
        <v>0</v>
      </c>
      <c r="Y57" s="157" t="s">
        <v>31</v>
      </c>
      <c r="Z57" s="157">
        <v>4</v>
      </c>
      <c r="AA57" s="157"/>
      <c r="AB57" s="157"/>
      <c r="AC57" s="157"/>
    </row>
    <row r="58" spans="1:29" x14ac:dyDescent="0.35">
      <c r="A58" t="str">
        <f t="shared" si="4"/>
        <v>Ki-0</v>
      </c>
      <c r="B58" s="2" t="s">
        <v>72</v>
      </c>
      <c r="C58">
        <v>0</v>
      </c>
      <c r="D58" s="3">
        <v>5</v>
      </c>
      <c r="N58" s="88">
        <v>18</v>
      </c>
      <c r="Q58" s="56">
        <v>0</v>
      </c>
      <c r="T58" s="56">
        <v>0</v>
      </c>
      <c r="X58" s="157" t="b">
        <f t="shared" si="1"/>
        <v>0</v>
      </c>
      <c r="Y58" s="157" t="s">
        <v>31</v>
      </c>
      <c r="Z58" s="157">
        <v>5</v>
      </c>
      <c r="AA58" s="157"/>
      <c r="AB58" s="157"/>
      <c r="AC58" s="157"/>
    </row>
    <row r="59" spans="1:29" x14ac:dyDescent="0.35">
      <c r="A59" t="str">
        <f t="shared" si="4"/>
        <v>Ki-1</v>
      </c>
      <c r="B59" s="2" t="s">
        <v>72</v>
      </c>
      <c r="C59">
        <v>1</v>
      </c>
      <c r="D59" s="3">
        <v>1</v>
      </c>
      <c r="E59">
        <v>0</v>
      </c>
      <c r="F59">
        <f>AVERAGE($E59:$E63)</f>
        <v>0.25</v>
      </c>
      <c r="G59">
        <f>_xlfn.STDEV.P($E59:$E63)</f>
        <v>0.4330127018922193</v>
      </c>
      <c r="H59">
        <v>74.540000000000006</v>
      </c>
      <c r="I59">
        <v>80.28</v>
      </c>
      <c r="J59">
        <v>12.55423</v>
      </c>
      <c r="K59" s="56">
        <v>85.83</v>
      </c>
      <c r="L59" s="56">
        <v>87.891999999999996</v>
      </c>
      <c r="M59" s="56">
        <v>2.0619999999999998</v>
      </c>
      <c r="N59" s="88">
        <v>25</v>
      </c>
      <c r="O59" s="56">
        <v>33.799999999999997</v>
      </c>
      <c r="P59" s="56">
        <v>7.0540770000000004</v>
      </c>
      <c r="Q59" s="56">
        <v>0</v>
      </c>
      <c r="R59" s="56">
        <v>0</v>
      </c>
      <c r="S59" s="56">
        <v>0</v>
      </c>
      <c r="T59" s="56">
        <v>0</v>
      </c>
      <c r="U59" s="56">
        <v>0</v>
      </c>
      <c r="V59" s="56">
        <v>0</v>
      </c>
      <c r="X59" s="157" t="b">
        <f t="shared" si="1"/>
        <v>0</v>
      </c>
      <c r="Y59" s="157" t="s">
        <v>30</v>
      </c>
      <c r="Z59" s="157">
        <v>1</v>
      </c>
      <c r="AA59" s="157"/>
      <c r="AB59" s="157"/>
      <c r="AC59" s="157"/>
    </row>
    <row r="60" spans="1:29" x14ac:dyDescent="0.35">
      <c r="A60" t="str">
        <f t="shared" si="4"/>
        <v>Ki-1</v>
      </c>
      <c r="B60" s="2" t="s">
        <v>72</v>
      </c>
      <c r="C60">
        <v>1</v>
      </c>
      <c r="D60" s="3">
        <v>2</v>
      </c>
      <c r="E60">
        <v>0</v>
      </c>
      <c r="H60">
        <v>97.7</v>
      </c>
      <c r="K60" s="56">
        <v>89.953999999999994</v>
      </c>
      <c r="N60" s="88">
        <v>30</v>
      </c>
      <c r="Q60" s="56">
        <v>0</v>
      </c>
      <c r="T60" s="56">
        <v>0</v>
      </c>
      <c r="X60" s="157" t="b">
        <f t="shared" si="1"/>
        <v>0</v>
      </c>
      <c r="Y60" s="157" t="s">
        <v>30</v>
      </c>
      <c r="Z60" s="157">
        <v>2</v>
      </c>
      <c r="AA60" s="157"/>
      <c r="AB60" s="157"/>
      <c r="AC60" s="157"/>
    </row>
    <row r="61" spans="1:29" x14ac:dyDescent="0.35">
      <c r="A61" t="str">
        <f t="shared" si="4"/>
        <v>Ki-1</v>
      </c>
      <c r="B61" s="2" t="s">
        <v>72</v>
      </c>
      <c r="C61">
        <v>1</v>
      </c>
      <c r="D61" s="3">
        <v>3</v>
      </c>
      <c r="E61">
        <v>1</v>
      </c>
      <c r="H61">
        <v>68.599999999999994</v>
      </c>
      <c r="N61" s="88">
        <v>40</v>
      </c>
      <c r="Q61" s="56">
        <v>0</v>
      </c>
      <c r="T61" s="56">
        <v>0</v>
      </c>
      <c r="X61" s="157" t="b">
        <f t="shared" si="1"/>
        <v>0</v>
      </c>
      <c r="Y61" s="157" t="s">
        <v>30</v>
      </c>
      <c r="Z61" s="157">
        <v>3</v>
      </c>
      <c r="AA61" s="157"/>
      <c r="AB61" s="157"/>
      <c r="AC61" s="157"/>
    </row>
    <row r="62" spans="1:29" x14ac:dyDescent="0.35">
      <c r="A62" t="str">
        <f t="shared" si="4"/>
        <v>Ki-1</v>
      </c>
      <c r="B62" s="2" t="s">
        <v>72</v>
      </c>
      <c r="C62">
        <v>1</v>
      </c>
      <c r="D62" s="3">
        <v>4</v>
      </c>
      <c r="E62">
        <v>0</v>
      </c>
      <c r="N62" s="88">
        <v>44</v>
      </c>
      <c r="Q62" s="56">
        <v>0</v>
      </c>
      <c r="T62" s="56">
        <v>0</v>
      </c>
      <c r="X62" s="157" t="b">
        <f t="shared" si="1"/>
        <v>0</v>
      </c>
      <c r="Y62" s="157" t="s">
        <v>30</v>
      </c>
      <c r="Z62" s="157">
        <v>4</v>
      </c>
      <c r="AA62" s="157"/>
      <c r="AB62" s="157"/>
      <c r="AC62" s="157"/>
    </row>
    <row r="63" spans="1:29" x14ac:dyDescent="0.35">
      <c r="A63" t="str">
        <f t="shared" si="4"/>
        <v>Ki-1</v>
      </c>
      <c r="B63" s="2" t="s">
        <v>72</v>
      </c>
      <c r="C63">
        <v>1</v>
      </c>
      <c r="D63" s="3">
        <v>5</v>
      </c>
      <c r="N63" s="88">
        <v>30</v>
      </c>
      <c r="Q63" s="56">
        <v>0</v>
      </c>
      <c r="T63" s="56">
        <v>0</v>
      </c>
      <c r="X63" s="157" t="b">
        <f t="shared" si="1"/>
        <v>0</v>
      </c>
      <c r="Y63" s="157" t="s">
        <v>30</v>
      </c>
      <c r="Z63" s="157">
        <v>5</v>
      </c>
      <c r="AA63" s="157"/>
      <c r="AB63" s="157"/>
      <c r="AC63" s="157"/>
    </row>
    <row r="64" spans="1:29" x14ac:dyDescent="0.35">
      <c r="A64" t="str">
        <f t="shared" si="4"/>
        <v>Ko-0</v>
      </c>
      <c r="B64" s="2" t="s">
        <v>79</v>
      </c>
      <c r="C64">
        <v>0</v>
      </c>
      <c r="D64" s="3">
        <v>1</v>
      </c>
      <c r="E64">
        <v>0</v>
      </c>
      <c r="F64">
        <f>AVERAGE($E64:$E68)</f>
        <v>0</v>
      </c>
      <c r="G64">
        <f>_xlfn.STDEV.P($E64:$E68)</f>
        <v>0</v>
      </c>
      <c r="H64">
        <v>98.21</v>
      </c>
      <c r="I64">
        <v>97.91</v>
      </c>
      <c r="J64">
        <v>0.34938000000000002</v>
      </c>
      <c r="K64" s="56">
        <v>7.383</v>
      </c>
      <c r="L64" s="56">
        <v>4.4474999999999998</v>
      </c>
      <c r="M64" s="56">
        <v>2.9355000000000002</v>
      </c>
      <c r="N64" s="88">
        <v>33</v>
      </c>
      <c r="O64" s="56">
        <v>29.6</v>
      </c>
      <c r="P64" s="56">
        <v>2.4166089999999998</v>
      </c>
      <c r="Q64" s="56">
        <v>3.3680799999999997E-2</v>
      </c>
      <c r="R64" s="56">
        <v>3.1988999999999997E-2</v>
      </c>
      <c r="S64" s="56">
        <v>9.6839999999999999E-3</v>
      </c>
      <c r="T64" s="56">
        <v>37.024000000000001</v>
      </c>
      <c r="U64" s="56">
        <v>35.44</v>
      </c>
      <c r="V64" s="56">
        <v>6.9832549999999998</v>
      </c>
      <c r="X64" s="157" t="b">
        <f t="shared" si="1"/>
        <v>0</v>
      </c>
      <c r="Y64" s="157" t="s">
        <v>22</v>
      </c>
      <c r="Z64" s="157">
        <v>1</v>
      </c>
      <c r="AA64" s="157">
        <v>67.5</v>
      </c>
      <c r="AB64" s="157">
        <f t="shared" si="2"/>
        <v>6.3810750000000013E-2</v>
      </c>
      <c r="AC64" s="157">
        <f t="shared" si="3"/>
        <v>56.725000000000001</v>
      </c>
    </row>
    <row r="65" spans="1:29" x14ac:dyDescent="0.35">
      <c r="A65" t="str">
        <f t="shared" si="4"/>
        <v>Ko-0</v>
      </c>
      <c r="B65" s="2" t="s">
        <v>79</v>
      </c>
      <c r="C65">
        <v>0</v>
      </c>
      <c r="D65" s="3">
        <v>2</v>
      </c>
      <c r="E65">
        <v>0</v>
      </c>
      <c r="H65">
        <v>98.1</v>
      </c>
      <c r="K65" s="56">
        <v>1.512</v>
      </c>
      <c r="N65" s="88">
        <v>30</v>
      </c>
      <c r="Q65" s="56">
        <v>4.9946200000000003E-2</v>
      </c>
      <c r="T65" s="56">
        <v>48.210999999999999</v>
      </c>
      <c r="X65" s="157" t="b">
        <f t="shared" si="1"/>
        <v>0</v>
      </c>
      <c r="Y65" s="157" t="s">
        <v>22</v>
      </c>
      <c r="Z65" s="157">
        <v>2</v>
      </c>
      <c r="AA65" s="157">
        <v>65.900000000000006</v>
      </c>
      <c r="AB65" s="157">
        <f t="shared" si="2"/>
        <v>6.1134090800000006E-2</v>
      </c>
      <c r="AC65" s="157">
        <f t="shared" si="3"/>
        <v>55.140999999999998</v>
      </c>
    </row>
    <row r="66" spans="1:29" x14ac:dyDescent="0.35">
      <c r="A66" t="str">
        <f t="shared" si="4"/>
        <v>Ko-0</v>
      </c>
      <c r="B66" s="2" t="s">
        <v>79</v>
      </c>
      <c r="C66">
        <v>0</v>
      </c>
      <c r="D66" s="3">
        <v>3</v>
      </c>
      <c r="E66">
        <v>0</v>
      </c>
      <c r="H66">
        <v>97.42</v>
      </c>
      <c r="N66" s="88">
        <v>28</v>
      </c>
      <c r="Q66" s="56">
        <v>2.3145700000000002E-2</v>
      </c>
      <c r="T66" s="56">
        <v>28.806999999999999</v>
      </c>
      <c r="X66" s="157" t="b">
        <f t="shared" si="1"/>
        <v>0</v>
      </c>
      <c r="Y66" s="157" t="s">
        <v>22</v>
      </c>
      <c r="Z66" s="157">
        <v>3</v>
      </c>
      <c r="AA66" s="157">
        <v>64</v>
      </c>
      <c r="AB66" s="157">
        <f t="shared" si="2"/>
        <v>5.8013280000000007E-2</v>
      </c>
      <c r="AC66" s="157">
        <f t="shared" si="3"/>
        <v>53.26</v>
      </c>
    </row>
    <row r="67" spans="1:29" x14ac:dyDescent="0.35">
      <c r="A67" t="str">
        <f t="shared" si="4"/>
        <v>Ko-0</v>
      </c>
      <c r="B67" s="2" t="s">
        <v>79</v>
      </c>
      <c r="C67">
        <v>0</v>
      </c>
      <c r="D67" s="3">
        <v>4</v>
      </c>
      <c r="N67" s="88">
        <v>26</v>
      </c>
      <c r="Q67" s="56">
        <v>2.4716800000000001E-2</v>
      </c>
      <c r="T67" s="56">
        <v>30.094000000000001</v>
      </c>
      <c r="X67" s="157" t="b">
        <f t="shared" si="1"/>
        <v>0</v>
      </c>
      <c r="Y67" s="157" t="s">
        <v>22</v>
      </c>
      <c r="Z67" s="157">
        <v>4</v>
      </c>
      <c r="AA67" s="157">
        <v>64.2</v>
      </c>
      <c r="AB67" s="157">
        <f t="shared" si="2"/>
        <v>5.8338835200000001E-2</v>
      </c>
      <c r="AC67" s="157">
        <f t="shared" si="3"/>
        <v>53.457999999999998</v>
      </c>
    </row>
    <row r="68" spans="1:29" x14ac:dyDescent="0.35">
      <c r="A68" t="str">
        <f t="shared" ref="A68:A99" si="5">B68&amp;"-"&amp;C68</f>
        <v>Ko-0</v>
      </c>
      <c r="B68" s="2" t="s">
        <v>79</v>
      </c>
      <c r="C68">
        <v>0</v>
      </c>
      <c r="D68" s="3">
        <v>5</v>
      </c>
      <c r="N68" s="88">
        <v>31</v>
      </c>
      <c r="Q68" s="56">
        <v>2.8454299999999998E-2</v>
      </c>
      <c r="T68" s="56">
        <v>33.064</v>
      </c>
      <c r="X68" s="157" t="b">
        <f t="shared" si="1"/>
        <v>0</v>
      </c>
      <c r="Y68" s="157" t="s">
        <v>22</v>
      </c>
      <c r="Z68" s="157">
        <v>5</v>
      </c>
      <c r="AA68" s="157">
        <v>66.900000000000006</v>
      </c>
      <c r="AB68" s="157">
        <f t="shared" si="2"/>
        <v>6.2801794800000019E-2</v>
      </c>
      <c r="AC68" s="157">
        <f t="shared" si="3"/>
        <v>56.131000000000007</v>
      </c>
    </row>
    <row r="69" spans="1:29" x14ac:dyDescent="0.35">
      <c r="A69" t="str">
        <f t="shared" si="5"/>
        <v>Ko-1</v>
      </c>
      <c r="B69" s="2" t="s">
        <v>79</v>
      </c>
      <c r="C69">
        <v>1</v>
      </c>
      <c r="D69" s="3">
        <v>1</v>
      </c>
      <c r="E69">
        <v>3</v>
      </c>
      <c r="F69">
        <f>AVERAGE($E69:$E73)</f>
        <v>1</v>
      </c>
      <c r="G69">
        <f>_xlfn.STDEV.P($E69:$E73)</f>
        <v>1.4142135623730951</v>
      </c>
      <c r="H69">
        <v>97.98</v>
      </c>
      <c r="I69">
        <v>98.243333329999999</v>
      </c>
      <c r="J69">
        <v>0.84940499999999997</v>
      </c>
      <c r="K69" s="56">
        <v>4.4720000000000004</v>
      </c>
      <c r="L69" s="56">
        <v>16.021000000000001</v>
      </c>
      <c r="M69" s="56">
        <v>11.548999999999999</v>
      </c>
      <c r="N69" s="88">
        <v>30</v>
      </c>
      <c r="O69" s="56">
        <v>30.5</v>
      </c>
      <c r="P69" s="56">
        <v>1</v>
      </c>
      <c r="Q69" s="56">
        <v>3.2348099999999998E-2</v>
      </c>
      <c r="R69" s="56">
        <v>3.2238000000000003E-2</v>
      </c>
      <c r="S69" s="56">
        <v>4.5640000000000003E-3</v>
      </c>
      <c r="T69" s="56">
        <v>36.033999999999999</v>
      </c>
      <c r="U69" s="56">
        <v>35.875599999999999</v>
      </c>
      <c r="V69" s="56">
        <v>3.388404</v>
      </c>
      <c r="X69" s="157" t="b">
        <f t="shared" ref="X69:X132" si="6">EXACT(Y69,A69)</f>
        <v>0</v>
      </c>
      <c r="Y69" s="157" t="s">
        <v>23</v>
      </c>
      <c r="Z69" s="157">
        <v>1</v>
      </c>
      <c r="AA69" s="157">
        <v>57.9</v>
      </c>
      <c r="AB69" s="157">
        <f t="shared" ref="AB69:AB123" si="7">8.68*10^-6*AA69^2+5.15*10^-4*AA69-1.05*10^-2</f>
        <v>4.8417418799999994E-2</v>
      </c>
      <c r="AC69" s="157">
        <f t="shared" ref="AC69:AC123" si="8">0.99*AA69-10.1</f>
        <v>47.220999999999997</v>
      </c>
    </row>
    <row r="70" spans="1:29" x14ac:dyDescent="0.35">
      <c r="A70" t="str">
        <f t="shared" si="5"/>
        <v>Ko-1</v>
      </c>
      <c r="B70" s="2" t="s">
        <v>79</v>
      </c>
      <c r="C70">
        <v>1</v>
      </c>
      <c r="D70" s="3">
        <v>2</v>
      </c>
      <c r="E70">
        <v>0</v>
      </c>
      <c r="H70">
        <v>97.36</v>
      </c>
      <c r="K70" s="56">
        <v>27.57</v>
      </c>
      <c r="N70" s="88">
        <v>30</v>
      </c>
      <c r="Q70" s="56">
        <v>2.9993100000000002E-2</v>
      </c>
      <c r="T70" s="56">
        <v>34.252000000000002</v>
      </c>
      <c r="X70" s="157" t="b">
        <f t="shared" si="6"/>
        <v>0</v>
      </c>
      <c r="Y70" s="157" t="s">
        <v>23</v>
      </c>
      <c r="Z70" s="157">
        <v>2</v>
      </c>
      <c r="AA70" s="157">
        <v>53.4</v>
      </c>
      <c r="AB70" s="157">
        <f t="shared" si="7"/>
        <v>4.1752540799999995E-2</v>
      </c>
      <c r="AC70" s="157">
        <f t="shared" si="8"/>
        <v>42.765999999999998</v>
      </c>
    </row>
    <row r="71" spans="1:29" x14ac:dyDescent="0.35">
      <c r="A71" t="str">
        <f t="shared" si="5"/>
        <v>Ko-1</v>
      </c>
      <c r="B71" s="2" t="s">
        <v>79</v>
      </c>
      <c r="C71">
        <v>1</v>
      </c>
      <c r="D71" s="3">
        <v>3</v>
      </c>
      <c r="E71">
        <v>0</v>
      </c>
      <c r="H71">
        <v>99.39</v>
      </c>
      <c r="N71" s="88">
        <v>30</v>
      </c>
      <c r="Q71" s="56">
        <v>4.0034599999999997E-2</v>
      </c>
      <c r="T71" s="56">
        <v>41.578000000000003</v>
      </c>
      <c r="X71" s="157" t="b">
        <f t="shared" si="6"/>
        <v>0</v>
      </c>
      <c r="Y71" s="157" t="s">
        <v>23</v>
      </c>
      <c r="Z71" s="157">
        <v>3</v>
      </c>
      <c r="AA71" s="157">
        <v>62.3</v>
      </c>
      <c r="AB71" s="157">
        <f t="shared" si="7"/>
        <v>5.527409719999999E-2</v>
      </c>
      <c r="AC71" s="157">
        <f t="shared" si="8"/>
        <v>51.576999999999998</v>
      </c>
    </row>
    <row r="72" spans="1:29" x14ac:dyDescent="0.35">
      <c r="A72" t="str">
        <f t="shared" si="5"/>
        <v>Ko-1</v>
      </c>
      <c r="B72" s="2" t="s">
        <v>79</v>
      </c>
      <c r="C72">
        <v>1</v>
      </c>
      <c r="D72" s="3">
        <v>4</v>
      </c>
      <c r="N72" s="88">
        <v>30</v>
      </c>
      <c r="Q72" s="56">
        <v>2.6069100000000001E-2</v>
      </c>
      <c r="T72" s="56">
        <v>31.183</v>
      </c>
      <c r="X72" s="157" t="b">
        <f t="shared" si="6"/>
        <v>0</v>
      </c>
      <c r="Y72" s="157" t="s">
        <v>23</v>
      </c>
      <c r="Z72" s="157">
        <v>4</v>
      </c>
      <c r="AA72" s="157">
        <v>64.400000000000006</v>
      </c>
      <c r="AB72" s="157">
        <f t="shared" si="7"/>
        <v>5.866508480000001E-2</v>
      </c>
      <c r="AC72" s="157">
        <f t="shared" si="8"/>
        <v>53.656000000000006</v>
      </c>
    </row>
    <row r="73" spans="1:29" x14ac:dyDescent="0.35">
      <c r="A73" t="str">
        <f t="shared" si="5"/>
        <v>Ko-1</v>
      </c>
      <c r="B73" s="2" t="s">
        <v>79</v>
      </c>
      <c r="C73">
        <v>1</v>
      </c>
      <c r="D73" s="3">
        <v>5</v>
      </c>
      <c r="N73" s="88">
        <v>32.5</v>
      </c>
      <c r="Q73" s="56">
        <v>3.27461E-2</v>
      </c>
      <c r="T73" s="56">
        <v>36.331000000000003</v>
      </c>
      <c r="X73" s="157" t="b">
        <f t="shared" si="6"/>
        <v>0</v>
      </c>
      <c r="Y73" s="157" t="s">
        <v>23</v>
      </c>
      <c r="Z73" s="157">
        <v>5</v>
      </c>
      <c r="AA73" s="157">
        <v>54.7</v>
      </c>
      <c r="AB73" s="157">
        <f t="shared" si="7"/>
        <v>4.3641841200000003E-2</v>
      </c>
      <c r="AC73" s="157">
        <f t="shared" si="8"/>
        <v>44.053000000000004</v>
      </c>
    </row>
    <row r="74" spans="1:29" x14ac:dyDescent="0.35">
      <c r="A74" t="str">
        <f t="shared" si="5"/>
        <v>KP-0</v>
      </c>
      <c r="B74" s="2" t="s">
        <v>88</v>
      </c>
      <c r="C74">
        <v>0</v>
      </c>
      <c r="D74" s="3">
        <v>1</v>
      </c>
      <c r="E74">
        <v>1</v>
      </c>
      <c r="F74">
        <f>AVERAGE($E74:$E78)</f>
        <v>0.33333333333333331</v>
      </c>
      <c r="G74">
        <f>_xlfn.STDEV.P($E74:$E78)</f>
        <v>0.47140452079103168</v>
      </c>
      <c r="H74">
        <v>97.69</v>
      </c>
      <c r="I74">
        <v>97.963333329999998</v>
      </c>
      <c r="J74">
        <v>0.31201899999999999</v>
      </c>
      <c r="K74" s="56">
        <v>55.792999999999999</v>
      </c>
      <c r="L74" s="56">
        <v>71.62</v>
      </c>
      <c r="M74" s="56">
        <v>15.827</v>
      </c>
      <c r="N74" s="88">
        <v>45</v>
      </c>
      <c r="O74" s="56">
        <v>41</v>
      </c>
      <c r="P74" s="56">
        <v>3.4058769999999998</v>
      </c>
      <c r="Q74" s="56">
        <v>0</v>
      </c>
      <c r="R74" s="56">
        <v>0</v>
      </c>
      <c r="S74" s="56">
        <v>0</v>
      </c>
      <c r="T74" s="56">
        <v>0</v>
      </c>
      <c r="U74" s="56">
        <v>0</v>
      </c>
      <c r="V74" s="56">
        <v>0</v>
      </c>
      <c r="X74" s="157" t="b">
        <f t="shared" si="6"/>
        <v>0</v>
      </c>
      <c r="Y74" s="157" t="s">
        <v>53</v>
      </c>
      <c r="Z74" s="157">
        <v>1</v>
      </c>
      <c r="AA74" s="157">
        <v>49.3</v>
      </c>
      <c r="AB74" s="157">
        <f t="shared" si="7"/>
        <v>3.5986153200000003E-2</v>
      </c>
      <c r="AC74" s="157">
        <f t="shared" si="8"/>
        <v>38.706999999999994</v>
      </c>
    </row>
    <row r="75" spans="1:29" x14ac:dyDescent="0.35">
      <c r="A75" t="str">
        <f t="shared" si="5"/>
        <v>KP-0</v>
      </c>
      <c r="B75" s="2" t="s">
        <v>88</v>
      </c>
      <c r="C75">
        <v>0</v>
      </c>
      <c r="D75" s="3">
        <v>2</v>
      </c>
      <c r="E75">
        <v>0</v>
      </c>
      <c r="H75">
        <v>98.4</v>
      </c>
      <c r="K75" s="56">
        <v>87.447000000000003</v>
      </c>
      <c r="N75" s="88">
        <v>40</v>
      </c>
      <c r="Q75" s="56">
        <v>0</v>
      </c>
      <c r="T75" s="56">
        <v>0</v>
      </c>
      <c r="X75" s="157" t="b">
        <f t="shared" si="6"/>
        <v>0</v>
      </c>
      <c r="Y75" s="157" t="s">
        <v>53</v>
      </c>
      <c r="Z75" s="157">
        <v>2</v>
      </c>
      <c r="AA75" s="157">
        <v>43.6</v>
      </c>
      <c r="AB75" s="157">
        <f t="shared" si="7"/>
        <v>2.8454332800000003E-2</v>
      </c>
      <c r="AC75" s="157">
        <f t="shared" si="8"/>
        <v>33.064</v>
      </c>
    </row>
    <row r="76" spans="1:29" x14ac:dyDescent="0.35">
      <c r="A76" t="str">
        <f t="shared" si="5"/>
        <v>KP-0</v>
      </c>
      <c r="B76" s="2" t="s">
        <v>88</v>
      </c>
      <c r="C76">
        <v>0</v>
      </c>
      <c r="D76" s="3">
        <v>3</v>
      </c>
      <c r="E76">
        <v>0</v>
      </c>
      <c r="H76">
        <v>97.8</v>
      </c>
      <c r="N76" s="88">
        <v>42</v>
      </c>
      <c r="Q76" s="56">
        <v>0</v>
      </c>
      <c r="T76" s="56">
        <v>0</v>
      </c>
      <c r="X76" s="157" t="b">
        <f t="shared" si="6"/>
        <v>0</v>
      </c>
      <c r="Y76" s="157" t="s">
        <v>53</v>
      </c>
      <c r="Z76" s="157">
        <v>3</v>
      </c>
      <c r="AA76" s="157">
        <v>38.1</v>
      </c>
      <c r="AB76" s="157">
        <f t="shared" si="7"/>
        <v>2.1721474800000001E-2</v>
      </c>
      <c r="AC76" s="157">
        <f t="shared" si="8"/>
        <v>27.619</v>
      </c>
    </row>
    <row r="77" spans="1:29" x14ac:dyDescent="0.35">
      <c r="A77" t="str">
        <f t="shared" si="5"/>
        <v>KP-0</v>
      </c>
      <c r="B77" s="2" t="s">
        <v>88</v>
      </c>
      <c r="C77">
        <v>0</v>
      </c>
      <c r="D77" s="3">
        <v>4</v>
      </c>
      <c r="N77" s="88">
        <v>43</v>
      </c>
      <c r="Q77" s="56">
        <v>0</v>
      </c>
      <c r="T77" s="56">
        <v>0</v>
      </c>
      <c r="X77" s="157" t="b">
        <f t="shared" si="6"/>
        <v>0</v>
      </c>
      <c r="Y77" s="157" t="s">
        <v>53</v>
      </c>
      <c r="Z77" s="157">
        <v>4</v>
      </c>
      <c r="AA77" s="157">
        <v>49.1</v>
      </c>
      <c r="AB77" s="157">
        <f t="shared" si="7"/>
        <v>3.5712330800000004E-2</v>
      </c>
      <c r="AC77" s="157">
        <f t="shared" si="8"/>
        <v>38.509</v>
      </c>
    </row>
    <row r="78" spans="1:29" x14ac:dyDescent="0.35">
      <c r="A78" t="str">
        <f t="shared" si="5"/>
        <v>KP-0</v>
      </c>
      <c r="B78" s="2" t="s">
        <v>88</v>
      </c>
      <c r="C78">
        <v>0</v>
      </c>
      <c r="D78" s="3">
        <v>5</v>
      </c>
      <c r="N78" s="88">
        <v>35</v>
      </c>
      <c r="Q78" s="56">
        <v>0</v>
      </c>
      <c r="T78" s="56">
        <v>0</v>
      </c>
      <c r="X78" s="157" t="b">
        <f t="shared" si="6"/>
        <v>0</v>
      </c>
      <c r="Y78" s="157" t="s">
        <v>53</v>
      </c>
      <c r="Z78" s="157">
        <v>5</v>
      </c>
      <c r="AA78" s="157">
        <v>55.1</v>
      </c>
      <c r="AB78" s="157">
        <f t="shared" si="7"/>
        <v>4.4229066800000001E-2</v>
      </c>
      <c r="AC78" s="157">
        <f t="shared" si="8"/>
        <v>44.448999999999998</v>
      </c>
    </row>
    <row r="79" spans="1:29" x14ac:dyDescent="0.35">
      <c r="A79" t="str">
        <f t="shared" si="5"/>
        <v>KP-1</v>
      </c>
      <c r="B79" s="2" t="s">
        <v>88</v>
      </c>
      <c r="C79">
        <v>1</v>
      </c>
      <c r="D79" s="3">
        <v>1</v>
      </c>
      <c r="E79">
        <v>0</v>
      </c>
      <c r="F79">
        <f>AVERAGE($E79:$E83)</f>
        <v>0</v>
      </c>
      <c r="G79">
        <f>_xlfn.STDEV.P($E79:$E83)</f>
        <v>0</v>
      </c>
      <c r="H79">
        <v>94.83</v>
      </c>
      <c r="I79">
        <v>94.12</v>
      </c>
      <c r="J79">
        <v>2.249044</v>
      </c>
      <c r="K79" s="56">
        <v>39.290999999999997</v>
      </c>
      <c r="L79" s="56">
        <v>30.677</v>
      </c>
      <c r="M79" s="56">
        <v>8.6140000000000008</v>
      </c>
      <c r="N79" s="88">
        <v>40</v>
      </c>
      <c r="O79" s="56">
        <v>44.6</v>
      </c>
      <c r="P79" s="56">
        <v>6.0530980000000003</v>
      </c>
      <c r="Q79" s="56">
        <v>0</v>
      </c>
      <c r="R79" s="56">
        <v>0</v>
      </c>
      <c r="S79" s="56">
        <v>0</v>
      </c>
      <c r="T79" s="56">
        <v>0</v>
      </c>
      <c r="U79" s="56">
        <v>0</v>
      </c>
      <c r="V79" s="56">
        <v>0</v>
      </c>
      <c r="X79" s="157" t="b">
        <f t="shared" si="6"/>
        <v>0</v>
      </c>
      <c r="Y79" s="157" t="s">
        <v>52</v>
      </c>
      <c r="Z79" s="157">
        <v>1</v>
      </c>
      <c r="AA79" s="157">
        <v>57.8</v>
      </c>
      <c r="AB79" s="157">
        <f t="shared" si="7"/>
        <v>4.8265491199999996E-2</v>
      </c>
      <c r="AC79" s="157">
        <f t="shared" si="8"/>
        <v>47.121999999999993</v>
      </c>
    </row>
    <row r="80" spans="1:29" x14ac:dyDescent="0.35">
      <c r="A80" t="str">
        <f t="shared" si="5"/>
        <v>KP-1</v>
      </c>
      <c r="B80" s="2" t="s">
        <v>88</v>
      </c>
      <c r="C80">
        <v>1</v>
      </c>
      <c r="D80" s="3">
        <v>2</v>
      </c>
      <c r="E80">
        <v>0</v>
      </c>
      <c r="H80">
        <v>91.08</v>
      </c>
      <c r="K80" s="56">
        <v>22.062999999999999</v>
      </c>
      <c r="N80" s="88">
        <v>40</v>
      </c>
      <c r="Q80" s="56">
        <v>0</v>
      </c>
      <c r="T80" s="56">
        <v>0</v>
      </c>
      <c r="X80" s="157" t="b">
        <f t="shared" si="6"/>
        <v>0</v>
      </c>
      <c r="Y80" s="157" t="s">
        <v>52</v>
      </c>
      <c r="Z80" s="157">
        <v>2</v>
      </c>
      <c r="AA80" s="157">
        <v>52.9</v>
      </c>
      <c r="AB80" s="157">
        <f t="shared" si="7"/>
        <v>4.1033698799999997E-2</v>
      </c>
      <c r="AC80" s="157">
        <f t="shared" si="8"/>
        <v>42.270999999999994</v>
      </c>
    </row>
    <row r="81" spans="1:29" x14ac:dyDescent="0.35">
      <c r="A81" t="str">
        <f t="shared" si="5"/>
        <v>KP-1</v>
      </c>
      <c r="B81" s="2" t="s">
        <v>88</v>
      </c>
      <c r="C81">
        <v>1</v>
      </c>
      <c r="D81" s="3">
        <v>3</v>
      </c>
      <c r="E81">
        <v>0</v>
      </c>
      <c r="H81">
        <v>96.45</v>
      </c>
      <c r="N81" s="88">
        <v>55</v>
      </c>
      <c r="Q81" s="56">
        <v>0</v>
      </c>
      <c r="T81" s="56">
        <v>0</v>
      </c>
      <c r="X81" s="157" t="b">
        <f t="shared" si="6"/>
        <v>0</v>
      </c>
      <c r="Y81" s="157" t="s">
        <v>52</v>
      </c>
      <c r="Z81" s="157">
        <v>3</v>
      </c>
      <c r="AA81" s="157">
        <v>58</v>
      </c>
      <c r="AB81" s="157">
        <f t="shared" si="7"/>
        <v>4.8569519999999998E-2</v>
      </c>
      <c r="AC81" s="157">
        <f t="shared" si="8"/>
        <v>47.32</v>
      </c>
    </row>
    <row r="82" spans="1:29" x14ac:dyDescent="0.35">
      <c r="A82" t="str">
        <f t="shared" si="5"/>
        <v>KP-1</v>
      </c>
      <c r="B82" s="2" t="s">
        <v>88</v>
      </c>
      <c r="C82">
        <v>1</v>
      </c>
      <c r="D82" s="3">
        <v>4</v>
      </c>
      <c r="N82" s="88">
        <v>48</v>
      </c>
      <c r="Q82" s="56">
        <v>0</v>
      </c>
      <c r="T82" s="56">
        <v>0</v>
      </c>
      <c r="X82" s="157" t="b">
        <f t="shared" si="6"/>
        <v>0</v>
      </c>
      <c r="Y82" s="157" t="s">
        <v>52</v>
      </c>
      <c r="Z82" s="157">
        <v>4</v>
      </c>
      <c r="AA82" s="157">
        <v>65.400000000000006</v>
      </c>
      <c r="AB82" s="157">
        <f t="shared" si="7"/>
        <v>6.0306748800000011E-2</v>
      </c>
      <c r="AC82" s="157">
        <f t="shared" si="8"/>
        <v>54.646000000000008</v>
      </c>
    </row>
    <row r="83" spans="1:29" x14ac:dyDescent="0.35">
      <c r="A83" t="str">
        <f t="shared" si="5"/>
        <v>KP-1</v>
      </c>
      <c r="B83" s="2" t="s">
        <v>88</v>
      </c>
      <c r="C83">
        <v>1</v>
      </c>
      <c r="D83" s="3">
        <v>5</v>
      </c>
      <c r="N83" s="88">
        <v>40</v>
      </c>
      <c r="Q83" s="56">
        <v>0</v>
      </c>
      <c r="T83" s="56">
        <v>0</v>
      </c>
      <c r="X83" s="157" t="b">
        <f t="shared" si="6"/>
        <v>0</v>
      </c>
      <c r="Y83" s="157" t="s">
        <v>52</v>
      </c>
      <c r="Z83" s="157">
        <v>5</v>
      </c>
      <c r="AA83" s="157">
        <v>55.3</v>
      </c>
      <c r="AB83" s="157">
        <f t="shared" si="7"/>
        <v>4.4523721199999998E-2</v>
      </c>
      <c r="AC83" s="157">
        <f t="shared" si="8"/>
        <v>44.646999999999998</v>
      </c>
    </row>
    <row r="84" spans="1:29" x14ac:dyDescent="0.35">
      <c r="A84" t="str">
        <f t="shared" si="5"/>
        <v>La-0</v>
      </c>
      <c r="B84" s="2" t="s">
        <v>89</v>
      </c>
      <c r="C84">
        <v>0</v>
      </c>
      <c r="D84" s="3">
        <v>1</v>
      </c>
      <c r="E84">
        <v>0</v>
      </c>
      <c r="F84">
        <f>AVERAGE($E84:$E88)</f>
        <v>1.6666666666666667</v>
      </c>
      <c r="G84">
        <f>_xlfn.STDEV.P($E84:$E88)</f>
        <v>1.699673171197595</v>
      </c>
      <c r="H84">
        <v>91.08</v>
      </c>
      <c r="I84">
        <v>92.343333329999993</v>
      </c>
      <c r="J84">
        <v>0.89912300000000001</v>
      </c>
      <c r="K84" s="56">
        <v>2.726</v>
      </c>
      <c r="L84" s="56">
        <v>2.0684999999999998</v>
      </c>
      <c r="M84" s="56">
        <v>0.65749999999999997</v>
      </c>
      <c r="N84" s="88">
        <v>10</v>
      </c>
      <c r="O84" s="56">
        <v>15.4</v>
      </c>
      <c r="P84" s="56">
        <v>3.3226499999999999</v>
      </c>
      <c r="Q84" s="56">
        <v>2.42302E-2</v>
      </c>
      <c r="R84" s="56">
        <v>2.5465999999999999E-2</v>
      </c>
      <c r="S84" s="56">
        <v>3.3649999999999999E-3</v>
      </c>
      <c r="T84" s="56">
        <v>29.698</v>
      </c>
      <c r="U84" s="56">
        <v>30.648399999999999</v>
      </c>
      <c r="V84" s="56">
        <v>2.6847810000000001</v>
      </c>
      <c r="X84" s="157" t="b">
        <f t="shared" si="6"/>
        <v>0</v>
      </c>
      <c r="Y84" s="157" t="s">
        <v>14</v>
      </c>
      <c r="Z84" s="157">
        <v>1</v>
      </c>
      <c r="AA84" s="157">
        <v>52.3</v>
      </c>
      <c r="AB84" s="157">
        <f t="shared" si="7"/>
        <v>4.0176817199999992E-2</v>
      </c>
      <c r="AC84" s="157">
        <f t="shared" si="8"/>
        <v>41.676999999999992</v>
      </c>
    </row>
    <row r="85" spans="1:29" x14ac:dyDescent="0.35">
      <c r="A85" t="str">
        <f t="shared" si="5"/>
        <v>La-0</v>
      </c>
      <c r="B85" s="2" t="s">
        <v>89</v>
      </c>
      <c r="C85">
        <v>0</v>
      </c>
      <c r="D85" s="3">
        <v>2</v>
      </c>
      <c r="E85">
        <v>4</v>
      </c>
      <c r="H85">
        <v>92.85</v>
      </c>
      <c r="K85" s="56">
        <v>1.411</v>
      </c>
      <c r="N85" s="88">
        <v>16</v>
      </c>
      <c r="Q85" s="56">
        <v>2.58216E-2</v>
      </c>
      <c r="T85" s="56">
        <v>30.984999999999999</v>
      </c>
      <c r="X85" s="157" t="b">
        <f t="shared" si="6"/>
        <v>0</v>
      </c>
      <c r="Y85" s="157" t="s">
        <v>14</v>
      </c>
      <c r="Z85" s="157">
        <v>2</v>
      </c>
      <c r="AA85" s="157">
        <v>68.8</v>
      </c>
      <c r="AB85" s="157">
        <f t="shared" si="7"/>
        <v>6.6018259199999998E-2</v>
      </c>
      <c r="AC85" s="157">
        <f t="shared" si="8"/>
        <v>58.011999999999993</v>
      </c>
    </row>
    <row r="86" spans="1:29" x14ac:dyDescent="0.35">
      <c r="A86" t="str">
        <f t="shared" si="5"/>
        <v>La-0</v>
      </c>
      <c r="B86" s="2" t="s">
        <v>89</v>
      </c>
      <c r="C86">
        <v>0</v>
      </c>
      <c r="D86" s="3">
        <v>3</v>
      </c>
      <c r="E86">
        <v>1</v>
      </c>
      <c r="H86">
        <v>93.1</v>
      </c>
      <c r="N86" s="88">
        <v>14</v>
      </c>
      <c r="Q86" s="56">
        <v>2.5083500000000002E-2</v>
      </c>
      <c r="T86" s="56">
        <v>30.390999999999998</v>
      </c>
      <c r="X86" s="157" t="b">
        <f t="shared" si="6"/>
        <v>0</v>
      </c>
      <c r="Y86" s="157" t="s">
        <v>14</v>
      </c>
      <c r="Z86" s="157">
        <v>3</v>
      </c>
      <c r="AA86" s="157">
        <v>44.1</v>
      </c>
      <c r="AB86" s="157">
        <f t="shared" si="7"/>
        <v>2.9092450800000003E-2</v>
      </c>
      <c r="AC86" s="157">
        <f t="shared" si="8"/>
        <v>33.558999999999997</v>
      </c>
    </row>
    <row r="87" spans="1:29" x14ac:dyDescent="0.35">
      <c r="A87" t="str">
        <f t="shared" si="5"/>
        <v>La-0</v>
      </c>
      <c r="B87" s="2" t="s">
        <v>89</v>
      </c>
      <c r="C87">
        <v>0</v>
      </c>
      <c r="D87" s="3">
        <v>4</v>
      </c>
      <c r="N87" s="88">
        <v>20</v>
      </c>
      <c r="Q87" s="56">
        <v>3.1294500000000003E-2</v>
      </c>
      <c r="T87" s="56">
        <v>35.241999999999997</v>
      </c>
      <c r="X87" s="157" t="b">
        <f t="shared" si="6"/>
        <v>0</v>
      </c>
      <c r="Y87" s="157" t="s">
        <v>14</v>
      </c>
      <c r="Z87" s="157">
        <v>4</v>
      </c>
      <c r="AA87" s="157">
        <v>43.3</v>
      </c>
      <c r="AB87" s="157">
        <f t="shared" si="7"/>
        <v>2.8073545199999994E-2</v>
      </c>
      <c r="AC87" s="157">
        <f t="shared" si="8"/>
        <v>32.766999999999996</v>
      </c>
    </row>
    <row r="88" spans="1:29" x14ac:dyDescent="0.35">
      <c r="A88" t="str">
        <f t="shared" si="5"/>
        <v>La-0</v>
      </c>
      <c r="B88" s="2" t="s">
        <v>89</v>
      </c>
      <c r="C88">
        <v>0</v>
      </c>
      <c r="D88" s="3">
        <v>5</v>
      </c>
      <c r="N88" s="88">
        <v>17</v>
      </c>
      <c r="Q88" s="56">
        <v>2.0902199999999999E-2</v>
      </c>
      <c r="T88" s="56">
        <v>26.925999999999998</v>
      </c>
      <c r="X88" s="157" t="b">
        <f t="shared" si="6"/>
        <v>0</v>
      </c>
      <c r="Y88" s="157" t="s">
        <v>14</v>
      </c>
      <c r="Z88" s="157">
        <v>5</v>
      </c>
      <c r="AA88" s="157">
        <v>40</v>
      </c>
      <c r="AB88" s="157">
        <f t="shared" si="7"/>
        <v>2.3987999999999995E-2</v>
      </c>
      <c r="AC88" s="157">
        <f t="shared" si="8"/>
        <v>29.5</v>
      </c>
    </row>
    <row r="89" spans="1:29" x14ac:dyDescent="0.35">
      <c r="A89" t="str">
        <f t="shared" si="5"/>
        <v>La-1</v>
      </c>
      <c r="B89" s="2" t="s">
        <v>89</v>
      </c>
      <c r="C89">
        <v>1</v>
      </c>
      <c r="D89" s="3">
        <v>1</v>
      </c>
      <c r="E89">
        <v>3</v>
      </c>
      <c r="F89">
        <f>AVERAGE($E89:$E93)</f>
        <v>2</v>
      </c>
      <c r="G89">
        <f>_xlfn.STDEV.P($E89:$E93)</f>
        <v>0.81649658092772603</v>
      </c>
      <c r="H89">
        <v>87.38</v>
      </c>
      <c r="I89">
        <v>91.22</v>
      </c>
      <c r="J89">
        <v>3.4821550000000001</v>
      </c>
      <c r="K89" s="56">
        <v>3.9159999999999999</v>
      </c>
      <c r="L89" s="56">
        <v>2.5425</v>
      </c>
      <c r="M89" s="56">
        <v>1.3734999999999999</v>
      </c>
      <c r="N89" s="88">
        <v>20</v>
      </c>
      <c r="O89" s="56">
        <v>28</v>
      </c>
      <c r="P89" s="56">
        <v>6.78233</v>
      </c>
      <c r="Q89" s="56">
        <v>2.6193000000000001E-2</v>
      </c>
      <c r="R89" s="56">
        <v>2.6998999999999999E-2</v>
      </c>
      <c r="S89" s="56">
        <v>7.8980000000000005E-3</v>
      </c>
      <c r="T89" s="56">
        <v>31.282</v>
      </c>
      <c r="U89" s="56">
        <v>31.658200000000001</v>
      </c>
      <c r="V89" s="56">
        <v>6.1333359999999999</v>
      </c>
      <c r="X89" s="157" t="b">
        <f t="shared" si="6"/>
        <v>0</v>
      </c>
      <c r="Y89" s="157" t="s">
        <v>15</v>
      </c>
      <c r="Z89" s="157">
        <v>1</v>
      </c>
      <c r="AA89" s="157">
        <v>45.2</v>
      </c>
      <c r="AB89" s="157">
        <f t="shared" si="7"/>
        <v>3.0511587200000002E-2</v>
      </c>
      <c r="AC89" s="157">
        <f t="shared" si="8"/>
        <v>34.648000000000003</v>
      </c>
    </row>
    <row r="90" spans="1:29" x14ac:dyDescent="0.35">
      <c r="A90" t="str">
        <f t="shared" si="5"/>
        <v>La-1</v>
      </c>
      <c r="B90" s="2" t="s">
        <v>89</v>
      </c>
      <c r="C90">
        <v>1</v>
      </c>
      <c r="D90" s="3">
        <v>2</v>
      </c>
      <c r="E90">
        <v>2</v>
      </c>
      <c r="H90">
        <v>90.47</v>
      </c>
      <c r="K90" s="56">
        <v>1.169</v>
      </c>
      <c r="N90" s="88">
        <v>25</v>
      </c>
      <c r="Q90" s="56">
        <v>1.6493600000000001E-2</v>
      </c>
      <c r="T90" s="56">
        <v>23.065000000000001</v>
      </c>
      <c r="X90" s="157" t="b">
        <f t="shared" si="6"/>
        <v>0</v>
      </c>
      <c r="Y90" s="157" t="s">
        <v>15</v>
      </c>
      <c r="Z90" s="157">
        <v>2</v>
      </c>
      <c r="AA90" s="157">
        <v>43.4</v>
      </c>
      <c r="AB90" s="157">
        <f t="shared" si="7"/>
        <v>2.8200300800000001E-2</v>
      </c>
      <c r="AC90" s="157">
        <f t="shared" si="8"/>
        <v>32.866</v>
      </c>
    </row>
    <row r="91" spans="1:29" x14ac:dyDescent="0.35">
      <c r="A91" t="str">
        <f t="shared" si="5"/>
        <v>La-1</v>
      </c>
      <c r="B91" s="2" t="s">
        <v>89</v>
      </c>
      <c r="C91">
        <v>1</v>
      </c>
      <c r="D91" s="3">
        <v>3</v>
      </c>
      <c r="E91">
        <v>1</v>
      </c>
      <c r="H91">
        <v>95.81</v>
      </c>
      <c r="N91" s="88">
        <v>25</v>
      </c>
      <c r="Q91" s="56">
        <v>2.5328799999999999E-2</v>
      </c>
      <c r="T91" s="56">
        <v>30.588999999999999</v>
      </c>
      <c r="X91" s="157" t="b">
        <f t="shared" si="6"/>
        <v>0</v>
      </c>
      <c r="Y91" s="157" t="s">
        <v>15</v>
      </c>
      <c r="Z91" s="157">
        <v>3</v>
      </c>
      <c r="AA91" s="157">
        <v>46.5</v>
      </c>
      <c r="AB91" s="157">
        <f t="shared" si="7"/>
        <v>3.2215830000000001E-2</v>
      </c>
      <c r="AC91" s="157">
        <f t="shared" si="8"/>
        <v>35.934999999999995</v>
      </c>
    </row>
    <row r="92" spans="1:29" x14ac:dyDescent="0.35">
      <c r="A92" t="str">
        <f t="shared" si="5"/>
        <v>La-1</v>
      </c>
      <c r="B92" s="2" t="s">
        <v>89</v>
      </c>
      <c r="C92">
        <v>1</v>
      </c>
      <c r="D92" s="3">
        <v>4</v>
      </c>
      <c r="N92" s="88">
        <v>30</v>
      </c>
      <c r="Q92" s="56">
        <v>4.1033699999999999E-2</v>
      </c>
      <c r="T92" s="56">
        <v>42.271000000000001</v>
      </c>
      <c r="X92" s="157" t="b">
        <f t="shared" si="6"/>
        <v>0</v>
      </c>
      <c r="Y92" s="157" t="s">
        <v>15</v>
      </c>
      <c r="Z92" s="157">
        <v>4</v>
      </c>
      <c r="AA92" s="157">
        <v>49.4</v>
      </c>
      <c r="AB92" s="157">
        <f t="shared" si="7"/>
        <v>3.6123324799999995E-2</v>
      </c>
      <c r="AC92" s="157">
        <f t="shared" si="8"/>
        <v>38.805999999999997</v>
      </c>
    </row>
    <row r="93" spans="1:29" x14ac:dyDescent="0.35">
      <c r="A93" t="str">
        <f t="shared" si="5"/>
        <v>La-1</v>
      </c>
      <c r="B93" s="2" t="s">
        <v>89</v>
      </c>
      <c r="C93">
        <v>1</v>
      </c>
      <c r="D93" s="3">
        <v>5</v>
      </c>
      <c r="N93" s="88">
        <v>40</v>
      </c>
      <c r="Q93" s="56">
        <v>2.5945300000000001E-2</v>
      </c>
      <c r="T93" s="56">
        <v>31.084</v>
      </c>
      <c r="X93" s="157" t="b">
        <f t="shared" si="6"/>
        <v>0</v>
      </c>
      <c r="Y93" s="157" t="s">
        <v>15</v>
      </c>
      <c r="Z93" s="157">
        <v>5</v>
      </c>
      <c r="AA93" s="157"/>
      <c r="AB93" s="157"/>
      <c r="AC93" s="157"/>
    </row>
    <row r="94" spans="1:29" x14ac:dyDescent="0.35">
      <c r="A94" t="str">
        <f t="shared" si="5"/>
        <v>Li-0</v>
      </c>
      <c r="B94" s="2" t="s">
        <v>69</v>
      </c>
      <c r="C94">
        <v>0</v>
      </c>
      <c r="D94" s="3">
        <v>1</v>
      </c>
      <c r="E94">
        <v>0</v>
      </c>
      <c r="F94">
        <f>AVERAGE($E94:$E98)</f>
        <v>0</v>
      </c>
      <c r="G94">
        <f>_xlfn.STDEV.P($E94:$E98)</f>
        <v>0</v>
      </c>
      <c r="H94">
        <v>23.5</v>
      </c>
      <c r="I94">
        <v>43.123333330000001</v>
      </c>
      <c r="J94">
        <v>15.83137</v>
      </c>
      <c r="K94" s="56">
        <v>33.231000000000002</v>
      </c>
      <c r="L94" s="56">
        <v>75.210499999999996</v>
      </c>
      <c r="M94" s="56">
        <v>50.613720000000001</v>
      </c>
      <c r="N94" s="88">
        <v>5</v>
      </c>
      <c r="O94" s="56">
        <v>5.4</v>
      </c>
      <c r="P94" s="56">
        <v>2.4166089999999998</v>
      </c>
      <c r="Q94" s="56">
        <v>2.3505600000000001E-2</v>
      </c>
      <c r="R94" s="56">
        <v>3.3045999999999999E-2</v>
      </c>
      <c r="S94" s="56">
        <v>7.5560000000000002E-3</v>
      </c>
      <c r="T94" s="56">
        <v>29.103999999999999</v>
      </c>
      <c r="U94" s="56">
        <v>36.3508</v>
      </c>
      <c r="V94" s="56">
        <v>5.5501490000000002</v>
      </c>
      <c r="X94" s="157" t="b">
        <f t="shared" si="6"/>
        <v>0</v>
      </c>
      <c r="Y94" s="157" t="s">
        <v>129</v>
      </c>
      <c r="Z94" s="157">
        <v>1</v>
      </c>
      <c r="AA94" s="157">
        <v>53.4</v>
      </c>
      <c r="AB94" s="157">
        <f t="shared" si="7"/>
        <v>4.1752540799999995E-2</v>
      </c>
      <c r="AC94" s="157">
        <f t="shared" si="8"/>
        <v>42.765999999999998</v>
      </c>
    </row>
    <row r="95" spans="1:29" x14ac:dyDescent="0.35">
      <c r="A95" t="str">
        <f t="shared" si="5"/>
        <v>Li-0</v>
      </c>
      <c r="B95" s="2" t="s">
        <v>69</v>
      </c>
      <c r="C95">
        <v>0</v>
      </c>
      <c r="D95" s="3">
        <v>2</v>
      </c>
      <c r="E95">
        <v>0</v>
      </c>
      <c r="H95">
        <v>43.6</v>
      </c>
      <c r="K95" s="56">
        <v>17.86</v>
      </c>
      <c r="N95" s="88">
        <v>5</v>
      </c>
      <c r="Q95" s="56">
        <v>4.5411899999999998E-2</v>
      </c>
      <c r="T95" s="56">
        <v>45.241</v>
      </c>
      <c r="X95" s="157" t="b">
        <f t="shared" si="6"/>
        <v>0</v>
      </c>
      <c r="Y95" s="157" t="s">
        <v>129</v>
      </c>
      <c r="Z95" s="157">
        <v>2</v>
      </c>
      <c r="AA95" s="157">
        <v>55.1</v>
      </c>
      <c r="AB95" s="157">
        <f t="shared" si="7"/>
        <v>4.4229066800000001E-2</v>
      </c>
      <c r="AC95" s="157">
        <f t="shared" si="8"/>
        <v>44.448999999999998</v>
      </c>
    </row>
    <row r="96" spans="1:29" x14ac:dyDescent="0.35">
      <c r="A96" t="str">
        <f t="shared" si="5"/>
        <v>Li-0</v>
      </c>
      <c r="B96" s="2" t="s">
        <v>69</v>
      </c>
      <c r="C96">
        <v>0</v>
      </c>
      <c r="D96" s="3">
        <v>3</v>
      </c>
      <c r="E96">
        <v>0</v>
      </c>
      <c r="H96">
        <v>62.27</v>
      </c>
      <c r="K96" s="56">
        <v>113.42100000000001</v>
      </c>
      <c r="N96" s="88">
        <v>3</v>
      </c>
      <c r="Q96" s="56">
        <v>2.83272E-2</v>
      </c>
      <c r="T96" s="56">
        <v>32.965000000000003</v>
      </c>
      <c r="X96" s="157" t="b">
        <f t="shared" si="6"/>
        <v>0</v>
      </c>
      <c r="Y96" s="157" t="s">
        <v>129</v>
      </c>
      <c r="Z96" s="157">
        <v>3</v>
      </c>
      <c r="AA96" s="157">
        <v>46.1</v>
      </c>
      <c r="AB96" s="157">
        <f t="shared" si="7"/>
        <v>3.1688322799999995E-2</v>
      </c>
      <c r="AC96" s="157">
        <f t="shared" si="8"/>
        <v>35.539000000000001</v>
      </c>
    </row>
    <row r="97" spans="1:29" x14ac:dyDescent="0.35">
      <c r="A97" t="str">
        <f t="shared" si="5"/>
        <v>Li-0</v>
      </c>
      <c r="B97" s="2" t="s">
        <v>69</v>
      </c>
      <c r="C97">
        <v>0</v>
      </c>
      <c r="D97" s="3">
        <v>4</v>
      </c>
      <c r="E97">
        <v>0</v>
      </c>
      <c r="K97" s="56">
        <v>136.33000000000001</v>
      </c>
      <c r="N97" s="88">
        <v>4</v>
      </c>
      <c r="Q97" s="56">
        <v>3.1032799999999999E-2</v>
      </c>
      <c r="T97" s="56">
        <v>35.043999999999997</v>
      </c>
      <c r="X97" s="157" t="b">
        <f t="shared" si="6"/>
        <v>0</v>
      </c>
      <c r="Y97" s="157" t="s">
        <v>129</v>
      </c>
      <c r="Z97" s="157">
        <v>4</v>
      </c>
      <c r="AA97" s="157">
        <v>59.8</v>
      </c>
      <c r="AB97" s="157">
        <f t="shared" si="7"/>
        <v>5.1337027199999996E-2</v>
      </c>
      <c r="AC97" s="157">
        <f t="shared" si="8"/>
        <v>49.101999999999997</v>
      </c>
    </row>
    <row r="98" spans="1:29" x14ac:dyDescent="0.35">
      <c r="A98" t="str">
        <f t="shared" si="5"/>
        <v>Li-0</v>
      </c>
      <c r="B98" s="2" t="s">
        <v>69</v>
      </c>
      <c r="C98">
        <v>0</v>
      </c>
      <c r="D98" s="3">
        <v>5</v>
      </c>
      <c r="E98">
        <v>0</v>
      </c>
      <c r="N98" s="88">
        <v>10</v>
      </c>
      <c r="Q98" s="56">
        <v>3.6949999999999997E-2</v>
      </c>
      <c r="T98" s="56">
        <v>39.4</v>
      </c>
      <c r="X98" s="157" t="b">
        <f t="shared" si="6"/>
        <v>0</v>
      </c>
      <c r="Y98" s="157" t="s">
        <v>129</v>
      </c>
      <c r="Z98" s="157">
        <v>5</v>
      </c>
      <c r="AA98" s="157">
        <v>54.5</v>
      </c>
      <c r="AB98" s="157">
        <f t="shared" si="7"/>
        <v>4.3349270000000002E-2</v>
      </c>
      <c r="AC98" s="157">
        <f t="shared" si="8"/>
        <v>43.854999999999997</v>
      </c>
    </row>
    <row r="99" spans="1:29" x14ac:dyDescent="0.35">
      <c r="A99" t="str">
        <f t="shared" si="5"/>
        <v>Li-1</v>
      </c>
      <c r="B99" s="2" t="s">
        <v>69</v>
      </c>
      <c r="C99">
        <v>1</v>
      </c>
      <c r="D99" s="3">
        <v>1</v>
      </c>
      <c r="E99">
        <v>0</v>
      </c>
      <c r="F99">
        <f>AVERAGE($E99:$E103)</f>
        <v>0</v>
      </c>
      <c r="G99">
        <f>_xlfn.STDEV.P($E99:$E103)</f>
        <v>0</v>
      </c>
      <c r="H99">
        <v>54.48</v>
      </c>
      <c r="I99">
        <v>53.753333329999997</v>
      </c>
      <c r="J99">
        <v>18.859909999999999</v>
      </c>
      <c r="K99" s="56">
        <v>132.71799999999999</v>
      </c>
      <c r="L99" s="56">
        <v>111.1352</v>
      </c>
      <c r="M99" s="56">
        <v>27.839700000000001</v>
      </c>
      <c r="N99" s="88">
        <v>10</v>
      </c>
      <c r="O99" s="56">
        <v>8</v>
      </c>
      <c r="P99" s="56">
        <v>2.280351</v>
      </c>
      <c r="Q99" s="56">
        <v>3.1556899999999999E-2</v>
      </c>
      <c r="R99" s="56">
        <v>3.0394999999999998E-2</v>
      </c>
      <c r="S99" s="56">
        <v>2.7390000000000001E-3</v>
      </c>
      <c r="T99" s="56">
        <v>35.44</v>
      </c>
      <c r="U99" s="56">
        <v>34.529200000000003</v>
      </c>
      <c r="V99" s="56">
        <v>2.0986129999999998</v>
      </c>
      <c r="X99" s="157" t="b">
        <f t="shared" si="6"/>
        <v>0</v>
      </c>
      <c r="Y99" s="157" t="s">
        <v>130</v>
      </c>
      <c r="Z99" s="157">
        <v>1</v>
      </c>
      <c r="AA99" s="157">
        <v>51.2</v>
      </c>
      <c r="AB99" s="157">
        <f t="shared" si="7"/>
        <v>3.8622099200000003E-2</v>
      </c>
      <c r="AC99" s="157">
        <f t="shared" si="8"/>
        <v>40.588000000000001</v>
      </c>
    </row>
    <row r="100" spans="1:29" x14ac:dyDescent="0.35">
      <c r="A100" t="str">
        <f t="shared" ref="A100:A131" si="9">B100&amp;"-"&amp;C100</f>
        <v>Li-1</v>
      </c>
      <c r="B100" s="2" t="s">
        <v>69</v>
      </c>
      <c r="C100">
        <v>1</v>
      </c>
      <c r="D100" s="3">
        <v>2</v>
      </c>
      <c r="E100">
        <v>0</v>
      </c>
      <c r="H100">
        <v>30.3</v>
      </c>
      <c r="K100" s="56">
        <v>140.30000000000001</v>
      </c>
      <c r="N100" s="88">
        <v>6</v>
      </c>
      <c r="Q100" s="56">
        <v>2.6815499999999999E-2</v>
      </c>
      <c r="T100" s="56">
        <v>31.777000000000001</v>
      </c>
      <c r="X100" s="157" t="b">
        <f t="shared" si="6"/>
        <v>0</v>
      </c>
      <c r="Y100" s="157" t="s">
        <v>130</v>
      </c>
      <c r="Z100" s="157">
        <v>2</v>
      </c>
      <c r="AA100" s="157">
        <v>43.1</v>
      </c>
      <c r="AB100" s="157">
        <f t="shared" si="7"/>
        <v>2.7820554800000001E-2</v>
      </c>
      <c r="AC100" s="157">
        <f t="shared" si="8"/>
        <v>32.569000000000003</v>
      </c>
    </row>
    <row r="101" spans="1:29" x14ac:dyDescent="0.35">
      <c r="A101" t="str">
        <f t="shared" si="9"/>
        <v>Li-1</v>
      </c>
      <c r="B101" s="2" t="s">
        <v>69</v>
      </c>
      <c r="C101">
        <v>1</v>
      </c>
      <c r="D101" s="3">
        <v>3</v>
      </c>
      <c r="E101">
        <v>0</v>
      </c>
      <c r="H101">
        <v>76.48</v>
      </c>
      <c r="K101" s="56">
        <v>64.55</v>
      </c>
      <c r="N101" s="88">
        <v>8</v>
      </c>
      <c r="Q101" s="56">
        <v>3.27461E-2</v>
      </c>
      <c r="T101" s="56">
        <v>36.331000000000003</v>
      </c>
      <c r="X101" s="157" t="b">
        <f t="shared" si="6"/>
        <v>0</v>
      </c>
      <c r="Y101" s="157" t="s">
        <v>130</v>
      </c>
      <c r="Z101" s="157">
        <v>3</v>
      </c>
      <c r="AA101" s="157">
        <v>51.5</v>
      </c>
      <c r="AB101" s="157">
        <f t="shared" si="7"/>
        <v>3.904403E-2</v>
      </c>
      <c r="AC101" s="157">
        <f t="shared" si="8"/>
        <v>40.884999999999998</v>
      </c>
    </row>
    <row r="102" spans="1:29" x14ac:dyDescent="0.35">
      <c r="A102" t="str">
        <f t="shared" si="9"/>
        <v>Li-1</v>
      </c>
      <c r="B102" s="2" t="s">
        <v>69</v>
      </c>
      <c r="C102">
        <v>1</v>
      </c>
      <c r="D102" s="3">
        <v>4</v>
      </c>
      <c r="E102">
        <v>0</v>
      </c>
      <c r="K102" s="56">
        <v>122.83799999999999</v>
      </c>
      <c r="N102" s="88">
        <v>5</v>
      </c>
      <c r="Q102" s="56">
        <v>3.3412900000000002E-2</v>
      </c>
      <c r="T102" s="56">
        <v>36.826000000000001</v>
      </c>
      <c r="X102" s="157" t="b">
        <f t="shared" si="6"/>
        <v>0</v>
      </c>
      <c r="Y102" s="157" t="s">
        <v>130</v>
      </c>
      <c r="Z102" s="157">
        <v>4</v>
      </c>
      <c r="AA102" s="157">
        <v>44.3</v>
      </c>
      <c r="AB102" s="157">
        <f t="shared" si="7"/>
        <v>2.93489132E-2</v>
      </c>
      <c r="AC102" s="157">
        <f t="shared" si="8"/>
        <v>33.756999999999998</v>
      </c>
    </row>
    <row r="103" spans="1:29" x14ac:dyDescent="0.35">
      <c r="A103" t="str">
        <f t="shared" si="9"/>
        <v>Li-1</v>
      </c>
      <c r="B103" s="2" t="s">
        <v>69</v>
      </c>
      <c r="C103">
        <v>1</v>
      </c>
      <c r="D103" s="3">
        <v>5</v>
      </c>
      <c r="E103">
        <v>0</v>
      </c>
      <c r="K103" s="56">
        <v>95.27</v>
      </c>
      <c r="N103" s="88">
        <v>11</v>
      </c>
      <c r="Q103" s="56">
        <v>2.7442399999999999E-2</v>
      </c>
      <c r="T103" s="56">
        <v>32.271999999999998</v>
      </c>
      <c r="X103" s="157" t="b">
        <f t="shared" si="6"/>
        <v>0</v>
      </c>
      <c r="Y103" s="157" t="s">
        <v>130</v>
      </c>
      <c r="Z103" s="157">
        <v>5</v>
      </c>
      <c r="AA103" s="157">
        <v>51.8</v>
      </c>
      <c r="AB103" s="157">
        <f t="shared" si="7"/>
        <v>3.94675232E-2</v>
      </c>
      <c r="AC103" s="157">
        <f t="shared" si="8"/>
        <v>41.181999999999995</v>
      </c>
    </row>
    <row r="104" spans="1:29" x14ac:dyDescent="0.35">
      <c r="A104" t="str">
        <f t="shared" si="9"/>
        <v>Mi-0</v>
      </c>
      <c r="B104" s="2" t="s">
        <v>68</v>
      </c>
      <c r="C104">
        <v>0</v>
      </c>
      <c r="D104" s="3">
        <v>1</v>
      </c>
      <c r="E104">
        <v>1</v>
      </c>
      <c r="F104">
        <f>AVERAGE($E104:$E108)</f>
        <v>0.6</v>
      </c>
      <c r="G104">
        <f>_xlfn.STDEV.P($E104:$E108)</f>
        <v>0.4898979485566356</v>
      </c>
      <c r="H104">
        <v>84.61</v>
      </c>
      <c r="I104">
        <v>90.503333330000004</v>
      </c>
      <c r="J104">
        <v>4.167224</v>
      </c>
      <c r="K104" s="56">
        <v>3.1930000000000001</v>
      </c>
      <c r="L104" s="56">
        <v>3.22</v>
      </c>
      <c r="M104" s="56">
        <v>1.6823349999999999</v>
      </c>
      <c r="N104" s="88">
        <v>40</v>
      </c>
      <c r="O104" s="56">
        <v>36</v>
      </c>
      <c r="P104" s="56">
        <v>9.4162979999999994</v>
      </c>
      <c r="Q104" s="56">
        <v>4.0176799999999999E-2</v>
      </c>
      <c r="R104" s="56">
        <v>3.7470000000000003E-2</v>
      </c>
      <c r="S104" s="56">
        <v>1.5247999999999999E-2</v>
      </c>
      <c r="T104" s="56">
        <v>41.677</v>
      </c>
      <c r="U104" s="56">
        <v>39.103000000000002</v>
      </c>
      <c r="V104" s="56">
        <v>10.269119999999999</v>
      </c>
      <c r="X104" s="157" t="b">
        <f t="shared" si="6"/>
        <v>0</v>
      </c>
      <c r="Y104" s="157" t="s">
        <v>41</v>
      </c>
      <c r="Z104" s="157">
        <v>1</v>
      </c>
      <c r="AA104" s="157">
        <v>54.4</v>
      </c>
      <c r="AB104" s="157">
        <f t="shared" si="7"/>
        <v>4.3203244799999999E-2</v>
      </c>
      <c r="AC104" s="157">
        <f t="shared" si="8"/>
        <v>43.756</v>
      </c>
    </row>
    <row r="105" spans="1:29" x14ac:dyDescent="0.35">
      <c r="A105" t="str">
        <f t="shared" si="9"/>
        <v>Mi-0</v>
      </c>
      <c r="B105" s="2" t="s">
        <v>68</v>
      </c>
      <c r="C105">
        <v>0</v>
      </c>
      <c r="D105" s="3">
        <v>2</v>
      </c>
      <c r="E105">
        <v>1</v>
      </c>
      <c r="H105">
        <v>93.46</v>
      </c>
      <c r="K105" s="56">
        <v>3.0110000000000001</v>
      </c>
      <c r="N105" s="88">
        <v>45</v>
      </c>
      <c r="Q105" s="56">
        <v>6.6018300000000002E-2</v>
      </c>
      <c r="T105" s="56">
        <v>58.012</v>
      </c>
      <c r="X105" s="157" t="b">
        <f t="shared" si="6"/>
        <v>0</v>
      </c>
      <c r="Y105" s="157" t="s">
        <v>41</v>
      </c>
      <c r="Z105" s="157">
        <v>2</v>
      </c>
      <c r="AA105" s="157">
        <v>54.2</v>
      </c>
      <c r="AB105" s="157">
        <f t="shared" si="7"/>
        <v>4.2911715199999999E-2</v>
      </c>
      <c r="AC105" s="157">
        <f t="shared" si="8"/>
        <v>43.558</v>
      </c>
    </row>
    <row r="106" spans="1:29" x14ac:dyDescent="0.35">
      <c r="A106" t="str">
        <f t="shared" si="9"/>
        <v>Mi-0</v>
      </c>
      <c r="B106" s="2" t="s">
        <v>68</v>
      </c>
      <c r="C106">
        <v>0</v>
      </c>
      <c r="D106" s="3">
        <v>3</v>
      </c>
      <c r="E106">
        <v>0</v>
      </c>
      <c r="H106">
        <v>93.44</v>
      </c>
      <c r="K106" s="56">
        <v>4.8310000000000004</v>
      </c>
      <c r="N106" s="88">
        <v>23</v>
      </c>
      <c r="Q106" s="56">
        <v>2.90925E-2</v>
      </c>
      <c r="T106" s="56">
        <v>33.558999999999997</v>
      </c>
      <c r="X106" s="157" t="b">
        <f t="shared" si="6"/>
        <v>0</v>
      </c>
      <c r="Y106" s="157" t="s">
        <v>41</v>
      </c>
      <c r="Z106" s="157">
        <v>3</v>
      </c>
      <c r="AA106" s="157">
        <v>43.7</v>
      </c>
      <c r="AB106" s="157">
        <f t="shared" si="7"/>
        <v>2.8581609200000004E-2</v>
      </c>
      <c r="AC106" s="157">
        <f t="shared" si="8"/>
        <v>33.163000000000004</v>
      </c>
    </row>
    <row r="107" spans="1:29" x14ac:dyDescent="0.35">
      <c r="A107" t="str">
        <f t="shared" si="9"/>
        <v>Mi-0</v>
      </c>
      <c r="B107" s="2" t="s">
        <v>68</v>
      </c>
      <c r="C107">
        <v>0</v>
      </c>
      <c r="D107" s="3">
        <v>4</v>
      </c>
      <c r="E107">
        <v>0</v>
      </c>
      <c r="K107" s="56">
        <v>0.23400000000000001</v>
      </c>
      <c r="Q107" s="56">
        <v>2.8073500000000001E-2</v>
      </c>
      <c r="T107" s="56">
        <v>32.767000000000003</v>
      </c>
      <c r="X107" s="157" t="b">
        <f t="shared" si="6"/>
        <v>0</v>
      </c>
      <c r="Y107" s="157" t="s">
        <v>41</v>
      </c>
      <c r="Z107" s="157">
        <v>4</v>
      </c>
      <c r="AA107" s="157">
        <v>45.3</v>
      </c>
      <c r="AB107" s="157">
        <f t="shared" si="7"/>
        <v>3.0641641199999993E-2</v>
      </c>
      <c r="AC107" s="157">
        <f t="shared" si="8"/>
        <v>34.746999999999993</v>
      </c>
    </row>
    <row r="108" spans="1:29" x14ac:dyDescent="0.35">
      <c r="A108" t="str">
        <f t="shared" si="9"/>
        <v>Mi-0</v>
      </c>
      <c r="B108" s="2" t="s">
        <v>68</v>
      </c>
      <c r="C108">
        <v>0</v>
      </c>
      <c r="D108" s="3">
        <v>5</v>
      </c>
      <c r="E108">
        <v>1</v>
      </c>
      <c r="K108" s="56">
        <v>4.8310000000000004</v>
      </c>
      <c r="Q108" s="56">
        <v>2.3987999999999999E-2</v>
      </c>
      <c r="T108" s="56">
        <v>29.5</v>
      </c>
      <c r="X108" s="157" t="b">
        <f t="shared" si="6"/>
        <v>0</v>
      </c>
      <c r="Y108" s="157" t="s">
        <v>41</v>
      </c>
      <c r="Z108" s="157">
        <v>5</v>
      </c>
      <c r="AA108" s="157"/>
      <c r="AB108" s="157"/>
      <c r="AC108" s="157"/>
    </row>
    <row r="109" spans="1:29" x14ac:dyDescent="0.35">
      <c r="A109" t="str">
        <f t="shared" si="9"/>
        <v>Mi-1</v>
      </c>
      <c r="B109" s="2" t="s">
        <v>68</v>
      </c>
      <c r="C109">
        <v>1</v>
      </c>
      <c r="D109" s="3">
        <v>1</v>
      </c>
      <c r="E109">
        <v>1</v>
      </c>
      <c r="F109">
        <f>AVERAGE($E109:$E113)</f>
        <v>1.4</v>
      </c>
      <c r="G109">
        <f>_xlfn.STDEV.P($E109:$E113)</f>
        <v>1.019803902718557</v>
      </c>
      <c r="H109">
        <v>79.2</v>
      </c>
      <c r="I109">
        <v>79.954999999999998</v>
      </c>
      <c r="J109">
        <v>0.755</v>
      </c>
      <c r="K109" s="56">
        <v>9.7530000000000006E-2</v>
      </c>
      <c r="L109" s="56">
        <v>3.0727999999999998E-2</v>
      </c>
      <c r="M109" s="56">
        <v>3.5105999999999998E-2</v>
      </c>
      <c r="N109" s="88">
        <v>30</v>
      </c>
      <c r="O109" s="56">
        <v>40.200000000000003</v>
      </c>
      <c r="P109" s="56">
        <v>9.5163019999999996</v>
      </c>
      <c r="Q109" s="56">
        <v>3.05116E-2</v>
      </c>
      <c r="R109" s="56">
        <v>2.5409999999999999E-2</v>
      </c>
      <c r="S109" s="56">
        <v>1.2966E-2</v>
      </c>
      <c r="T109" s="56">
        <v>34.648000000000003</v>
      </c>
      <c r="U109" s="56">
        <v>28.451000000000001</v>
      </c>
      <c r="V109" s="56">
        <v>14.356820000000001</v>
      </c>
      <c r="X109" s="157" t="b">
        <f t="shared" si="6"/>
        <v>0</v>
      </c>
      <c r="Y109" s="157" t="s">
        <v>40</v>
      </c>
      <c r="Z109" s="157">
        <v>1</v>
      </c>
      <c r="AA109" s="157">
        <v>35.5</v>
      </c>
      <c r="AB109" s="157">
        <f t="shared" si="7"/>
        <v>1.8721469999999997E-2</v>
      </c>
      <c r="AC109" s="157">
        <f t="shared" si="8"/>
        <v>25.045000000000002</v>
      </c>
    </row>
    <row r="110" spans="1:29" x14ac:dyDescent="0.35">
      <c r="A110" t="str">
        <f t="shared" si="9"/>
        <v>Mi-1</v>
      </c>
      <c r="B110" s="2" t="s">
        <v>68</v>
      </c>
      <c r="C110">
        <v>1</v>
      </c>
      <c r="D110" s="3">
        <v>2</v>
      </c>
      <c r="E110">
        <v>2</v>
      </c>
      <c r="H110">
        <v>80.709999999999994</v>
      </c>
      <c r="K110" s="56">
        <v>3.1700000000000001E-4</v>
      </c>
      <c r="N110" s="88">
        <v>28</v>
      </c>
      <c r="Q110" s="56">
        <v>2.8200300000000001E-2</v>
      </c>
      <c r="T110" s="56">
        <v>32.866</v>
      </c>
      <c r="X110" s="157" t="b">
        <f t="shared" si="6"/>
        <v>0</v>
      </c>
      <c r="Y110" s="157" t="s">
        <v>40</v>
      </c>
      <c r="Z110" s="157">
        <v>2</v>
      </c>
      <c r="AA110" s="157">
        <v>44.4</v>
      </c>
      <c r="AB110" s="157">
        <f t="shared" si="7"/>
        <v>2.9477404800000002E-2</v>
      </c>
      <c r="AC110" s="157">
        <f t="shared" si="8"/>
        <v>33.855999999999995</v>
      </c>
    </row>
    <row r="111" spans="1:29" x14ac:dyDescent="0.35">
      <c r="A111" t="str">
        <f t="shared" si="9"/>
        <v>Mi-1</v>
      </c>
      <c r="B111" s="2" t="s">
        <v>68</v>
      </c>
      <c r="C111">
        <v>1</v>
      </c>
      <c r="D111" s="3">
        <v>3</v>
      </c>
      <c r="E111">
        <v>3</v>
      </c>
      <c r="K111" s="56">
        <v>7.8720000000000005E-3</v>
      </c>
      <c r="N111" s="88">
        <v>50</v>
      </c>
      <c r="Q111" s="56">
        <v>3.2215800000000003E-2</v>
      </c>
      <c r="T111" s="56">
        <v>35.935000000000002</v>
      </c>
      <c r="X111" s="157" t="b">
        <f t="shared" si="6"/>
        <v>0</v>
      </c>
      <c r="Y111" s="157" t="s">
        <v>40</v>
      </c>
      <c r="Z111" s="157">
        <v>3</v>
      </c>
      <c r="AA111" s="157">
        <v>42</v>
      </c>
      <c r="AB111" s="157">
        <f t="shared" si="7"/>
        <v>2.6441520000000003E-2</v>
      </c>
      <c r="AC111" s="157">
        <f t="shared" si="8"/>
        <v>31.479999999999997</v>
      </c>
    </row>
    <row r="112" spans="1:29" x14ac:dyDescent="0.35">
      <c r="A112" t="str">
        <f t="shared" si="9"/>
        <v>Mi-1</v>
      </c>
      <c r="B112" s="2" t="s">
        <v>68</v>
      </c>
      <c r="C112">
        <v>1</v>
      </c>
      <c r="D112" s="3">
        <v>4</v>
      </c>
      <c r="E112">
        <v>1</v>
      </c>
      <c r="K112" s="56">
        <v>1.4992E-2</v>
      </c>
      <c r="N112" s="88">
        <v>50</v>
      </c>
      <c r="Q112" s="56">
        <v>3.6123299999999997E-2</v>
      </c>
      <c r="T112" s="56">
        <v>38.805999999999997</v>
      </c>
      <c r="X112" s="157" t="b">
        <f t="shared" si="6"/>
        <v>0</v>
      </c>
      <c r="Y112" s="157" t="s">
        <v>40</v>
      </c>
      <c r="Z112" s="157">
        <v>4</v>
      </c>
      <c r="AA112" s="157">
        <v>45.5</v>
      </c>
      <c r="AB112" s="157">
        <f t="shared" si="7"/>
        <v>3.0902270000000003E-2</v>
      </c>
      <c r="AC112" s="157">
        <f t="shared" si="8"/>
        <v>34.945</v>
      </c>
    </row>
    <row r="113" spans="1:29" ht="14.5" customHeight="1" x14ac:dyDescent="0.35">
      <c r="A113" t="str">
        <f t="shared" si="9"/>
        <v>Mi-1</v>
      </c>
      <c r="B113" s="2" t="s">
        <v>68</v>
      </c>
      <c r="C113">
        <v>1</v>
      </c>
      <c r="D113" s="3">
        <v>5</v>
      </c>
      <c r="E113">
        <v>0</v>
      </c>
      <c r="K113" s="56">
        <v>3.2927999999999999E-2</v>
      </c>
      <c r="N113" s="88">
        <v>43</v>
      </c>
      <c r="Q113" s="56">
        <v>0</v>
      </c>
      <c r="T113" s="56">
        <v>0</v>
      </c>
      <c r="X113" s="157" t="b">
        <f t="shared" si="6"/>
        <v>0</v>
      </c>
      <c r="Y113" s="157" t="s">
        <v>40</v>
      </c>
      <c r="Z113" s="157">
        <v>5</v>
      </c>
      <c r="AA113" s="157">
        <v>40</v>
      </c>
      <c r="AB113" s="157">
        <f t="shared" si="7"/>
        <v>2.3987999999999995E-2</v>
      </c>
      <c r="AC113" s="157">
        <f t="shared" si="8"/>
        <v>29.5</v>
      </c>
    </row>
    <row r="114" spans="1:29" ht="15" customHeight="1" x14ac:dyDescent="0.35">
      <c r="A114" t="str">
        <f t="shared" si="9"/>
        <v>Mo-0</v>
      </c>
      <c r="B114" s="2" t="s">
        <v>78</v>
      </c>
      <c r="C114">
        <v>0</v>
      </c>
      <c r="D114" s="3">
        <v>1</v>
      </c>
      <c r="E114">
        <v>1</v>
      </c>
      <c r="F114">
        <f>AVERAGE($E114:$E118)</f>
        <v>0.2</v>
      </c>
      <c r="G114">
        <f>_xlfn.STDEV.P($E114:$E118)</f>
        <v>0.4</v>
      </c>
      <c r="H114">
        <v>44.98</v>
      </c>
      <c r="I114">
        <v>64.713333329999998</v>
      </c>
      <c r="J114">
        <v>14.236689999999999</v>
      </c>
      <c r="K114" s="56">
        <v>1.845</v>
      </c>
      <c r="L114" s="56">
        <v>2.9569999999999999</v>
      </c>
      <c r="M114" s="56">
        <v>1.2557849999999999</v>
      </c>
      <c r="N114" s="88">
        <v>15</v>
      </c>
      <c r="O114" s="56">
        <v>18.399999999999999</v>
      </c>
      <c r="P114" s="56">
        <v>4.4988890000000001</v>
      </c>
      <c r="Q114" s="56">
        <v>4.3203199999999997E-2</v>
      </c>
      <c r="R114" s="56">
        <v>2.9068E-2</v>
      </c>
      <c r="S114" s="56">
        <v>1.5741999999999999E-2</v>
      </c>
      <c r="T114" s="56">
        <v>43.756</v>
      </c>
      <c r="U114" s="56">
        <v>31.044799999999999</v>
      </c>
      <c r="V114" s="56">
        <v>16.125309999999999</v>
      </c>
      <c r="X114" s="157" t="b">
        <f t="shared" si="6"/>
        <v>0</v>
      </c>
      <c r="Y114" s="157" t="s">
        <v>37</v>
      </c>
      <c r="Z114" s="157">
        <v>1</v>
      </c>
      <c r="AA114" s="157">
        <v>58.4</v>
      </c>
      <c r="AB114" s="157">
        <f t="shared" si="7"/>
        <v>4.9179660800000004E-2</v>
      </c>
      <c r="AC114" s="157">
        <f t="shared" si="8"/>
        <v>47.715999999999994</v>
      </c>
    </row>
    <row r="115" spans="1:29" x14ac:dyDescent="0.35">
      <c r="A115" t="str">
        <f t="shared" si="9"/>
        <v>Mo-0</v>
      </c>
      <c r="B115" s="2" t="s">
        <v>78</v>
      </c>
      <c r="C115">
        <v>0</v>
      </c>
      <c r="D115" s="3">
        <v>2</v>
      </c>
      <c r="E115">
        <v>0</v>
      </c>
      <c r="H115">
        <v>71.12</v>
      </c>
      <c r="K115" s="56">
        <v>4.8310000000000004</v>
      </c>
      <c r="N115" s="88">
        <v>12</v>
      </c>
      <c r="Q115" s="56">
        <v>4.2911699999999997E-2</v>
      </c>
      <c r="T115" s="56">
        <v>43.558</v>
      </c>
      <c r="X115" s="157" t="b">
        <f t="shared" si="6"/>
        <v>0</v>
      </c>
      <c r="Y115" s="157" t="s">
        <v>37</v>
      </c>
      <c r="Z115" s="157">
        <v>2</v>
      </c>
      <c r="AA115" s="157">
        <v>61.5</v>
      </c>
      <c r="AB115" s="157">
        <f t="shared" si="7"/>
        <v>5.4002429999999997E-2</v>
      </c>
      <c r="AC115" s="157">
        <f t="shared" si="8"/>
        <v>50.784999999999997</v>
      </c>
    </row>
    <row r="116" spans="1:29" x14ac:dyDescent="0.35">
      <c r="A116" t="str">
        <f t="shared" si="9"/>
        <v>Mo-0</v>
      </c>
      <c r="B116" s="2" t="s">
        <v>78</v>
      </c>
      <c r="C116">
        <v>0</v>
      </c>
      <c r="D116" s="3">
        <v>3</v>
      </c>
      <c r="E116">
        <v>0</v>
      </c>
      <c r="H116">
        <v>78.040000000000006</v>
      </c>
      <c r="K116" s="56">
        <v>3.996</v>
      </c>
      <c r="N116" s="88">
        <v>20</v>
      </c>
      <c r="Q116" s="56">
        <v>2.8581599999999999E-2</v>
      </c>
      <c r="T116" s="56">
        <v>33.162999999999997</v>
      </c>
      <c r="X116" s="157" t="b">
        <f t="shared" si="6"/>
        <v>0</v>
      </c>
      <c r="Y116" s="157" t="s">
        <v>37</v>
      </c>
      <c r="Z116" s="157">
        <v>3</v>
      </c>
      <c r="AA116" s="157">
        <v>56.4</v>
      </c>
      <c r="AB116" s="157">
        <f t="shared" si="7"/>
        <v>4.6156732799999996E-2</v>
      </c>
      <c r="AC116" s="157">
        <f t="shared" si="8"/>
        <v>45.735999999999997</v>
      </c>
    </row>
    <row r="117" spans="1:29" x14ac:dyDescent="0.35">
      <c r="A117" t="str">
        <f t="shared" si="9"/>
        <v>Mo-0</v>
      </c>
      <c r="B117" s="2" t="s">
        <v>78</v>
      </c>
      <c r="C117">
        <v>0</v>
      </c>
      <c r="D117" s="3">
        <v>4</v>
      </c>
      <c r="E117">
        <v>0</v>
      </c>
      <c r="K117" s="56">
        <v>1.59</v>
      </c>
      <c r="N117" s="88">
        <v>25</v>
      </c>
      <c r="Q117" s="56">
        <v>3.0641600000000001E-2</v>
      </c>
      <c r="T117" s="56">
        <v>34.747</v>
      </c>
      <c r="X117" s="157" t="b">
        <f t="shared" si="6"/>
        <v>0</v>
      </c>
      <c r="Y117" s="157" t="s">
        <v>37</v>
      </c>
      <c r="Z117" s="157">
        <v>4</v>
      </c>
      <c r="AA117" s="157">
        <v>60.8</v>
      </c>
      <c r="AB117" s="157">
        <f t="shared" si="7"/>
        <v>5.2898835200000001E-2</v>
      </c>
      <c r="AC117" s="157">
        <f t="shared" si="8"/>
        <v>50.091999999999999</v>
      </c>
    </row>
    <row r="118" spans="1:29" x14ac:dyDescent="0.35">
      <c r="A118" t="str">
        <f t="shared" si="9"/>
        <v>Mo-0</v>
      </c>
      <c r="B118" s="2" t="s">
        <v>78</v>
      </c>
      <c r="C118">
        <v>0</v>
      </c>
      <c r="D118" s="3">
        <v>5</v>
      </c>
      <c r="E118">
        <v>0</v>
      </c>
      <c r="K118" s="56">
        <v>2.5230000000000001</v>
      </c>
      <c r="N118" s="88">
        <v>20</v>
      </c>
      <c r="Q118" s="56">
        <v>0</v>
      </c>
      <c r="T118" s="56">
        <v>0</v>
      </c>
      <c r="X118" s="157" t="b">
        <f t="shared" si="6"/>
        <v>0</v>
      </c>
      <c r="Y118" s="157" t="s">
        <v>37</v>
      </c>
      <c r="Z118" s="157">
        <v>5</v>
      </c>
      <c r="AA118" s="157">
        <v>51.3</v>
      </c>
      <c r="AB118" s="157">
        <f t="shared" si="7"/>
        <v>3.8762569199999992E-2</v>
      </c>
      <c r="AC118" s="157">
        <f t="shared" si="8"/>
        <v>40.686999999999998</v>
      </c>
    </row>
    <row r="119" spans="1:29" x14ac:dyDescent="0.35">
      <c r="A119" t="str">
        <f t="shared" si="9"/>
        <v>Mo-1</v>
      </c>
      <c r="B119" s="2" t="s">
        <v>78</v>
      </c>
      <c r="C119">
        <v>1</v>
      </c>
      <c r="D119" s="3">
        <v>1</v>
      </c>
      <c r="E119">
        <v>0</v>
      </c>
      <c r="F119">
        <f>AVERAGE($E119:$E123)</f>
        <v>0</v>
      </c>
      <c r="G119">
        <f>_xlfn.STDEV.P($E119:$E123)</f>
        <v>0</v>
      </c>
      <c r="H119">
        <v>77.239999999999995</v>
      </c>
      <c r="I119">
        <v>77.453333330000007</v>
      </c>
      <c r="J119">
        <v>7.6438969999999999</v>
      </c>
      <c r="K119" s="114">
        <v>12.71</v>
      </c>
      <c r="L119" s="114">
        <v>6.6740000000000004</v>
      </c>
      <c r="M119" s="114">
        <v>4.0121149999999997</v>
      </c>
      <c r="N119" s="88">
        <v>90</v>
      </c>
      <c r="O119" s="56">
        <v>92</v>
      </c>
      <c r="P119" s="56">
        <v>4</v>
      </c>
      <c r="Q119" s="56">
        <v>1.8721499999999999E-2</v>
      </c>
      <c r="R119" s="56">
        <v>2.5905999999999998E-2</v>
      </c>
      <c r="S119" s="56">
        <v>4.3200000000000001E-3</v>
      </c>
      <c r="T119" s="56">
        <v>25.045000000000002</v>
      </c>
      <c r="U119" s="56">
        <v>30.965199999999999</v>
      </c>
      <c r="V119" s="56">
        <v>3.5115850000000002</v>
      </c>
      <c r="X119" s="157" t="b">
        <f t="shared" si="6"/>
        <v>0</v>
      </c>
      <c r="Y119" s="157" t="s">
        <v>36</v>
      </c>
      <c r="Z119" s="157">
        <v>1</v>
      </c>
      <c r="AA119" s="157">
        <v>49.5</v>
      </c>
      <c r="AB119" s="157">
        <f t="shared" si="7"/>
        <v>3.6260670000000002E-2</v>
      </c>
      <c r="AC119" s="157">
        <f t="shared" si="8"/>
        <v>38.905000000000001</v>
      </c>
    </row>
    <row r="120" spans="1:29" x14ac:dyDescent="0.35">
      <c r="A120" t="str">
        <f t="shared" si="9"/>
        <v>Mo-1</v>
      </c>
      <c r="B120" s="2" t="s">
        <v>78</v>
      </c>
      <c r="C120">
        <v>1</v>
      </c>
      <c r="D120" s="3">
        <v>2</v>
      </c>
      <c r="E120">
        <v>0</v>
      </c>
      <c r="H120">
        <v>68.2</v>
      </c>
      <c r="K120" s="114">
        <v>3.55</v>
      </c>
      <c r="L120" s="114"/>
      <c r="M120" s="114"/>
      <c r="N120" s="88">
        <v>90</v>
      </c>
      <c r="Q120" s="56">
        <v>2.9477400000000001E-2</v>
      </c>
      <c r="T120" s="56">
        <v>33.856000000000002</v>
      </c>
      <c r="X120" s="157" t="b">
        <f t="shared" si="6"/>
        <v>0</v>
      </c>
      <c r="Y120" s="157" t="s">
        <v>36</v>
      </c>
      <c r="Z120" s="157">
        <v>2</v>
      </c>
      <c r="AA120" s="157">
        <v>55.9</v>
      </c>
      <c r="AB120" s="157">
        <f t="shared" si="7"/>
        <v>4.5411850799999993E-2</v>
      </c>
      <c r="AC120" s="157">
        <f t="shared" si="8"/>
        <v>45.241</v>
      </c>
    </row>
    <row r="121" spans="1:29" x14ac:dyDescent="0.35">
      <c r="A121" t="str">
        <f t="shared" si="9"/>
        <v>Mo-1</v>
      </c>
      <c r="B121" s="2" t="s">
        <v>78</v>
      </c>
      <c r="C121">
        <v>1</v>
      </c>
      <c r="D121" s="3">
        <v>3</v>
      </c>
      <c r="E121">
        <v>0</v>
      </c>
      <c r="H121">
        <v>86.92</v>
      </c>
      <c r="K121" s="114">
        <v>2.89</v>
      </c>
      <c r="L121" s="114"/>
      <c r="M121" s="114"/>
      <c r="N121" s="88">
        <v>90</v>
      </c>
      <c r="Q121" s="56">
        <v>2.64415E-2</v>
      </c>
      <c r="T121" s="56">
        <v>31.48</v>
      </c>
      <c r="X121" s="157" t="b">
        <f t="shared" si="6"/>
        <v>0</v>
      </c>
      <c r="Y121" s="157" t="s">
        <v>36</v>
      </c>
      <c r="Z121" s="157">
        <v>3</v>
      </c>
      <c r="AA121" s="157">
        <v>51.4</v>
      </c>
      <c r="AB121" s="157">
        <f t="shared" si="7"/>
        <v>3.8903212799999996E-2</v>
      </c>
      <c r="AC121" s="157">
        <f t="shared" si="8"/>
        <v>40.785999999999994</v>
      </c>
    </row>
    <row r="122" spans="1:29" x14ac:dyDescent="0.35">
      <c r="A122" t="str">
        <f t="shared" si="9"/>
        <v>Mo-1</v>
      </c>
      <c r="B122" s="2" t="s">
        <v>78</v>
      </c>
      <c r="C122">
        <v>1</v>
      </c>
      <c r="D122" s="3">
        <v>4</v>
      </c>
      <c r="E122">
        <v>0</v>
      </c>
      <c r="K122" s="114">
        <v>10.24</v>
      </c>
      <c r="L122" s="114"/>
      <c r="M122" s="114"/>
      <c r="N122" s="88">
        <v>90</v>
      </c>
      <c r="Q122" s="56">
        <v>3.0902300000000001E-2</v>
      </c>
      <c r="T122" s="56">
        <v>34.945</v>
      </c>
      <c r="X122" s="157" t="b">
        <f t="shared" si="6"/>
        <v>0</v>
      </c>
      <c r="Y122" s="157" t="s">
        <v>36</v>
      </c>
      <c r="Z122" s="157">
        <v>4</v>
      </c>
      <c r="AA122" s="157">
        <v>51.4</v>
      </c>
      <c r="AB122" s="157">
        <f t="shared" si="7"/>
        <v>3.8903212799999996E-2</v>
      </c>
      <c r="AC122" s="157">
        <f t="shared" si="8"/>
        <v>40.785999999999994</v>
      </c>
    </row>
    <row r="123" spans="1:29" x14ac:dyDescent="0.35">
      <c r="A123" t="str">
        <f t="shared" si="9"/>
        <v>Mo-1</v>
      </c>
      <c r="B123" s="2" t="s">
        <v>78</v>
      </c>
      <c r="C123">
        <v>1</v>
      </c>
      <c r="D123" s="3">
        <v>5</v>
      </c>
      <c r="E123">
        <v>0</v>
      </c>
      <c r="K123" s="114">
        <v>3.98</v>
      </c>
      <c r="L123" s="114"/>
      <c r="M123" s="114"/>
      <c r="N123" s="88">
        <v>100</v>
      </c>
      <c r="Q123" s="56">
        <v>2.3987999999999999E-2</v>
      </c>
      <c r="T123" s="56">
        <v>29.5</v>
      </c>
      <c r="X123" s="157" t="b">
        <f t="shared" si="6"/>
        <v>0</v>
      </c>
      <c r="Y123" s="157" t="s">
        <v>36</v>
      </c>
      <c r="Z123" s="157">
        <v>5</v>
      </c>
      <c r="AA123" s="157">
        <v>54.4</v>
      </c>
      <c r="AB123" s="157">
        <f t="shared" si="7"/>
        <v>4.3203244799999999E-2</v>
      </c>
      <c r="AC123" s="157">
        <f t="shared" si="8"/>
        <v>43.756</v>
      </c>
    </row>
    <row r="124" spans="1:29" x14ac:dyDescent="0.35">
      <c r="A124" t="str">
        <f t="shared" si="9"/>
        <v>Mu-0</v>
      </c>
      <c r="B124" s="2" t="s">
        <v>74</v>
      </c>
      <c r="C124">
        <v>0</v>
      </c>
      <c r="D124" s="3">
        <v>1</v>
      </c>
      <c r="E124">
        <v>0</v>
      </c>
      <c r="F124">
        <f>AVERAGE($E124:$E128)</f>
        <v>0</v>
      </c>
      <c r="G124">
        <f>_xlfn.STDEV.P($E124:$E128)</f>
        <v>0</v>
      </c>
      <c r="H124">
        <v>98.62</v>
      </c>
      <c r="I124">
        <v>98.403333329999995</v>
      </c>
      <c r="J124">
        <v>0.25197000000000003</v>
      </c>
      <c r="L124" s="56">
        <v>11.94333</v>
      </c>
      <c r="M124" s="56">
        <v>6.4604799999999996</v>
      </c>
      <c r="N124" s="88">
        <v>20</v>
      </c>
      <c r="O124" s="56">
        <v>24.2</v>
      </c>
      <c r="P124" s="56">
        <v>2.6381809999999999</v>
      </c>
      <c r="Q124" s="56">
        <v>0</v>
      </c>
      <c r="R124" s="56">
        <v>0</v>
      </c>
      <c r="S124" s="56">
        <v>0</v>
      </c>
      <c r="T124" s="56">
        <v>0</v>
      </c>
      <c r="U124" s="56">
        <v>0</v>
      </c>
      <c r="V124" s="56">
        <v>0</v>
      </c>
      <c r="X124" s="157" t="b">
        <f t="shared" si="6"/>
        <v>0</v>
      </c>
      <c r="Y124" s="157" t="s">
        <v>29</v>
      </c>
      <c r="Z124" s="157">
        <v>1</v>
      </c>
      <c r="AA124" s="157"/>
      <c r="AB124" s="157"/>
      <c r="AC124" s="157"/>
    </row>
    <row r="125" spans="1:29" x14ac:dyDescent="0.35">
      <c r="A125" t="str">
        <f t="shared" si="9"/>
        <v>Mu-0</v>
      </c>
      <c r="B125" s="2" t="s">
        <v>74</v>
      </c>
      <c r="C125">
        <v>0</v>
      </c>
      <c r="D125" s="3">
        <v>2</v>
      </c>
      <c r="E125">
        <v>0</v>
      </c>
      <c r="H125">
        <v>98.54</v>
      </c>
      <c r="K125" s="56">
        <v>12.801</v>
      </c>
      <c r="N125" s="88">
        <v>25</v>
      </c>
      <c r="Q125" s="56">
        <v>0</v>
      </c>
      <c r="T125" s="56">
        <v>0</v>
      </c>
      <c r="X125" s="157" t="b">
        <f t="shared" si="6"/>
        <v>0</v>
      </c>
      <c r="Y125" s="157" t="s">
        <v>29</v>
      </c>
      <c r="Z125" s="157">
        <v>2</v>
      </c>
      <c r="AA125" s="157"/>
      <c r="AB125" s="157"/>
      <c r="AC125" s="157"/>
    </row>
    <row r="126" spans="1:29" x14ac:dyDescent="0.35">
      <c r="A126" t="str">
        <f t="shared" si="9"/>
        <v>Mu-0</v>
      </c>
      <c r="B126" s="2" t="s">
        <v>74</v>
      </c>
      <c r="C126">
        <v>0</v>
      </c>
      <c r="D126" s="3">
        <v>3</v>
      </c>
      <c r="E126">
        <v>0</v>
      </c>
      <c r="H126">
        <v>98.05</v>
      </c>
      <c r="K126" s="56">
        <v>19.391999999999999</v>
      </c>
      <c r="N126" s="88">
        <v>23</v>
      </c>
      <c r="Q126" s="56">
        <v>0</v>
      </c>
      <c r="T126" s="56">
        <v>0</v>
      </c>
      <c r="X126" s="157" t="b">
        <f t="shared" si="6"/>
        <v>0</v>
      </c>
      <c r="Y126" s="157" t="s">
        <v>29</v>
      </c>
      <c r="Z126" s="157">
        <v>3</v>
      </c>
      <c r="AA126" s="157"/>
      <c r="AB126" s="157"/>
      <c r="AC126" s="157"/>
    </row>
    <row r="127" spans="1:29" x14ac:dyDescent="0.35">
      <c r="A127" t="str">
        <f t="shared" si="9"/>
        <v>Mu-0</v>
      </c>
      <c r="B127" s="2" t="s">
        <v>74</v>
      </c>
      <c r="C127">
        <v>0</v>
      </c>
      <c r="D127" s="3">
        <v>4</v>
      </c>
      <c r="K127" s="56">
        <v>3.637</v>
      </c>
      <c r="N127" s="88">
        <v>25</v>
      </c>
      <c r="Q127" s="56">
        <v>0</v>
      </c>
      <c r="T127" s="56">
        <v>0</v>
      </c>
      <c r="X127" s="157" t="b">
        <f t="shared" si="6"/>
        <v>0</v>
      </c>
      <c r="Y127" s="157" t="s">
        <v>29</v>
      </c>
      <c r="Z127" s="157">
        <v>4</v>
      </c>
      <c r="AA127" s="157"/>
      <c r="AB127" s="157"/>
      <c r="AC127" s="157"/>
    </row>
    <row r="128" spans="1:29" x14ac:dyDescent="0.35">
      <c r="A128" t="str">
        <f t="shared" si="9"/>
        <v>Mu-0</v>
      </c>
      <c r="B128" s="2" t="s">
        <v>74</v>
      </c>
      <c r="C128">
        <v>0</v>
      </c>
      <c r="D128" s="3">
        <v>5</v>
      </c>
      <c r="N128" s="88">
        <v>28</v>
      </c>
      <c r="Q128" s="56">
        <v>0</v>
      </c>
      <c r="T128" s="56">
        <v>0</v>
      </c>
      <c r="X128" s="157" t="b">
        <f t="shared" si="6"/>
        <v>0</v>
      </c>
      <c r="Y128" s="157" t="s">
        <v>29</v>
      </c>
      <c r="Z128" s="157">
        <v>5</v>
      </c>
      <c r="AA128" s="157"/>
      <c r="AB128" s="157"/>
      <c r="AC128" s="157"/>
    </row>
    <row r="129" spans="1:29" x14ac:dyDescent="0.35">
      <c r="A129" t="str">
        <f t="shared" si="9"/>
        <v>Mu-1</v>
      </c>
      <c r="B129" s="2" t="s">
        <v>74</v>
      </c>
      <c r="C129">
        <v>1</v>
      </c>
      <c r="D129" s="3">
        <v>1</v>
      </c>
      <c r="E129">
        <v>1</v>
      </c>
      <c r="F129">
        <f>AVERAGE($E129:$E133)</f>
        <v>1</v>
      </c>
      <c r="G129">
        <f>_xlfn.STDEV.P($E129:$E133)</f>
        <v>0.81649658092772603</v>
      </c>
      <c r="H129">
        <v>99.32</v>
      </c>
      <c r="I129">
        <v>99.173333330000006</v>
      </c>
      <c r="J129">
        <v>0.19344800000000001</v>
      </c>
      <c r="K129" s="56">
        <v>2.2730000000000001</v>
      </c>
      <c r="L129" s="56">
        <v>2.2530000000000001</v>
      </c>
      <c r="M129" s="56">
        <v>0.02</v>
      </c>
      <c r="N129" s="88">
        <v>17</v>
      </c>
      <c r="O129" s="56">
        <v>19.399999999999999</v>
      </c>
      <c r="P129" s="56">
        <v>3.4985710000000001</v>
      </c>
      <c r="Q129" s="56">
        <v>0</v>
      </c>
      <c r="R129" s="56">
        <v>0</v>
      </c>
      <c r="S129" s="56">
        <v>0</v>
      </c>
      <c r="T129" s="56">
        <v>0</v>
      </c>
      <c r="U129" s="56">
        <v>0</v>
      </c>
      <c r="V129" s="56">
        <v>0</v>
      </c>
      <c r="X129" s="157" t="b">
        <f t="shared" si="6"/>
        <v>0</v>
      </c>
      <c r="Y129" s="157" t="s">
        <v>28</v>
      </c>
      <c r="Z129" s="157">
        <v>1</v>
      </c>
      <c r="AA129" s="157"/>
      <c r="AB129" s="157"/>
      <c r="AC129" s="157"/>
    </row>
    <row r="130" spans="1:29" x14ac:dyDescent="0.35">
      <c r="A130" t="str">
        <f t="shared" si="9"/>
        <v>Mu-1</v>
      </c>
      <c r="B130" s="2" t="s">
        <v>74</v>
      </c>
      <c r="C130">
        <v>1</v>
      </c>
      <c r="D130" s="3">
        <v>2</v>
      </c>
      <c r="E130">
        <v>2</v>
      </c>
      <c r="H130">
        <v>99.3</v>
      </c>
      <c r="K130" s="56">
        <v>2.2330000000000001</v>
      </c>
      <c r="N130" s="88">
        <v>18</v>
      </c>
      <c r="Q130" s="56">
        <v>0</v>
      </c>
      <c r="T130" s="56">
        <v>0</v>
      </c>
      <c r="X130" s="157" t="b">
        <f t="shared" si="6"/>
        <v>0</v>
      </c>
      <c r="Y130" s="157" t="s">
        <v>28</v>
      </c>
      <c r="Z130" s="157">
        <v>2</v>
      </c>
      <c r="AA130" s="157"/>
      <c r="AB130" s="157"/>
      <c r="AC130" s="157"/>
    </row>
    <row r="131" spans="1:29" x14ac:dyDescent="0.35">
      <c r="A131" t="str">
        <f t="shared" si="9"/>
        <v>Mu-1</v>
      </c>
      <c r="B131" s="2" t="s">
        <v>74</v>
      </c>
      <c r="C131">
        <v>1</v>
      </c>
      <c r="D131" s="3">
        <v>3</v>
      </c>
      <c r="E131">
        <v>0</v>
      </c>
      <c r="H131">
        <v>98.9</v>
      </c>
      <c r="N131" s="88">
        <v>24</v>
      </c>
      <c r="Q131" s="56">
        <v>0</v>
      </c>
      <c r="T131" s="56">
        <v>0</v>
      </c>
      <c r="X131" s="157" t="b">
        <f t="shared" si="6"/>
        <v>0</v>
      </c>
      <c r="Y131" s="157" t="s">
        <v>28</v>
      </c>
      <c r="Z131" s="157">
        <v>3</v>
      </c>
      <c r="AA131" s="157"/>
      <c r="AB131" s="157"/>
      <c r="AC131" s="157"/>
    </row>
    <row r="132" spans="1:29" x14ac:dyDescent="0.35">
      <c r="A132" t="str">
        <f t="shared" ref="A132:A163" si="10">B132&amp;"-"&amp;C132</f>
        <v>Mu-1</v>
      </c>
      <c r="B132" s="2" t="s">
        <v>74</v>
      </c>
      <c r="C132">
        <v>1</v>
      </c>
      <c r="D132" s="3">
        <v>4</v>
      </c>
      <c r="K132" s="114"/>
      <c r="N132" s="88">
        <v>15</v>
      </c>
      <c r="Q132" s="56">
        <v>0</v>
      </c>
      <c r="T132" s="56">
        <v>0</v>
      </c>
      <c r="X132" s="157" t="b">
        <f t="shared" si="6"/>
        <v>0</v>
      </c>
      <c r="Y132" s="157" t="s">
        <v>28</v>
      </c>
      <c r="Z132" s="157">
        <v>4</v>
      </c>
      <c r="AA132" s="157"/>
      <c r="AB132" s="157"/>
      <c r="AC132" s="157"/>
    </row>
    <row r="133" spans="1:29" x14ac:dyDescent="0.35">
      <c r="A133" t="str">
        <f t="shared" si="10"/>
        <v>Mu-1</v>
      </c>
      <c r="B133" s="2" t="s">
        <v>74</v>
      </c>
      <c r="C133">
        <v>1</v>
      </c>
      <c r="D133" s="3">
        <v>5</v>
      </c>
      <c r="N133" s="88">
        <v>23</v>
      </c>
      <c r="Q133" s="56">
        <v>0</v>
      </c>
      <c r="T133" s="56">
        <v>0</v>
      </c>
      <c r="X133" s="157" t="b">
        <f t="shared" ref="X133:X196" si="11">EXACT(Y133,A133)</f>
        <v>0</v>
      </c>
      <c r="Y133" s="157" t="s">
        <v>28</v>
      </c>
      <c r="Z133" s="157">
        <v>5</v>
      </c>
      <c r="AA133" s="157"/>
      <c r="AB133" s="157"/>
      <c r="AC133" s="157"/>
    </row>
    <row r="134" spans="1:29" x14ac:dyDescent="0.35">
      <c r="A134" t="str">
        <f t="shared" si="10"/>
        <v>Na-0</v>
      </c>
      <c r="B134" s="2" t="s">
        <v>101</v>
      </c>
      <c r="C134">
        <v>0</v>
      </c>
      <c r="D134" s="3">
        <v>1</v>
      </c>
      <c r="E134">
        <v>1</v>
      </c>
      <c r="F134">
        <f>AVERAGE($E134:$E138)</f>
        <v>0.66666666666666663</v>
      </c>
      <c r="G134">
        <f>_xlfn.STDEV.P($E134:$E138)</f>
        <v>0.47140452079103168</v>
      </c>
      <c r="H134">
        <v>83.25</v>
      </c>
      <c r="I134">
        <v>85.343333329999993</v>
      </c>
      <c r="J134">
        <v>1.6865410000000001</v>
      </c>
      <c r="K134" s="56">
        <v>13.831</v>
      </c>
      <c r="L134" s="56">
        <v>11.92267</v>
      </c>
      <c r="M134" s="56">
        <v>7.4653130000000001</v>
      </c>
      <c r="N134" s="88">
        <v>80</v>
      </c>
      <c r="O134" s="56">
        <v>80.75</v>
      </c>
      <c r="P134" s="56">
        <v>2.58602</v>
      </c>
      <c r="Q134" s="56">
        <v>5.73643E-2</v>
      </c>
      <c r="R134" s="56">
        <v>5.8541999999999997E-2</v>
      </c>
      <c r="S134" s="56">
        <v>3.5469999999999998E-3</v>
      </c>
      <c r="T134" s="56">
        <v>52.863999999999997</v>
      </c>
      <c r="U134" s="56">
        <v>53.557000000000002</v>
      </c>
      <c r="V134" s="56">
        <v>2.1270030000000002</v>
      </c>
      <c r="X134" s="157" t="b">
        <f t="shared" si="11"/>
        <v>0</v>
      </c>
      <c r="Y134" s="157" t="s">
        <v>133</v>
      </c>
      <c r="Z134" s="157">
        <v>1</v>
      </c>
      <c r="AA134" s="157">
        <v>56.5</v>
      </c>
      <c r="AB134" s="157">
        <f t="shared" ref="AB134:AB193" si="12">8.68*10^-6*AA134^2+5.15*10^-4*AA134-1.05*10^-2</f>
        <v>4.6306229999999997E-2</v>
      </c>
      <c r="AC134" s="157">
        <f t="shared" ref="AC134:AC193" si="13">0.99*AA134-10.1</f>
        <v>45.835000000000001</v>
      </c>
    </row>
    <row r="135" spans="1:29" x14ac:dyDescent="0.35">
      <c r="A135" t="str">
        <f t="shared" si="10"/>
        <v>Na-0</v>
      </c>
      <c r="B135" s="2" t="s">
        <v>101</v>
      </c>
      <c r="C135">
        <v>0</v>
      </c>
      <c r="D135" s="3">
        <v>2</v>
      </c>
      <c r="E135">
        <v>1</v>
      </c>
      <c r="H135">
        <v>85.4</v>
      </c>
      <c r="K135" s="56">
        <v>19.960999999999999</v>
      </c>
      <c r="N135" s="88">
        <v>78</v>
      </c>
      <c r="Q135" s="56">
        <v>5.5753799999999999E-2</v>
      </c>
      <c r="T135" s="56">
        <v>51.874000000000002</v>
      </c>
      <c r="X135" s="157" t="b">
        <f t="shared" si="11"/>
        <v>0</v>
      </c>
      <c r="Y135" s="157" t="s">
        <v>133</v>
      </c>
      <c r="Z135" s="157">
        <v>2</v>
      </c>
      <c r="AA135" s="157">
        <v>49</v>
      </c>
      <c r="AB135" s="157">
        <f t="shared" si="12"/>
        <v>3.5575680000000005E-2</v>
      </c>
      <c r="AC135" s="157">
        <f t="shared" si="13"/>
        <v>38.409999999999997</v>
      </c>
    </row>
    <row r="136" spans="1:29" x14ac:dyDescent="0.35">
      <c r="A136" t="str">
        <f t="shared" si="10"/>
        <v>Na-0</v>
      </c>
      <c r="B136" s="2" t="s">
        <v>101</v>
      </c>
      <c r="C136">
        <v>0</v>
      </c>
      <c r="D136" s="3">
        <v>3</v>
      </c>
      <c r="E136">
        <v>0</v>
      </c>
      <c r="H136">
        <v>87.38</v>
      </c>
      <c r="K136" s="56">
        <v>1.976</v>
      </c>
      <c r="N136" s="88">
        <v>85</v>
      </c>
      <c r="Q136" s="56">
        <v>6.5165699999999993E-2</v>
      </c>
      <c r="T136" s="56">
        <v>57.517000000000003</v>
      </c>
      <c r="X136" s="157" t="b">
        <f t="shared" si="11"/>
        <v>0</v>
      </c>
      <c r="Y136" s="157" t="s">
        <v>133</v>
      </c>
      <c r="Z136" s="157">
        <v>3</v>
      </c>
      <c r="AA136" s="157">
        <v>63</v>
      </c>
      <c r="AB136" s="157">
        <f t="shared" si="12"/>
        <v>5.6395919999999995E-2</v>
      </c>
      <c r="AC136" s="157">
        <f t="shared" si="13"/>
        <v>52.269999999999996</v>
      </c>
    </row>
    <row r="137" spans="1:29" x14ac:dyDescent="0.35">
      <c r="A137" t="str">
        <f t="shared" si="10"/>
        <v>Na-0</v>
      </c>
      <c r="B137" s="2" t="s">
        <v>101</v>
      </c>
      <c r="C137">
        <v>0</v>
      </c>
      <c r="D137" s="3">
        <v>4</v>
      </c>
      <c r="N137" s="88">
        <v>80</v>
      </c>
      <c r="Q137" s="56">
        <v>5.8992000000000003E-2</v>
      </c>
      <c r="T137" s="56">
        <v>53.853999999999999</v>
      </c>
      <c r="X137" s="157" t="b">
        <f t="shared" si="11"/>
        <v>0</v>
      </c>
      <c r="Y137" s="157" t="s">
        <v>133</v>
      </c>
      <c r="Z137" s="157">
        <v>4</v>
      </c>
      <c r="AA137" s="157">
        <v>55</v>
      </c>
      <c r="AB137" s="157">
        <f t="shared" si="12"/>
        <v>4.4082000000000003E-2</v>
      </c>
      <c r="AC137" s="157">
        <f t="shared" si="13"/>
        <v>44.35</v>
      </c>
    </row>
    <row r="138" spans="1:29" x14ac:dyDescent="0.35">
      <c r="A138" t="str">
        <f t="shared" si="10"/>
        <v>Na-0</v>
      </c>
      <c r="B138" s="2" t="s">
        <v>101</v>
      </c>
      <c r="C138">
        <v>0</v>
      </c>
      <c r="D138" s="3">
        <v>5</v>
      </c>
      <c r="Q138" s="56">
        <v>5.5433799999999998E-2</v>
      </c>
      <c r="T138" s="56">
        <v>51.676000000000002</v>
      </c>
      <c r="X138" s="157" t="b">
        <f t="shared" si="11"/>
        <v>0</v>
      </c>
      <c r="Y138" s="157" t="s">
        <v>133</v>
      </c>
      <c r="Z138" s="157">
        <v>5</v>
      </c>
      <c r="AA138" s="157">
        <v>60.6</v>
      </c>
      <c r="AB138" s="157">
        <f t="shared" si="12"/>
        <v>5.2585084800000008E-2</v>
      </c>
      <c r="AC138" s="157">
        <f t="shared" si="13"/>
        <v>49.893999999999998</v>
      </c>
    </row>
    <row r="139" spans="1:29" x14ac:dyDescent="0.35">
      <c r="A139" t="str">
        <f t="shared" si="10"/>
        <v>Na-1</v>
      </c>
      <c r="B139" s="2" t="s">
        <v>101</v>
      </c>
      <c r="C139">
        <v>1</v>
      </c>
      <c r="D139" s="3">
        <v>1</v>
      </c>
      <c r="E139">
        <v>3</v>
      </c>
      <c r="F139">
        <f>AVERAGE($E139:$E143)</f>
        <v>1.3333333333333333</v>
      </c>
      <c r="G139">
        <f>_xlfn.STDEV.P($E139:$E143)</f>
        <v>1.247219128924647</v>
      </c>
      <c r="H139">
        <v>87.15</v>
      </c>
      <c r="I139">
        <v>78.013333329999995</v>
      </c>
      <c r="J139">
        <v>10.97443</v>
      </c>
      <c r="K139" s="56">
        <v>26.15</v>
      </c>
      <c r="L139" s="56">
        <v>24.418500000000002</v>
      </c>
      <c r="M139" s="56">
        <v>1.7315</v>
      </c>
      <c r="N139" s="88">
        <v>70</v>
      </c>
      <c r="O139" s="56">
        <v>70.599999999999994</v>
      </c>
      <c r="P139" s="56">
        <v>4.1761229999999996</v>
      </c>
      <c r="Q139" s="56">
        <v>7.0521299999999995E-2</v>
      </c>
      <c r="R139" s="56">
        <v>6.7582000000000003E-2</v>
      </c>
      <c r="S139" s="56">
        <v>5.5009999999999998E-3</v>
      </c>
      <c r="T139" s="56">
        <v>60.585999999999999</v>
      </c>
      <c r="U139" s="56">
        <v>58.863399999999999</v>
      </c>
      <c r="V139" s="56">
        <v>3.1466430000000001</v>
      </c>
      <c r="X139" s="157" t="b">
        <f t="shared" si="11"/>
        <v>0</v>
      </c>
      <c r="Y139" s="157" t="s">
        <v>134</v>
      </c>
      <c r="Z139" s="157">
        <v>1</v>
      </c>
      <c r="AA139" s="157">
        <v>52.1</v>
      </c>
      <c r="AB139" s="157">
        <f t="shared" si="12"/>
        <v>3.9892578800000002E-2</v>
      </c>
      <c r="AC139" s="157">
        <f t="shared" si="13"/>
        <v>41.478999999999999</v>
      </c>
    </row>
    <row r="140" spans="1:29" x14ac:dyDescent="0.35">
      <c r="A140" t="str">
        <f t="shared" si="10"/>
        <v>Na-1</v>
      </c>
      <c r="B140" s="2" t="s">
        <v>101</v>
      </c>
      <c r="C140">
        <v>1</v>
      </c>
      <c r="D140" s="3">
        <v>2</v>
      </c>
      <c r="E140">
        <v>1</v>
      </c>
      <c r="H140">
        <v>62.58</v>
      </c>
      <c r="K140" s="56">
        <v>22.687000000000001</v>
      </c>
      <c r="N140" s="88">
        <v>70</v>
      </c>
      <c r="Q140" s="56">
        <v>6.1632600000000003E-2</v>
      </c>
      <c r="T140" s="56">
        <v>55.438000000000002</v>
      </c>
      <c r="X140" s="157" t="b">
        <f t="shared" si="11"/>
        <v>0</v>
      </c>
      <c r="Y140" s="157" t="s">
        <v>134</v>
      </c>
      <c r="Z140" s="157">
        <v>2</v>
      </c>
      <c r="AA140" s="157">
        <v>54.1</v>
      </c>
      <c r="AB140" s="157">
        <f t="shared" si="12"/>
        <v>4.2766210800000003E-2</v>
      </c>
      <c r="AC140" s="157">
        <f t="shared" si="13"/>
        <v>43.458999999999996</v>
      </c>
    </row>
    <row r="141" spans="1:29" x14ac:dyDescent="0.35">
      <c r="A141" t="str">
        <f t="shared" si="10"/>
        <v>Na-1</v>
      </c>
      <c r="B141" s="2" t="s">
        <v>101</v>
      </c>
      <c r="C141">
        <v>1</v>
      </c>
      <c r="D141" s="3">
        <v>3</v>
      </c>
      <c r="E141">
        <v>0</v>
      </c>
      <c r="H141">
        <v>84.31</v>
      </c>
      <c r="N141" s="88">
        <v>65</v>
      </c>
      <c r="Q141" s="56">
        <v>6.1632600000000003E-2</v>
      </c>
      <c r="T141" s="56">
        <v>55.438000000000002</v>
      </c>
      <c r="X141" s="157" t="b">
        <f t="shared" si="11"/>
        <v>0</v>
      </c>
      <c r="Y141" s="157" t="s">
        <v>134</v>
      </c>
      <c r="Z141" s="157">
        <v>3</v>
      </c>
      <c r="AA141" s="157">
        <v>55.9</v>
      </c>
      <c r="AB141" s="157">
        <f t="shared" si="12"/>
        <v>4.5411850799999993E-2</v>
      </c>
      <c r="AC141" s="157">
        <f t="shared" si="13"/>
        <v>45.241</v>
      </c>
    </row>
    <row r="142" spans="1:29" x14ac:dyDescent="0.35">
      <c r="A142" t="str">
        <f t="shared" si="10"/>
        <v>Na-1</v>
      </c>
      <c r="B142" s="2" t="s">
        <v>101</v>
      </c>
      <c r="C142">
        <v>1</v>
      </c>
      <c r="D142" s="3">
        <v>4</v>
      </c>
      <c r="N142" s="88">
        <v>70</v>
      </c>
      <c r="Q142" s="56">
        <v>6.8082000000000004E-2</v>
      </c>
      <c r="T142" s="56">
        <v>59.2</v>
      </c>
      <c r="X142" s="157" t="b">
        <f t="shared" si="11"/>
        <v>0</v>
      </c>
      <c r="Y142" s="157" t="s">
        <v>134</v>
      </c>
      <c r="Z142" s="157">
        <v>4</v>
      </c>
      <c r="AA142" s="157">
        <v>58.4</v>
      </c>
      <c r="AB142" s="157">
        <f t="shared" si="12"/>
        <v>4.9179660800000004E-2</v>
      </c>
      <c r="AC142" s="157">
        <f t="shared" si="13"/>
        <v>47.715999999999994</v>
      </c>
    </row>
    <row r="143" spans="1:29" x14ac:dyDescent="0.35">
      <c r="A143" t="str">
        <f t="shared" si="10"/>
        <v>Na-1</v>
      </c>
      <c r="B143" s="2" t="s">
        <v>101</v>
      </c>
      <c r="C143">
        <v>1</v>
      </c>
      <c r="D143" s="3">
        <v>5</v>
      </c>
      <c r="N143" s="88">
        <v>78</v>
      </c>
      <c r="Q143" s="56">
        <v>7.6043700000000006E-2</v>
      </c>
      <c r="T143" s="56">
        <v>63.655000000000001</v>
      </c>
      <c r="X143" s="157" t="b">
        <f t="shared" si="11"/>
        <v>0</v>
      </c>
      <c r="Y143" s="157" t="s">
        <v>134</v>
      </c>
      <c r="Z143" s="157">
        <v>5</v>
      </c>
      <c r="AA143" s="157">
        <v>56.6</v>
      </c>
      <c r="AB143" s="157">
        <f t="shared" si="12"/>
        <v>4.6455900799999998E-2</v>
      </c>
      <c r="AC143" s="157">
        <f t="shared" si="13"/>
        <v>45.933999999999997</v>
      </c>
    </row>
    <row r="144" spans="1:29" x14ac:dyDescent="0.35">
      <c r="A144" t="str">
        <f t="shared" si="10"/>
        <v>Ne-0</v>
      </c>
      <c r="B144" s="2" t="s">
        <v>100</v>
      </c>
      <c r="C144">
        <v>0</v>
      </c>
      <c r="D144" s="3">
        <v>1</v>
      </c>
      <c r="E144">
        <v>3</v>
      </c>
      <c r="F144">
        <f>AVERAGE($E144:$E148)</f>
        <v>2.3333333333333335</v>
      </c>
      <c r="G144">
        <f>_xlfn.STDEV.P($E144:$E148)</f>
        <v>0.47140452079103168</v>
      </c>
      <c r="H144">
        <v>91.85</v>
      </c>
      <c r="I144">
        <v>92.25</v>
      </c>
      <c r="J144">
        <v>4.295928</v>
      </c>
      <c r="K144" s="56">
        <v>2.7450000000000001</v>
      </c>
      <c r="L144" s="56">
        <v>2.0684999999999998</v>
      </c>
      <c r="M144" s="56">
        <v>0.67649999999999999</v>
      </c>
      <c r="N144" s="88">
        <v>82</v>
      </c>
      <c r="O144" s="56">
        <v>81.400000000000006</v>
      </c>
      <c r="P144" s="56">
        <v>1.2</v>
      </c>
      <c r="Q144" s="56">
        <v>4.6306199999999999E-2</v>
      </c>
      <c r="R144" s="56">
        <v>4.6989000000000003E-2</v>
      </c>
      <c r="S144" s="56">
        <v>7.1970000000000003E-3</v>
      </c>
      <c r="T144" s="56">
        <v>45.835000000000001</v>
      </c>
      <c r="U144" s="56">
        <v>46.151800000000001</v>
      </c>
      <c r="V144" s="56">
        <v>4.7899630000000002</v>
      </c>
      <c r="X144" s="157" t="b">
        <f t="shared" si="11"/>
        <v>0</v>
      </c>
      <c r="Y144" s="157" t="s">
        <v>131</v>
      </c>
      <c r="Z144" s="157">
        <v>1</v>
      </c>
      <c r="AA144" s="157">
        <v>63.6</v>
      </c>
      <c r="AB144" s="157">
        <f t="shared" si="12"/>
        <v>5.7364252799999994E-2</v>
      </c>
      <c r="AC144" s="157">
        <f t="shared" si="13"/>
        <v>52.863999999999997</v>
      </c>
    </row>
    <row r="145" spans="1:29" x14ac:dyDescent="0.35">
      <c r="A145" t="str">
        <f t="shared" si="10"/>
        <v>Ne-0</v>
      </c>
      <c r="B145" s="2" t="s">
        <v>100</v>
      </c>
      <c r="C145">
        <v>0</v>
      </c>
      <c r="D145" s="3">
        <v>2</v>
      </c>
      <c r="E145">
        <v>2</v>
      </c>
      <c r="H145">
        <v>97.7</v>
      </c>
      <c r="K145" s="56">
        <v>1.3919999999999999</v>
      </c>
      <c r="N145" s="88">
        <v>82</v>
      </c>
      <c r="Q145" s="56">
        <v>3.5575700000000002E-2</v>
      </c>
      <c r="T145" s="56">
        <v>38.409999999999997</v>
      </c>
      <c r="X145" s="157" t="b">
        <f t="shared" si="11"/>
        <v>0</v>
      </c>
      <c r="Y145" s="157" t="s">
        <v>131</v>
      </c>
      <c r="Z145" s="157">
        <v>2</v>
      </c>
      <c r="AA145" s="157">
        <v>62.6</v>
      </c>
      <c r="AB145" s="157">
        <f t="shared" si="12"/>
        <v>5.5753836800000005E-2</v>
      </c>
      <c r="AC145" s="157">
        <f t="shared" si="13"/>
        <v>51.874000000000002</v>
      </c>
    </row>
    <row r="146" spans="1:29" x14ac:dyDescent="0.35">
      <c r="A146" t="str">
        <f t="shared" si="10"/>
        <v>Ne-0</v>
      </c>
      <c r="B146" s="2" t="s">
        <v>100</v>
      </c>
      <c r="C146">
        <v>0</v>
      </c>
      <c r="D146" s="3">
        <v>3</v>
      </c>
      <c r="E146">
        <v>2</v>
      </c>
      <c r="H146">
        <v>87.2</v>
      </c>
      <c r="N146" s="88">
        <v>80</v>
      </c>
      <c r="Q146" s="56">
        <v>5.6395899999999999E-2</v>
      </c>
      <c r="T146" s="56">
        <v>52.27</v>
      </c>
      <c r="X146" s="157" t="b">
        <f t="shared" si="11"/>
        <v>0</v>
      </c>
      <c r="Y146" s="157" t="s">
        <v>131</v>
      </c>
      <c r="Z146" s="157">
        <v>3</v>
      </c>
      <c r="AA146" s="157">
        <v>68.3</v>
      </c>
      <c r="AB146" s="157">
        <f t="shared" si="12"/>
        <v>6.51657452E-2</v>
      </c>
      <c r="AC146" s="157">
        <f t="shared" si="13"/>
        <v>57.516999999999989</v>
      </c>
    </row>
    <row r="147" spans="1:29" x14ac:dyDescent="0.35">
      <c r="A147" t="str">
        <f t="shared" si="10"/>
        <v>Ne-0</v>
      </c>
      <c r="B147" s="2" t="s">
        <v>100</v>
      </c>
      <c r="C147">
        <v>0</v>
      </c>
      <c r="D147" s="3">
        <v>4</v>
      </c>
      <c r="N147" s="88">
        <v>83</v>
      </c>
      <c r="Q147" s="56">
        <v>4.4082000000000003E-2</v>
      </c>
      <c r="T147" s="56">
        <v>44.35</v>
      </c>
      <c r="X147" s="157" t="b">
        <f t="shared" si="11"/>
        <v>0</v>
      </c>
      <c r="Y147" s="157" t="s">
        <v>131</v>
      </c>
      <c r="Z147" s="157">
        <v>4</v>
      </c>
      <c r="AA147" s="157">
        <v>64.599999999999994</v>
      </c>
      <c r="AB147" s="157">
        <f t="shared" si="12"/>
        <v>5.8992028799999992E-2</v>
      </c>
      <c r="AC147" s="157">
        <f t="shared" si="13"/>
        <v>53.853999999999992</v>
      </c>
    </row>
    <row r="148" spans="1:29" x14ac:dyDescent="0.35">
      <c r="A148" t="str">
        <f t="shared" si="10"/>
        <v>Ne-0</v>
      </c>
      <c r="B148" s="2" t="s">
        <v>100</v>
      </c>
      <c r="C148">
        <v>0</v>
      </c>
      <c r="D148" s="3">
        <v>5</v>
      </c>
      <c r="N148" s="88">
        <v>80</v>
      </c>
      <c r="Q148" s="56">
        <v>5.2585100000000003E-2</v>
      </c>
      <c r="T148" s="56">
        <v>49.893999999999998</v>
      </c>
      <c r="X148" s="157" t="b">
        <f t="shared" si="11"/>
        <v>0</v>
      </c>
      <c r="Y148" s="157" t="s">
        <v>131</v>
      </c>
      <c r="Z148" s="157">
        <v>5</v>
      </c>
      <c r="AA148" s="157">
        <v>62.4</v>
      </c>
      <c r="AB148" s="157">
        <f t="shared" si="12"/>
        <v>5.5433836800000004E-2</v>
      </c>
      <c r="AC148" s="157">
        <f t="shared" si="13"/>
        <v>51.675999999999995</v>
      </c>
    </row>
    <row r="149" spans="1:29" x14ac:dyDescent="0.35">
      <c r="A149" t="str">
        <f t="shared" si="10"/>
        <v>Ne-1</v>
      </c>
      <c r="B149" s="2" t="s">
        <v>100</v>
      </c>
      <c r="C149">
        <v>1</v>
      </c>
      <c r="D149" s="3">
        <v>1</v>
      </c>
      <c r="E149">
        <v>5</v>
      </c>
      <c r="F149">
        <f>AVERAGE($E149:$E153)</f>
        <v>3.3333333333333335</v>
      </c>
      <c r="G149">
        <f>_xlfn.STDEV.P($E149:$E153)</f>
        <v>1.247219128924647</v>
      </c>
      <c r="H149">
        <v>93.69</v>
      </c>
      <c r="I149">
        <v>86.886666669999997</v>
      </c>
      <c r="J149">
        <v>7.0997669999999999</v>
      </c>
      <c r="K149" s="56">
        <v>3.665</v>
      </c>
      <c r="L149" s="56">
        <v>7.7590000000000003</v>
      </c>
      <c r="M149" s="56">
        <v>4.0940000000000003</v>
      </c>
      <c r="N149" s="88">
        <v>80</v>
      </c>
      <c r="O149" s="56">
        <v>77.400000000000006</v>
      </c>
      <c r="P149" s="56">
        <v>1.624808</v>
      </c>
      <c r="Q149" s="56">
        <v>3.98926E-2</v>
      </c>
      <c r="R149" s="56">
        <v>4.4741000000000003E-2</v>
      </c>
      <c r="S149" s="56">
        <v>3.1779999999999998E-3</v>
      </c>
      <c r="T149" s="56">
        <v>41.478999999999999</v>
      </c>
      <c r="U149" s="56">
        <v>44.765799999999999</v>
      </c>
      <c r="V149" s="56">
        <v>2.1356480000000002</v>
      </c>
      <c r="X149" s="157" t="b">
        <f t="shared" si="11"/>
        <v>0</v>
      </c>
      <c r="Y149" s="157" t="s">
        <v>132</v>
      </c>
      <c r="Z149" s="157">
        <v>1</v>
      </c>
      <c r="AA149" s="157">
        <v>71.400000000000006</v>
      </c>
      <c r="AB149" s="157">
        <f t="shared" si="12"/>
        <v>7.052129280000001E-2</v>
      </c>
      <c r="AC149" s="157">
        <f t="shared" si="13"/>
        <v>60.586000000000006</v>
      </c>
    </row>
    <row r="150" spans="1:29" x14ac:dyDescent="0.35">
      <c r="A150" t="str">
        <f t="shared" si="10"/>
        <v>Ne-1</v>
      </c>
      <c r="B150" s="2" t="s">
        <v>100</v>
      </c>
      <c r="C150">
        <v>1</v>
      </c>
      <c r="D150" s="3">
        <v>2</v>
      </c>
      <c r="E150">
        <v>3</v>
      </c>
      <c r="H150">
        <v>89.88</v>
      </c>
      <c r="K150" s="56">
        <v>11.853</v>
      </c>
      <c r="N150" s="88">
        <v>75</v>
      </c>
      <c r="Q150" s="56">
        <v>4.2766199999999997E-2</v>
      </c>
      <c r="T150" s="56">
        <v>43.459000000000003</v>
      </c>
      <c r="X150" s="157" t="b">
        <f t="shared" si="11"/>
        <v>0</v>
      </c>
      <c r="Y150" s="157" t="s">
        <v>132</v>
      </c>
      <c r="Z150" s="157">
        <v>2</v>
      </c>
      <c r="AA150" s="157">
        <v>66.2</v>
      </c>
      <c r="AB150" s="157">
        <f t="shared" si="12"/>
        <v>6.1632579200000016E-2</v>
      </c>
      <c r="AC150" s="157">
        <f t="shared" si="13"/>
        <v>55.437999999999995</v>
      </c>
    </row>
    <row r="151" spans="1:29" x14ac:dyDescent="0.35">
      <c r="A151" t="str">
        <f t="shared" si="10"/>
        <v>Ne-1</v>
      </c>
      <c r="B151" s="2" t="s">
        <v>100</v>
      </c>
      <c r="C151">
        <v>1</v>
      </c>
      <c r="D151" s="3">
        <v>3</v>
      </c>
      <c r="E151">
        <v>2</v>
      </c>
      <c r="H151">
        <v>77.09</v>
      </c>
      <c r="N151" s="88">
        <v>77</v>
      </c>
      <c r="Q151" s="56">
        <v>4.5411899999999998E-2</v>
      </c>
      <c r="T151" s="56">
        <v>45.241</v>
      </c>
      <c r="X151" s="157" t="b">
        <f t="shared" si="11"/>
        <v>0</v>
      </c>
      <c r="Y151" s="157" t="s">
        <v>132</v>
      </c>
      <c r="Z151" s="157">
        <v>3</v>
      </c>
      <c r="AA151" s="157">
        <v>66.2</v>
      </c>
      <c r="AB151" s="157">
        <f t="shared" si="12"/>
        <v>6.1632579200000016E-2</v>
      </c>
      <c r="AC151" s="157">
        <f t="shared" si="13"/>
        <v>55.437999999999995</v>
      </c>
    </row>
    <row r="152" spans="1:29" x14ac:dyDescent="0.35">
      <c r="A152" t="str">
        <f t="shared" si="10"/>
        <v>Ne-1</v>
      </c>
      <c r="B152" s="2" t="s">
        <v>100</v>
      </c>
      <c r="C152">
        <v>1</v>
      </c>
      <c r="D152" s="3">
        <v>4</v>
      </c>
      <c r="N152" s="88">
        <v>78</v>
      </c>
      <c r="Q152" s="56">
        <v>4.91797E-2</v>
      </c>
      <c r="T152" s="56">
        <v>47.716000000000001</v>
      </c>
      <c r="X152" s="157" t="b">
        <f t="shared" si="11"/>
        <v>0</v>
      </c>
      <c r="Y152" s="157" t="s">
        <v>132</v>
      </c>
      <c r="Z152" s="157">
        <v>4</v>
      </c>
      <c r="AA152" s="157">
        <v>70</v>
      </c>
      <c r="AB152" s="157">
        <f t="shared" si="12"/>
        <v>6.8082000000000018E-2</v>
      </c>
      <c r="AC152" s="157">
        <f t="shared" si="13"/>
        <v>59.199999999999996</v>
      </c>
    </row>
    <row r="153" spans="1:29" x14ac:dyDescent="0.35">
      <c r="A153" t="str">
        <f t="shared" si="10"/>
        <v>Ne-1</v>
      </c>
      <c r="B153" s="2" t="s">
        <v>100</v>
      </c>
      <c r="C153">
        <v>1</v>
      </c>
      <c r="D153" s="3">
        <v>5</v>
      </c>
      <c r="N153" s="88">
        <v>77</v>
      </c>
      <c r="Q153" s="56">
        <v>4.6455900000000001E-2</v>
      </c>
      <c r="T153" s="56">
        <v>45.933999999999997</v>
      </c>
      <c r="X153" s="157" t="b">
        <f t="shared" si="11"/>
        <v>0</v>
      </c>
      <c r="Y153" s="157" t="s">
        <v>132</v>
      </c>
      <c r="Z153" s="157">
        <v>5</v>
      </c>
      <c r="AA153" s="157">
        <v>74.5</v>
      </c>
      <c r="AB153" s="157">
        <f t="shared" si="12"/>
        <v>7.6043670000000008E-2</v>
      </c>
      <c r="AC153" s="157">
        <f t="shared" si="13"/>
        <v>63.654999999999994</v>
      </c>
    </row>
    <row r="154" spans="1:29" x14ac:dyDescent="0.35">
      <c r="A154" t="str">
        <f t="shared" si="10"/>
        <v>Ni-0</v>
      </c>
      <c r="B154" s="2" t="s">
        <v>82</v>
      </c>
      <c r="C154">
        <v>0</v>
      </c>
      <c r="D154" s="3">
        <v>1</v>
      </c>
      <c r="E154">
        <v>1</v>
      </c>
      <c r="F154">
        <f>AVERAGE($E154:$E158)</f>
        <v>0.33333333333333331</v>
      </c>
      <c r="G154">
        <f>_xlfn.STDEV.P($E154:$E158)</f>
        <v>0.47140452079103168</v>
      </c>
      <c r="H154">
        <v>66.14</v>
      </c>
      <c r="I154">
        <v>68.069999999999993</v>
      </c>
      <c r="J154">
        <v>1.93</v>
      </c>
      <c r="K154" s="56">
        <v>21.016999999999999</v>
      </c>
      <c r="L154" s="56">
        <v>17.486999999999998</v>
      </c>
      <c r="M154" s="56">
        <v>3.53</v>
      </c>
      <c r="N154" s="88">
        <v>70</v>
      </c>
      <c r="O154" s="56">
        <v>75</v>
      </c>
      <c r="P154" s="56">
        <v>5</v>
      </c>
      <c r="Q154" s="56">
        <v>0</v>
      </c>
      <c r="R154" s="56">
        <v>0</v>
      </c>
      <c r="S154" s="56">
        <v>0</v>
      </c>
      <c r="T154" s="56">
        <v>0</v>
      </c>
      <c r="U154" s="56">
        <v>0</v>
      </c>
      <c r="V154" s="56">
        <v>0</v>
      </c>
      <c r="X154" s="157" t="b">
        <f t="shared" si="11"/>
        <v>0</v>
      </c>
      <c r="Y154" s="157" t="s">
        <v>57</v>
      </c>
      <c r="Z154" s="157">
        <v>1</v>
      </c>
      <c r="AA154" s="157">
        <v>56.7</v>
      </c>
      <c r="AB154" s="157">
        <f t="shared" si="12"/>
        <v>4.66057452E-2</v>
      </c>
      <c r="AC154" s="157">
        <f t="shared" si="13"/>
        <v>46.033000000000001</v>
      </c>
    </row>
    <row r="155" spans="1:29" x14ac:dyDescent="0.35">
      <c r="A155" t="str">
        <f t="shared" si="10"/>
        <v>Ni-0</v>
      </c>
      <c r="B155" s="2" t="s">
        <v>82</v>
      </c>
      <c r="C155">
        <v>0</v>
      </c>
      <c r="D155" s="3">
        <v>2</v>
      </c>
      <c r="E155">
        <v>0</v>
      </c>
      <c r="H155">
        <v>70</v>
      </c>
      <c r="K155" s="56">
        <v>13.957000000000001</v>
      </c>
      <c r="N155" s="88">
        <v>80</v>
      </c>
      <c r="Q155" s="56">
        <v>0</v>
      </c>
      <c r="T155" s="56">
        <v>0</v>
      </c>
      <c r="X155" s="157" t="b">
        <f t="shared" si="11"/>
        <v>0</v>
      </c>
      <c r="Y155" s="157" t="s">
        <v>57</v>
      </c>
      <c r="Z155" s="157">
        <v>2</v>
      </c>
      <c r="AA155" s="157">
        <v>47</v>
      </c>
      <c r="AB155" s="157">
        <f t="shared" si="12"/>
        <v>3.2879119999999998E-2</v>
      </c>
      <c r="AC155" s="157">
        <f t="shared" si="13"/>
        <v>36.43</v>
      </c>
    </row>
    <row r="156" spans="1:29" x14ac:dyDescent="0.35">
      <c r="A156" t="str">
        <f t="shared" si="10"/>
        <v>Ni-0</v>
      </c>
      <c r="B156" s="2" t="s">
        <v>82</v>
      </c>
      <c r="C156">
        <v>0</v>
      </c>
      <c r="D156" s="3">
        <v>3</v>
      </c>
      <c r="E156">
        <v>0</v>
      </c>
      <c r="Q156" s="56">
        <v>0</v>
      </c>
      <c r="T156" s="56">
        <v>0</v>
      </c>
      <c r="X156" s="157" t="b">
        <f t="shared" si="11"/>
        <v>0</v>
      </c>
      <c r="Y156" s="157" t="s">
        <v>57</v>
      </c>
      <c r="Z156" s="157">
        <v>3</v>
      </c>
      <c r="AA156" s="157">
        <v>56.4</v>
      </c>
      <c r="AB156" s="157">
        <f t="shared" si="12"/>
        <v>4.6156732799999996E-2</v>
      </c>
      <c r="AC156" s="157">
        <f t="shared" si="13"/>
        <v>45.735999999999997</v>
      </c>
    </row>
    <row r="157" spans="1:29" x14ac:dyDescent="0.35">
      <c r="A157" t="str">
        <f t="shared" si="10"/>
        <v>Ni-0</v>
      </c>
      <c r="B157" s="2" t="s">
        <v>82</v>
      </c>
      <c r="C157">
        <v>0</v>
      </c>
      <c r="D157" s="3">
        <v>4</v>
      </c>
      <c r="Q157" s="56">
        <v>0</v>
      </c>
      <c r="T157" s="56">
        <v>0</v>
      </c>
      <c r="X157" s="157" t="b">
        <f t="shared" si="11"/>
        <v>0</v>
      </c>
      <c r="Y157" s="157" t="s">
        <v>57</v>
      </c>
      <c r="Z157" s="157">
        <v>4</v>
      </c>
      <c r="AA157" s="157">
        <v>53.3</v>
      </c>
      <c r="AB157" s="157">
        <f t="shared" si="12"/>
        <v>4.16084252E-2</v>
      </c>
      <c r="AC157" s="157">
        <f t="shared" si="13"/>
        <v>42.666999999999994</v>
      </c>
    </row>
    <row r="158" spans="1:29" x14ac:dyDescent="0.35">
      <c r="A158" t="str">
        <f t="shared" si="10"/>
        <v>Ni-0</v>
      </c>
      <c r="B158" s="2" t="s">
        <v>82</v>
      </c>
      <c r="C158">
        <v>0</v>
      </c>
      <c r="D158" s="3">
        <v>5</v>
      </c>
      <c r="Q158" s="56">
        <v>0</v>
      </c>
      <c r="T158" s="56">
        <v>0</v>
      </c>
      <c r="X158" s="157" t="b">
        <f t="shared" si="11"/>
        <v>0</v>
      </c>
      <c r="Y158" s="157" t="s">
        <v>57</v>
      </c>
      <c r="Z158" s="157">
        <v>5</v>
      </c>
      <c r="AA158" s="157">
        <v>59.3</v>
      </c>
      <c r="AB158" s="157">
        <f t="shared" si="12"/>
        <v>5.0562633199999991E-2</v>
      </c>
      <c r="AC158" s="157">
        <f t="shared" si="13"/>
        <v>48.606999999999992</v>
      </c>
    </row>
    <row r="159" spans="1:29" x14ac:dyDescent="0.35">
      <c r="A159" t="str">
        <f t="shared" si="10"/>
        <v>Ni-1</v>
      </c>
      <c r="B159" s="2" t="s">
        <v>82</v>
      </c>
      <c r="C159">
        <v>1</v>
      </c>
      <c r="D159" s="3">
        <v>1</v>
      </c>
      <c r="E159">
        <v>2</v>
      </c>
      <c r="F159">
        <f>AVERAGE($E159:$E163)</f>
        <v>1</v>
      </c>
      <c r="G159">
        <f>_xlfn.STDEV.P($E159:$E163)</f>
        <v>0.81649658092772603</v>
      </c>
      <c r="K159" s="56">
        <v>15.763</v>
      </c>
      <c r="L159" s="56">
        <v>13.063000000000001</v>
      </c>
      <c r="M159" s="56">
        <v>2.7</v>
      </c>
      <c r="Q159" s="56">
        <v>0</v>
      </c>
      <c r="R159" s="56">
        <v>0</v>
      </c>
      <c r="S159" s="56">
        <v>0</v>
      </c>
      <c r="T159" s="56">
        <v>0</v>
      </c>
      <c r="U159" s="56">
        <v>0</v>
      </c>
      <c r="V159" s="56">
        <v>0</v>
      </c>
      <c r="X159" s="157" t="b">
        <f t="shared" si="11"/>
        <v>0</v>
      </c>
      <c r="Y159" s="157" t="s">
        <v>56</v>
      </c>
      <c r="Z159" s="157">
        <v>1</v>
      </c>
      <c r="AA159" s="157">
        <v>61</v>
      </c>
      <c r="AB159" s="157">
        <f t="shared" si="12"/>
        <v>5.3213280000000009E-2</v>
      </c>
      <c r="AC159" s="157">
        <f t="shared" si="13"/>
        <v>50.29</v>
      </c>
    </row>
    <row r="160" spans="1:29" x14ac:dyDescent="0.35">
      <c r="A160" t="str">
        <f t="shared" si="10"/>
        <v>Ni-1</v>
      </c>
      <c r="B160" s="2" t="s">
        <v>82</v>
      </c>
      <c r="C160">
        <v>1</v>
      </c>
      <c r="D160" s="3">
        <v>2</v>
      </c>
      <c r="E160">
        <v>1</v>
      </c>
      <c r="K160" s="56">
        <v>10.363</v>
      </c>
      <c r="Q160" s="56">
        <v>0</v>
      </c>
      <c r="T160" s="56">
        <v>0</v>
      </c>
      <c r="X160" s="157" t="b">
        <f t="shared" si="11"/>
        <v>0</v>
      </c>
      <c r="Y160" s="157" t="s">
        <v>56</v>
      </c>
      <c r="Z160" s="157">
        <v>2</v>
      </c>
      <c r="AA160" s="157">
        <v>57</v>
      </c>
      <c r="AB160" s="157">
        <f t="shared" si="12"/>
        <v>4.7056319999999999E-2</v>
      </c>
      <c r="AC160" s="157">
        <f t="shared" si="13"/>
        <v>46.33</v>
      </c>
    </row>
    <row r="161" spans="1:29" x14ac:dyDescent="0.35">
      <c r="A161" t="str">
        <f t="shared" si="10"/>
        <v>Ni-1</v>
      </c>
      <c r="B161" s="2" t="s">
        <v>82</v>
      </c>
      <c r="C161">
        <v>1</v>
      </c>
      <c r="D161" s="3">
        <v>3</v>
      </c>
      <c r="E161">
        <v>0</v>
      </c>
      <c r="Q161" s="56">
        <v>0</v>
      </c>
      <c r="T161" s="56">
        <v>0</v>
      </c>
      <c r="X161" s="157" t="b">
        <f t="shared" si="11"/>
        <v>0</v>
      </c>
      <c r="Y161" s="157" t="s">
        <v>56</v>
      </c>
      <c r="Z161" s="157">
        <v>3</v>
      </c>
      <c r="AA161" s="157">
        <v>49.3</v>
      </c>
      <c r="AB161" s="157">
        <f t="shared" si="12"/>
        <v>3.5986153200000003E-2</v>
      </c>
      <c r="AC161" s="157">
        <f t="shared" si="13"/>
        <v>38.706999999999994</v>
      </c>
    </row>
    <row r="162" spans="1:29" x14ac:dyDescent="0.35">
      <c r="A162" t="str">
        <f t="shared" si="10"/>
        <v>Ni-1</v>
      </c>
      <c r="B162" s="2" t="s">
        <v>82</v>
      </c>
      <c r="C162">
        <v>1</v>
      </c>
      <c r="D162" s="3">
        <v>4</v>
      </c>
      <c r="Q162" s="56">
        <v>0</v>
      </c>
      <c r="T162" s="56">
        <v>0</v>
      </c>
      <c r="X162" s="157" t="b">
        <f t="shared" si="11"/>
        <v>0</v>
      </c>
      <c r="Y162" s="157" t="s">
        <v>56</v>
      </c>
      <c r="Z162" s="157">
        <v>4</v>
      </c>
      <c r="AA162" s="157">
        <v>48.2</v>
      </c>
      <c r="AB162" s="157">
        <f t="shared" si="12"/>
        <v>3.4488723200000009E-2</v>
      </c>
      <c r="AC162" s="157">
        <f t="shared" si="13"/>
        <v>37.618000000000002</v>
      </c>
    </row>
    <row r="163" spans="1:29" x14ac:dyDescent="0.35">
      <c r="A163" t="str">
        <f t="shared" si="10"/>
        <v>Ni-1</v>
      </c>
      <c r="B163" s="2" t="s">
        <v>82</v>
      </c>
      <c r="C163">
        <v>1</v>
      </c>
      <c r="D163" s="3">
        <v>5</v>
      </c>
      <c r="Q163" s="56">
        <v>0</v>
      </c>
      <c r="T163" s="56">
        <v>0</v>
      </c>
      <c r="X163" s="157" t="b">
        <f t="shared" si="11"/>
        <v>0</v>
      </c>
      <c r="Y163" s="157" t="s">
        <v>56</v>
      </c>
      <c r="Z163" s="157">
        <v>5</v>
      </c>
      <c r="AA163" s="157">
        <v>57.3</v>
      </c>
      <c r="AB163" s="157">
        <f t="shared" si="12"/>
        <v>4.7508457199999993E-2</v>
      </c>
      <c r="AC163" s="157">
        <f t="shared" si="13"/>
        <v>46.626999999999995</v>
      </c>
    </row>
    <row r="164" spans="1:29" x14ac:dyDescent="0.35">
      <c r="A164" t="str">
        <f t="shared" ref="A164:A195" si="14">B164&amp;"-"&amp;C164</f>
        <v>Pa-0</v>
      </c>
      <c r="B164" s="2" t="s">
        <v>71</v>
      </c>
      <c r="C164">
        <v>0</v>
      </c>
      <c r="D164" s="3">
        <v>1</v>
      </c>
      <c r="E164">
        <v>0</v>
      </c>
      <c r="F164">
        <f>AVERAGE($E164:$E166)</f>
        <v>0.33333333333333331</v>
      </c>
      <c r="G164">
        <f>_xlfn.STDEV.P($E164:$E168)</f>
        <v>0.47140452079103168</v>
      </c>
      <c r="H164">
        <v>72.010000000000005</v>
      </c>
      <c r="I164">
        <v>79.766666670000006</v>
      </c>
      <c r="J164">
        <v>5.5221150000000003</v>
      </c>
      <c r="K164" s="56">
        <v>39.4</v>
      </c>
      <c r="L164" s="56">
        <v>39.040999999999997</v>
      </c>
      <c r="M164" s="56">
        <v>0.35899999999999999</v>
      </c>
      <c r="N164" s="88">
        <v>71</v>
      </c>
      <c r="O164" s="56">
        <v>74.8</v>
      </c>
      <c r="P164" s="56">
        <v>2.3151670000000002</v>
      </c>
      <c r="Q164" s="56">
        <v>6.3810800000000001E-2</v>
      </c>
      <c r="R164" s="56">
        <v>6.0819999999999999E-2</v>
      </c>
      <c r="S164" s="56">
        <v>2.3240000000000001E-3</v>
      </c>
      <c r="T164" s="56">
        <v>56.725000000000001</v>
      </c>
      <c r="U164" s="56">
        <v>54.942999999999998</v>
      </c>
      <c r="V164" s="56">
        <v>1.390236</v>
      </c>
      <c r="X164" s="157" t="b">
        <f t="shared" si="11"/>
        <v>0</v>
      </c>
      <c r="Y164" s="157" t="s">
        <v>18</v>
      </c>
      <c r="Z164" s="157">
        <v>1</v>
      </c>
      <c r="AA164" s="157">
        <v>61.2</v>
      </c>
      <c r="AB164" s="157">
        <f t="shared" si="12"/>
        <v>5.3528419200000003E-2</v>
      </c>
      <c r="AC164" s="157">
        <f t="shared" si="13"/>
        <v>50.488</v>
      </c>
    </row>
    <row r="165" spans="1:29" x14ac:dyDescent="0.35">
      <c r="A165" t="str">
        <f t="shared" si="14"/>
        <v>Pa-0</v>
      </c>
      <c r="B165" s="2" t="s">
        <v>71</v>
      </c>
      <c r="C165">
        <v>0</v>
      </c>
      <c r="D165" s="3">
        <v>2</v>
      </c>
      <c r="E165">
        <v>0</v>
      </c>
      <c r="H165">
        <v>84.43</v>
      </c>
      <c r="K165" s="56">
        <v>38.682000000000002</v>
      </c>
      <c r="N165" s="88">
        <v>74</v>
      </c>
      <c r="Q165" s="56">
        <v>6.1134099999999997E-2</v>
      </c>
      <c r="T165" s="56">
        <v>55.140999999999998</v>
      </c>
      <c r="X165" s="157" t="b">
        <f t="shared" si="11"/>
        <v>0</v>
      </c>
      <c r="Y165" s="157" t="s">
        <v>18</v>
      </c>
      <c r="Z165" s="157">
        <v>2</v>
      </c>
      <c r="AA165" s="157">
        <v>58.7</v>
      </c>
      <c r="AB165" s="157">
        <f t="shared" si="12"/>
        <v>4.9639089200000007E-2</v>
      </c>
      <c r="AC165" s="157">
        <f t="shared" si="13"/>
        <v>48.012999999999998</v>
      </c>
    </row>
    <row r="166" spans="1:29" x14ac:dyDescent="0.35">
      <c r="A166" t="str">
        <f t="shared" si="14"/>
        <v>Pa-0</v>
      </c>
      <c r="B166" s="2" t="s">
        <v>71</v>
      </c>
      <c r="C166">
        <v>0</v>
      </c>
      <c r="D166" s="3">
        <v>3</v>
      </c>
      <c r="E166">
        <v>1</v>
      </c>
      <c r="H166">
        <v>82.86</v>
      </c>
      <c r="N166" s="88">
        <v>78</v>
      </c>
      <c r="Q166" s="56">
        <v>5.8013299999999997E-2</v>
      </c>
      <c r="T166" s="56">
        <v>53.26</v>
      </c>
      <c r="X166" s="157" t="b">
        <f t="shared" si="11"/>
        <v>0</v>
      </c>
      <c r="Y166" s="157" t="s">
        <v>18</v>
      </c>
      <c r="Z166" s="157">
        <v>3</v>
      </c>
      <c r="AA166" s="157">
        <v>68.2</v>
      </c>
      <c r="AB166" s="157">
        <f t="shared" si="12"/>
        <v>6.4995763200000015E-2</v>
      </c>
      <c r="AC166" s="157">
        <f t="shared" si="13"/>
        <v>57.417999999999999</v>
      </c>
    </row>
    <row r="167" spans="1:29" x14ac:dyDescent="0.35">
      <c r="A167" t="str">
        <f t="shared" si="14"/>
        <v>Pa-0</v>
      </c>
      <c r="B167" s="2" t="s">
        <v>71</v>
      </c>
      <c r="C167">
        <v>0</v>
      </c>
      <c r="D167" s="3">
        <v>4</v>
      </c>
      <c r="N167" s="88">
        <v>76</v>
      </c>
      <c r="Q167" s="56">
        <v>5.8338800000000003E-2</v>
      </c>
      <c r="T167" s="56">
        <v>53.457999999999998</v>
      </c>
      <c r="X167" s="157" t="b">
        <f t="shared" si="11"/>
        <v>0</v>
      </c>
      <c r="Y167" s="157" t="s">
        <v>18</v>
      </c>
      <c r="Z167" s="157">
        <v>4</v>
      </c>
      <c r="AA167" s="157">
        <v>65</v>
      </c>
      <c r="AB167" s="157">
        <f t="shared" si="12"/>
        <v>5.9648E-2</v>
      </c>
      <c r="AC167" s="157">
        <f t="shared" si="13"/>
        <v>54.249999999999993</v>
      </c>
    </row>
    <row r="168" spans="1:29" x14ac:dyDescent="0.35">
      <c r="A168" t="str">
        <f t="shared" si="14"/>
        <v>Pa-0</v>
      </c>
      <c r="B168" s="2" t="s">
        <v>71</v>
      </c>
      <c r="C168">
        <v>0</v>
      </c>
      <c r="D168" s="3">
        <v>5</v>
      </c>
      <c r="N168" s="88">
        <v>75</v>
      </c>
      <c r="Q168" s="56">
        <v>6.2801800000000005E-2</v>
      </c>
      <c r="T168" s="56">
        <v>56.131</v>
      </c>
      <c r="X168" s="157" t="b">
        <f t="shared" si="11"/>
        <v>0</v>
      </c>
      <c r="Y168" s="157" t="s">
        <v>18</v>
      </c>
      <c r="Z168" s="157">
        <v>5</v>
      </c>
      <c r="AA168" s="157">
        <v>64.599999999999994</v>
      </c>
      <c r="AB168" s="157">
        <f t="shared" si="12"/>
        <v>5.8992028799999992E-2</v>
      </c>
      <c r="AC168" s="157">
        <f t="shared" si="13"/>
        <v>53.853999999999992</v>
      </c>
    </row>
    <row r="169" spans="1:29" x14ac:dyDescent="0.35">
      <c r="A169" t="str">
        <f t="shared" si="14"/>
        <v>Pa-1</v>
      </c>
      <c r="B169" s="2" t="s">
        <v>71</v>
      </c>
      <c r="C169">
        <v>1</v>
      </c>
      <c r="D169" s="3">
        <v>1</v>
      </c>
      <c r="E169">
        <v>1</v>
      </c>
      <c r="F169">
        <f>AVERAGE($E169:$E173)</f>
        <v>1.3333333333333333</v>
      </c>
      <c r="G169">
        <f>_xlfn.STDEV.P($E169:$E173)</f>
        <v>0.47140452079103168</v>
      </c>
      <c r="H169">
        <v>86.58</v>
      </c>
      <c r="I169">
        <v>85.636666669999997</v>
      </c>
      <c r="J169">
        <v>1.362457</v>
      </c>
      <c r="K169" s="56">
        <v>32.335999999999999</v>
      </c>
      <c r="L169" s="56">
        <v>31.835999999999999</v>
      </c>
      <c r="M169" s="56">
        <v>0.5</v>
      </c>
      <c r="N169" s="88">
        <v>67</v>
      </c>
      <c r="O169" s="56">
        <v>70.2</v>
      </c>
      <c r="P169" s="56">
        <v>3.059412</v>
      </c>
      <c r="Q169" s="56">
        <v>4.8417399999999999E-2</v>
      </c>
      <c r="R169" s="56">
        <v>4.9549999999999997E-2</v>
      </c>
      <c r="S169" s="56">
        <v>6.5240000000000003E-3</v>
      </c>
      <c r="T169" s="56">
        <v>47.220999999999997</v>
      </c>
      <c r="U169" s="56">
        <v>47.854599999999998</v>
      </c>
      <c r="V169" s="56">
        <v>4.2014279999999999</v>
      </c>
      <c r="X169" s="157" t="b">
        <f t="shared" si="11"/>
        <v>0</v>
      </c>
      <c r="Y169" s="157" t="s">
        <v>19</v>
      </c>
      <c r="Z169" s="157">
        <v>1</v>
      </c>
      <c r="AA169" s="157">
        <v>69.7</v>
      </c>
      <c r="AB169" s="157">
        <f t="shared" si="12"/>
        <v>6.756372120000001E-2</v>
      </c>
      <c r="AC169" s="157">
        <f t="shared" si="13"/>
        <v>58.902999999999999</v>
      </c>
    </row>
    <row r="170" spans="1:29" x14ac:dyDescent="0.35">
      <c r="A170" t="str">
        <f t="shared" si="14"/>
        <v>Pa-1</v>
      </c>
      <c r="B170" s="2" t="s">
        <v>71</v>
      </c>
      <c r="C170">
        <v>1</v>
      </c>
      <c r="D170" s="3">
        <v>2</v>
      </c>
      <c r="E170">
        <v>2</v>
      </c>
      <c r="H170">
        <v>86.62</v>
      </c>
      <c r="K170" s="56">
        <v>31.335999999999999</v>
      </c>
      <c r="N170" s="88">
        <v>67</v>
      </c>
      <c r="Q170" s="56">
        <v>4.1752499999999998E-2</v>
      </c>
      <c r="T170" s="56">
        <v>42.765999999999998</v>
      </c>
      <c r="X170" s="157" t="b">
        <f t="shared" si="11"/>
        <v>0</v>
      </c>
      <c r="Y170" s="157" t="s">
        <v>19</v>
      </c>
      <c r="Z170" s="157">
        <v>2</v>
      </c>
      <c r="AA170" s="157">
        <v>56.1</v>
      </c>
      <c r="AB170" s="157">
        <f t="shared" si="12"/>
        <v>4.5709282800000001E-2</v>
      </c>
      <c r="AC170" s="157">
        <f t="shared" si="13"/>
        <v>45.439</v>
      </c>
    </row>
    <row r="171" spans="1:29" x14ac:dyDescent="0.35">
      <c r="A171" t="str">
        <f t="shared" si="14"/>
        <v>Pa-1</v>
      </c>
      <c r="B171" s="2" t="s">
        <v>71</v>
      </c>
      <c r="C171">
        <v>1</v>
      </c>
      <c r="D171" s="3">
        <v>3</v>
      </c>
      <c r="E171">
        <v>1</v>
      </c>
      <c r="H171">
        <v>83.71</v>
      </c>
      <c r="N171" s="88">
        <v>70</v>
      </c>
      <c r="Q171" s="56">
        <v>5.52741E-2</v>
      </c>
      <c r="T171" s="56">
        <v>51.576999999999998</v>
      </c>
      <c r="X171" s="157" t="b">
        <f t="shared" si="11"/>
        <v>0</v>
      </c>
      <c r="Y171" s="157" t="s">
        <v>19</v>
      </c>
      <c r="Z171" s="157">
        <v>3</v>
      </c>
      <c r="AA171" s="157">
        <v>64.599999999999994</v>
      </c>
      <c r="AB171" s="157">
        <f t="shared" si="12"/>
        <v>5.8992028799999992E-2</v>
      </c>
      <c r="AC171" s="157">
        <f t="shared" si="13"/>
        <v>53.853999999999992</v>
      </c>
    </row>
    <row r="172" spans="1:29" x14ac:dyDescent="0.35">
      <c r="A172" t="str">
        <f t="shared" si="14"/>
        <v>Pa-1</v>
      </c>
      <c r="B172" s="2" t="s">
        <v>71</v>
      </c>
      <c r="C172">
        <v>1</v>
      </c>
      <c r="D172" s="3">
        <v>4</v>
      </c>
      <c r="N172" s="88">
        <v>72</v>
      </c>
      <c r="Q172" s="56">
        <v>5.8665099999999998E-2</v>
      </c>
      <c r="T172" s="56">
        <v>53.655999999999999</v>
      </c>
      <c r="X172" s="157" t="b">
        <f t="shared" si="11"/>
        <v>0</v>
      </c>
      <c r="Y172" s="157" t="s">
        <v>19</v>
      </c>
      <c r="Z172" s="157">
        <v>4</v>
      </c>
      <c r="AA172" s="157">
        <v>57.9</v>
      </c>
      <c r="AB172" s="157">
        <f t="shared" si="12"/>
        <v>4.8417418799999994E-2</v>
      </c>
      <c r="AC172" s="157">
        <f t="shared" si="13"/>
        <v>47.220999999999997</v>
      </c>
    </row>
    <row r="173" spans="1:29" x14ac:dyDescent="0.35">
      <c r="A173" t="str">
        <f t="shared" si="14"/>
        <v>Pa-1</v>
      </c>
      <c r="B173" s="2" t="s">
        <v>71</v>
      </c>
      <c r="C173">
        <v>1</v>
      </c>
      <c r="D173" s="3">
        <v>5</v>
      </c>
      <c r="N173" s="88">
        <v>75</v>
      </c>
      <c r="Q173" s="56">
        <v>4.3641800000000001E-2</v>
      </c>
      <c r="T173" s="56">
        <v>44.052999999999997</v>
      </c>
      <c r="X173" s="157" t="b">
        <f t="shared" si="11"/>
        <v>0</v>
      </c>
      <c r="Y173" s="157" t="s">
        <v>19</v>
      </c>
      <c r="Z173" s="157">
        <v>5</v>
      </c>
      <c r="AA173" s="157">
        <v>67.400000000000006</v>
      </c>
      <c r="AB173" s="157">
        <f t="shared" si="12"/>
        <v>6.364215680000003E-2</v>
      </c>
      <c r="AC173" s="157">
        <f t="shared" si="13"/>
        <v>56.625999999999998</v>
      </c>
    </row>
    <row r="174" spans="1:29" x14ac:dyDescent="0.35">
      <c r="A174" t="str">
        <f t="shared" si="14"/>
        <v>Pi-0</v>
      </c>
      <c r="B174" s="2" t="s">
        <v>97</v>
      </c>
      <c r="C174">
        <v>0</v>
      </c>
      <c r="D174" s="3">
        <v>1</v>
      </c>
      <c r="E174">
        <v>0</v>
      </c>
      <c r="F174">
        <f>AVERAGE($E174:$E178)</f>
        <v>0.2</v>
      </c>
      <c r="G174">
        <f>_xlfn.STDEV.P($E174:$E178)</f>
        <v>0.4</v>
      </c>
      <c r="H174">
        <v>79.44</v>
      </c>
      <c r="I174">
        <v>78.706666670000004</v>
      </c>
      <c r="J174">
        <v>2.615713</v>
      </c>
      <c r="K174" s="56">
        <v>59.753214800000002</v>
      </c>
      <c r="L174" s="56">
        <v>25.98489</v>
      </c>
      <c r="M174" s="56">
        <v>17.358309999999999</v>
      </c>
      <c r="N174" s="88">
        <v>125</v>
      </c>
      <c r="O174" s="56">
        <v>127</v>
      </c>
      <c r="P174" s="56">
        <v>2.4494899999999999</v>
      </c>
      <c r="Q174" s="56">
        <v>0</v>
      </c>
      <c r="R174" s="56">
        <v>0</v>
      </c>
      <c r="S174" s="56">
        <v>0</v>
      </c>
      <c r="T174" s="56">
        <v>0</v>
      </c>
      <c r="U174" s="56">
        <v>0</v>
      </c>
      <c r="V174" s="56">
        <v>0</v>
      </c>
      <c r="X174" s="157" t="b">
        <f t="shared" si="11"/>
        <v>0</v>
      </c>
      <c r="Y174" s="157" t="s">
        <v>16</v>
      </c>
      <c r="Z174" s="157">
        <v>1</v>
      </c>
      <c r="AA174" s="157">
        <v>39.6</v>
      </c>
      <c r="AB174" s="157">
        <f t="shared" si="12"/>
        <v>2.3505628800000004E-2</v>
      </c>
      <c r="AC174" s="157">
        <f t="shared" si="13"/>
        <v>29.103999999999999</v>
      </c>
    </row>
    <row r="175" spans="1:29" x14ac:dyDescent="0.35">
      <c r="A175" t="str">
        <f t="shared" si="14"/>
        <v>Pi-0</v>
      </c>
      <c r="B175" s="2" t="s">
        <v>97</v>
      </c>
      <c r="C175">
        <v>0</v>
      </c>
      <c r="D175" s="3">
        <v>2</v>
      </c>
      <c r="E175">
        <v>0</v>
      </c>
      <c r="H175">
        <v>75.2</v>
      </c>
      <c r="K175" s="56">
        <v>16.89339983</v>
      </c>
      <c r="N175" s="88">
        <v>125</v>
      </c>
      <c r="Q175" s="56">
        <v>0</v>
      </c>
      <c r="T175" s="56">
        <v>0</v>
      </c>
      <c r="X175" s="157" t="b">
        <f t="shared" si="11"/>
        <v>0</v>
      </c>
      <c r="Y175" s="157" t="s">
        <v>16</v>
      </c>
      <c r="Z175" s="157">
        <v>2</v>
      </c>
      <c r="AA175" s="157">
        <v>55.9</v>
      </c>
      <c r="AB175" s="157">
        <f t="shared" si="12"/>
        <v>4.5411850799999993E-2</v>
      </c>
      <c r="AC175" s="157">
        <f t="shared" si="13"/>
        <v>45.241</v>
      </c>
    </row>
    <row r="176" spans="1:29" x14ac:dyDescent="0.35">
      <c r="A176" t="str">
        <f t="shared" si="14"/>
        <v>Pi-0</v>
      </c>
      <c r="B176" s="2" t="s">
        <v>97</v>
      </c>
      <c r="C176">
        <v>0</v>
      </c>
      <c r="D176" s="3">
        <v>3</v>
      </c>
      <c r="E176">
        <v>0</v>
      </c>
      <c r="H176">
        <v>81.48</v>
      </c>
      <c r="K176" s="56">
        <v>16.969271630000001</v>
      </c>
      <c r="N176" s="88">
        <v>125</v>
      </c>
      <c r="Q176" s="56">
        <v>0</v>
      </c>
      <c r="T176" s="56">
        <v>0</v>
      </c>
      <c r="X176" s="157" t="b">
        <f t="shared" si="11"/>
        <v>0</v>
      </c>
      <c r="Y176" s="157" t="s">
        <v>16</v>
      </c>
      <c r="Z176" s="157">
        <v>3</v>
      </c>
      <c r="AA176" s="157">
        <v>43.5</v>
      </c>
      <c r="AB176" s="157">
        <f t="shared" si="12"/>
        <v>2.8327230000000002E-2</v>
      </c>
      <c r="AC176" s="157">
        <f t="shared" si="13"/>
        <v>32.964999999999996</v>
      </c>
    </row>
    <row r="177" spans="1:29" x14ac:dyDescent="0.35">
      <c r="A177" t="str">
        <f t="shared" si="14"/>
        <v>Pi-0</v>
      </c>
      <c r="B177" s="2" t="s">
        <v>97</v>
      </c>
      <c r="C177">
        <v>0</v>
      </c>
      <c r="D177" s="3">
        <v>4</v>
      </c>
      <c r="E177">
        <v>0</v>
      </c>
      <c r="K177" s="56">
        <v>24.466219989999999</v>
      </c>
      <c r="N177" s="88">
        <v>130</v>
      </c>
      <c r="Q177" s="56">
        <v>0</v>
      </c>
      <c r="T177" s="56">
        <v>0</v>
      </c>
      <c r="X177" s="157" t="b">
        <f t="shared" si="11"/>
        <v>0</v>
      </c>
      <c r="Y177" s="157" t="s">
        <v>16</v>
      </c>
      <c r="Z177" s="157">
        <v>4</v>
      </c>
      <c r="AA177" s="157">
        <v>45.6</v>
      </c>
      <c r="AB177" s="157">
        <f t="shared" si="12"/>
        <v>3.1032844800000001E-2</v>
      </c>
      <c r="AC177" s="157">
        <f t="shared" si="13"/>
        <v>35.043999999999997</v>
      </c>
    </row>
    <row r="178" spans="1:29" x14ac:dyDescent="0.35">
      <c r="A178" t="str">
        <f t="shared" si="14"/>
        <v>Pi-0</v>
      </c>
      <c r="B178" s="2" t="s">
        <v>97</v>
      </c>
      <c r="C178">
        <v>0</v>
      </c>
      <c r="D178" s="3">
        <v>5</v>
      </c>
      <c r="E178">
        <v>1</v>
      </c>
      <c r="K178" s="56">
        <v>11.84235692</v>
      </c>
      <c r="N178" s="88">
        <v>130</v>
      </c>
      <c r="Q178" s="56">
        <v>0</v>
      </c>
      <c r="T178" s="56">
        <v>0</v>
      </c>
      <c r="X178" s="157" t="b">
        <f t="shared" si="11"/>
        <v>0</v>
      </c>
      <c r="Y178" s="157" t="s">
        <v>16</v>
      </c>
      <c r="Z178" s="157">
        <v>5</v>
      </c>
      <c r="AA178" s="157">
        <v>50</v>
      </c>
      <c r="AB178" s="157">
        <f t="shared" si="12"/>
        <v>3.6950000000000004E-2</v>
      </c>
      <c r="AC178" s="157">
        <f t="shared" si="13"/>
        <v>39.4</v>
      </c>
    </row>
    <row r="179" spans="1:29" x14ac:dyDescent="0.35">
      <c r="A179" t="str">
        <f t="shared" si="14"/>
        <v>Pi-1</v>
      </c>
      <c r="B179" s="2" t="s">
        <v>97</v>
      </c>
      <c r="C179">
        <v>1</v>
      </c>
      <c r="D179" s="3">
        <v>1</v>
      </c>
      <c r="E179">
        <v>0</v>
      </c>
      <c r="F179">
        <f>AVERAGE($E179:$E183)</f>
        <v>1.2</v>
      </c>
      <c r="G179">
        <f>_xlfn.STDEV.P($E179:$E183)</f>
        <v>1.4696938456699069</v>
      </c>
      <c r="H179">
        <v>86.71</v>
      </c>
      <c r="I179">
        <v>81.64</v>
      </c>
      <c r="J179">
        <v>3.7641019999999998</v>
      </c>
      <c r="K179" s="56">
        <v>112.94499999999999</v>
      </c>
      <c r="L179" s="56">
        <v>111.2106</v>
      </c>
      <c r="M179" s="56">
        <v>57.39902</v>
      </c>
      <c r="N179" s="88">
        <v>120</v>
      </c>
      <c r="O179" s="56">
        <v>118.75</v>
      </c>
      <c r="P179" s="56">
        <v>2.1650640000000001</v>
      </c>
      <c r="Q179" s="56">
        <v>0</v>
      </c>
      <c r="R179" s="56">
        <v>0</v>
      </c>
      <c r="S179" s="56">
        <v>0</v>
      </c>
      <c r="T179" s="56">
        <v>0</v>
      </c>
      <c r="U179" s="56">
        <v>0</v>
      </c>
      <c r="V179" s="56">
        <v>0</v>
      </c>
      <c r="X179" s="157" t="b">
        <f t="shared" si="11"/>
        <v>0</v>
      </c>
      <c r="Y179" s="157" t="s">
        <v>17</v>
      </c>
      <c r="Z179" s="157">
        <v>1</v>
      </c>
      <c r="AA179" s="157">
        <v>46</v>
      </c>
      <c r="AB179" s="157">
        <f t="shared" si="12"/>
        <v>3.1556880000000002E-2</v>
      </c>
      <c r="AC179" s="157">
        <f t="shared" si="13"/>
        <v>35.44</v>
      </c>
    </row>
    <row r="180" spans="1:29" x14ac:dyDescent="0.35">
      <c r="A180" t="str">
        <f t="shared" si="14"/>
        <v>Pi-1</v>
      </c>
      <c r="B180" s="2" t="s">
        <v>97</v>
      </c>
      <c r="C180">
        <v>1</v>
      </c>
      <c r="D180" s="3">
        <v>2</v>
      </c>
      <c r="E180">
        <v>0</v>
      </c>
      <c r="H180">
        <v>80.510000000000005</v>
      </c>
      <c r="K180" s="56">
        <v>43.238</v>
      </c>
      <c r="N180" s="88">
        <v>120</v>
      </c>
      <c r="Q180" s="56">
        <v>0</v>
      </c>
      <c r="T180" s="56">
        <v>0</v>
      </c>
      <c r="X180" s="157" t="b">
        <f t="shared" si="11"/>
        <v>0</v>
      </c>
      <c r="Y180" s="157" t="s">
        <v>17</v>
      </c>
      <c r="Z180" s="157">
        <v>2</v>
      </c>
      <c r="AA180" s="157">
        <v>42.3</v>
      </c>
      <c r="AB180" s="157">
        <f t="shared" si="12"/>
        <v>2.6815537199999996E-2</v>
      </c>
      <c r="AC180" s="157">
        <f t="shared" si="13"/>
        <v>31.776999999999994</v>
      </c>
    </row>
    <row r="181" spans="1:29" x14ac:dyDescent="0.35">
      <c r="A181" t="str">
        <f t="shared" si="14"/>
        <v>Pi-1</v>
      </c>
      <c r="B181" s="2" t="s">
        <v>97</v>
      </c>
      <c r="C181">
        <v>1</v>
      </c>
      <c r="D181" s="3">
        <v>3</v>
      </c>
      <c r="E181">
        <v>3</v>
      </c>
      <c r="H181">
        <v>77.7</v>
      </c>
      <c r="K181" s="56">
        <v>211.40299999999999</v>
      </c>
      <c r="N181" s="88">
        <v>120</v>
      </c>
      <c r="Q181" s="56">
        <v>0</v>
      </c>
      <c r="T181" s="56">
        <v>0</v>
      </c>
      <c r="X181" s="157" t="b">
        <f t="shared" si="11"/>
        <v>0</v>
      </c>
      <c r="Y181" s="157" t="s">
        <v>17</v>
      </c>
      <c r="Z181" s="157">
        <v>3</v>
      </c>
      <c r="AA181" s="157">
        <v>46.9</v>
      </c>
      <c r="AB181" s="157">
        <f t="shared" si="12"/>
        <v>3.2746114799999997E-2</v>
      </c>
      <c r="AC181" s="157">
        <f t="shared" si="13"/>
        <v>36.330999999999996</v>
      </c>
    </row>
    <row r="182" spans="1:29" x14ac:dyDescent="0.35">
      <c r="A182" t="str">
        <f t="shared" si="14"/>
        <v>Pi-1</v>
      </c>
      <c r="B182" s="2" t="s">
        <v>97</v>
      </c>
      <c r="C182">
        <v>1</v>
      </c>
      <c r="D182" s="3">
        <v>4</v>
      </c>
      <c r="E182">
        <v>3</v>
      </c>
      <c r="K182" s="56">
        <v>119.083</v>
      </c>
      <c r="N182" s="88">
        <v>115</v>
      </c>
      <c r="Q182" s="56">
        <v>0</v>
      </c>
      <c r="T182" s="56">
        <v>0</v>
      </c>
      <c r="X182" s="157" t="b">
        <f t="shared" si="11"/>
        <v>0</v>
      </c>
      <c r="Y182" s="157" t="s">
        <v>17</v>
      </c>
      <c r="Z182" s="157">
        <v>4</v>
      </c>
      <c r="AA182" s="157">
        <v>47.4</v>
      </c>
      <c r="AB182" s="157">
        <f t="shared" si="12"/>
        <v>3.3412876799999998E-2</v>
      </c>
      <c r="AC182" s="157">
        <f t="shared" si="13"/>
        <v>36.825999999999993</v>
      </c>
    </row>
    <row r="183" spans="1:29" x14ac:dyDescent="0.35">
      <c r="A183" t="str">
        <f t="shared" si="14"/>
        <v>Pi-1</v>
      </c>
      <c r="B183" s="2" t="s">
        <v>97</v>
      </c>
      <c r="C183">
        <v>1</v>
      </c>
      <c r="D183" s="3">
        <v>5</v>
      </c>
      <c r="E183">
        <v>0</v>
      </c>
      <c r="K183" s="56">
        <v>69.384</v>
      </c>
      <c r="Q183" s="56">
        <v>0</v>
      </c>
      <c r="T183" s="56">
        <v>0</v>
      </c>
      <c r="X183" s="157" t="b">
        <f t="shared" si="11"/>
        <v>0</v>
      </c>
      <c r="Y183" s="157" t="s">
        <v>17</v>
      </c>
      <c r="Z183" s="157">
        <v>5</v>
      </c>
      <c r="AA183" s="157">
        <v>42.8</v>
      </c>
      <c r="AB183" s="157">
        <f t="shared" si="12"/>
        <v>2.7442371199999989E-2</v>
      </c>
      <c r="AC183" s="157">
        <f t="shared" si="13"/>
        <v>32.271999999999998</v>
      </c>
    </row>
    <row r="184" spans="1:29" x14ac:dyDescent="0.35">
      <c r="A184" t="str">
        <f t="shared" si="14"/>
        <v>Pu-0</v>
      </c>
      <c r="B184" s="2" t="s">
        <v>86</v>
      </c>
      <c r="C184">
        <v>0</v>
      </c>
      <c r="D184" s="3">
        <v>1</v>
      </c>
      <c r="E184">
        <v>2</v>
      </c>
      <c r="F184">
        <f>AVERAGE($E184:$E188)</f>
        <v>1.4</v>
      </c>
      <c r="G184">
        <f>_xlfn.STDEV.P($E184:$E188)</f>
        <v>0.8</v>
      </c>
      <c r="H184">
        <v>67.180000000000007</v>
      </c>
      <c r="I184">
        <v>61.54</v>
      </c>
      <c r="J184">
        <v>4.0826539999999998</v>
      </c>
      <c r="K184" s="56">
        <v>43.609289779999997</v>
      </c>
      <c r="L184" s="56">
        <v>30.172039999999999</v>
      </c>
      <c r="M184" s="56">
        <v>15.093310000000001</v>
      </c>
      <c r="N184" s="88">
        <v>43</v>
      </c>
      <c r="O184" s="56">
        <v>44.8</v>
      </c>
      <c r="P184" s="56">
        <v>3.3105889999999998</v>
      </c>
      <c r="Q184" s="56">
        <v>4.66057E-2</v>
      </c>
      <c r="R184" s="56">
        <v>4.3562999999999998E-2</v>
      </c>
      <c r="S184" s="56">
        <v>6.0489999999999997E-3</v>
      </c>
      <c r="T184" s="56">
        <v>46.033000000000001</v>
      </c>
      <c r="U184" s="56">
        <v>43.894599999999997</v>
      </c>
      <c r="V184" s="56">
        <v>4.1808490000000003</v>
      </c>
      <c r="X184" s="157" t="b">
        <f t="shared" si="11"/>
        <v>0</v>
      </c>
      <c r="Y184" s="157" t="s">
        <v>43</v>
      </c>
      <c r="Z184" s="157">
        <v>1</v>
      </c>
      <c r="AA184" s="157">
        <v>47.6</v>
      </c>
      <c r="AB184" s="157">
        <f t="shared" si="12"/>
        <v>3.3680796800000003E-2</v>
      </c>
      <c r="AC184" s="157">
        <f t="shared" si="13"/>
        <v>37.024000000000001</v>
      </c>
    </row>
    <row r="185" spans="1:29" x14ac:dyDescent="0.35">
      <c r="A185" t="str">
        <f t="shared" si="14"/>
        <v>Pu-0</v>
      </c>
      <c r="B185" s="2" t="s">
        <v>86</v>
      </c>
      <c r="C185">
        <v>0</v>
      </c>
      <c r="D185" s="3">
        <v>2</v>
      </c>
      <c r="E185">
        <v>1</v>
      </c>
      <c r="H185">
        <v>59.79</v>
      </c>
      <c r="K185" s="56">
        <v>8.1572585409999991</v>
      </c>
      <c r="N185" s="88">
        <v>46</v>
      </c>
      <c r="Q185" s="56">
        <v>3.2879100000000001E-2</v>
      </c>
      <c r="T185" s="56">
        <v>36.43</v>
      </c>
      <c r="X185" s="157" t="b">
        <f t="shared" si="11"/>
        <v>0</v>
      </c>
      <c r="Y185" s="157" t="s">
        <v>43</v>
      </c>
      <c r="Z185" s="157">
        <v>2</v>
      </c>
      <c r="AA185" s="157">
        <v>58.9</v>
      </c>
      <c r="AB185" s="157">
        <f t="shared" si="12"/>
        <v>4.9946242800000006E-2</v>
      </c>
      <c r="AC185" s="157">
        <f t="shared" si="13"/>
        <v>48.210999999999999</v>
      </c>
    </row>
    <row r="186" spans="1:29" x14ac:dyDescent="0.35">
      <c r="A186" t="str">
        <f t="shared" si="14"/>
        <v>Pu-0</v>
      </c>
      <c r="B186" s="2" t="s">
        <v>86</v>
      </c>
      <c r="C186">
        <v>0</v>
      </c>
      <c r="D186" s="3">
        <v>3</v>
      </c>
      <c r="E186">
        <v>2</v>
      </c>
      <c r="H186">
        <v>57.65</v>
      </c>
      <c r="K186" s="56">
        <v>24.23254653</v>
      </c>
      <c r="N186" s="88">
        <v>45</v>
      </c>
      <c r="Q186" s="56">
        <v>4.6156700000000002E-2</v>
      </c>
      <c r="T186" s="56">
        <v>45.735999999999997</v>
      </c>
      <c r="X186" s="157" t="b">
        <f t="shared" si="11"/>
        <v>0</v>
      </c>
      <c r="Y186" s="157" t="s">
        <v>43</v>
      </c>
      <c r="Z186" s="157">
        <v>3</v>
      </c>
      <c r="AA186" s="157">
        <v>39.299999999999997</v>
      </c>
      <c r="AB186" s="157">
        <f t="shared" si="12"/>
        <v>2.3145673199999994E-2</v>
      </c>
      <c r="AC186" s="157">
        <f t="shared" si="13"/>
        <v>28.806999999999995</v>
      </c>
    </row>
    <row r="187" spans="1:29" x14ac:dyDescent="0.35">
      <c r="A187" t="str">
        <f t="shared" si="14"/>
        <v>Pu-0</v>
      </c>
      <c r="B187" s="2" t="s">
        <v>86</v>
      </c>
      <c r="C187">
        <v>0</v>
      </c>
      <c r="D187" s="3">
        <v>4</v>
      </c>
      <c r="E187">
        <v>0</v>
      </c>
      <c r="K187" s="56">
        <v>44.689050139999999</v>
      </c>
      <c r="N187" s="88">
        <v>40</v>
      </c>
      <c r="Q187" s="56">
        <v>4.1608399999999997E-2</v>
      </c>
      <c r="T187" s="56">
        <v>42.667000000000002</v>
      </c>
      <c r="X187" s="157" t="b">
        <f t="shared" si="11"/>
        <v>0</v>
      </c>
      <c r="Y187" s="157" t="s">
        <v>43</v>
      </c>
      <c r="Z187" s="157">
        <v>4</v>
      </c>
      <c r="AA187" s="157">
        <v>40.6</v>
      </c>
      <c r="AB187" s="157">
        <f t="shared" si="12"/>
        <v>2.4716764800000006E-2</v>
      </c>
      <c r="AC187" s="157">
        <f t="shared" si="13"/>
        <v>30.094000000000001</v>
      </c>
    </row>
    <row r="188" spans="1:29" x14ac:dyDescent="0.35">
      <c r="A188" t="str">
        <f t="shared" si="14"/>
        <v>Pu-0</v>
      </c>
      <c r="B188" s="2" t="s">
        <v>86</v>
      </c>
      <c r="C188">
        <v>0</v>
      </c>
      <c r="D188" s="3">
        <v>5</v>
      </c>
      <c r="E188">
        <v>2</v>
      </c>
      <c r="N188" s="88">
        <v>50</v>
      </c>
      <c r="Q188" s="56">
        <v>5.0562599999999999E-2</v>
      </c>
      <c r="T188" s="56">
        <v>48.606999999999999</v>
      </c>
      <c r="X188" s="157" t="b">
        <f t="shared" si="11"/>
        <v>0</v>
      </c>
      <c r="Y188" s="157" t="s">
        <v>43</v>
      </c>
      <c r="Z188" s="157">
        <v>5</v>
      </c>
      <c r="AA188" s="157">
        <v>43.6</v>
      </c>
      <c r="AB188" s="157">
        <f t="shared" si="12"/>
        <v>2.8454332800000003E-2</v>
      </c>
      <c r="AC188" s="157">
        <f t="shared" si="13"/>
        <v>33.064</v>
      </c>
    </row>
    <row r="189" spans="1:29" x14ac:dyDescent="0.35">
      <c r="A189" t="str">
        <f t="shared" si="14"/>
        <v>Pu-1</v>
      </c>
      <c r="B189" s="2" t="s">
        <v>86</v>
      </c>
      <c r="C189">
        <v>1</v>
      </c>
      <c r="D189" s="3">
        <v>1</v>
      </c>
      <c r="E189">
        <v>0</v>
      </c>
      <c r="F189">
        <f>AVERAGE($E189:$E193)</f>
        <v>0.6</v>
      </c>
      <c r="G189">
        <f>_xlfn.STDEV.P($E189:$E193)</f>
        <v>1.2</v>
      </c>
      <c r="H189">
        <v>62.35</v>
      </c>
      <c r="I189">
        <v>75.416666669999998</v>
      </c>
      <c r="J189">
        <v>9.5483270000000005</v>
      </c>
      <c r="K189" s="56">
        <v>9.4165859249999997</v>
      </c>
      <c r="L189" s="56">
        <v>9.7434980000000007</v>
      </c>
      <c r="M189" s="56">
        <v>3.5887169999999999</v>
      </c>
      <c r="N189" s="88">
        <v>50</v>
      </c>
      <c r="O189" s="56">
        <v>56.2</v>
      </c>
      <c r="P189" s="56">
        <v>3.544009</v>
      </c>
      <c r="Q189" s="56">
        <v>5.3213299999999998E-2</v>
      </c>
      <c r="R189" s="56">
        <v>4.3651000000000002E-2</v>
      </c>
      <c r="S189" s="56">
        <v>7.2199999999999999E-3</v>
      </c>
      <c r="T189" s="56">
        <v>50.29</v>
      </c>
      <c r="U189" s="56">
        <v>43.914400000000001</v>
      </c>
      <c r="V189" s="56">
        <v>4.9112780000000003</v>
      </c>
      <c r="X189" s="157" t="b">
        <f t="shared" si="11"/>
        <v>0</v>
      </c>
      <c r="Y189" s="157" t="s">
        <v>42</v>
      </c>
      <c r="Z189" s="157">
        <v>1</v>
      </c>
      <c r="AA189" s="157">
        <v>46.6</v>
      </c>
      <c r="AB189" s="157">
        <f t="shared" si="12"/>
        <v>3.2348140800000001E-2</v>
      </c>
      <c r="AC189" s="157">
        <f t="shared" si="13"/>
        <v>36.033999999999999</v>
      </c>
    </row>
    <row r="190" spans="1:29" x14ac:dyDescent="0.35">
      <c r="A190" t="str">
        <f t="shared" si="14"/>
        <v>Pu-1</v>
      </c>
      <c r="B190" s="2" t="s">
        <v>86</v>
      </c>
      <c r="C190">
        <v>1</v>
      </c>
      <c r="D190" s="3">
        <v>2</v>
      </c>
      <c r="E190">
        <v>0</v>
      </c>
      <c r="H190">
        <v>79</v>
      </c>
      <c r="K190" s="56">
        <v>6.6052952339999997</v>
      </c>
      <c r="N190" s="88">
        <v>59</v>
      </c>
      <c r="Q190" s="56">
        <v>4.7056300000000002E-2</v>
      </c>
      <c r="T190" s="56">
        <v>46.33</v>
      </c>
      <c r="X190" s="157" t="b">
        <f t="shared" si="11"/>
        <v>0</v>
      </c>
      <c r="Y190" s="157" t="s">
        <v>42</v>
      </c>
      <c r="Z190" s="157">
        <v>2</v>
      </c>
      <c r="AA190" s="157">
        <v>44.8</v>
      </c>
      <c r="AB190" s="157">
        <f t="shared" si="12"/>
        <v>2.9993107200000001E-2</v>
      </c>
      <c r="AC190" s="157">
        <f t="shared" si="13"/>
        <v>34.251999999999995</v>
      </c>
    </row>
    <row r="191" spans="1:29" x14ac:dyDescent="0.35">
      <c r="A191" t="str">
        <f t="shared" si="14"/>
        <v>Pu-1</v>
      </c>
      <c r="B191" s="2" t="s">
        <v>86</v>
      </c>
      <c r="C191">
        <v>1</v>
      </c>
      <c r="D191" s="3">
        <v>3</v>
      </c>
      <c r="E191">
        <v>0</v>
      </c>
      <c r="H191">
        <v>84.9</v>
      </c>
      <c r="K191" s="56">
        <v>7.8439640949999996</v>
      </c>
      <c r="N191" s="88">
        <v>55</v>
      </c>
      <c r="Q191" s="56">
        <v>3.5986200000000003E-2</v>
      </c>
      <c r="T191" s="56">
        <v>38.707000000000001</v>
      </c>
      <c r="X191" s="157" t="b">
        <f t="shared" si="11"/>
        <v>0</v>
      </c>
      <c r="Y191" s="157" t="s">
        <v>42</v>
      </c>
      <c r="Z191" s="157">
        <v>3</v>
      </c>
      <c r="AA191" s="157">
        <v>52.2</v>
      </c>
      <c r="AB191" s="157">
        <f t="shared" si="12"/>
        <v>4.0034611200000007E-2</v>
      </c>
      <c r="AC191" s="157">
        <f t="shared" si="13"/>
        <v>41.578000000000003</v>
      </c>
    </row>
    <row r="192" spans="1:29" x14ac:dyDescent="0.35">
      <c r="A192" t="str">
        <f t="shared" si="14"/>
        <v>Pu-1</v>
      </c>
      <c r="B192" s="2" t="s">
        <v>86</v>
      </c>
      <c r="C192">
        <v>1</v>
      </c>
      <c r="D192" s="3">
        <v>4</v>
      </c>
      <c r="E192">
        <v>0</v>
      </c>
      <c r="K192" s="114">
        <v>8.1572585409999991</v>
      </c>
      <c r="N192" s="88">
        <v>60</v>
      </c>
      <c r="Q192" s="56">
        <v>3.4488699999999997E-2</v>
      </c>
      <c r="T192" s="56">
        <v>37.618000000000002</v>
      </c>
      <c r="X192" s="157" t="b">
        <f t="shared" si="11"/>
        <v>0</v>
      </c>
      <c r="Y192" s="157" t="s">
        <v>42</v>
      </c>
      <c r="Z192" s="157">
        <v>4</v>
      </c>
      <c r="AA192" s="157">
        <v>41.7</v>
      </c>
      <c r="AB192" s="157">
        <f t="shared" si="12"/>
        <v>2.6069065200000005E-2</v>
      </c>
      <c r="AC192" s="157">
        <f t="shared" si="13"/>
        <v>31.183</v>
      </c>
    </row>
    <row r="193" spans="1:29" x14ac:dyDescent="0.35">
      <c r="A193" t="str">
        <f t="shared" si="14"/>
        <v>Pu-1</v>
      </c>
      <c r="B193" s="2" t="s">
        <v>86</v>
      </c>
      <c r="C193">
        <v>1</v>
      </c>
      <c r="D193" s="3">
        <v>5</v>
      </c>
      <c r="E193">
        <v>3</v>
      </c>
      <c r="K193" s="114">
        <v>16.69438796</v>
      </c>
      <c r="N193" s="88">
        <v>57</v>
      </c>
      <c r="Q193" s="56">
        <v>4.7508500000000002E-2</v>
      </c>
      <c r="T193" s="56">
        <v>46.627000000000002</v>
      </c>
      <c r="X193" s="157" t="b">
        <f t="shared" si="11"/>
        <v>0</v>
      </c>
      <c r="Y193" s="157" t="s">
        <v>42</v>
      </c>
      <c r="Z193" s="157">
        <v>5</v>
      </c>
      <c r="AA193" s="157">
        <v>46.9</v>
      </c>
      <c r="AB193" s="157">
        <f t="shared" si="12"/>
        <v>3.2746114799999997E-2</v>
      </c>
      <c r="AC193" s="157">
        <f t="shared" si="13"/>
        <v>36.330999999999996</v>
      </c>
    </row>
    <row r="194" spans="1:29" x14ac:dyDescent="0.35">
      <c r="A194" t="str">
        <f t="shared" si="14"/>
        <v>Si-0</v>
      </c>
      <c r="B194" s="2" t="s">
        <v>70</v>
      </c>
      <c r="C194">
        <v>0</v>
      </c>
      <c r="D194" s="3">
        <v>1</v>
      </c>
      <c r="E194">
        <v>2</v>
      </c>
      <c r="F194">
        <f>AVERAGE($E194:$E198)</f>
        <v>0.75</v>
      </c>
      <c r="G194">
        <f>_xlfn.STDEV.P($E194:$E198)</f>
        <v>0.82915619758884995</v>
      </c>
      <c r="H194">
        <v>87.42</v>
      </c>
      <c r="I194">
        <v>84.146666670000002</v>
      </c>
      <c r="J194">
        <v>2.6618460000000002</v>
      </c>
      <c r="K194" s="56">
        <v>39.338000000000001</v>
      </c>
      <c r="L194" s="56">
        <v>45.014499999999998</v>
      </c>
      <c r="M194" s="56">
        <v>26.473520000000001</v>
      </c>
      <c r="N194" s="88">
        <v>42</v>
      </c>
      <c r="O194" s="56">
        <v>39.200000000000003</v>
      </c>
      <c r="P194" s="56">
        <v>3.1874750000000001</v>
      </c>
      <c r="Q194" s="56">
        <v>5.3528399999999997E-2</v>
      </c>
      <c r="R194" s="56">
        <v>5.7361000000000002E-2</v>
      </c>
      <c r="S194" s="56">
        <v>5.3010000000000002E-3</v>
      </c>
      <c r="T194" s="56">
        <v>50.488</v>
      </c>
      <c r="U194" s="56">
        <v>52.804600000000001</v>
      </c>
      <c r="V194" s="56">
        <v>3.2496139999999998</v>
      </c>
      <c r="X194" s="157" t="b">
        <f t="shared" si="11"/>
        <v>0</v>
      </c>
      <c r="Y194" s="157" t="s">
        <v>61</v>
      </c>
      <c r="Z194" s="157">
        <v>1</v>
      </c>
      <c r="AA194" s="157"/>
      <c r="AB194" s="157"/>
      <c r="AC194" s="157"/>
    </row>
    <row r="195" spans="1:29" x14ac:dyDescent="0.35">
      <c r="A195" t="str">
        <f t="shared" si="14"/>
        <v>Si-0</v>
      </c>
      <c r="B195" s="2" t="s">
        <v>70</v>
      </c>
      <c r="C195">
        <v>0</v>
      </c>
      <c r="D195" s="3">
        <v>2</v>
      </c>
      <c r="E195">
        <v>0</v>
      </c>
      <c r="H195">
        <v>80.900000000000006</v>
      </c>
      <c r="K195" s="56">
        <v>52.304000000000002</v>
      </c>
      <c r="N195" s="88">
        <v>43</v>
      </c>
      <c r="Q195" s="56">
        <v>4.9639099999999999E-2</v>
      </c>
      <c r="T195" s="56">
        <v>48.012999999999998</v>
      </c>
      <c r="X195" s="157" t="b">
        <f t="shared" si="11"/>
        <v>0</v>
      </c>
      <c r="Y195" s="157" t="s">
        <v>61</v>
      </c>
      <c r="Z195" s="157">
        <v>2</v>
      </c>
      <c r="AA195" s="157"/>
      <c r="AB195" s="157"/>
      <c r="AC195" s="157"/>
    </row>
    <row r="196" spans="1:29" x14ac:dyDescent="0.35">
      <c r="A196" t="str">
        <f t="shared" ref="A196:A203" si="15">B196&amp;"-"&amp;C196</f>
        <v>Si-0</v>
      </c>
      <c r="B196" s="2" t="s">
        <v>70</v>
      </c>
      <c r="C196">
        <v>0</v>
      </c>
      <c r="D196" s="3">
        <v>3</v>
      </c>
      <c r="E196">
        <v>0</v>
      </c>
      <c r="H196">
        <v>84.12</v>
      </c>
      <c r="K196" s="114">
        <v>81.063999999999993</v>
      </c>
      <c r="N196" s="88">
        <v>35</v>
      </c>
      <c r="Q196" s="56">
        <v>6.4995800000000006E-2</v>
      </c>
      <c r="T196" s="56">
        <v>57.417999999999999</v>
      </c>
      <c r="X196" s="157" t="b">
        <f t="shared" si="11"/>
        <v>0</v>
      </c>
      <c r="Y196" s="157" t="s">
        <v>61</v>
      </c>
      <c r="Z196" s="157">
        <v>3</v>
      </c>
      <c r="AA196" s="157"/>
      <c r="AB196" s="157"/>
      <c r="AC196" s="157"/>
    </row>
    <row r="197" spans="1:29" x14ac:dyDescent="0.35">
      <c r="A197" t="str">
        <f t="shared" si="15"/>
        <v>Si-0</v>
      </c>
      <c r="B197" s="2" t="s">
        <v>70</v>
      </c>
      <c r="C197">
        <v>0</v>
      </c>
      <c r="D197" s="3">
        <v>4</v>
      </c>
      <c r="E197">
        <v>1</v>
      </c>
      <c r="K197" s="114">
        <v>7.3520000000000003</v>
      </c>
      <c r="N197" s="88">
        <v>36</v>
      </c>
      <c r="Q197" s="56">
        <v>5.9648E-2</v>
      </c>
      <c r="T197" s="56">
        <v>54.25</v>
      </c>
      <c r="X197" s="157" t="b">
        <f t="shared" ref="X197:X203" si="16">EXACT(Y197,A197)</f>
        <v>0</v>
      </c>
      <c r="Y197" s="157" t="s">
        <v>61</v>
      </c>
      <c r="Z197" s="157">
        <v>4</v>
      </c>
      <c r="AA197" s="157"/>
      <c r="AB197" s="157"/>
      <c r="AC197" s="157"/>
    </row>
    <row r="198" spans="1:29" x14ac:dyDescent="0.35">
      <c r="A198" t="str">
        <f t="shared" si="15"/>
        <v>Si-0</v>
      </c>
      <c r="B198" s="2" t="s">
        <v>70</v>
      </c>
      <c r="C198">
        <v>0</v>
      </c>
      <c r="D198" s="3">
        <v>5</v>
      </c>
      <c r="K198" s="114"/>
      <c r="N198" s="88">
        <v>40</v>
      </c>
      <c r="Q198" s="56">
        <v>5.8992000000000003E-2</v>
      </c>
      <c r="T198" s="56">
        <v>53.853999999999999</v>
      </c>
      <c r="X198" s="157" t="b">
        <f t="shared" si="16"/>
        <v>0</v>
      </c>
      <c r="Y198" s="157" t="s">
        <v>61</v>
      </c>
      <c r="Z198" s="157">
        <v>5</v>
      </c>
      <c r="AA198" s="157"/>
      <c r="AB198" s="157"/>
      <c r="AC198" s="157"/>
    </row>
    <row r="199" spans="1:29" x14ac:dyDescent="0.35">
      <c r="A199" t="str">
        <f t="shared" si="15"/>
        <v>Si-1</v>
      </c>
      <c r="B199" s="2" t="s">
        <v>70</v>
      </c>
      <c r="C199">
        <v>1</v>
      </c>
      <c r="D199" s="3">
        <v>1</v>
      </c>
      <c r="E199">
        <v>0</v>
      </c>
      <c r="F199">
        <f>AVERAGE($E199:$E203)</f>
        <v>0.25</v>
      </c>
      <c r="G199">
        <f>_xlfn.STDEV.P($E199:$E203)</f>
        <v>0.4330127018922193</v>
      </c>
      <c r="H199">
        <v>86.25</v>
      </c>
      <c r="I199">
        <v>77.59</v>
      </c>
      <c r="J199">
        <v>6.6576620000000002</v>
      </c>
      <c r="K199" s="56">
        <v>24.256</v>
      </c>
      <c r="L199" s="56">
        <v>27.084800000000001</v>
      </c>
      <c r="M199" s="56">
        <v>20.077369999999998</v>
      </c>
      <c r="N199" s="88">
        <v>40</v>
      </c>
      <c r="O199" s="56">
        <v>39</v>
      </c>
      <c r="P199" s="56">
        <v>2.6076809999999999</v>
      </c>
      <c r="Q199" s="56">
        <v>6.7563700000000004E-2</v>
      </c>
      <c r="R199" s="56">
        <v>5.6864999999999999E-2</v>
      </c>
      <c r="S199" s="56">
        <v>8.4939999999999998E-3</v>
      </c>
      <c r="T199" s="56">
        <v>58.902999999999999</v>
      </c>
      <c r="U199" s="56">
        <v>52.4086</v>
      </c>
      <c r="V199" s="56">
        <v>5.2447949999999999</v>
      </c>
      <c r="X199" s="157" t="b">
        <f t="shared" si="16"/>
        <v>0</v>
      </c>
      <c r="Y199" s="157" t="s">
        <v>60</v>
      </c>
      <c r="Z199" s="157">
        <v>1</v>
      </c>
      <c r="AA199" s="157"/>
      <c r="AB199" s="157"/>
      <c r="AC199" s="157"/>
    </row>
    <row r="200" spans="1:29" x14ac:dyDescent="0.35">
      <c r="A200" t="str">
        <f t="shared" si="15"/>
        <v>Si-1</v>
      </c>
      <c r="B200" s="2" t="s">
        <v>70</v>
      </c>
      <c r="C200">
        <v>1</v>
      </c>
      <c r="D200" s="3">
        <v>2</v>
      </c>
      <c r="E200">
        <v>0</v>
      </c>
      <c r="H200">
        <v>76.459999999999994</v>
      </c>
      <c r="K200" s="56">
        <v>59.572000000000003</v>
      </c>
      <c r="N200" s="88">
        <v>41</v>
      </c>
      <c r="Q200" s="56">
        <v>4.5709300000000001E-2</v>
      </c>
      <c r="T200" s="56">
        <v>45.439</v>
      </c>
      <c r="X200" s="157" t="b">
        <f t="shared" si="16"/>
        <v>0</v>
      </c>
      <c r="Y200" s="157" t="s">
        <v>60</v>
      </c>
      <c r="Z200" s="157">
        <v>2</v>
      </c>
      <c r="AA200" s="157"/>
      <c r="AB200" s="157"/>
      <c r="AC200" s="157"/>
    </row>
    <row r="201" spans="1:29" x14ac:dyDescent="0.35">
      <c r="A201" t="str">
        <f t="shared" si="15"/>
        <v>Si-1</v>
      </c>
      <c r="B201" s="2" t="s">
        <v>70</v>
      </c>
      <c r="C201">
        <v>1</v>
      </c>
      <c r="D201" s="3">
        <v>3</v>
      </c>
      <c r="E201">
        <v>1</v>
      </c>
      <c r="H201">
        <v>70.06</v>
      </c>
      <c r="K201" s="56">
        <v>10.653</v>
      </c>
      <c r="N201" s="88">
        <v>35</v>
      </c>
      <c r="Q201" s="56">
        <v>5.8992000000000003E-2</v>
      </c>
      <c r="T201" s="56">
        <v>53.853999999999999</v>
      </c>
      <c r="X201" s="157" t="b">
        <f t="shared" si="16"/>
        <v>0</v>
      </c>
      <c r="Y201" s="157" t="s">
        <v>60</v>
      </c>
      <c r="Z201" s="157">
        <v>3</v>
      </c>
      <c r="AA201" s="157"/>
      <c r="AB201" s="157"/>
      <c r="AC201" s="157"/>
    </row>
    <row r="202" spans="1:29" x14ac:dyDescent="0.35">
      <c r="A202" t="str">
        <f t="shared" si="15"/>
        <v>Si-1</v>
      </c>
      <c r="B202" s="2" t="s">
        <v>70</v>
      </c>
      <c r="C202">
        <v>1</v>
      </c>
      <c r="D202" s="3">
        <v>4</v>
      </c>
      <c r="E202">
        <v>0</v>
      </c>
      <c r="K202" s="56">
        <v>37.713999999999999</v>
      </c>
      <c r="N202" s="88">
        <v>37</v>
      </c>
      <c r="Q202" s="56">
        <v>4.8417399999999999E-2</v>
      </c>
      <c r="T202" s="56">
        <v>47.220999999999997</v>
      </c>
      <c r="X202" s="157" t="b">
        <f t="shared" si="16"/>
        <v>0</v>
      </c>
      <c r="Y202" s="157" t="s">
        <v>60</v>
      </c>
      <c r="Z202" s="157">
        <v>4</v>
      </c>
      <c r="AA202" s="157"/>
      <c r="AB202" s="157"/>
      <c r="AC202" s="157"/>
    </row>
    <row r="203" spans="1:29" x14ac:dyDescent="0.35">
      <c r="A203" t="str">
        <f t="shared" si="15"/>
        <v>Si-1</v>
      </c>
      <c r="B203" s="2" t="s">
        <v>70</v>
      </c>
      <c r="C203">
        <v>1</v>
      </c>
      <c r="D203" s="3">
        <v>5</v>
      </c>
      <c r="K203" s="56">
        <v>3.2290000000000001</v>
      </c>
      <c r="N203" s="88">
        <v>42</v>
      </c>
      <c r="Q203" s="56">
        <v>6.3642199999999996E-2</v>
      </c>
      <c r="T203" s="56">
        <v>56.625999999999998</v>
      </c>
      <c r="X203" s="157" t="b">
        <f t="shared" si="16"/>
        <v>0</v>
      </c>
      <c r="Y203" s="157" t="s">
        <v>60</v>
      </c>
      <c r="Z203" s="157">
        <v>5</v>
      </c>
      <c r="AA203" s="157"/>
      <c r="AB203" s="157"/>
      <c r="AC203" s="157"/>
    </row>
  </sheetData>
  <autoFilter ref="A3:V203" xr:uid="{B85D42D7-3703-45DE-B067-B9964E27C118}">
    <sortState xmlns:xlrd2="http://schemas.microsoft.com/office/spreadsheetml/2017/richdata2" ref="A4:V203">
      <sortCondition ref="A3:A203"/>
    </sortState>
  </autoFilter>
  <pageMargins left="0.7" right="0.7" top="0.75" bottom="0.75" header="0.3" footer="0.3"/>
  <pageSetup paperSize="9"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82A1A2-A912-4E51-95C1-0E955D2478C2}">
  <sheetPr>
    <tabColor theme="7"/>
  </sheetPr>
  <dimension ref="A1:AI45"/>
  <sheetViews>
    <sheetView tabSelected="1" zoomScaleNormal="100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K4" sqref="K4:K43"/>
    </sheetView>
  </sheetViews>
  <sheetFormatPr defaultRowHeight="14.5" x14ac:dyDescent="0.35"/>
  <cols>
    <col min="1" max="1" width="6.81640625" customWidth="1"/>
    <col min="2" max="2" width="6" customWidth="1"/>
    <col min="3" max="3" width="12.453125" customWidth="1"/>
    <col min="4" max="4" width="6.7265625" customWidth="1"/>
    <col min="5" max="5" width="9.7265625" customWidth="1"/>
    <col min="6" max="6" width="12.81640625" customWidth="1"/>
    <col min="7" max="7" width="11.453125" customWidth="1"/>
    <col min="8" max="8" width="13" customWidth="1"/>
    <col min="10" max="10" width="9.08984375" style="56" bestFit="1" customWidth="1"/>
    <col min="11" max="11" width="9.08984375" bestFit="1" customWidth="1"/>
    <col min="12" max="12" width="10.08984375" style="61" bestFit="1" customWidth="1"/>
    <col min="13" max="13" width="9.26953125" customWidth="1"/>
    <col min="14" max="15" width="9.54296875" customWidth="1"/>
    <col min="16" max="16" width="11.453125" bestFit="1" customWidth="1"/>
    <col min="17" max="17" width="11.453125" customWidth="1"/>
    <col min="18" max="18" width="11.54296875" customWidth="1"/>
    <col min="23" max="23" width="12.54296875" bestFit="1" customWidth="1"/>
  </cols>
  <sheetData>
    <row r="1" spans="1:33" x14ac:dyDescent="0.35">
      <c r="D1" s="1" t="s">
        <v>398</v>
      </c>
      <c r="E1" s="1">
        <v>88</v>
      </c>
      <c r="F1" s="1"/>
      <c r="N1" s="1" t="s">
        <v>414</v>
      </c>
      <c r="O1" s="1"/>
      <c r="P1" s="161">
        <f>S1</f>
        <v>0.75398223686155041</v>
      </c>
      <c r="Q1" s="1" t="s">
        <v>415</v>
      </c>
      <c r="R1" s="160">
        <f>PI()*(0.8/2)^2*0.5</f>
        <v>0.25132741228718347</v>
      </c>
      <c r="S1" s="56">
        <f>R1*3</f>
        <v>0.75398223686155041</v>
      </c>
      <c r="T1" t="s">
        <v>416</v>
      </c>
    </row>
    <row r="2" spans="1:33" x14ac:dyDescent="0.35">
      <c r="D2" s="115" t="s">
        <v>117</v>
      </c>
      <c r="E2" s="116"/>
      <c r="F2" s="116"/>
      <c r="G2" s="116"/>
      <c r="H2" s="116"/>
      <c r="I2" s="116"/>
      <c r="J2" s="148"/>
      <c r="K2" s="116"/>
      <c r="L2" s="150"/>
      <c r="M2" s="124"/>
      <c r="N2" s="125" t="s">
        <v>118</v>
      </c>
      <c r="O2" s="125"/>
      <c r="P2" s="124"/>
      <c r="Q2" s="124"/>
      <c r="R2" s="124"/>
      <c r="S2" s="124"/>
      <c r="T2" s="124"/>
      <c r="U2" s="124"/>
    </row>
    <row r="3" spans="1:33" ht="58.5" thickBot="1" x14ac:dyDescent="0.4">
      <c r="A3" s="5" t="s">
        <v>387</v>
      </c>
      <c r="B3" s="5" t="s">
        <v>66</v>
      </c>
      <c r="C3" s="5" t="s">
        <v>91</v>
      </c>
      <c r="D3" s="117" t="s">
        <v>432</v>
      </c>
      <c r="E3" s="118" t="s">
        <v>433</v>
      </c>
      <c r="F3" s="118" t="s">
        <v>434</v>
      </c>
      <c r="G3" s="118" t="s">
        <v>114</v>
      </c>
      <c r="H3" s="118" t="s">
        <v>435</v>
      </c>
      <c r="I3" s="118" t="s">
        <v>436</v>
      </c>
      <c r="J3" s="149" t="s">
        <v>437</v>
      </c>
      <c r="K3" s="118" t="s">
        <v>6</v>
      </c>
      <c r="L3" s="151" t="s">
        <v>438</v>
      </c>
      <c r="M3" s="126" t="s">
        <v>405</v>
      </c>
      <c r="N3" s="126" t="s">
        <v>406</v>
      </c>
      <c r="O3" s="126" t="s">
        <v>403</v>
      </c>
      <c r="P3" s="126" t="s">
        <v>404</v>
      </c>
      <c r="Q3" s="126" t="s">
        <v>116</v>
      </c>
      <c r="R3" s="126" t="s">
        <v>123</v>
      </c>
      <c r="S3" s="127" t="s">
        <v>124</v>
      </c>
      <c r="U3" s="1"/>
      <c r="V3" s="143"/>
      <c r="W3" s="143"/>
      <c r="X3" s="143"/>
      <c r="Y3" s="143"/>
      <c r="Z3" s="143"/>
      <c r="AA3" s="143"/>
      <c r="AB3" s="143"/>
      <c r="AC3" s="143"/>
      <c r="AD3" s="143"/>
      <c r="AE3" s="143"/>
      <c r="AF3" s="1"/>
      <c r="AG3" s="1"/>
    </row>
    <row r="4" spans="1:33" ht="15.5" thickTop="1" thickBot="1" x14ac:dyDescent="0.4">
      <c r="A4" t="str">
        <f t="shared" ref="A4:A43" si="0">B4&amp;"-"&amp;C4</f>
        <v>AE-0</v>
      </c>
      <c r="B4" t="s">
        <v>98</v>
      </c>
      <c r="C4">
        <v>0</v>
      </c>
      <c r="D4" s="119" t="s">
        <v>443</v>
      </c>
      <c r="E4" s="120">
        <v>0.69750000000000001</v>
      </c>
      <c r="F4" s="120">
        <v>1180</v>
      </c>
      <c r="G4" s="121">
        <v>11</v>
      </c>
      <c r="H4" s="120">
        <v>57</v>
      </c>
      <c r="I4" s="120">
        <v>23</v>
      </c>
      <c r="J4" s="163">
        <v>430.83776037387952</v>
      </c>
      <c r="K4" s="163">
        <v>4308.3776037387952</v>
      </c>
      <c r="L4" s="152">
        <v>0.21052631578947367</v>
      </c>
      <c r="M4" s="128">
        <v>878.68</v>
      </c>
      <c r="N4" s="128">
        <v>859.3599999999999</v>
      </c>
      <c r="O4" s="128">
        <v>19.32</v>
      </c>
      <c r="P4" s="128">
        <v>671.26</v>
      </c>
      <c r="Q4" s="141">
        <f t="shared" ref="Q4:Q43" si="1">(P4-O4)/1000/$P$1</f>
        <v>0.86466227999441858</v>
      </c>
      <c r="R4" s="129">
        <f>1-Q4/2.65</f>
        <v>0.67371234717191752</v>
      </c>
      <c r="S4" s="130">
        <f>(N4-(P4-O4))/1000/$P$1</f>
        <v>0.27509931913434105</v>
      </c>
      <c r="U4" s="55"/>
      <c r="V4" s="143"/>
      <c r="W4" s="146"/>
      <c r="X4" s="146"/>
      <c r="Y4" s="146"/>
      <c r="Z4" s="146"/>
      <c r="AA4" s="146"/>
      <c r="AB4" s="146"/>
      <c r="AC4" s="146"/>
      <c r="AD4" s="146"/>
      <c r="AE4" s="145"/>
      <c r="AF4" s="158"/>
      <c r="AG4" s="159"/>
    </row>
    <row r="5" spans="1:33" ht="15" thickTop="1" x14ac:dyDescent="0.35">
      <c r="A5" t="str">
        <f t="shared" si="0"/>
        <v>AE-1</v>
      </c>
      <c r="B5" t="s">
        <v>98</v>
      </c>
      <c r="C5">
        <v>1</v>
      </c>
      <c r="D5" s="119" t="s">
        <v>443</v>
      </c>
      <c r="E5" s="120">
        <v>0.5766</v>
      </c>
      <c r="F5" s="120">
        <v>1270</v>
      </c>
      <c r="G5" s="121">
        <v>11</v>
      </c>
      <c r="H5" s="120">
        <v>77</v>
      </c>
      <c r="I5" s="120">
        <v>25</v>
      </c>
      <c r="J5" s="163">
        <v>400.46668558635258</v>
      </c>
      <c r="K5" s="163">
        <v>4004.6668558635261</v>
      </c>
      <c r="L5" s="152">
        <v>0.18181818181818182</v>
      </c>
      <c r="M5" s="128">
        <v>861.48</v>
      </c>
      <c r="N5" s="128">
        <f t="shared" ref="N5:N43" si="2">M5-O5</f>
        <v>842.11</v>
      </c>
      <c r="O5" s="128">
        <v>19.37</v>
      </c>
      <c r="P5" s="128">
        <v>661.6</v>
      </c>
      <c r="Q5" s="141">
        <f t="shared" si="1"/>
        <v>0.85178399251589942</v>
      </c>
      <c r="R5" s="129">
        <f t="shared" ref="R5:R43" si="3">1-Q5/2.65</f>
        <v>0.67857207829588706</v>
      </c>
      <c r="S5" s="130">
        <f t="shared" ref="S5:S43" si="4">(N5-(P5-O5))/1000/$P$1</f>
        <v>0.26509908354340034</v>
      </c>
      <c r="T5" s="157"/>
      <c r="U5" s="55"/>
      <c r="V5" s="143"/>
      <c r="W5" s="143"/>
      <c r="X5" s="143"/>
      <c r="Y5" s="143"/>
      <c r="Z5" s="143"/>
      <c r="AA5" s="143"/>
      <c r="AB5" s="143"/>
      <c r="AC5" s="143"/>
      <c r="AD5" s="143"/>
      <c r="AE5" s="145"/>
      <c r="AF5" s="137"/>
      <c r="AG5" s="137"/>
    </row>
    <row r="6" spans="1:33" x14ac:dyDescent="0.35">
      <c r="A6" s="49" t="str">
        <f t="shared" si="0"/>
        <v>Ai-0</v>
      </c>
      <c r="B6" s="49" t="s">
        <v>76</v>
      </c>
      <c r="C6" s="49">
        <v>0</v>
      </c>
      <c r="D6" s="122" t="s">
        <v>444</v>
      </c>
      <c r="E6" s="121">
        <v>0.69750000000000001</v>
      </c>
      <c r="F6" s="121">
        <v>270</v>
      </c>
      <c r="G6" s="121">
        <v>11</v>
      </c>
      <c r="H6" s="121">
        <v>49</v>
      </c>
      <c r="I6" s="121">
        <v>28</v>
      </c>
      <c r="J6" s="164">
        <v>162.4583235999915</v>
      </c>
      <c r="K6" s="164">
        <v>1342.9888084265965</v>
      </c>
      <c r="L6" s="153">
        <v>0.34693877551020408</v>
      </c>
      <c r="M6" s="128">
        <v>1192.5</v>
      </c>
      <c r="N6" s="128">
        <f t="shared" si="2"/>
        <v>1172.52</v>
      </c>
      <c r="O6" s="128">
        <v>19.98</v>
      </c>
      <c r="P6" s="131">
        <v>1034.48</v>
      </c>
      <c r="Q6" s="141">
        <f t="shared" si="1"/>
        <v>1.3455224147227316</v>
      </c>
      <c r="R6" s="129">
        <f t="shared" si="3"/>
        <v>0.49225569255745971</v>
      </c>
      <c r="S6" s="130">
        <f t="shared" si="4"/>
        <v>0.20958053422817749</v>
      </c>
      <c r="T6" s="157"/>
      <c r="U6" s="55"/>
      <c r="V6" s="143"/>
      <c r="W6" s="146"/>
      <c r="X6" s="146"/>
      <c r="Y6" s="146"/>
      <c r="Z6" s="146"/>
      <c r="AA6" s="146"/>
      <c r="AB6" s="146"/>
      <c r="AC6" s="147"/>
      <c r="AD6" s="147"/>
      <c r="AE6" s="145"/>
      <c r="AF6" s="137"/>
      <c r="AG6" s="137"/>
    </row>
    <row r="7" spans="1:33" x14ac:dyDescent="0.35">
      <c r="A7" s="49" t="str">
        <f t="shared" si="0"/>
        <v>Ai-1</v>
      </c>
      <c r="B7" s="49" t="s">
        <v>76</v>
      </c>
      <c r="C7" s="49">
        <v>1</v>
      </c>
      <c r="D7" s="122" t="s">
        <v>443</v>
      </c>
      <c r="E7" s="121">
        <v>0.5766</v>
      </c>
      <c r="F7" s="121">
        <v>770</v>
      </c>
      <c r="G7" s="121">
        <v>11</v>
      </c>
      <c r="H7" s="121">
        <v>74</v>
      </c>
      <c r="I7" s="121">
        <v>46</v>
      </c>
      <c r="J7" s="164">
        <v>631.61496564202071</v>
      </c>
      <c r="K7" s="164">
        <v>6316.1496564202071</v>
      </c>
      <c r="L7" s="153">
        <v>0.47297297297297297</v>
      </c>
      <c r="M7" s="128">
        <v>1205.5</v>
      </c>
      <c r="N7" s="128">
        <f t="shared" si="2"/>
        <v>1186.4000000000001</v>
      </c>
      <c r="O7" s="128">
        <v>19.100000000000001</v>
      </c>
      <c r="P7" s="131">
        <v>1010.76</v>
      </c>
      <c r="Q7" s="141">
        <f t="shared" si="1"/>
        <v>1.3152299238875744</v>
      </c>
      <c r="R7" s="129">
        <f t="shared" si="3"/>
        <v>0.50368682117450025</v>
      </c>
      <c r="S7" s="130">
        <f t="shared" si="4"/>
        <v>0.25828194681429767</v>
      </c>
      <c r="T7" s="157"/>
      <c r="U7" s="55"/>
      <c r="V7" s="143"/>
      <c r="W7" s="143"/>
      <c r="X7" s="143"/>
      <c r="Y7" s="143"/>
      <c r="Z7" s="143"/>
      <c r="AA7" s="143"/>
      <c r="AB7" s="143"/>
      <c r="AC7" s="144"/>
      <c r="AD7" s="144"/>
      <c r="AE7" s="145"/>
      <c r="AF7" s="137"/>
      <c r="AG7" s="137"/>
    </row>
    <row r="8" spans="1:33" x14ac:dyDescent="0.35">
      <c r="A8" s="49" t="str">
        <f t="shared" si="0"/>
        <v>Ik-0</v>
      </c>
      <c r="B8" s="49" t="s">
        <v>99</v>
      </c>
      <c r="C8" s="49">
        <v>0</v>
      </c>
      <c r="D8" s="122" t="s">
        <v>440</v>
      </c>
      <c r="E8" s="121">
        <v>0.69750000000000001</v>
      </c>
      <c r="F8" s="121">
        <v>1920</v>
      </c>
      <c r="G8" s="121">
        <v>11</v>
      </c>
      <c r="H8" s="121">
        <v>78</v>
      </c>
      <c r="I8" s="121">
        <v>23</v>
      </c>
      <c r="J8" s="165">
        <v>512.28688065316578</v>
      </c>
      <c r="K8" s="165">
        <v>4234.9048800661703</v>
      </c>
      <c r="L8" s="153">
        <v>0.15384615384615385</v>
      </c>
      <c r="M8" s="128">
        <v>845.38</v>
      </c>
      <c r="N8" s="128">
        <f t="shared" si="2"/>
        <v>826.3</v>
      </c>
      <c r="O8" s="128">
        <v>19.079999999999998</v>
      </c>
      <c r="P8" s="131">
        <v>651.82000000000005</v>
      </c>
      <c r="Q8" s="141">
        <f t="shared" si="1"/>
        <v>0.83919748909971537</v>
      </c>
      <c r="R8" s="129">
        <f t="shared" si="3"/>
        <v>0.68332170222652255</v>
      </c>
      <c r="S8" s="130">
        <f t="shared" si="4"/>
        <v>0.25671692320722711</v>
      </c>
      <c r="T8" s="157"/>
      <c r="U8" s="55"/>
      <c r="V8" s="143"/>
      <c r="W8" s="146"/>
      <c r="X8" s="146"/>
      <c r="Y8" s="146"/>
      <c r="Z8" s="146"/>
      <c r="AA8" s="146"/>
      <c r="AB8" s="146"/>
      <c r="AC8" s="147"/>
      <c r="AD8" s="147"/>
      <c r="AE8" s="145"/>
      <c r="AF8" s="137"/>
      <c r="AG8" s="137"/>
    </row>
    <row r="9" spans="1:33" x14ac:dyDescent="0.35">
      <c r="A9" s="49" t="str">
        <f t="shared" si="0"/>
        <v>Ik-1</v>
      </c>
      <c r="B9" s="49" t="s">
        <v>99</v>
      </c>
      <c r="C9" s="49">
        <v>1</v>
      </c>
      <c r="D9" s="122" t="s">
        <v>443</v>
      </c>
      <c r="E9" s="121">
        <v>0.5766</v>
      </c>
      <c r="F9" s="121">
        <v>1640</v>
      </c>
      <c r="G9" s="121">
        <v>11</v>
      </c>
      <c r="H9" s="121">
        <v>76</v>
      </c>
      <c r="I9" s="121">
        <v>36</v>
      </c>
      <c r="J9" s="165">
        <v>935.61166182886984</v>
      </c>
      <c r="K9" s="165">
        <v>9356.1166182886973</v>
      </c>
      <c r="L9" s="153">
        <v>0.32894736842105265</v>
      </c>
      <c r="M9" s="128">
        <v>967.12</v>
      </c>
      <c r="N9" s="128">
        <f t="shared" si="2"/>
        <v>947.85</v>
      </c>
      <c r="O9" s="128">
        <v>19.27</v>
      </c>
      <c r="P9" s="131">
        <v>723.54</v>
      </c>
      <c r="Q9" s="141">
        <f t="shared" si="1"/>
        <v>0.93406709809440924</v>
      </c>
      <c r="R9" s="129">
        <f t="shared" si="3"/>
        <v>0.6475218497756946</v>
      </c>
      <c r="S9" s="130">
        <f t="shared" si="4"/>
        <v>0.3230580086526989</v>
      </c>
      <c r="T9" s="157"/>
      <c r="U9" s="55"/>
      <c r="V9" s="143"/>
      <c r="W9" s="143"/>
      <c r="X9" s="143"/>
      <c r="Y9" s="143"/>
      <c r="Z9" s="143"/>
      <c r="AA9" s="143"/>
      <c r="AB9" s="143"/>
      <c r="AC9" s="144"/>
      <c r="AD9" s="144"/>
      <c r="AE9" s="145"/>
      <c r="AF9" s="137"/>
      <c r="AG9" s="137"/>
    </row>
    <row r="10" spans="1:33" x14ac:dyDescent="0.35">
      <c r="A10" s="49" t="str">
        <f t="shared" si="0"/>
        <v>Ja-0</v>
      </c>
      <c r="B10" s="49" t="s">
        <v>73</v>
      </c>
      <c r="C10" s="49">
        <v>0</v>
      </c>
      <c r="D10" s="122" t="s">
        <v>446</v>
      </c>
      <c r="E10" s="121">
        <v>0.5766</v>
      </c>
      <c r="F10" s="121"/>
      <c r="G10" s="121">
        <v>11</v>
      </c>
      <c r="H10" s="121"/>
      <c r="I10" s="121"/>
      <c r="J10" s="164"/>
      <c r="K10" s="164">
        <v>0</v>
      </c>
      <c r="L10" s="153"/>
      <c r="M10" s="128">
        <v>718.98</v>
      </c>
      <c r="N10" s="128">
        <f t="shared" si="2"/>
        <v>699.1</v>
      </c>
      <c r="O10" s="128">
        <v>19.88</v>
      </c>
      <c r="P10" s="131">
        <v>570.75</v>
      </c>
      <c r="Q10" s="141">
        <f t="shared" si="1"/>
        <v>0.73061402917526974</v>
      </c>
      <c r="R10" s="129">
        <f t="shared" si="3"/>
        <v>0.72429659276404912</v>
      </c>
      <c r="S10" s="130">
        <f t="shared" si="4"/>
        <v>0.19659614345426374</v>
      </c>
      <c r="T10" s="157"/>
      <c r="U10" s="55"/>
      <c r="V10" s="143"/>
      <c r="W10" s="146"/>
      <c r="X10" s="146"/>
      <c r="Y10" s="146"/>
      <c r="Z10" s="146"/>
      <c r="AA10" s="146"/>
      <c r="AB10" s="146"/>
      <c r="AC10" s="147"/>
      <c r="AD10" s="147"/>
      <c r="AE10" s="145"/>
      <c r="AF10" s="137"/>
      <c r="AG10" s="137"/>
    </row>
    <row r="11" spans="1:33" x14ac:dyDescent="0.35">
      <c r="A11" s="49" t="str">
        <f t="shared" si="0"/>
        <v>Ja-1</v>
      </c>
      <c r="B11" s="49" t="s">
        <v>73</v>
      </c>
      <c r="C11" s="49">
        <v>1</v>
      </c>
      <c r="D11" s="122" t="s">
        <v>443</v>
      </c>
      <c r="E11" s="121">
        <v>0.5766</v>
      </c>
      <c r="F11" s="121"/>
      <c r="G11" s="121">
        <v>11</v>
      </c>
      <c r="H11" s="121"/>
      <c r="I11" s="121"/>
      <c r="J11" s="164"/>
      <c r="K11" s="164">
        <v>0</v>
      </c>
      <c r="L11" s="153"/>
      <c r="M11" s="128">
        <v>961.52</v>
      </c>
      <c r="N11" s="128">
        <f t="shared" si="2"/>
        <v>941.65</v>
      </c>
      <c r="O11" s="128">
        <v>19.87</v>
      </c>
      <c r="P11" s="131">
        <v>766.74</v>
      </c>
      <c r="Q11" s="141">
        <f t="shared" si="1"/>
        <v>0.9905671028920322</v>
      </c>
      <c r="R11" s="129">
        <f t="shared" si="3"/>
        <v>0.62620109324828976</v>
      </c>
      <c r="S11" s="130">
        <f t="shared" si="4"/>
        <v>0.25833499846199476</v>
      </c>
      <c r="T11" s="157"/>
      <c r="U11" s="55"/>
      <c r="V11" s="143"/>
      <c r="W11" s="143"/>
      <c r="X11" s="143"/>
      <c r="Y11" s="143"/>
      <c r="Z11" s="143"/>
      <c r="AA11" s="143"/>
      <c r="AB11" s="143"/>
      <c r="AC11" s="144"/>
      <c r="AD11" s="144"/>
      <c r="AE11" s="145"/>
      <c r="AF11" s="137"/>
      <c r="AG11" s="137"/>
    </row>
    <row r="12" spans="1:33" x14ac:dyDescent="0.35">
      <c r="A12" s="49" t="str">
        <f t="shared" si="0"/>
        <v>Jn-0</v>
      </c>
      <c r="B12" s="49" t="s">
        <v>84</v>
      </c>
      <c r="C12" s="49">
        <v>0</v>
      </c>
      <c r="D12" s="122" t="s">
        <v>442</v>
      </c>
      <c r="E12" s="121">
        <v>0.5766</v>
      </c>
      <c r="F12" s="121">
        <v>530</v>
      </c>
      <c r="G12" s="121">
        <v>11</v>
      </c>
      <c r="H12" s="121">
        <v>80</v>
      </c>
      <c r="I12" s="121">
        <v>33</v>
      </c>
      <c r="J12" s="165">
        <v>252.77488727020466</v>
      </c>
      <c r="K12" s="165">
        <v>2527.7488727020468</v>
      </c>
      <c r="L12" s="153">
        <v>0.27500000000000002</v>
      </c>
      <c r="M12" s="128">
        <v>1052.24</v>
      </c>
      <c r="N12" s="128">
        <f t="shared" si="2"/>
        <v>1032.8800000000001</v>
      </c>
      <c r="O12" s="128">
        <v>19.36</v>
      </c>
      <c r="P12" s="131">
        <v>786.7</v>
      </c>
      <c r="Q12" s="141">
        <f t="shared" si="1"/>
        <v>1.0177162836011246</v>
      </c>
      <c r="R12" s="129">
        <f t="shared" si="3"/>
        <v>0.61595611939580208</v>
      </c>
      <c r="S12" s="130">
        <f t="shared" si="4"/>
        <v>0.35218336323851579</v>
      </c>
      <c r="T12" s="157"/>
      <c r="U12" s="55"/>
      <c r="V12" s="143"/>
      <c r="W12" s="146"/>
      <c r="X12" s="146"/>
      <c r="Y12" s="146"/>
      <c r="Z12" s="146"/>
      <c r="AA12" s="146"/>
      <c r="AB12" s="146"/>
      <c r="AC12" s="146"/>
      <c r="AD12" s="146"/>
      <c r="AE12" s="145"/>
      <c r="AF12" s="137"/>
      <c r="AG12" s="137"/>
    </row>
    <row r="13" spans="1:33" x14ac:dyDescent="0.35">
      <c r="A13" s="49" t="str">
        <f t="shared" si="0"/>
        <v>Jn-1</v>
      </c>
      <c r="B13" s="49" t="s">
        <v>84</v>
      </c>
      <c r="C13" s="49">
        <v>1</v>
      </c>
      <c r="D13" s="122" t="s">
        <v>442</v>
      </c>
      <c r="E13" s="121">
        <v>0.5766</v>
      </c>
      <c r="F13" s="121">
        <v>1630</v>
      </c>
      <c r="G13" s="121">
        <v>11</v>
      </c>
      <c r="H13" s="121">
        <v>61</v>
      </c>
      <c r="I13" s="121">
        <v>30</v>
      </c>
      <c r="J13" s="165">
        <v>880.51494629342164</v>
      </c>
      <c r="K13" s="165">
        <v>8805.149462934216</v>
      </c>
      <c r="L13" s="153">
        <v>0.31147540983606559</v>
      </c>
      <c r="M13" s="128">
        <v>923.22</v>
      </c>
      <c r="N13" s="128">
        <f t="shared" si="2"/>
        <v>904.09</v>
      </c>
      <c r="O13" s="128">
        <v>19.13</v>
      </c>
      <c r="P13" s="131">
        <v>697.38</v>
      </c>
      <c r="Q13" s="141">
        <f t="shared" si="1"/>
        <v>0.89955700126731675</v>
      </c>
      <c r="R13" s="129">
        <f t="shared" si="3"/>
        <v>0.66054452782365403</v>
      </c>
      <c r="S13" s="130">
        <f t="shared" si="4"/>
        <v>0.29952960289894703</v>
      </c>
      <c r="T13" s="157"/>
      <c r="U13" s="55"/>
      <c r="V13" s="143"/>
      <c r="W13" s="143"/>
      <c r="X13" s="143"/>
      <c r="Y13" s="143"/>
      <c r="Z13" s="143"/>
      <c r="AA13" s="143"/>
      <c r="AB13" s="143"/>
      <c r="AC13" s="143"/>
      <c r="AD13" s="143"/>
      <c r="AE13" s="145"/>
      <c r="AF13" s="137"/>
      <c r="AG13" s="137"/>
    </row>
    <row r="14" spans="1:33" x14ac:dyDescent="0.35">
      <c r="A14" t="str">
        <f t="shared" si="0"/>
        <v>Ki-0</v>
      </c>
      <c r="B14" t="s">
        <v>72</v>
      </c>
      <c r="C14">
        <v>0</v>
      </c>
      <c r="D14" s="119" t="s">
        <v>447</v>
      </c>
      <c r="E14" s="120">
        <v>0.69750000000000001</v>
      </c>
      <c r="F14" s="120">
        <v>210</v>
      </c>
      <c r="G14" s="120">
        <v>11</v>
      </c>
      <c r="H14" s="120">
        <v>49</v>
      </c>
      <c r="I14" s="120">
        <v>23</v>
      </c>
      <c r="J14" s="166">
        <v>89.192805113720823</v>
      </c>
      <c r="K14" s="166">
        <v>737.32718894009224</v>
      </c>
      <c r="L14" s="152">
        <v>0.24489795918367346</v>
      </c>
      <c r="M14" s="128">
        <v>888.7</v>
      </c>
      <c r="N14" s="128">
        <f t="shared" si="2"/>
        <v>869.83</v>
      </c>
      <c r="O14" s="128">
        <v>18.87</v>
      </c>
      <c r="P14" s="128">
        <v>788.04</v>
      </c>
      <c r="Q14" s="141">
        <f t="shared" si="1"/>
        <v>1.020143396483276</v>
      </c>
      <c r="R14" s="129">
        <f t="shared" si="3"/>
        <v>0.61504022774216005</v>
      </c>
      <c r="S14" s="130">
        <f t="shared" si="4"/>
        <v>0.13350447143025165</v>
      </c>
      <c r="T14" s="157"/>
      <c r="U14" s="55"/>
      <c r="V14" s="143"/>
      <c r="W14" s="146"/>
      <c r="X14" s="146"/>
      <c r="Y14" s="146"/>
      <c r="Z14" s="146"/>
      <c r="AA14" s="146"/>
      <c r="AB14" s="146"/>
      <c r="AC14" s="147"/>
      <c r="AD14" s="147"/>
      <c r="AE14" s="145"/>
      <c r="AF14" s="137"/>
      <c r="AG14" s="137"/>
    </row>
    <row r="15" spans="1:33" x14ac:dyDescent="0.35">
      <c r="A15" s="49" t="str">
        <f t="shared" si="0"/>
        <v>Ki-1</v>
      </c>
      <c r="B15" s="49" t="s">
        <v>72</v>
      </c>
      <c r="C15" s="49">
        <v>1</v>
      </c>
      <c r="D15" s="122" t="s">
        <v>447</v>
      </c>
      <c r="E15" s="121">
        <v>0.69750000000000001</v>
      </c>
      <c r="F15" s="121">
        <v>410</v>
      </c>
      <c r="G15" s="121">
        <v>11</v>
      </c>
      <c r="H15" s="121">
        <v>52</v>
      </c>
      <c r="I15" s="121">
        <v>22</v>
      </c>
      <c r="J15" s="164">
        <v>150.41756717094907</v>
      </c>
      <c r="K15" s="164">
        <v>1243.4518886131789</v>
      </c>
      <c r="L15" s="153">
        <v>0.21153846153846154</v>
      </c>
      <c r="M15" s="128">
        <v>866.48</v>
      </c>
      <c r="N15" s="128">
        <f t="shared" si="2"/>
        <v>847.63</v>
      </c>
      <c r="O15" s="128">
        <v>18.850000000000001</v>
      </c>
      <c r="P15" s="131">
        <v>755</v>
      </c>
      <c r="Q15" s="141">
        <f t="shared" si="1"/>
        <v>0.97634926130915622</v>
      </c>
      <c r="R15" s="129">
        <f t="shared" si="3"/>
        <v>0.63156631648711081</v>
      </c>
      <c r="S15" s="130">
        <f t="shared" si="4"/>
        <v>0.1478549421323708</v>
      </c>
      <c r="T15" s="157"/>
      <c r="U15" s="55"/>
      <c r="V15" s="143"/>
      <c r="W15" s="143"/>
      <c r="X15" s="143"/>
      <c r="Y15" s="143"/>
      <c r="Z15" s="143"/>
      <c r="AA15" s="143"/>
      <c r="AB15" s="143"/>
      <c r="AC15" s="144"/>
      <c r="AD15" s="144"/>
      <c r="AE15" s="145"/>
      <c r="AF15" s="137"/>
      <c r="AG15" s="137"/>
    </row>
    <row r="16" spans="1:33" x14ac:dyDescent="0.35">
      <c r="A16" t="str">
        <f t="shared" si="0"/>
        <v>Ko-0</v>
      </c>
      <c r="B16" s="2" t="s">
        <v>79</v>
      </c>
      <c r="C16">
        <v>0</v>
      </c>
      <c r="D16" s="119" t="s">
        <v>443</v>
      </c>
      <c r="E16" s="120">
        <v>0.375</v>
      </c>
      <c r="F16" s="120">
        <v>370</v>
      </c>
      <c r="G16" s="121">
        <v>11</v>
      </c>
      <c r="H16" s="120">
        <v>68</v>
      </c>
      <c r="I16" s="120">
        <v>27</v>
      </c>
      <c r="J16" s="163">
        <v>232.15686274509804</v>
      </c>
      <c r="K16" s="163">
        <v>2321.5686274509803</v>
      </c>
      <c r="L16" s="152">
        <v>0.23529411764705882</v>
      </c>
      <c r="M16" s="128">
        <v>1156.98</v>
      </c>
      <c r="N16" s="128">
        <f t="shared" si="2"/>
        <v>1137.5999999999999</v>
      </c>
      <c r="O16" s="128">
        <v>19.38</v>
      </c>
      <c r="P16" s="128">
        <v>885.96</v>
      </c>
      <c r="Q16" s="141">
        <f t="shared" si="1"/>
        <v>1.1493374215381222</v>
      </c>
      <c r="R16" s="129">
        <f t="shared" si="3"/>
        <v>0.56628776545731241</v>
      </c>
      <c r="S16" s="130">
        <f t="shared" si="4"/>
        <v>0.35945143897304543</v>
      </c>
      <c r="T16" s="157"/>
      <c r="U16" s="55"/>
      <c r="V16" s="143"/>
      <c r="W16" s="146"/>
      <c r="X16" s="146"/>
      <c r="Y16" s="146"/>
      <c r="Z16" s="146"/>
      <c r="AA16" s="146"/>
      <c r="AB16" s="146"/>
      <c r="AC16" s="147"/>
      <c r="AD16" s="147"/>
      <c r="AE16" s="145"/>
      <c r="AF16" s="137"/>
      <c r="AG16" s="137"/>
    </row>
    <row r="17" spans="1:33" x14ac:dyDescent="0.35">
      <c r="A17" t="str">
        <f t="shared" si="0"/>
        <v>Ko-1</v>
      </c>
      <c r="B17" s="2" t="s">
        <v>79</v>
      </c>
      <c r="C17">
        <v>1</v>
      </c>
      <c r="D17" s="119" t="s">
        <v>443</v>
      </c>
      <c r="E17" s="120">
        <v>0.375</v>
      </c>
      <c r="F17" s="120">
        <v>390</v>
      </c>
      <c r="G17" s="121">
        <v>11</v>
      </c>
      <c r="H17" s="120">
        <v>60</v>
      </c>
      <c r="I17" s="120">
        <v>26</v>
      </c>
      <c r="J17" s="163">
        <v>260</v>
      </c>
      <c r="K17" s="163">
        <v>2600</v>
      </c>
      <c r="L17" s="152">
        <v>0.25</v>
      </c>
      <c r="M17" s="128">
        <v>1148.8399999999999</v>
      </c>
      <c r="N17" s="128">
        <f t="shared" si="2"/>
        <v>1129.99</v>
      </c>
      <c r="O17" s="128">
        <v>18.850000000000001</v>
      </c>
      <c r="P17" s="128">
        <v>891.34</v>
      </c>
      <c r="Q17" s="141">
        <f t="shared" si="1"/>
        <v>1.157175802485398</v>
      </c>
      <c r="R17" s="129">
        <f t="shared" si="3"/>
        <v>0.56332988585456678</v>
      </c>
      <c r="S17" s="130">
        <f t="shared" si="4"/>
        <v>0.34151998205135875</v>
      </c>
      <c r="T17" s="157"/>
      <c r="U17" s="55"/>
      <c r="V17" s="143"/>
      <c r="W17" s="143"/>
      <c r="X17" s="143"/>
      <c r="Y17" s="143"/>
      <c r="Z17" s="143"/>
      <c r="AA17" s="143"/>
      <c r="AB17" s="143"/>
      <c r="AC17" s="144"/>
      <c r="AD17" s="144"/>
      <c r="AE17" s="145"/>
      <c r="AF17" s="137"/>
      <c r="AG17" s="137"/>
    </row>
    <row r="18" spans="1:33" x14ac:dyDescent="0.35">
      <c r="A18" t="str">
        <f t="shared" si="0"/>
        <v>KP-0</v>
      </c>
      <c r="B18" s="2" t="s">
        <v>88</v>
      </c>
      <c r="C18">
        <v>0</v>
      </c>
      <c r="D18" s="119" t="s">
        <v>441</v>
      </c>
      <c r="E18" s="120">
        <v>0.89999999999999991</v>
      </c>
      <c r="F18" s="120">
        <v>610</v>
      </c>
      <c r="G18" s="120">
        <v>10</v>
      </c>
      <c r="H18" s="120">
        <v>51</v>
      </c>
      <c r="I18" s="120">
        <v>25</v>
      </c>
      <c r="J18" s="166">
        <v>199.34640522875819</v>
      </c>
      <c r="K18" s="166">
        <v>1993.4640522875818</v>
      </c>
      <c r="L18" s="152">
        <v>0.29411764705882354</v>
      </c>
      <c r="M18" s="128">
        <v>770.34</v>
      </c>
      <c r="N18" s="128">
        <f t="shared" si="2"/>
        <v>750.64</v>
      </c>
      <c r="O18" s="128">
        <v>19.7</v>
      </c>
      <c r="P18" s="128">
        <v>647.86</v>
      </c>
      <c r="Q18" s="141">
        <f t="shared" si="1"/>
        <v>0.83312307543837472</v>
      </c>
      <c r="R18" s="129">
        <f t="shared" si="3"/>
        <v>0.68561393379683966</v>
      </c>
      <c r="S18" s="130">
        <f t="shared" si="4"/>
        <v>0.16244414524912787</v>
      </c>
      <c r="T18" s="157"/>
      <c r="U18" s="55"/>
      <c r="V18" s="143"/>
      <c r="W18" s="146"/>
      <c r="X18" s="146"/>
      <c r="Y18" s="146"/>
      <c r="Z18" s="146"/>
      <c r="AA18" s="146"/>
      <c r="AB18" s="146"/>
      <c r="AC18" s="147"/>
      <c r="AD18" s="147"/>
      <c r="AE18" s="145"/>
      <c r="AF18" s="137"/>
      <c r="AG18" s="137"/>
    </row>
    <row r="19" spans="1:33" x14ac:dyDescent="0.35">
      <c r="A19" s="8" t="str">
        <f t="shared" si="0"/>
        <v>KP-1</v>
      </c>
      <c r="B19" s="2" t="s">
        <v>88</v>
      </c>
      <c r="C19">
        <v>1</v>
      </c>
      <c r="D19" s="122" t="s">
        <v>441</v>
      </c>
      <c r="E19" s="120">
        <v>0.89999999999999991</v>
      </c>
      <c r="F19" s="120">
        <v>620</v>
      </c>
      <c r="G19" s="120">
        <v>10</v>
      </c>
      <c r="H19" s="120">
        <v>51</v>
      </c>
      <c r="I19" s="120">
        <v>27</v>
      </c>
      <c r="J19" s="166">
        <v>229.62962962962965</v>
      </c>
      <c r="K19" s="166">
        <v>2296.2962962962965</v>
      </c>
      <c r="L19" s="152">
        <v>0.33333333333333331</v>
      </c>
      <c r="M19" s="128">
        <v>747.58</v>
      </c>
      <c r="N19" s="128">
        <f t="shared" si="2"/>
        <v>727.91000000000008</v>
      </c>
      <c r="O19" s="128">
        <v>19.670000000000002</v>
      </c>
      <c r="P19" s="128">
        <v>654.96</v>
      </c>
      <c r="Q19" s="141">
        <f t="shared" si="1"/>
        <v>0.84257953164041832</v>
      </c>
      <c r="R19" s="129">
        <f t="shared" si="3"/>
        <v>0.68204545975833275</v>
      </c>
      <c r="S19" s="130">
        <f t="shared" si="4"/>
        <v>0.12284109024309456</v>
      </c>
      <c r="T19" s="157"/>
      <c r="U19" s="55"/>
      <c r="V19" s="143"/>
      <c r="W19" s="143"/>
      <c r="X19" s="143"/>
      <c r="Y19" s="143"/>
      <c r="Z19" s="143"/>
      <c r="AA19" s="143"/>
      <c r="AB19" s="143"/>
      <c r="AC19" s="144"/>
      <c r="AD19" s="144"/>
      <c r="AE19" s="145"/>
      <c r="AF19" s="137"/>
      <c r="AG19" s="137"/>
    </row>
    <row r="20" spans="1:33" x14ac:dyDescent="0.35">
      <c r="A20" t="str">
        <f t="shared" si="0"/>
        <v>La-0</v>
      </c>
      <c r="B20" t="s">
        <v>89</v>
      </c>
      <c r="C20">
        <v>0</v>
      </c>
      <c r="D20" s="119" t="s">
        <v>443</v>
      </c>
      <c r="E20" s="120">
        <v>0.375</v>
      </c>
      <c r="F20" s="120">
        <v>190</v>
      </c>
      <c r="G20" s="121">
        <v>11</v>
      </c>
      <c r="H20" s="120">
        <v>86</v>
      </c>
      <c r="I20" s="120">
        <v>39</v>
      </c>
      <c r="J20" s="163">
        <v>164.96124031007753</v>
      </c>
      <c r="K20" s="163">
        <v>1649.6124031007753</v>
      </c>
      <c r="L20" s="152">
        <v>0.32558139534883723</v>
      </c>
      <c r="M20" s="128">
        <v>1122.48</v>
      </c>
      <c r="N20" s="128">
        <f t="shared" si="2"/>
        <v>1103.3700000000001</v>
      </c>
      <c r="O20" s="128">
        <v>19.11</v>
      </c>
      <c r="P20" s="128">
        <v>897.28</v>
      </c>
      <c r="Q20" s="141">
        <f t="shared" si="1"/>
        <v>1.1647091364584143</v>
      </c>
      <c r="R20" s="129">
        <f t="shared" si="3"/>
        <v>0.56048711831757947</v>
      </c>
      <c r="S20" s="130">
        <f t="shared" si="4"/>
        <v>0.29868077653579045</v>
      </c>
      <c r="T20" s="157"/>
      <c r="U20" s="55"/>
      <c r="V20" s="143"/>
      <c r="W20" s="146"/>
      <c r="X20" s="146"/>
      <c r="Y20" s="146"/>
      <c r="Z20" s="146"/>
      <c r="AA20" s="146"/>
      <c r="AB20" s="146"/>
      <c r="AC20" s="147"/>
      <c r="AD20" s="147"/>
      <c r="AE20" s="145"/>
      <c r="AF20" s="137"/>
      <c r="AG20" s="137"/>
    </row>
    <row r="21" spans="1:33" x14ac:dyDescent="0.35">
      <c r="A21" t="str">
        <f t="shared" si="0"/>
        <v>La-1</v>
      </c>
      <c r="B21" t="s">
        <v>89</v>
      </c>
      <c r="C21">
        <v>1</v>
      </c>
      <c r="D21" s="119" t="s">
        <v>443</v>
      </c>
      <c r="E21" s="120">
        <v>0.375</v>
      </c>
      <c r="F21" s="120">
        <v>290</v>
      </c>
      <c r="G21" s="121">
        <v>11</v>
      </c>
      <c r="H21" s="120">
        <v>67</v>
      </c>
      <c r="I21" s="120">
        <v>27</v>
      </c>
      <c r="J21" s="163">
        <v>184.67661691542287</v>
      </c>
      <c r="K21" s="163">
        <v>1846.7661691542287</v>
      </c>
      <c r="L21" s="152">
        <v>0.23880597014925373</v>
      </c>
      <c r="M21" s="128">
        <v>1116.42</v>
      </c>
      <c r="N21" s="128">
        <f t="shared" si="2"/>
        <v>1097.18</v>
      </c>
      <c r="O21" s="128">
        <v>19.239999999999998</v>
      </c>
      <c r="P21" s="128">
        <v>894.74</v>
      </c>
      <c r="Q21" s="141">
        <f t="shared" si="1"/>
        <v>1.1611679389746197</v>
      </c>
      <c r="R21" s="129">
        <f t="shared" si="3"/>
        <v>0.56182341925486057</v>
      </c>
      <c r="S21" s="130">
        <f t="shared" si="4"/>
        <v>0.29401223153842804</v>
      </c>
      <c r="T21" s="157"/>
      <c r="U21" s="55"/>
      <c r="V21" s="143"/>
      <c r="W21" s="143"/>
      <c r="X21" s="143"/>
      <c r="Y21" s="143"/>
      <c r="Z21" s="143"/>
      <c r="AA21" s="143"/>
      <c r="AB21" s="143"/>
      <c r="AC21" s="144"/>
      <c r="AD21" s="144"/>
      <c r="AE21" s="145"/>
      <c r="AF21" s="157"/>
      <c r="AG21" s="157"/>
    </row>
    <row r="22" spans="1:33" x14ac:dyDescent="0.35">
      <c r="A22" t="str">
        <f t="shared" si="0"/>
        <v>Li-0</v>
      </c>
      <c r="B22" s="2" t="s">
        <v>69</v>
      </c>
      <c r="C22">
        <v>0</v>
      </c>
      <c r="D22" s="119" t="s">
        <v>443</v>
      </c>
      <c r="E22" s="120">
        <v>0.5766</v>
      </c>
      <c r="F22" s="120">
        <v>130</v>
      </c>
      <c r="G22" s="120">
        <v>11</v>
      </c>
      <c r="H22" s="120">
        <v>45</v>
      </c>
      <c r="I22" s="120">
        <v>23</v>
      </c>
      <c r="J22" s="166">
        <v>60.122557521100703</v>
      </c>
      <c r="K22" s="166">
        <v>601.22557521100703</v>
      </c>
      <c r="L22" s="152">
        <v>0.26666666666666666</v>
      </c>
      <c r="M22" s="128">
        <v>759.64</v>
      </c>
      <c r="N22" s="128">
        <f t="shared" si="2"/>
        <v>740.58</v>
      </c>
      <c r="O22" s="128">
        <v>19.059999999999999</v>
      </c>
      <c r="P22" s="128">
        <v>679.9</v>
      </c>
      <c r="Q22" s="141">
        <f t="shared" si="1"/>
        <v>0.87646627160706758</v>
      </c>
      <c r="R22" s="129">
        <f t="shared" si="3"/>
        <v>0.66925801071431412</v>
      </c>
      <c r="S22" s="130">
        <f t="shared" si="4"/>
        <v>0.10575845968456445</v>
      </c>
      <c r="T22" s="157"/>
      <c r="U22" s="55"/>
      <c r="V22" s="143"/>
      <c r="W22" s="146"/>
      <c r="X22" s="146"/>
      <c r="Y22" s="146"/>
      <c r="Z22" s="146"/>
      <c r="AA22" s="146"/>
      <c r="AB22" s="146"/>
      <c r="AC22" s="146"/>
      <c r="AD22" s="146"/>
      <c r="AE22" s="145"/>
      <c r="AF22" s="137"/>
      <c r="AG22" s="137"/>
    </row>
    <row r="23" spans="1:33" x14ac:dyDescent="0.35">
      <c r="A23" t="str">
        <f t="shared" si="0"/>
        <v>Li-1</v>
      </c>
      <c r="B23" s="2" t="s">
        <v>69</v>
      </c>
      <c r="C23">
        <v>1</v>
      </c>
      <c r="D23" s="119" t="s">
        <v>443</v>
      </c>
      <c r="E23" s="120">
        <v>0.5766</v>
      </c>
      <c r="F23" s="120">
        <v>170</v>
      </c>
      <c r="G23" s="120">
        <v>12</v>
      </c>
      <c r="H23" s="120">
        <v>52</v>
      </c>
      <c r="I23" s="120">
        <v>24</v>
      </c>
      <c r="J23" s="166">
        <v>68.038101336748582</v>
      </c>
      <c r="K23" s="166">
        <v>680.38101336748582</v>
      </c>
      <c r="L23" s="152">
        <v>0.23076923076923078</v>
      </c>
      <c r="M23" s="128">
        <v>797.04</v>
      </c>
      <c r="N23" s="128">
        <f t="shared" si="2"/>
        <v>777.87</v>
      </c>
      <c r="O23" s="128">
        <v>19.170000000000002</v>
      </c>
      <c r="P23" s="128">
        <v>695.88</v>
      </c>
      <c r="Q23" s="141">
        <f t="shared" si="1"/>
        <v>0.89751451283097072</v>
      </c>
      <c r="R23" s="129">
        <f t="shared" si="3"/>
        <v>0.66131527817699221</v>
      </c>
      <c r="S23" s="130">
        <f t="shared" si="4"/>
        <v>0.13416761702646773</v>
      </c>
      <c r="T23" s="157"/>
      <c r="U23" s="55"/>
      <c r="V23" s="143"/>
      <c r="W23" s="143"/>
      <c r="X23" s="143"/>
      <c r="Y23" s="143"/>
      <c r="Z23" s="143"/>
      <c r="AA23" s="143"/>
      <c r="AB23" s="143"/>
      <c r="AC23" s="143"/>
      <c r="AD23" s="143"/>
      <c r="AE23" s="145"/>
      <c r="AF23" s="137"/>
      <c r="AG23" s="137"/>
    </row>
    <row r="24" spans="1:33" x14ac:dyDescent="0.35">
      <c r="A24" s="49" t="str">
        <f t="shared" si="0"/>
        <v>Mi-0</v>
      </c>
      <c r="B24" s="49" t="s">
        <v>68</v>
      </c>
      <c r="C24" s="49">
        <v>0</v>
      </c>
      <c r="D24" s="122" t="s">
        <v>442</v>
      </c>
      <c r="E24" s="121">
        <v>0.5766</v>
      </c>
      <c r="F24" s="121">
        <v>520</v>
      </c>
      <c r="G24" s="121">
        <v>11</v>
      </c>
      <c r="H24" s="121">
        <v>46</v>
      </c>
      <c r="I24" s="121">
        <v>25</v>
      </c>
      <c r="J24" s="164">
        <v>274.47254520502497</v>
      </c>
      <c r="K24" s="164">
        <v>2744.7254520502497</v>
      </c>
      <c r="L24" s="153">
        <v>0.30434782608695654</v>
      </c>
      <c r="M24" s="128">
        <v>903.82</v>
      </c>
      <c r="N24" s="128">
        <f t="shared" si="2"/>
        <v>884.55000000000007</v>
      </c>
      <c r="O24" s="128">
        <v>19.27</v>
      </c>
      <c r="P24" s="128">
        <v>779.94</v>
      </c>
      <c r="Q24" s="141">
        <f t="shared" si="1"/>
        <v>1.0088699213476002</v>
      </c>
      <c r="R24" s="129">
        <f t="shared" si="3"/>
        <v>0.61929436930279236</v>
      </c>
      <c r="S24" s="130">
        <f t="shared" si="4"/>
        <v>0.16430095291853328</v>
      </c>
      <c r="T24" s="157"/>
      <c r="U24" s="55"/>
      <c r="V24" s="143"/>
      <c r="W24" s="146"/>
      <c r="X24" s="146"/>
      <c r="Y24" s="146"/>
      <c r="Z24" s="146"/>
      <c r="AA24" s="146"/>
      <c r="AB24" s="146"/>
      <c r="AC24" s="147"/>
      <c r="AD24" s="147"/>
      <c r="AE24" s="145"/>
      <c r="AF24" s="137"/>
      <c r="AG24" s="137"/>
    </row>
    <row r="25" spans="1:33" x14ac:dyDescent="0.35">
      <c r="A25" s="49" t="str">
        <f t="shared" si="0"/>
        <v>Mi-1</v>
      </c>
      <c r="B25" s="49" t="s">
        <v>68</v>
      </c>
      <c r="C25" s="49">
        <v>1</v>
      </c>
      <c r="D25" s="122" t="s">
        <v>442</v>
      </c>
      <c r="E25" s="121">
        <v>0.5766</v>
      </c>
      <c r="F25" s="121">
        <v>1900</v>
      </c>
      <c r="G25" s="121">
        <v>11</v>
      </c>
      <c r="H25" s="121">
        <v>49</v>
      </c>
      <c r="I25" s="121">
        <v>26</v>
      </c>
      <c r="J25" s="164">
        <v>1008.7281530718426</v>
      </c>
      <c r="K25" s="164">
        <v>10087.281530718425</v>
      </c>
      <c r="L25" s="153">
        <v>0.30612244897959184</v>
      </c>
      <c r="M25" s="128">
        <v>852.88</v>
      </c>
      <c r="N25" s="128">
        <f t="shared" si="2"/>
        <v>835.07</v>
      </c>
      <c r="O25" s="128">
        <v>17.809999999999999</v>
      </c>
      <c r="P25" s="128">
        <v>720.56</v>
      </c>
      <c r="Q25" s="141">
        <f t="shared" si="1"/>
        <v>0.93205113548191199</v>
      </c>
      <c r="R25" s="129">
        <f t="shared" si="3"/>
        <v>0.64828259038418412</v>
      </c>
      <c r="S25" s="130">
        <f t="shared" si="4"/>
        <v>0.17549485058266331</v>
      </c>
      <c r="T25" s="157"/>
      <c r="U25" s="55"/>
      <c r="V25" s="143"/>
      <c r="W25" s="143"/>
      <c r="X25" s="143"/>
      <c r="Y25" s="143"/>
      <c r="Z25" s="143"/>
      <c r="AA25" s="143"/>
      <c r="AB25" s="143"/>
      <c r="AC25" s="144"/>
      <c r="AD25" s="144"/>
      <c r="AE25" s="145"/>
      <c r="AF25" s="137"/>
      <c r="AG25" s="137"/>
    </row>
    <row r="26" spans="1:33" x14ac:dyDescent="0.35">
      <c r="A26" s="49" t="str">
        <f t="shared" si="0"/>
        <v>Mo-0</v>
      </c>
      <c r="B26" s="49" t="s">
        <v>78</v>
      </c>
      <c r="C26" s="49">
        <v>0</v>
      </c>
      <c r="D26" s="122" t="s">
        <v>440</v>
      </c>
      <c r="E26" s="121">
        <v>0.69750000000000001</v>
      </c>
      <c r="F26" s="121">
        <v>220</v>
      </c>
      <c r="G26" s="121">
        <v>11</v>
      </c>
      <c r="H26" s="121">
        <v>50</v>
      </c>
      <c r="I26" s="121">
        <v>24</v>
      </c>
      <c r="J26" s="164">
        <v>99.202219909816165</v>
      </c>
      <c r="K26" s="164">
        <v>820.07168458781359</v>
      </c>
      <c r="L26" s="153">
        <v>0.26</v>
      </c>
      <c r="M26" s="128">
        <v>998.78</v>
      </c>
      <c r="N26" s="128">
        <f t="shared" si="2"/>
        <v>979.4</v>
      </c>
      <c r="O26" s="128">
        <v>19.38</v>
      </c>
      <c r="P26" s="131">
        <v>845.84</v>
      </c>
      <c r="Q26" s="141">
        <f t="shared" si="1"/>
        <v>1.0961266188977319</v>
      </c>
      <c r="R26" s="129">
        <f t="shared" si="3"/>
        <v>0.58636731362349737</v>
      </c>
      <c r="S26" s="130">
        <f t="shared" si="4"/>
        <v>0.20284297497062051</v>
      </c>
      <c r="T26" s="157"/>
      <c r="U26" s="55"/>
      <c r="V26" s="143"/>
      <c r="W26" s="146"/>
      <c r="X26" s="146"/>
      <c r="Y26" s="146"/>
      <c r="Z26" s="146"/>
      <c r="AA26" s="146"/>
      <c r="AB26" s="146"/>
      <c r="AC26" s="147"/>
      <c r="AD26" s="147"/>
      <c r="AE26" s="145"/>
      <c r="AF26" s="137"/>
      <c r="AG26" s="137"/>
    </row>
    <row r="27" spans="1:33" x14ac:dyDescent="0.35">
      <c r="A27" s="49" t="str">
        <f t="shared" si="0"/>
        <v>Mo-1</v>
      </c>
      <c r="B27" s="49" t="s">
        <v>78</v>
      </c>
      <c r="C27" s="49">
        <v>1</v>
      </c>
      <c r="D27" s="122" t="s">
        <v>443</v>
      </c>
      <c r="E27" s="121">
        <v>0.5766</v>
      </c>
      <c r="F27" s="121">
        <v>906</v>
      </c>
      <c r="G27" s="121">
        <v>10</v>
      </c>
      <c r="H27" s="121">
        <v>50</v>
      </c>
      <c r="I27" s="121">
        <v>34</v>
      </c>
      <c r="J27" s="164">
        <v>754.21436004162331</v>
      </c>
      <c r="K27" s="164">
        <v>7542.1436004162324</v>
      </c>
      <c r="L27" s="153">
        <v>0.48</v>
      </c>
      <c r="M27" s="128">
        <v>976.16</v>
      </c>
      <c r="N27" s="128">
        <f t="shared" si="2"/>
        <v>957.31</v>
      </c>
      <c r="O27" s="128">
        <v>18.850000000000001</v>
      </c>
      <c r="P27" s="131">
        <v>837.58</v>
      </c>
      <c r="Q27" s="141">
        <f t="shared" si="1"/>
        <v>1.0858743879802288</v>
      </c>
      <c r="R27" s="129">
        <f t="shared" si="3"/>
        <v>0.59023608000746086</v>
      </c>
      <c r="S27" s="130">
        <f t="shared" si="4"/>
        <v>0.18379743344729035</v>
      </c>
      <c r="T27" s="157"/>
      <c r="U27" s="55"/>
      <c r="V27" s="143"/>
      <c r="W27" s="143"/>
      <c r="X27" s="143"/>
      <c r="Y27" s="143"/>
      <c r="Z27" s="143"/>
      <c r="AA27" s="143"/>
      <c r="AB27" s="143"/>
      <c r="AC27" s="144"/>
      <c r="AD27" s="144"/>
      <c r="AE27" s="145"/>
      <c r="AF27" s="137"/>
      <c r="AG27" s="137"/>
    </row>
    <row r="28" spans="1:33" x14ac:dyDescent="0.35">
      <c r="A28" s="49" t="str">
        <f t="shared" si="0"/>
        <v>Mu-0</v>
      </c>
      <c r="B28" s="49" t="s">
        <v>74</v>
      </c>
      <c r="C28" s="49">
        <v>0</v>
      </c>
      <c r="D28" s="122" t="s">
        <v>443</v>
      </c>
      <c r="E28" s="121">
        <v>0.5766</v>
      </c>
      <c r="F28" s="121">
        <v>370</v>
      </c>
      <c r="G28" s="121">
        <v>11</v>
      </c>
      <c r="H28" s="121">
        <v>47</v>
      </c>
      <c r="I28" s="121">
        <v>26</v>
      </c>
      <c r="J28" s="164">
        <v>204.79553656430582</v>
      </c>
      <c r="K28" s="164">
        <v>2047.9553656430583</v>
      </c>
      <c r="L28" s="153">
        <v>0.31914893617021278</v>
      </c>
      <c r="M28" s="128">
        <v>1004.06</v>
      </c>
      <c r="N28" s="128">
        <f t="shared" si="2"/>
        <v>984.68</v>
      </c>
      <c r="O28" s="128">
        <v>19.38</v>
      </c>
      <c r="P28" s="131">
        <v>807.5</v>
      </c>
      <c r="Q28" s="141">
        <f t="shared" si="1"/>
        <v>1.0452766145798713</v>
      </c>
      <c r="R28" s="129">
        <f t="shared" si="3"/>
        <v>0.60555599449816178</v>
      </c>
      <c r="S28" s="130">
        <f t="shared" si="4"/>
        <v>0.26069579678452448</v>
      </c>
      <c r="T28" s="157"/>
      <c r="U28" s="55"/>
      <c r="V28" s="143"/>
      <c r="W28" s="146"/>
      <c r="X28" s="146"/>
      <c r="Y28" s="146"/>
      <c r="Z28" s="146"/>
      <c r="AA28" s="146"/>
      <c r="AB28" s="146"/>
      <c r="AC28" s="146"/>
      <c r="AD28" s="146"/>
      <c r="AE28" s="145"/>
      <c r="AF28" s="137"/>
      <c r="AG28" s="137"/>
    </row>
    <row r="29" spans="1:33" x14ac:dyDescent="0.35">
      <c r="A29" s="49" t="str">
        <f t="shared" si="0"/>
        <v>Mu-1</v>
      </c>
      <c r="B29" s="49" t="s">
        <v>74</v>
      </c>
      <c r="C29" s="49">
        <v>1</v>
      </c>
      <c r="D29" s="122" t="s">
        <v>443</v>
      </c>
      <c r="E29" s="121">
        <v>0.5766</v>
      </c>
      <c r="F29" s="121">
        <v>510</v>
      </c>
      <c r="G29" s="121">
        <v>11</v>
      </c>
      <c r="H29" s="121">
        <v>64</v>
      </c>
      <c r="I29" s="121">
        <v>27</v>
      </c>
      <c r="J29" s="164">
        <v>221.12382934443289</v>
      </c>
      <c r="K29" s="164">
        <v>2211.238293444329</v>
      </c>
      <c r="L29" s="153">
        <v>0.25</v>
      </c>
      <c r="M29" s="128">
        <v>990.12</v>
      </c>
      <c r="N29" s="128">
        <f t="shared" si="2"/>
        <v>971.27</v>
      </c>
      <c r="O29" s="128">
        <v>18.850000000000001</v>
      </c>
      <c r="P29" s="131">
        <v>787.8</v>
      </c>
      <c r="Q29" s="141">
        <f t="shared" si="1"/>
        <v>1.0198516124209409</v>
      </c>
      <c r="R29" s="129">
        <f t="shared" si="3"/>
        <v>0.61515033493549398</v>
      </c>
      <c r="S29" s="130">
        <f t="shared" si="4"/>
        <v>0.26833523405293558</v>
      </c>
      <c r="T29" s="157"/>
      <c r="U29" s="55"/>
      <c r="V29" s="143"/>
      <c r="W29" s="143"/>
      <c r="X29" s="143"/>
      <c r="Y29" s="143"/>
      <c r="Z29" s="143"/>
      <c r="AA29" s="143"/>
      <c r="AB29" s="143"/>
      <c r="AC29" s="143"/>
      <c r="AD29" s="143"/>
      <c r="AE29" s="145"/>
      <c r="AF29" s="137"/>
      <c r="AG29" s="137"/>
    </row>
    <row r="30" spans="1:33" x14ac:dyDescent="0.35">
      <c r="A30" s="49" t="str">
        <f t="shared" si="0"/>
        <v>Na-0</v>
      </c>
      <c r="B30" s="49" t="s">
        <v>101</v>
      </c>
      <c r="C30" s="49">
        <v>0</v>
      </c>
      <c r="D30" s="122" t="s">
        <v>441</v>
      </c>
      <c r="E30" s="121">
        <v>0.69750000000000001</v>
      </c>
      <c r="F30" s="121">
        <v>1830</v>
      </c>
      <c r="G30" s="121">
        <v>11</v>
      </c>
      <c r="H30" s="121">
        <v>53</v>
      </c>
      <c r="I30" s="121">
        <v>23</v>
      </c>
      <c r="J30" s="165">
        <v>718.59109025582632</v>
      </c>
      <c r="K30" s="165">
        <v>5940.3530127814984</v>
      </c>
      <c r="L30" s="153">
        <v>0.22641509433962265</v>
      </c>
      <c r="M30" s="128">
        <v>1018.36</v>
      </c>
      <c r="N30" s="128">
        <f t="shared" si="2"/>
        <v>998.95</v>
      </c>
      <c r="O30" s="128">
        <v>19.41</v>
      </c>
      <c r="P30" s="131">
        <v>771.78</v>
      </c>
      <c r="Q30" s="141">
        <f t="shared" si="1"/>
        <v>0.99786170445041067</v>
      </c>
      <c r="R30" s="129">
        <f t="shared" si="3"/>
        <v>0.6234484134149394</v>
      </c>
      <c r="S30" s="130">
        <f t="shared" si="4"/>
        <v>0.32703688222999633</v>
      </c>
      <c r="T30" s="157"/>
      <c r="U30" s="55"/>
      <c r="V30" s="143"/>
      <c r="W30" s="146"/>
      <c r="X30" s="146"/>
      <c r="Y30" s="146"/>
      <c r="Z30" s="146"/>
      <c r="AA30" s="146"/>
      <c r="AB30" s="146"/>
      <c r="AC30" s="147"/>
      <c r="AD30" s="147"/>
      <c r="AE30" s="145"/>
      <c r="AF30" s="137"/>
      <c r="AG30" s="137"/>
    </row>
    <row r="31" spans="1:33" x14ac:dyDescent="0.35">
      <c r="A31" s="49" t="str">
        <f t="shared" si="0"/>
        <v>Na-1</v>
      </c>
      <c r="B31" s="49" t="s">
        <v>101</v>
      </c>
      <c r="C31" s="49">
        <v>1</v>
      </c>
      <c r="D31" s="122" t="s">
        <v>441</v>
      </c>
      <c r="E31" s="121">
        <v>0.69750000000000001</v>
      </c>
      <c r="F31" s="121">
        <v>1570</v>
      </c>
      <c r="G31" s="121">
        <v>11</v>
      </c>
      <c r="H31" s="121">
        <v>82</v>
      </c>
      <c r="I31" s="121">
        <v>32</v>
      </c>
      <c r="J31" s="165">
        <v>697.3173269713966</v>
      </c>
      <c r="K31" s="165">
        <v>5764.4899029635453</v>
      </c>
      <c r="L31" s="153">
        <v>0.25609756097560976</v>
      </c>
      <c r="M31" s="128">
        <v>942.38</v>
      </c>
      <c r="N31" s="128">
        <f t="shared" si="2"/>
        <v>923.1</v>
      </c>
      <c r="O31" s="128">
        <v>19.28</v>
      </c>
      <c r="P31" s="131">
        <v>714.08</v>
      </c>
      <c r="Q31" s="141">
        <f t="shared" si="1"/>
        <v>0.92150712050207406</v>
      </c>
      <c r="R31" s="129">
        <f t="shared" si="3"/>
        <v>0.65226146396148144</v>
      </c>
      <c r="S31" s="130">
        <f t="shared" si="4"/>
        <v>0.30279227923233082</v>
      </c>
      <c r="T31" s="157"/>
      <c r="U31" s="55"/>
      <c r="V31" s="143"/>
      <c r="W31" s="143"/>
      <c r="X31" s="143"/>
      <c r="Y31" s="143"/>
      <c r="Z31" s="143"/>
      <c r="AA31" s="143"/>
      <c r="AB31" s="143"/>
      <c r="AC31" s="144"/>
      <c r="AD31" s="144"/>
      <c r="AE31" s="145"/>
      <c r="AF31" s="137"/>
      <c r="AG31" s="137"/>
    </row>
    <row r="32" spans="1:33" x14ac:dyDescent="0.35">
      <c r="A32" s="49" t="str">
        <f t="shared" si="0"/>
        <v>Ne-0</v>
      </c>
      <c r="B32" s="49" t="s">
        <v>100</v>
      </c>
      <c r="C32" s="49">
        <v>0</v>
      </c>
      <c r="D32" s="122" t="s">
        <v>439</v>
      </c>
      <c r="E32" s="121">
        <v>0.69750000000000001</v>
      </c>
      <c r="F32" s="121">
        <v>2000</v>
      </c>
      <c r="G32" s="121">
        <v>11</v>
      </c>
      <c r="H32" s="121">
        <v>77</v>
      </c>
      <c r="I32" s="121">
        <v>35</v>
      </c>
      <c r="J32" s="165">
        <v>1081.1249104693434</v>
      </c>
      <c r="K32" s="165">
        <v>8937.2992598799046</v>
      </c>
      <c r="L32" s="153">
        <v>0.31168831168831168</v>
      </c>
      <c r="M32" s="128">
        <v>888.22</v>
      </c>
      <c r="N32" s="128">
        <f t="shared" si="2"/>
        <v>868.99</v>
      </c>
      <c r="O32" s="128">
        <v>19.23</v>
      </c>
      <c r="P32" s="131">
        <v>726.76</v>
      </c>
      <c r="Q32" s="141">
        <f t="shared" si="1"/>
        <v>0.93839080738173919</v>
      </c>
      <c r="R32" s="129">
        <f t="shared" si="3"/>
        <v>0.64589026136538141</v>
      </c>
      <c r="S32" s="130">
        <f t="shared" si="4"/>
        <v>0.21414297593014522</v>
      </c>
      <c r="T32" s="157"/>
      <c r="U32" s="55"/>
      <c r="V32" s="143"/>
      <c r="W32" s="146"/>
      <c r="X32" s="146"/>
      <c r="Y32" s="146"/>
      <c r="Z32" s="146"/>
      <c r="AA32" s="146"/>
      <c r="AB32" s="146"/>
      <c r="AC32" s="146"/>
      <c r="AD32" s="146"/>
      <c r="AE32" s="145"/>
      <c r="AF32" s="137"/>
      <c r="AG32" s="137"/>
    </row>
    <row r="33" spans="1:35" x14ac:dyDescent="0.35">
      <c r="A33" s="49" t="str">
        <f t="shared" si="0"/>
        <v>Ne-1</v>
      </c>
      <c r="B33" s="49" t="s">
        <v>100</v>
      </c>
      <c r="C33" s="49">
        <v>1</v>
      </c>
      <c r="D33" s="122" t="s">
        <v>439</v>
      </c>
      <c r="E33" s="121">
        <v>0.69750000000000001</v>
      </c>
      <c r="F33" s="121">
        <v>1700</v>
      </c>
      <c r="G33" s="121">
        <v>11</v>
      </c>
      <c r="H33" s="121">
        <v>66</v>
      </c>
      <c r="I33" s="121">
        <v>31</v>
      </c>
      <c r="J33" s="165">
        <v>893.4296135128601</v>
      </c>
      <c r="K33" s="165">
        <v>7385.6848050396429</v>
      </c>
      <c r="L33" s="153">
        <v>0.30303030303030304</v>
      </c>
      <c r="M33" s="128">
        <v>896.26</v>
      </c>
      <c r="N33" s="128">
        <f t="shared" si="2"/>
        <v>876.9</v>
      </c>
      <c r="O33" s="128">
        <v>19.36</v>
      </c>
      <c r="P33" s="131">
        <v>720.4</v>
      </c>
      <c r="Q33" s="141">
        <f t="shared" si="1"/>
        <v>0.92978317754285245</v>
      </c>
      <c r="R33" s="129">
        <f t="shared" si="3"/>
        <v>0.64913842356873497</v>
      </c>
      <c r="S33" s="130">
        <f t="shared" si="4"/>
        <v>0.23324156910117264</v>
      </c>
      <c r="T33" s="157"/>
      <c r="U33" s="55"/>
      <c r="V33" s="143"/>
      <c r="W33" s="143"/>
      <c r="X33" s="143"/>
      <c r="Y33" s="143"/>
      <c r="Z33" s="143"/>
      <c r="AA33" s="143"/>
      <c r="AB33" s="143"/>
      <c r="AC33" s="143"/>
      <c r="AD33" s="143"/>
      <c r="AE33" s="145"/>
      <c r="AF33" s="137"/>
      <c r="AG33" s="137"/>
    </row>
    <row r="34" spans="1:35" x14ac:dyDescent="0.35">
      <c r="A34" t="str">
        <f t="shared" si="0"/>
        <v>Ni-0</v>
      </c>
      <c r="B34" t="s">
        <v>82</v>
      </c>
      <c r="C34">
        <v>0</v>
      </c>
      <c r="D34" s="119" t="s">
        <v>442</v>
      </c>
      <c r="E34" s="120">
        <v>0.5766</v>
      </c>
      <c r="F34" s="120">
        <v>0</v>
      </c>
      <c r="G34" s="121">
        <v>0</v>
      </c>
      <c r="H34" s="120">
        <v>0</v>
      </c>
      <c r="I34" s="120">
        <v>0</v>
      </c>
      <c r="J34" s="163"/>
      <c r="K34" s="163">
        <v>0</v>
      </c>
      <c r="L34" s="152"/>
      <c r="M34" s="128">
        <v>1053.58</v>
      </c>
      <c r="N34" s="128">
        <f t="shared" si="2"/>
        <v>1033.5999999999999</v>
      </c>
      <c r="O34" s="128">
        <v>19.98</v>
      </c>
      <c r="P34" s="128">
        <v>720.54</v>
      </c>
      <c r="Q34" s="141">
        <f t="shared" si="1"/>
        <v>0.92914655777048483</v>
      </c>
      <c r="R34" s="129">
        <f t="shared" si="3"/>
        <v>0.64937865744510004</v>
      </c>
      <c r="S34" s="130">
        <f t="shared" si="4"/>
        <v>0.44170801872770676</v>
      </c>
      <c r="T34" s="157"/>
      <c r="U34" s="55"/>
      <c r="V34" s="143"/>
      <c r="W34" s="146"/>
      <c r="X34" s="146"/>
      <c r="Y34" s="146"/>
      <c r="Z34" s="146"/>
      <c r="AA34" s="146"/>
      <c r="AB34" s="146"/>
      <c r="AC34" s="146"/>
      <c r="AD34" s="146"/>
      <c r="AE34" s="145"/>
      <c r="AF34" s="137"/>
      <c r="AG34" s="137"/>
    </row>
    <row r="35" spans="1:35" x14ac:dyDescent="0.35">
      <c r="A35" t="str">
        <f t="shared" si="0"/>
        <v>Ni-1</v>
      </c>
      <c r="B35" t="s">
        <v>82</v>
      </c>
      <c r="C35">
        <v>1</v>
      </c>
      <c r="D35" s="119" t="s">
        <v>442</v>
      </c>
      <c r="E35" s="120">
        <v>0.5766</v>
      </c>
      <c r="F35" s="120"/>
      <c r="G35" s="121">
        <v>11</v>
      </c>
      <c r="H35" s="120"/>
      <c r="I35" s="120"/>
      <c r="J35" s="163"/>
      <c r="K35" s="163">
        <v>0</v>
      </c>
      <c r="L35" s="152"/>
      <c r="M35" s="128">
        <v>849.36</v>
      </c>
      <c r="N35" s="128">
        <f t="shared" si="2"/>
        <v>830.26</v>
      </c>
      <c r="O35" s="128">
        <v>19.100000000000001</v>
      </c>
      <c r="P35" s="128">
        <v>549.72</v>
      </c>
      <c r="Q35" s="141">
        <f t="shared" si="1"/>
        <v>0.7037566325285125</v>
      </c>
      <c r="R35" s="129">
        <f t="shared" si="3"/>
        <v>0.73443145942320287</v>
      </c>
      <c r="S35" s="130">
        <f t="shared" si="4"/>
        <v>0.39740989290046258</v>
      </c>
      <c r="T35" s="157"/>
      <c r="U35" s="55"/>
      <c r="V35" s="143"/>
      <c r="W35" s="143"/>
      <c r="X35" s="143"/>
      <c r="Y35" s="143"/>
      <c r="Z35" s="143"/>
      <c r="AA35" s="143"/>
      <c r="AB35" s="143"/>
      <c r="AC35" s="143"/>
      <c r="AD35" s="143"/>
      <c r="AE35" s="145"/>
      <c r="AF35" s="137"/>
      <c r="AG35" s="137"/>
    </row>
    <row r="36" spans="1:35" x14ac:dyDescent="0.35">
      <c r="A36" s="49" t="str">
        <f t="shared" si="0"/>
        <v>Pa-0</v>
      </c>
      <c r="B36" s="49" t="s">
        <v>71</v>
      </c>
      <c r="C36" s="49">
        <v>0</v>
      </c>
      <c r="D36" s="122" t="s">
        <v>441</v>
      </c>
      <c r="E36" s="121">
        <v>0.46500000000000002</v>
      </c>
      <c r="F36" s="121">
        <v>1210</v>
      </c>
      <c r="G36" s="121">
        <v>11</v>
      </c>
      <c r="H36" s="121">
        <v>149</v>
      </c>
      <c r="I36" s="121">
        <v>73</v>
      </c>
      <c r="J36" s="165">
        <v>1342.6398210290829</v>
      </c>
      <c r="K36" s="165">
        <v>10827.740492170024</v>
      </c>
      <c r="L36" s="153">
        <v>0.41610738255033558</v>
      </c>
      <c r="M36" s="128">
        <v>959.42</v>
      </c>
      <c r="N36" s="128">
        <f t="shared" si="2"/>
        <v>940.55</v>
      </c>
      <c r="O36" s="128">
        <v>18.87</v>
      </c>
      <c r="P36" s="131">
        <v>774.06</v>
      </c>
      <c r="Q36" s="141">
        <f t="shared" si="1"/>
        <v>1.0016018456130702</v>
      </c>
      <c r="R36" s="129">
        <f t="shared" si="3"/>
        <v>0.62203703939129418</v>
      </c>
      <c r="S36" s="130">
        <f t="shared" si="4"/>
        <v>0.24584133542928102</v>
      </c>
      <c r="T36" s="157"/>
      <c r="U36" s="55"/>
      <c r="V36" s="143"/>
      <c r="W36" s="146"/>
      <c r="X36" s="146"/>
      <c r="Y36" s="146"/>
      <c r="Z36" s="146"/>
      <c r="AA36" s="146"/>
      <c r="AB36" s="146"/>
      <c r="AC36" s="147"/>
      <c r="AD36" s="147"/>
      <c r="AE36" s="145"/>
      <c r="AF36" s="137"/>
      <c r="AG36" s="137"/>
    </row>
    <row r="37" spans="1:35" x14ac:dyDescent="0.35">
      <c r="A37" s="49" t="str">
        <f t="shared" si="0"/>
        <v>Pa-1</v>
      </c>
      <c r="B37" s="49" t="s">
        <v>71</v>
      </c>
      <c r="C37" s="49">
        <v>1</v>
      </c>
      <c r="D37" s="122" t="s">
        <v>441</v>
      </c>
      <c r="E37" s="121">
        <v>0.46500000000000002</v>
      </c>
      <c r="F37" s="121">
        <v>1360</v>
      </c>
      <c r="G37" s="121">
        <v>11</v>
      </c>
      <c r="H37" s="121">
        <v>102</v>
      </c>
      <c r="I37" s="121">
        <v>45</v>
      </c>
      <c r="J37" s="165">
        <v>1208.8888888888889</v>
      </c>
      <c r="K37" s="165">
        <v>9749.1039426523312</v>
      </c>
      <c r="L37" s="153">
        <v>0.33333333333333331</v>
      </c>
      <c r="M37" s="128">
        <v>952.04</v>
      </c>
      <c r="N37" s="128">
        <f t="shared" si="2"/>
        <v>933.18999999999994</v>
      </c>
      <c r="O37" s="128">
        <v>18.850000000000001</v>
      </c>
      <c r="P37" s="131">
        <v>756.94</v>
      </c>
      <c r="Q37" s="141">
        <f t="shared" si="1"/>
        <v>0.97892226622247525</v>
      </c>
      <c r="R37" s="129">
        <f t="shared" si="3"/>
        <v>0.63059537123680176</v>
      </c>
      <c r="S37" s="130">
        <f t="shared" si="4"/>
        <v>0.25875941164357302</v>
      </c>
      <c r="T37" s="157"/>
      <c r="U37" s="55"/>
      <c r="V37" s="143"/>
      <c r="W37" s="143"/>
      <c r="X37" s="143"/>
      <c r="Y37" s="143"/>
      <c r="Z37" s="143"/>
      <c r="AA37" s="143"/>
      <c r="AB37" s="143"/>
      <c r="AC37" s="144"/>
      <c r="AD37" s="144"/>
      <c r="AE37" s="145"/>
      <c r="AF37" s="137"/>
      <c r="AG37" s="137"/>
    </row>
    <row r="38" spans="1:35" x14ac:dyDescent="0.35">
      <c r="A38" t="str">
        <f t="shared" si="0"/>
        <v>Pi-0</v>
      </c>
      <c r="B38" t="s">
        <v>97</v>
      </c>
      <c r="C38">
        <v>0</v>
      </c>
      <c r="D38" s="119" t="s">
        <v>445</v>
      </c>
      <c r="E38" s="120">
        <v>0.69750000000000001</v>
      </c>
      <c r="F38" s="120">
        <v>930</v>
      </c>
      <c r="G38" s="120">
        <v>10</v>
      </c>
      <c r="H38" s="120">
        <v>43</v>
      </c>
      <c r="I38" s="120">
        <v>31</v>
      </c>
      <c r="J38" s="166">
        <v>787.69692423105766</v>
      </c>
      <c r="K38" s="166">
        <v>6511.6279069767434</v>
      </c>
      <c r="L38" s="152">
        <v>0.48837209302325579</v>
      </c>
      <c r="M38" s="128">
        <v>942</v>
      </c>
      <c r="N38" s="128">
        <f t="shared" si="2"/>
        <v>922.89</v>
      </c>
      <c r="O38" s="128">
        <v>19.11</v>
      </c>
      <c r="P38" s="128">
        <v>763</v>
      </c>
      <c r="Q38" s="141">
        <f t="shared" si="1"/>
        <v>0.98661475513858343</v>
      </c>
      <c r="R38" s="129">
        <f t="shared" si="3"/>
        <v>0.62769254523072315</v>
      </c>
      <c r="S38" s="130">
        <f t="shared" si="4"/>
        <v>0.23740612344541051</v>
      </c>
      <c r="T38" s="157"/>
      <c r="U38" s="55"/>
      <c r="V38" s="143"/>
      <c r="W38" s="146"/>
      <c r="X38" s="146"/>
      <c r="Y38" s="146"/>
      <c r="Z38" s="146"/>
      <c r="AA38" s="146"/>
      <c r="AB38" s="146"/>
      <c r="AC38" s="146"/>
      <c r="AD38" s="146"/>
      <c r="AE38" s="145"/>
      <c r="AF38" s="137"/>
      <c r="AG38" s="137"/>
    </row>
    <row r="39" spans="1:35" x14ac:dyDescent="0.35">
      <c r="A39" t="str">
        <f t="shared" si="0"/>
        <v>Pi-1</v>
      </c>
      <c r="B39" t="s">
        <v>97</v>
      </c>
      <c r="C39">
        <v>1</v>
      </c>
      <c r="D39" s="119" t="s">
        <v>445</v>
      </c>
      <c r="E39" s="120">
        <v>0.69750000000000001</v>
      </c>
      <c r="F39" s="120">
        <v>1020</v>
      </c>
      <c r="G39" s="120">
        <v>11</v>
      </c>
      <c r="H39" s="120">
        <v>37</v>
      </c>
      <c r="I39" s="120">
        <v>28</v>
      </c>
      <c r="J39" s="166">
        <v>812.77948083359126</v>
      </c>
      <c r="K39" s="166">
        <v>6718.9770415576868</v>
      </c>
      <c r="L39" s="152">
        <v>0.45945945945945948</v>
      </c>
      <c r="M39" s="128">
        <v>855.32</v>
      </c>
      <c r="N39" s="128">
        <f t="shared" si="2"/>
        <v>836.08</v>
      </c>
      <c r="O39" s="128">
        <v>19.239999999999998</v>
      </c>
      <c r="P39" s="128">
        <v>679.32</v>
      </c>
      <c r="Q39" s="141">
        <f t="shared" si="1"/>
        <v>0.8754582903008189</v>
      </c>
      <c r="R39" s="129">
        <f t="shared" si="3"/>
        <v>0.66963838101855888</v>
      </c>
      <c r="S39" s="130">
        <f t="shared" si="4"/>
        <v>0.23342724986811314</v>
      </c>
      <c r="T39" s="157"/>
      <c r="U39" s="55"/>
      <c r="V39" s="143"/>
      <c r="W39" s="143"/>
      <c r="X39" s="143"/>
      <c r="Y39" s="143"/>
      <c r="Z39" s="143"/>
      <c r="AA39" s="143"/>
      <c r="AB39" s="143"/>
      <c r="AC39" s="143"/>
      <c r="AD39" s="143"/>
      <c r="AE39" s="145"/>
      <c r="AF39" s="137"/>
      <c r="AG39" s="137"/>
    </row>
    <row r="40" spans="1:35" x14ac:dyDescent="0.35">
      <c r="A40" s="49" t="str">
        <f t="shared" si="0"/>
        <v>Pu-0</v>
      </c>
      <c r="B40" s="49" t="s">
        <v>86</v>
      </c>
      <c r="C40" s="49">
        <v>0</v>
      </c>
      <c r="D40" s="122" t="s">
        <v>439</v>
      </c>
      <c r="E40" s="121">
        <v>0.69750000000000001</v>
      </c>
      <c r="F40" s="121">
        <v>400</v>
      </c>
      <c r="G40" s="121">
        <v>11</v>
      </c>
      <c r="H40" s="121">
        <v>53</v>
      </c>
      <c r="I40" s="121">
        <v>27</v>
      </c>
      <c r="J40" s="164">
        <v>209.42545435506779</v>
      </c>
      <c r="K40" s="164">
        <v>1731.2504226685603</v>
      </c>
      <c r="L40" s="153">
        <v>0.30188679245283018</v>
      </c>
      <c r="M40" s="128">
        <v>835.18</v>
      </c>
      <c r="N40" s="128">
        <f t="shared" si="2"/>
        <v>816.06999999999994</v>
      </c>
      <c r="O40" s="128">
        <v>19.11</v>
      </c>
      <c r="P40" s="131">
        <v>768.32</v>
      </c>
      <c r="Q40" s="141">
        <f t="shared" si="1"/>
        <v>0.99367062428232422</v>
      </c>
      <c r="R40" s="129">
        <f t="shared" si="3"/>
        <v>0.62502995310100973</v>
      </c>
      <c r="S40" s="130">
        <f t="shared" si="4"/>
        <v>8.8675829126034222E-2</v>
      </c>
      <c r="T40" s="157"/>
      <c r="U40" s="55"/>
      <c r="V40" s="143"/>
      <c r="W40" s="146"/>
      <c r="X40" s="146"/>
      <c r="Y40" s="146"/>
      <c r="Z40" s="146"/>
      <c r="AA40" s="146"/>
      <c r="AB40" s="146"/>
      <c r="AC40" s="146"/>
      <c r="AD40" s="146"/>
      <c r="AE40" s="145"/>
      <c r="AF40" s="34"/>
      <c r="AG40" s="34"/>
    </row>
    <row r="41" spans="1:35" x14ac:dyDescent="0.35">
      <c r="A41" s="49" t="str">
        <f t="shared" si="0"/>
        <v>Pu-1</v>
      </c>
      <c r="B41" s="49" t="s">
        <v>86</v>
      </c>
      <c r="C41" s="49">
        <v>1</v>
      </c>
      <c r="D41" s="122" t="s">
        <v>439</v>
      </c>
      <c r="E41" s="121">
        <v>0.69750000000000001</v>
      </c>
      <c r="F41" s="121">
        <v>590</v>
      </c>
      <c r="G41" s="121">
        <v>11</v>
      </c>
      <c r="H41" s="121">
        <v>80</v>
      </c>
      <c r="I41" s="121">
        <v>36</v>
      </c>
      <c r="J41" s="164">
        <v>319.76240027748872</v>
      </c>
      <c r="K41" s="164">
        <v>2643.3691756272401</v>
      </c>
      <c r="L41" s="153">
        <v>0.3125</v>
      </c>
      <c r="M41" s="128">
        <v>817.52</v>
      </c>
      <c r="N41" s="128">
        <f t="shared" si="2"/>
        <v>798.28</v>
      </c>
      <c r="O41" s="128">
        <v>19.239999999999998</v>
      </c>
      <c r="P41" s="131">
        <v>752.38</v>
      </c>
      <c r="Q41" s="141">
        <f t="shared" si="1"/>
        <v>0.97235712481993453</v>
      </c>
      <c r="R41" s="129">
        <f t="shared" si="3"/>
        <v>0.63307278308681714</v>
      </c>
      <c r="S41" s="130">
        <f t="shared" si="4"/>
        <v>8.6394608275050494E-2</v>
      </c>
      <c r="T41" s="157"/>
      <c r="U41" s="55"/>
      <c r="V41" s="143"/>
      <c r="W41" s="143"/>
      <c r="X41" s="143"/>
      <c r="Y41" s="143"/>
      <c r="Z41" s="143"/>
      <c r="AA41" s="143"/>
      <c r="AB41" s="143"/>
      <c r="AC41" s="143"/>
      <c r="AD41" s="143"/>
      <c r="AE41" s="145"/>
      <c r="AF41" s="137"/>
      <c r="AG41" s="137"/>
    </row>
    <row r="42" spans="1:35" x14ac:dyDescent="0.35">
      <c r="A42" t="str">
        <f t="shared" si="0"/>
        <v>Si-0</v>
      </c>
      <c r="B42" s="2" t="s">
        <v>70</v>
      </c>
      <c r="C42">
        <v>0</v>
      </c>
      <c r="D42" s="119" t="s">
        <v>441</v>
      </c>
      <c r="E42" s="120">
        <v>0.69750000000000001</v>
      </c>
      <c r="F42" s="120">
        <v>890</v>
      </c>
      <c r="G42" s="120">
        <v>11</v>
      </c>
      <c r="H42" s="120">
        <v>48</v>
      </c>
      <c r="I42" s="120">
        <v>31</v>
      </c>
      <c r="J42" s="166">
        <v>643.13793502138981</v>
      </c>
      <c r="K42" s="166">
        <v>5316.6069295101561</v>
      </c>
      <c r="L42" s="154">
        <v>0.41666666666666669</v>
      </c>
      <c r="M42" s="128">
        <v>843.1</v>
      </c>
      <c r="N42" s="128">
        <f t="shared" si="2"/>
        <v>824.23</v>
      </c>
      <c r="O42" s="128">
        <v>18.87</v>
      </c>
      <c r="P42" s="128">
        <v>722.28</v>
      </c>
      <c r="Q42" s="141">
        <f t="shared" si="1"/>
        <v>0.93292648766891739</v>
      </c>
      <c r="R42" s="129">
        <f t="shared" si="3"/>
        <v>0.64795226880418211</v>
      </c>
      <c r="S42" s="130">
        <f t="shared" si="4"/>
        <v>0.16024250186969002</v>
      </c>
      <c r="T42" s="157"/>
      <c r="U42" s="55"/>
      <c r="V42" s="143"/>
      <c r="W42" s="146"/>
      <c r="X42" s="146"/>
      <c r="Y42" s="146"/>
      <c r="Z42" s="146"/>
      <c r="AA42" s="146"/>
      <c r="AB42" s="146"/>
      <c r="AC42" s="146"/>
      <c r="AD42" s="146"/>
      <c r="AE42" s="145"/>
      <c r="AF42" s="137"/>
      <c r="AG42" s="137"/>
    </row>
    <row r="43" spans="1:35" x14ac:dyDescent="0.35">
      <c r="A43" s="10" t="str">
        <f t="shared" si="0"/>
        <v>Si-1</v>
      </c>
      <c r="B43" s="2" t="s">
        <v>70</v>
      </c>
      <c r="C43">
        <v>1</v>
      </c>
      <c r="D43" s="140" t="s">
        <v>441</v>
      </c>
      <c r="E43" s="123">
        <v>0.69750000000000001</v>
      </c>
      <c r="F43" s="123">
        <v>860</v>
      </c>
      <c r="G43" s="123">
        <v>11</v>
      </c>
      <c r="H43" s="123">
        <v>63</v>
      </c>
      <c r="I43" s="123">
        <v>33</v>
      </c>
      <c r="J43" s="167">
        <v>520.84193603444385</v>
      </c>
      <c r="K43" s="167">
        <v>4305.6266712180695</v>
      </c>
      <c r="L43" s="155">
        <v>0.34920634920634919</v>
      </c>
      <c r="M43" s="132">
        <v>850.52</v>
      </c>
      <c r="N43" s="128">
        <f t="shared" si="2"/>
        <v>831.67</v>
      </c>
      <c r="O43" s="132">
        <v>18.850000000000001</v>
      </c>
      <c r="P43" s="132">
        <v>717.92</v>
      </c>
      <c r="Q43" s="142">
        <f t="shared" si="1"/>
        <v>0.9271703838937605</v>
      </c>
      <c r="R43" s="129">
        <f t="shared" si="3"/>
        <v>0.65012438343631684</v>
      </c>
      <c r="S43" s="130">
        <f t="shared" si="4"/>
        <v>0.17586621211654438</v>
      </c>
      <c r="T43" s="157"/>
      <c r="U43" s="55"/>
      <c r="V43" s="143"/>
      <c r="W43" s="143"/>
      <c r="X43" s="143"/>
      <c r="Y43" s="143"/>
      <c r="Z43" s="143"/>
      <c r="AA43" s="143"/>
      <c r="AB43" s="143"/>
      <c r="AC43" s="143"/>
      <c r="AD43" s="143"/>
      <c r="AE43" s="145"/>
      <c r="AF43" s="137"/>
      <c r="AG43" s="137"/>
    </row>
    <row r="44" spans="1:35" x14ac:dyDescent="0.35">
      <c r="Y44" s="8"/>
      <c r="Z44" s="7"/>
      <c r="AB44" s="7"/>
      <c r="AD44" s="135"/>
      <c r="AF44" s="48"/>
      <c r="AG44" s="136"/>
      <c r="AH44" s="137"/>
      <c r="AI44" s="137">
        <v>0.16109333333333339</v>
      </c>
    </row>
    <row r="45" spans="1:35" x14ac:dyDescent="0.35">
      <c r="Y45" s="8"/>
      <c r="Z45" s="8"/>
      <c r="AB45" s="8"/>
      <c r="AD45" s="138"/>
      <c r="AF45" s="48"/>
      <c r="AG45" s="139"/>
      <c r="AH45" s="137"/>
      <c r="AI45" s="137">
        <v>0.17680000000000004</v>
      </c>
    </row>
  </sheetData>
  <sortState xmlns:xlrd2="http://schemas.microsoft.com/office/spreadsheetml/2017/richdata2" ref="V4:AH43">
    <sortCondition ref="V4:V43"/>
  </sortState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BD300D-4942-4505-8DC6-9C5104D41C1B}">
  <sheetPr>
    <tabColor theme="7"/>
  </sheetPr>
  <dimension ref="A1:Z203"/>
  <sheetViews>
    <sheetView workbookViewId="0">
      <pane xSplit="1" ySplit="3" topLeftCell="B32" activePane="bottomRight" state="frozen"/>
      <selection pane="topRight" activeCell="B1" sqref="B1"/>
      <selection pane="bottomLeft" activeCell="A4" sqref="A4"/>
      <selection pane="bottomRight" activeCell="A34" sqref="A34"/>
    </sheetView>
  </sheetViews>
  <sheetFormatPr defaultRowHeight="14.5" x14ac:dyDescent="0.35"/>
  <cols>
    <col min="2" max="2" width="5.81640625" customWidth="1"/>
    <col min="4" max="4" width="13.7265625" customWidth="1"/>
    <col min="26" max="26" width="9.7265625" customWidth="1"/>
  </cols>
  <sheetData>
    <row r="1" spans="1:26" x14ac:dyDescent="0.35">
      <c r="A1" s="1" t="s">
        <v>399</v>
      </c>
      <c r="B1" s="1"/>
    </row>
    <row r="3" spans="1:26" ht="15" thickBot="1" x14ac:dyDescent="0.4">
      <c r="A3" s="4" t="s">
        <v>106</v>
      </c>
      <c r="B3" s="4" t="s">
        <v>67</v>
      </c>
      <c r="C3" s="4" t="s">
        <v>148</v>
      </c>
      <c r="D3" s="4" t="s">
        <v>149</v>
      </c>
      <c r="E3" s="4" t="s">
        <v>150</v>
      </c>
    </row>
    <row r="4" spans="1:26" ht="15" thickTop="1" x14ac:dyDescent="0.35">
      <c r="A4" t="s">
        <v>63</v>
      </c>
      <c r="B4" s="3">
        <v>1</v>
      </c>
      <c r="C4">
        <v>53.1</v>
      </c>
      <c r="D4">
        <f>8.68*10^-6*C4^2+5.15*10^-4*C4-1.05*10^-2</f>
        <v>4.1320714799999998E-2</v>
      </c>
      <c r="E4">
        <f>0.99*C4-10.1</f>
        <v>42.469000000000001</v>
      </c>
    </row>
    <row r="5" spans="1:26" x14ac:dyDescent="0.35">
      <c r="A5" t="s">
        <v>63</v>
      </c>
      <c r="B5" s="3">
        <v>2</v>
      </c>
      <c r="C5">
        <v>54.2</v>
      </c>
      <c r="D5">
        <f t="shared" ref="D5:D63" si="0">8.68*10^-6*C5^2+5.15*10^-4*C5-1.05*10^-2</f>
        <v>4.2911715199999999E-2</v>
      </c>
      <c r="E5">
        <f t="shared" ref="E5:E63" si="1">0.99*C5-10.1</f>
        <v>43.558</v>
      </c>
      <c r="X5" s="22" t="s">
        <v>145</v>
      </c>
      <c r="Y5" s="23" t="s">
        <v>146</v>
      </c>
      <c r="Z5" s="24" t="s">
        <v>147</v>
      </c>
    </row>
    <row r="6" spans="1:26" x14ac:dyDescent="0.35">
      <c r="A6" t="s">
        <v>63</v>
      </c>
      <c r="B6" s="3">
        <v>3</v>
      </c>
      <c r="C6">
        <v>60.3</v>
      </c>
      <c r="D6">
        <f t="shared" si="0"/>
        <v>5.2115761199999992E-2</v>
      </c>
      <c r="E6">
        <f t="shared" si="1"/>
        <v>49.596999999999994</v>
      </c>
      <c r="X6" s="7">
        <v>20</v>
      </c>
      <c r="Y6" s="8">
        <v>9.6999999999999993</v>
      </c>
      <c r="Z6" s="9">
        <v>3.3E-3</v>
      </c>
    </row>
    <row r="7" spans="1:26" x14ac:dyDescent="0.35">
      <c r="A7" t="s">
        <v>63</v>
      </c>
      <c r="B7" s="3">
        <v>4</v>
      </c>
      <c r="C7">
        <v>59.1</v>
      </c>
      <c r="D7">
        <f t="shared" si="0"/>
        <v>5.0254090800000005E-2</v>
      </c>
      <c r="E7">
        <f t="shared" si="1"/>
        <v>48.408999999999999</v>
      </c>
      <c r="X7" s="7">
        <v>30</v>
      </c>
      <c r="Y7" s="8">
        <v>19.600000000000001</v>
      </c>
      <c r="Z7" s="9">
        <v>1.2800000000000001E-2</v>
      </c>
    </row>
    <row r="8" spans="1:26" x14ac:dyDescent="0.35">
      <c r="A8" t="s">
        <v>63</v>
      </c>
      <c r="B8" s="3">
        <v>5</v>
      </c>
      <c r="C8">
        <v>62.1</v>
      </c>
      <c r="D8">
        <f t="shared" si="0"/>
        <v>5.4955138800000004E-2</v>
      </c>
      <c r="E8">
        <f t="shared" si="1"/>
        <v>51.378999999999998</v>
      </c>
      <c r="X8" s="7">
        <v>40</v>
      </c>
      <c r="Y8" s="8">
        <v>29.5</v>
      </c>
      <c r="Z8" s="9">
        <v>2.4E-2</v>
      </c>
    </row>
    <row r="9" spans="1:26" x14ac:dyDescent="0.35">
      <c r="A9" t="s">
        <v>62</v>
      </c>
      <c r="B9" s="3">
        <v>1</v>
      </c>
      <c r="C9">
        <v>58.3</v>
      </c>
      <c r="D9">
        <f t="shared" si="0"/>
        <v>4.9026865199999999E-2</v>
      </c>
      <c r="E9">
        <f t="shared" si="1"/>
        <v>47.616999999999997</v>
      </c>
      <c r="X9" s="7">
        <v>50</v>
      </c>
      <c r="Y9" s="8">
        <v>39.4</v>
      </c>
      <c r="Z9" s="9">
        <v>3.6999999999999998E-2</v>
      </c>
    </row>
    <row r="10" spans="1:26" x14ac:dyDescent="0.35">
      <c r="A10" t="s">
        <v>62</v>
      </c>
      <c r="B10" s="3">
        <v>2</v>
      </c>
      <c r="C10">
        <v>69.5</v>
      </c>
      <c r="D10">
        <f t="shared" si="0"/>
        <v>6.7219070000000006E-2</v>
      </c>
      <c r="E10">
        <f t="shared" si="1"/>
        <v>58.704999999999991</v>
      </c>
      <c r="X10" s="7">
        <v>70</v>
      </c>
      <c r="Y10" s="8">
        <v>59.2</v>
      </c>
      <c r="Z10" s="9">
        <v>6.8099999999999994E-2</v>
      </c>
    </row>
    <row r="11" spans="1:26" x14ac:dyDescent="0.35">
      <c r="A11" t="s">
        <v>62</v>
      </c>
      <c r="B11" s="3">
        <v>3</v>
      </c>
      <c r="C11">
        <v>63.2</v>
      </c>
      <c r="D11">
        <f t="shared" si="0"/>
        <v>5.6718003200000013E-2</v>
      </c>
      <c r="E11">
        <f t="shared" si="1"/>
        <v>52.468000000000004</v>
      </c>
      <c r="X11" s="7">
        <v>90</v>
      </c>
      <c r="Y11" s="8">
        <v>79</v>
      </c>
      <c r="Z11" s="9">
        <v>0.1062</v>
      </c>
    </row>
    <row r="12" spans="1:26" x14ac:dyDescent="0.35">
      <c r="A12" t="s">
        <v>62</v>
      </c>
      <c r="B12" s="3">
        <v>4</v>
      </c>
      <c r="C12">
        <v>52.2</v>
      </c>
      <c r="D12">
        <f t="shared" si="0"/>
        <v>4.0034611200000007E-2</v>
      </c>
      <c r="E12">
        <f t="shared" si="1"/>
        <v>41.578000000000003</v>
      </c>
      <c r="X12" s="7">
        <v>80</v>
      </c>
      <c r="Y12" s="8">
        <v>69.099999999999994</v>
      </c>
      <c r="Z12" s="9">
        <v>8.6300000000000002E-2</v>
      </c>
    </row>
    <row r="13" spans="1:26" x14ac:dyDescent="0.35">
      <c r="A13" t="s">
        <v>62</v>
      </c>
      <c r="B13" s="3">
        <v>5</v>
      </c>
      <c r="C13">
        <v>57.3</v>
      </c>
      <c r="D13">
        <f t="shared" si="0"/>
        <v>4.7508457199999993E-2</v>
      </c>
      <c r="E13">
        <f t="shared" si="1"/>
        <v>46.626999999999995</v>
      </c>
      <c r="X13" s="20">
        <v>60</v>
      </c>
      <c r="Y13" s="10">
        <v>49.3</v>
      </c>
      <c r="Z13" s="21">
        <v>5.1700000000000003E-2</v>
      </c>
    </row>
    <row r="14" spans="1:26" x14ac:dyDescent="0.35">
      <c r="A14" t="s">
        <v>135</v>
      </c>
      <c r="B14" s="3">
        <v>1</v>
      </c>
      <c r="C14">
        <v>48.2</v>
      </c>
      <c r="D14">
        <f t="shared" si="0"/>
        <v>3.4488723200000009E-2</v>
      </c>
      <c r="E14">
        <f t="shared" si="1"/>
        <v>37.618000000000002</v>
      </c>
    </row>
    <row r="15" spans="1:26" x14ac:dyDescent="0.35">
      <c r="A15" t="s">
        <v>135</v>
      </c>
      <c r="B15" s="3">
        <v>2</v>
      </c>
      <c r="C15">
        <v>49.5</v>
      </c>
      <c r="D15">
        <f t="shared" si="0"/>
        <v>3.6260670000000002E-2</v>
      </c>
      <c r="E15">
        <f t="shared" si="1"/>
        <v>38.905000000000001</v>
      </c>
    </row>
    <row r="16" spans="1:26" x14ac:dyDescent="0.35">
      <c r="A16" t="s">
        <v>135</v>
      </c>
      <c r="B16" s="3">
        <v>3</v>
      </c>
      <c r="C16">
        <v>48.4</v>
      </c>
      <c r="D16">
        <f t="shared" si="0"/>
        <v>3.4759420799999996E-2</v>
      </c>
      <c r="E16">
        <f t="shared" si="1"/>
        <v>37.815999999999995</v>
      </c>
    </row>
    <row r="17" spans="1:5" x14ac:dyDescent="0.35">
      <c r="A17" t="s">
        <v>135</v>
      </c>
      <c r="B17" s="3">
        <v>4</v>
      </c>
      <c r="C17">
        <v>51.1</v>
      </c>
      <c r="D17">
        <f t="shared" si="0"/>
        <v>3.8481802799999999E-2</v>
      </c>
      <c r="E17">
        <f t="shared" si="1"/>
        <v>40.488999999999997</v>
      </c>
    </row>
    <row r="18" spans="1:5" x14ac:dyDescent="0.35">
      <c r="A18" t="s">
        <v>135</v>
      </c>
      <c r="B18" s="3">
        <v>5</v>
      </c>
      <c r="C18">
        <v>45.7</v>
      </c>
      <c r="D18">
        <f t="shared" si="0"/>
        <v>3.1163593199999999E-2</v>
      </c>
      <c r="E18">
        <f t="shared" si="1"/>
        <v>35.143000000000001</v>
      </c>
    </row>
    <row r="19" spans="1:5" x14ac:dyDescent="0.35">
      <c r="A19" t="s">
        <v>136</v>
      </c>
      <c r="B19" s="3">
        <v>1</v>
      </c>
      <c r="C19">
        <v>41.3</v>
      </c>
      <c r="D19">
        <f t="shared" si="0"/>
        <v>2.5574889199999999E-2</v>
      </c>
      <c r="E19">
        <f t="shared" si="1"/>
        <v>30.786999999999992</v>
      </c>
    </row>
    <row r="20" spans="1:5" x14ac:dyDescent="0.35">
      <c r="A20" t="s">
        <v>136</v>
      </c>
      <c r="B20" s="3">
        <v>2</v>
      </c>
      <c r="C20">
        <v>56.7</v>
      </c>
      <c r="D20">
        <f t="shared" si="0"/>
        <v>4.66057452E-2</v>
      </c>
      <c r="E20">
        <f t="shared" si="1"/>
        <v>46.033000000000001</v>
      </c>
    </row>
    <row r="21" spans="1:5" x14ac:dyDescent="0.35">
      <c r="A21" t="s">
        <v>136</v>
      </c>
      <c r="B21" s="3">
        <v>3</v>
      </c>
      <c r="C21">
        <v>54.9</v>
      </c>
      <c r="D21">
        <f t="shared" si="0"/>
        <v>4.3935106799999998E-2</v>
      </c>
      <c r="E21">
        <f t="shared" si="1"/>
        <v>44.250999999999998</v>
      </c>
    </row>
    <row r="22" spans="1:5" x14ac:dyDescent="0.35">
      <c r="A22" t="s">
        <v>136</v>
      </c>
      <c r="B22" s="3">
        <v>4</v>
      </c>
      <c r="C22">
        <v>44.3</v>
      </c>
      <c r="D22">
        <f t="shared" si="0"/>
        <v>2.93489132E-2</v>
      </c>
      <c r="E22">
        <f t="shared" si="1"/>
        <v>33.756999999999998</v>
      </c>
    </row>
    <row r="23" spans="1:5" x14ac:dyDescent="0.35">
      <c r="A23" t="s">
        <v>136</v>
      </c>
      <c r="B23" s="3">
        <v>5</v>
      </c>
      <c r="C23">
        <v>48</v>
      </c>
      <c r="D23">
        <f t="shared" si="0"/>
        <v>3.4218720000000001E-2</v>
      </c>
      <c r="E23">
        <f t="shared" si="1"/>
        <v>37.419999999999995</v>
      </c>
    </row>
    <row r="24" spans="1:5" x14ac:dyDescent="0.35">
      <c r="A24" t="s">
        <v>48</v>
      </c>
      <c r="B24" s="3">
        <v>1</v>
      </c>
      <c r="C24">
        <v>51.7</v>
      </c>
      <c r="D24">
        <f t="shared" si="0"/>
        <v>3.9326185200000002E-2</v>
      </c>
      <c r="E24">
        <f t="shared" si="1"/>
        <v>41.082999999999998</v>
      </c>
    </row>
    <row r="25" spans="1:5" x14ac:dyDescent="0.35">
      <c r="A25" t="s">
        <v>48</v>
      </c>
      <c r="B25" s="3">
        <v>2</v>
      </c>
      <c r="C25">
        <v>43.6</v>
      </c>
      <c r="D25">
        <f t="shared" si="0"/>
        <v>2.8454332800000003E-2</v>
      </c>
      <c r="E25">
        <f t="shared" si="1"/>
        <v>33.064</v>
      </c>
    </row>
    <row r="26" spans="1:5" x14ac:dyDescent="0.35">
      <c r="A26" t="s">
        <v>48</v>
      </c>
      <c r="B26" s="3">
        <v>3</v>
      </c>
      <c r="C26">
        <v>47.5</v>
      </c>
      <c r="D26">
        <f t="shared" si="0"/>
        <v>3.354675E-2</v>
      </c>
      <c r="E26">
        <f t="shared" si="1"/>
        <v>36.924999999999997</v>
      </c>
    </row>
    <row r="27" spans="1:5" x14ac:dyDescent="0.35">
      <c r="A27" t="s">
        <v>48</v>
      </c>
      <c r="B27" s="3">
        <v>4</v>
      </c>
      <c r="C27">
        <v>55.8</v>
      </c>
      <c r="D27">
        <f t="shared" si="0"/>
        <v>4.5263395199999994E-2</v>
      </c>
      <c r="E27">
        <f t="shared" si="1"/>
        <v>45.141999999999996</v>
      </c>
    </row>
    <row r="28" spans="1:5" x14ac:dyDescent="0.35">
      <c r="A28" t="s">
        <v>48</v>
      </c>
      <c r="B28" s="3">
        <v>5</v>
      </c>
      <c r="C28">
        <v>49.9</v>
      </c>
      <c r="D28">
        <f t="shared" si="0"/>
        <v>3.6811786800000003E-2</v>
      </c>
      <c r="E28">
        <f t="shared" si="1"/>
        <v>39.300999999999995</v>
      </c>
    </row>
    <row r="29" spans="1:5" x14ac:dyDescent="0.35">
      <c r="A29" t="s">
        <v>49</v>
      </c>
      <c r="B29" s="3">
        <v>1</v>
      </c>
      <c r="C29">
        <v>58.8</v>
      </c>
      <c r="D29">
        <f t="shared" si="0"/>
        <v>4.9792579199999992E-2</v>
      </c>
      <c r="E29">
        <f t="shared" si="1"/>
        <v>48.111999999999995</v>
      </c>
    </row>
    <row r="30" spans="1:5" x14ac:dyDescent="0.35">
      <c r="A30" t="s">
        <v>49</v>
      </c>
      <c r="B30" s="3">
        <v>2</v>
      </c>
      <c r="C30">
        <v>59.9</v>
      </c>
      <c r="D30">
        <f t="shared" si="0"/>
        <v>5.1492426799999998E-2</v>
      </c>
      <c r="E30">
        <f t="shared" si="1"/>
        <v>49.200999999999993</v>
      </c>
    </row>
    <row r="31" spans="1:5" x14ac:dyDescent="0.35">
      <c r="A31" t="s">
        <v>49</v>
      </c>
      <c r="B31" s="3">
        <v>3</v>
      </c>
      <c r="C31">
        <v>53.4</v>
      </c>
      <c r="D31">
        <f t="shared" si="0"/>
        <v>4.1752540799999995E-2</v>
      </c>
      <c r="E31">
        <f t="shared" si="1"/>
        <v>42.765999999999998</v>
      </c>
    </row>
    <row r="32" spans="1:5" x14ac:dyDescent="0.35">
      <c r="A32" t="s">
        <v>49</v>
      </c>
      <c r="B32" s="3">
        <v>4</v>
      </c>
      <c r="C32">
        <v>40.9</v>
      </c>
      <c r="D32">
        <f t="shared" si="0"/>
        <v>2.5083490799999997E-2</v>
      </c>
      <c r="E32">
        <f t="shared" si="1"/>
        <v>30.390999999999998</v>
      </c>
    </row>
    <row r="33" spans="1:5" x14ac:dyDescent="0.35">
      <c r="A33" t="s">
        <v>49</v>
      </c>
      <c r="B33" s="3">
        <v>5</v>
      </c>
      <c r="C33">
        <v>60.6</v>
      </c>
      <c r="D33">
        <f t="shared" si="0"/>
        <v>5.2585084800000008E-2</v>
      </c>
      <c r="E33">
        <f t="shared" si="1"/>
        <v>49.893999999999998</v>
      </c>
    </row>
    <row r="34" spans="1:5" x14ac:dyDescent="0.35">
      <c r="A34" t="s">
        <v>127</v>
      </c>
      <c r="B34" s="3">
        <v>1</v>
      </c>
      <c r="C34">
        <v>70.3</v>
      </c>
      <c r="D34">
        <f t="shared" si="0"/>
        <v>6.8601841199999999E-2</v>
      </c>
      <c r="E34">
        <f t="shared" si="1"/>
        <v>59.496999999999993</v>
      </c>
    </row>
    <row r="35" spans="1:5" x14ac:dyDescent="0.35">
      <c r="A35" t="s">
        <v>127</v>
      </c>
      <c r="B35" s="3">
        <v>2</v>
      </c>
      <c r="C35">
        <v>62.7</v>
      </c>
      <c r="D35">
        <f t="shared" si="0"/>
        <v>5.5914097200000006E-2</v>
      </c>
      <c r="E35">
        <f t="shared" si="1"/>
        <v>51.972999999999999</v>
      </c>
    </row>
    <row r="36" spans="1:5" x14ac:dyDescent="0.35">
      <c r="A36" t="s">
        <v>127</v>
      </c>
      <c r="B36" s="3">
        <v>3</v>
      </c>
      <c r="C36">
        <v>65.7</v>
      </c>
      <c r="D36">
        <f t="shared" si="0"/>
        <v>6.0802633200000004E-2</v>
      </c>
      <c r="E36">
        <f t="shared" si="1"/>
        <v>54.943000000000005</v>
      </c>
    </row>
    <row r="37" spans="1:5" x14ac:dyDescent="0.35">
      <c r="A37" t="s">
        <v>127</v>
      </c>
      <c r="B37" s="3">
        <v>4</v>
      </c>
      <c r="C37">
        <v>61.3</v>
      </c>
      <c r="D37">
        <f t="shared" si="0"/>
        <v>5.3686249199999987E-2</v>
      </c>
      <c r="E37">
        <f t="shared" si="1"/>
        <v>50.586999999999996</v>
      </c>
    </row>
    <row r="38" spans="1:5" x14ac:dyDescent="0.35">
      <c r="A38" t="s">
        <v>127</v>
      </c>
      <c r="B38" s="3">
        <v>5</v>
      </c>
      <c r="C38">
        <v>58.4</v>
      </c>
      <c r="D38">
        <f t="shared" si="0"/>
        <v>4.9179660800000004E-2</v>
      </c>
      <c r="E38">
        <f t="shared" si="1"/>
        <v>47.715999999999994</v>
      </c>
    </row>
    <row r="39" spans="1:5" x14ac:dyDescent="0.35">
      <c r="A39" t="s">
        <v>128</v>
      </c>
      <c r="B39" s="3">
        <v>1</v>
      </c>
      <c r="C39">
        <v>65.099999999999994</v>
      </c>
      <c r="D39">
        <f t="shared" si="0"/>
        <v>5.9812426799999992E-2</v>
      </c>
      <c r="E39">
        <f t="shared" si="1"/>
        <v>54.348999999999997</v>
      </c>
    </row>
    <row r="40" spans="1:5" x14ac:dyDescent="0.35">
      <c r="A40" t="s">
        <v>128</v>
      </c>
      <c r="B40" s="3">
        <v>2</v>
      </c>
      <c r="C40">
        <v>64.2</v>
      </c>
      <c r="D40">
        <f t="shared" si="0"/>
        <v>5.8338835200000001E-2</v>
      </c>
      <c r="E40">
        <f t="shared" si="1"/>
        <v>53.457999999999998</v>
      </c>
    </row>
    <row r="41" spans="1:5" x14ac:dyDescent="0.35">
      <c r="A41" t="s">
        <v>128</v>
      </c>
      <c r="B41" s="3">
        <v>3</v>
      </c>
      <c r="C41">
        <v>63.9</v>
      </c>
      <c r="D41">
        <f t="shared" si="0"/>
        <v>5.785076279999999E-2</v>
      </c>
      <c r="E41">
        <f t="shared" si="1"/>
        <v>53.160999999999994</v>
      </c>
    </row>
    <row r="42" spans="1:5" x14ac:dyDescent="0.35">
      <c r="A42" t="s">
        <v>128</v>
      </c>
      <c r="B42" s="3">
        <v>4</v>
      </c>
      <c r="C42">
        <v>65.2</v>
      </c>
      <c r="D42">
        <f t="shared" si="0"/>
        <v>5.9977027199999998E-2</v>
      </c>
      <c r="E42">
        <f t="shared" si="1"/>
        <v>54.448</v>
      </c>
    </row>
    <row r="43" spans="1:5" x14ac:dyDescent="0.35">
      <c r="A43" t="s">
        <v>128</v>
      </c>
      <c r="B43" s="3">
        <v>5</v>
      </c>
      <c r="C43">
        <v>64.2</v>
      </c>
      <c r="D43">
        <f t="shared" si="0"/>
        <v>5.8338835200000001E-2</v>
      </c>
      <c r="E43">
        <f t="shared" si="1"/>
        <v>53.457999999999998</v>
      </c>
    </row>
    <row r="44" spans="1:5" x14ac:dyDescent="0.35">
      <c r="A44" t="s">
        <v>25</v>
      </c>
      <c r="B44" s="3">
        <v>1</v>
      </c>
      <c r="C44">
        <v>43.8</v>
      </c>
      <c r="D44">
        <f>8.68*10^-6*C44^2+5.15*10^-4*C44-1.05*10^-2</f>
        <v>2.8709059199999998E-2</v>
      </c>
      <c r="E44">
        <f>0.99*C44-10.1</f>
        <v>33.261999999999993</v>
      </c>
    </row>
    <row r="45" spans="1:5" x14ac:dyDescent="0.35">
      <c r="A45" t="s">
        <v>25</v>
      </c>
      <c r="B45" s="3">
        <v>2</v>
      </c>
      <c r="C45">
        <v>33.5</v>
      </c>
      <c r="D45">
        <f>8.68*10^-6*C45^2+5.15*10^-4*C45-1.05*10^-2</f>
        <v>1.6493630000000002E-2</v>
      </c>
      <c r="E45">
        <f>0.99*C45-10.1</f>
        <v>23.064999999999998</v>
      </c>
    </row>
    <row r="46" spans="1:5" x14ac:dyDescent="0.35">
      <c r="A46" t="s">
        <v>25</v>
      </c>
      <c r="B46" s="3">
        <v>3</v>
      </c>
      <c r="C46">
        <v>58.5</v>
      </c>
      <c r="D46">
        <f>8.68*10^-6*C46^2+5.15*10^-4*C46-1.05*10^-2</f>
        <v>4.9332629999999995E-2</v>
      </c>
      <c r="E46">
        <f>0.99*C46-10.1</f>
        <v>47.814999999999998</v>
      </c>
    </row>
    <row r="47" spans="1:5" x14ac:dyDescent="0.35">
      <c r="A47" t="s">
        <v>25</v>
      </c>
      <c r="B47" s="3">
        <v>4</v>
      </c>
      <c r="C47">
        <v>33.5</v>
      </c>
      <c r="D47">
        <f t="shared" si="0"/>
        <v>1.6493630000000002E-2</v>
      </c>
      <c r="E47">
        <f t="shared" si="1"/>
        <v>23.064999999999998</v>
      </c>
    </row>
    <row r="48" spans="1:5" x14ac:dyDescent="0.35">
      <c r="A48" t="s">
        <v>25</v>
      </c>
      <c r="B48" s="3">
        <v>5</v>
      </c>
      <c r="C48">
        <v>64.900000000000006</v>
      </c>
      <c r="D48">
        <f t="shared" si="0"/>
        <v>5.9483746800000022E-2</v>
      </c>
      <c r="E48">
        <f t="shared" si="1"/>
        <v>54.151000000000003</v>
      </c>
    </row>
    <row r="49" spans="1:5" x14ac:dyDescent="0.35">
      <c r="A49" t="s">
        <v>24</v>
      </c>
      <c r="B49" s="3">
        <v>1</v>
      </c>
      <c r="C49">
        <v>47.9</v>
      </c>
      <c r="D49">
        <f t="shared" si="0"/>
        <v>3.4083978799999998E-2</v>
      </c>
      <c r="E49">
        <f t="shared" si="1"/>
        <v>37.320999999999998</v>
      </c>
    </row>
    <row r="50" spans="1:5" x14ac:dyDescent="0.35">
      <c r="A50" t="s">
        <v>24</v>
      </c>
      <c r="B50" s="3">
        <v>2</v>
      </c>
      <c r="C50">
        <v>51.3</v>
      </c>
      <c r="D50">
        <f t="shared" si="0"/>
        <v>3.8762569199999992E-2</v>
      </c>
      <c r="E50">
        <f t="shared" si="1"/>
        <v>40.686999999999998</v>
      </c>
    </row>
    <row r="51" spans="1:5" x14ac:dyDescent="0.35">
      <c r="A51" t="s">
        <v>24</v>
      </c>
      <c r="B51" s="3">
        <v>3</v>
      </c>
      <c r="C51">
        <v>52.9</v>
      </c>
      <c r="D51">
        <f t="shared" si="0"/>
        <v>4.1033698799999997E-2</v>
      </c>
      <c r="E51">
        <f t="shared" si="1"/>
        <v>42.270999999999994</v>
      </c>
    </row>
    <row r="52" spans="1:5" x14ac:dyDescent="0.35">
      <c r="A52" t="s">
        <v>24</v>
      </c>
      <c r="B52" s="3">
        <v>4</v>
      </c>
      <c r="C52">
        <v>46.1</v>
      </c>
      <c r="D52">
        <f t="shared" si="0"/>
        <v>3.1688322799999995E-2</v>
      </c>
      <c r="E52">
        <f t="shared" si="1"/>
        <v>35.539000000000001</v>
      </c>
    </row>
    <row r="53" spans="1:5" x14ac:dyDescent="0.35">
      <c r="A53" t="s">
        <v>24</v>
      </c>
      <c r="B53" s="3">
        <v>5</v>
      </c>
      <c r="C53">
        <v>52.1</v>
      </c>
      <c r="D53">
        <f t="shared" si="0"/>
        <v>3.9892578800000002E-2</v>
      </c>
      <c r="E53">
        <f t="shared" si="1"/>
        <v>41.478999999999999</v>
      </c>
    </row>
    <row r="54" spans="1:5" x14ac:dyDescent="0.35">
      <c r="A54" t="s">
        <v>31</v>
      </c>
      <c r="B54" s="3">
        <v>1</v>
      </c>
      <c r="C54">
        <v>59.9</v>
      </c>
      <c r="D54">
        <f t="shared" si="0"/>
        <v>5.1492426799999998E-2</v>
      </c>
      <c r="E54">
        <f t="shared" si="1"/>
        <v>49.200999999999993</v>
      </c>
    </row>
    <row r="55" spans="1:5" x14ac:dyDescent="0.35">
      <c r="A55" t="s">
        <v>31</v>
      </c>
      <c r="B55" s="3">
        <v>2</v>
      </c>
      <c r="C55">
        <v>47.3</v>
      </c>
      <c r="D55">
        <f t="shared" si="0"/>
        <v>3.3279177199999989E-2</v>
      </c>
      <c r="E55">
        <f t="shared" si="1"/>
        <v>36.726999999999997</v>
      </c>
    </row>
    <row r="56" spans="1:5" x14ac:dyDescent="0.35">
      <c r="A56" t="s">
        <v>31</v>
      </c>
      <c r="B56" s="3">
        <v>3</v>
      </c>
      <c r="C56">
        <v>54.1</v>
      </c>
      <c r="D56">
        <f t="shared" si="0"/>
        <v>4.2766210800000003E-2</v>
      </c>
      <c r="E56">
        <f t="shared" si="1"/>
        <v>43.458999999999996</v>
      </c>
    </row>
    <row r="57" spans="1:5" x14ac:dyDescent="0.35">
      <c r="A57" t="s">
        <v>31</v>
      </c>
      <c r="B57" s="3">
        <v>4</v>
      </c>
      <c r="C57">
        <v>47.2</v>
      </c>
      <c r="D57">
        <f t="shared" si="0"/>
        <v>3.3145651200000001E-2</v>
      </c>
      <c r="E57">
        <f t="shared" si="1"/>
        <v>36.628</v>
      </c>
    </row>
    <row r="58" spans="1:5" x14ac:dyDescent="0.35">
      <c r="A58" t="s">
        <v>31</v>
      </c>
      <c r="B58" s="3">
        <v>5</v>
      </c>
      <c r="C58">
        <v>62.5</v>
      </c>
      <c r="D58">
        <f t="shared" si="0"/>
        <v>5.5593750000000004E-2</v>
      </c>
      <c r="E58">
        <f t="shared" si="1"/>
        <v>51.774999999999999</v>
      </c>
    </row>
    <row r="59" spans="1:5" x14ac:dyDescent="0.35">
      <c r="A59" t="s">
        <v>30</v>
      </c>
      <c r="B59" s="3">
        <v>1</v>
      </c>
      <c r="C59">
        <v>65.5</v>
      </c>
      <c r="D59">
        <f t="shared" si="0"/>
        <v>6.0471870000000004E-2</v>
      </c>
      <c r="E59">
        <f t="shared" si="1"/>
        <v>54.744999999999997</v>
      </c>
    </row>
    <row r="60" spans="1:5" x14ac:dyDescent="0.35">
      <c r="A60" t="s">
        <v>30</v>
      </c>
      <c r="B60" s="3">
        <v>2</v>
      </c>
      <c r="C60">
        <v>52.4</v>
      </c>
      <c r="D60">
        <f t="shared" si="0"/>
        <v>4.0319196799999998E-2</v>
      </c>
      <c r="E60">
        <f t="shared" si="1"/>
        <v>41.775999999999996</v>
      </c>
    </row>
    <row r="61" spans="1:5" x14ac:dyDescent="0.35">
      <c r="A61" t="s">
        <v>30</v>
      </c>
      <c r="B61" s="3">
        <v>3</v>
      </c>
      <c r="C61">
        <v>62</v>
      </c>
      <c r="D61">
        <f t="shared" si="0"/>
        <v>5.4795920000000005E-2</v>
      </c>
      <c r="E61">
        <f t="shared" si="1"/>
        <v>51.28</v>
      </c>
    </row>
    <row r="62" spans="1:5" x14ac:dyDescent="0.35">
      <c r="A62" t="s">
        <v>30</v>
      </c>
      <c r="B62" s="3">
        <v>4</v>
      </c>
      <c r="C62">
        <v>44</v>
      </c>
      <c r="D62">
        <f t="shared" si="0"/>
        <v>2.8964480000000001E-2</v>
      </c>
      <c r="E62">
        <f t="shared" si="1"/>
        <v>33.46</v>
      </c>
    </row>
    <row r="63" spans="1:5" x14ac:dyDescent="0.35">
      <c r="A63" t="s">
        <v>30</v>
      </c>
      <c r="B63" s="3">
        <v>5</v>
      </c>
      <c r="C63">
        <v>55.1</v>
      </c>
      <c r="D63">
        <f t="shared" si="0"/>
        <v>4.4229066800000001E-2</v>
      </c>
      <c r="E63">
        <f t="shared" si="1"/>
        <v>44.448999999999998</v>
      </c>
    </row>
    <row r="64" spans="1:5" x14ac:dyDescent="0.35">
      <c r="A64" t="s">
        <v>22</v>
      </c>
      <c r="B64" s="3">
        <v>1</v>
      </c>
    </row>
    <row r="65" spans="1:5" x14ac:dyDescent="0.35">
      <c r="A65" t="s">
        <v>22</v>
      </c>
      <c r="B65" s="3">
        <v>2</v>
      </c>
    </row>
    <row r="66" spans="1:5" x14ac:dyDescent="0.35">
      <c r="A66" t="s">
        <v>22</v>
      </c>
      <c r="B66" s="3">
        <v>3</v>
      </c>
    </row>
    <row r="67" spans="1:5" x14ac:dyDescent="0.35">
      <c r="A67" t="s">
        <v>22</v>
      </c>
      <c r="B67" s="3">
        <v>4</v>
      </c>
    </row>
    <row r="68" spans="1:5" x14ac:dyDescent="0.35">
      <c r="A68" t="s">
        <v>22</v>
      </c>
      <c r="B68" s="3">
        <v>5</v>
      </c>
    </row>
    <row r="69" spans="1:5" x14ac:dyDescent="0.35">
      <c r="A69" t="s">
        <v>23</v>
      </c>
      <c r="B69" s="3">
        <v>1</v>
      </c>
    </row>
    <row r="70" spans="1:5" x14ac:dyDescent="0.35">
      <c r="A70" t="s">
        <v>23</v>
      </c>
      <c r="B70" s="3">
        <v>2</v>
      </c>
    </row>
    <row r="71" spans="1:5" x14ac:dyDescent="0.35">
      <c r="A71" t="s">
        <v>23</v>
      </c>
      <c r="B71" s="3">
        <v>3</v>
      </c>
    </row>
    <row r="72" spans="1:5" x14ac:dyDescent="0.35">
      <c r="A72" t="s">
        <v>23</v>
      </c>
      <c r="B72" s="3">
        <v>4</v>
      </c>
    </row>
    <row r="73" spans="1:5" x14ac:dyDescent="0.35">
      <c r="A73" t="s">
        <v>23</v>
      </c>
      <c r="B73" s="3">
        <v>5</v>
      </c>
    </row>
    <row r="74" spans="1:5" x14ac:dyDescent="0.35">
      <c r="A74" t="s">
        <v>53</v>
      </c>
      <c r="B74" s="3">
        <v>1</v>
      </c>
      <c r="C74">
        <v>48.9</v>
      </c>
      <c r="D74">
        <f t="shared" ref="D74:D132" si="2">8.68*10^-6*C74^2+5.15*10^-4*C74-1.05*10^-2</f>
        <v>3.54392028E-2</v>
      </c>
      <c r="E74">
        <f t="shared" ref="E74:E132" si="3">0.99*C74-10.1</f>
        <v>38.311</v>
      </c>
    </row>
    <row r="75" spans="1:5" x14ac:dyDescent="0.35">
      <c r="A75" t="s">
        <v>53</v>
      </c>
      <c r="B75" s="3">
        <v>2</v>
      </c>
      <c r="C75">
        <v>60.1</v>
      </c>
      <c r="D75">
        <f t="shared" si="2"/>
        <v>5.1803746800000001E-2</v>
      </c>
      <c r="E75">
        <f t="shared" si="3"/>
        <v>49.399000000000001</v>
      </c>
    </row>
    <row r="76" spans="1:5" x14ac:dyDescent="0.35">
      <c r="A76" t="s">
        <v>53</v>
      </c>
      <c r="B76" s="3">
        <v>3</v>
      </c>
      <c r="C76">
        <v>42.5</v>
      </c>
      <c r="D76">
        <f t="shared" si="2"/>
        <v>2.706575E-2</v>
      </c>
      <c r="E76">
        <f t="shared" si="3"/>
        <v>31.975000000000001</v>
      </c>
    </row>
    <row r="77" spans="1:5" x14ac:dyDescent="0.35">
      <c r="A77" t="s">
        <v>53</v>
      </c>
      <c r="B77" s="3">
        <v>4</v>
      </c>
      <c r="C77">
        <v>57.5</v>
      </c>
      <c r="D77">
        <f t="shared" si="2"/>
        <v>4.7810749999999999E-2</v>
      </c>
      <c r="E77">
        <f t="shared" si="3"/>
        <v>46.824999999999996</v>
      </c>
    </row>
    <row r="78" spans="1:5" x14ac:dyDescent="0.35">
      <c r="A78" t="s">
        <v>53</v>
      </c>
      <c r="B78" s="3">
        <v>5</v>
      </c>
      <c r="C78">
        <v>62</v>
      </c>
      <c r="D78">
        <f t="shared" si="2"/>
        <v>5.4795920000000005E-2</v>
      </c>
      <c r="E78">
        <f t="shared" si="3"/>
        <v>51.28</v>
      </c>
    </row>
    <row r="79" spans="1:5" x14ac:dyDescent="0.35">
      <c r="A79" t="s">
        <v>52</v>
      </c>
      <c r="B79" s="3">
        <v>1</v>
      </c>
      <c r="C79">
        <v>56.3</v>
      </c>
      <c r="D79">
        <f t="shared" si="2"/>
        <v>4.6007409199999995E-2</v>
      </c>
      <c r="E79">
        <f t="shared" si="3"/>
        <v>45.636999999999993</v>
      </c>
    </row>
    <row r="80" spans="1:5" x14ac:dyDescent="0.35">
      <c r="A80" t="s">
        <v>52</v>
      </c>
      <c r="B80" s="3">
        <v>2</v>
      </c>
      <c r="C80">
        <v>36.700000000000003</v>
      </c>
      <c r="D80">
        <f t="shared" si="2"/>
        <v>2.0091505200000005E-2</v>
      </c>
      <c r="E80">
        <f t="shared" si="3"/>
        <v>26.233000000000004</v>
      </c>
    </row>
    <row r="81" spans="1:5" x14ac:dyDescent="0.35">
      <c r="A81" t="s">
        <v>52</v>
      </c>
      <c r="B81" s="3">
        <v>3</v>
      </c>
      <c r="C81">
        <v>39.9</v>
      </c>
      <c r="D81">
        <f t="shared" si="2"/>
        <v>2.3867146799999996E-2</v>
      </c>
      <c r="E81">
        <f t="shared" si="3"/>
        <v>29.400999999999996</v>
      </c>
    </row>
    <row r="82" spans="1:5" x14ac:dyDescent="0.35">
      <c r="A82" t="s">
        <v>52</v>
      </c>
      <c r="B82" s="3">
        <v>4</v>
      </c>
      <c r="C82">
        <v>58.7</v>
      </c>
      <c r="D82">
        <f t="shared" si="2"/>
        <v>4.9639089200000007E-2</v>
      </c>
      <c r="E82">
        <f t="shared" si="3"/>
        <v>48.012999999999998</v>
      </c>
    </row>
    <row r="83" spans="1:5" x14ac:dyDescent="0.35">
      <c r="A83" t="s">
        <v>52</v>
      </c>
      <c r="B83" s="3">
        <v>5</v>
      </c>
      <c r="C83">
        <v>41.9</v>
      </c>
      <c r="D83">
        <f t="shared" si="2"/>
        <v>2.6317194799999999E-2</v>
      </c>
      <c r="E83">
        <f t="shared" si="3"/>
        <v>31.381</v>
      </c>
    </row>
    <row r="84" spans="1:5" x14ac:dyDescent="0.35">
      <c r="A84" t="s">
        <v>14</v>
      </c>
      <c r="B84" s="3">
        <v>1</v>
      </c>
      <c r="C84">
        <v>60</v>
      </c>
      <c r="D84">
        <f t="shared" si="2"/>
        <v>5.1647999999999999E-2</v>
      </c>
      <c r="E84">
        <f t="shared" si="3"/>
        <v>49.3</v>
      </c>
    </row>
    <row r="85" spans="1:5" x14ac:dyDescent="0.35">
      <c r="A85" t="s">
        <v>14</v>
      </c>
      <c r="B85" s="3">
        <v>2</v>
      </c>
      <c r="C85">
        <v>56.2</v>
      </c>
      <c r="D85">
        <f t="shared" si="2"/>
        <v>4.5858259200000008E-2</v>
      </c>
      <c r="E85">
        <f t="shared" si="3"/>
        <v>45.538000000000004</v>
      </c>
    </row>
    <row r="86" spans="1:5" x14ac:dyDescent="0.35">
      <c r="A86" t="s">
        <v>14</v>
      </c>
      <c r="B86" s="3">
        <v>3</v>
      </c>
      <c r="C86">
        <v>48.7</v>
      </c>
      <c r="D86">
        <f t="shared" si="2"/>
        <v>3.5166769200000003E-2</v>
      </c>
      <c r="E86">
        <f t="shared" si="3"/>
        <v>38.113</v>
      </c>
    </row>
    <row r="87" spans="1:5" x14ac:dyDescent="0.35">
      <c r="A87" t="s">
        <v>14</v>
      </c>
      <c r="B87" s="3">
        <v>4</v>
      </c>
      <c r="C87">
        <v>59.8</v>
      </c>
      <c r="D87">
        <f t="shared" si="2"/>
        <v>5.1337027199999996E-2</v>
      </c>
      <c r="E87">
        <f t="shared" si="3"/>
        <v>49.101999999999997</v>
      </c>
    </row>
    <row r="88" spans="1:5" x14ac:dyDescent="0.35">
      <c r="A88" t="s">
        <v>14</v>
      </c>
      <c r="B88" s="3">
        <v>5</v>
      </c>
      <c r="C88">
        <v>52.7</v>
      </c>
      <c r="D88">
        <f t="shared" si="2"/>
        <v>4.0747377200000011E-2</v>
      </c>
      <c r="E88">
        <f t="shared" si="3"/>
        <v>42.073</v>
      </c>
    </row>
    <row r="89" spans="1:5" x14ac:dyDescent="0.35">
      <c r="A89" t="s">
        <v>15</v>
      </c>
      <c r="B89" s="3">
        <v>1</v>
      </c>
      <c r="C89">
        <v>51.9</v>
      </c>
      <c r="D89">
        <f t="shared" si="2"/>
        <v>3.9609034799999998E-2</v>
      </c>
      <c r="E89">
        <f t="shared" si="3"/>
        <v>41.280999999999999</v>
      </c>
    </row>
    <row r="90" spans="1:5" x14ac:dyDescent="0.35">
      <c r="A90" t="s">
        <v>15</v>
      </c>
      <c r="B90" s="3">
        <v>2</v>
      </c>
      <c r="C90">
        <v>52.1</v>
      </c>
      <c r="D90">
        <f t="shared" si="2"/>
        <v>3.9892578800000002E-2</v>
      </c>
      <c r="E90">
        <f t="shared" si="3"/>
        <v>41.478999999999999</v>
      </c>
    </row>
    <row r="91" spans="1:5" x14ac:dyDescent="0.35">
      <c r="A91" t="s">
        <v>15</v>
      </c>
      <c r="B91" s="3">
        <v>3</v>
      </c>
      <c r="C91">
        <v>53.7</v>
      </c>
      <c r="D91">
        <f t="shared" si="2"/>
        <v>4.2185929200000007E-2</v>
      </c>
      <c r="E91">
        <f t="shared" si="3"/>
        <v>43.063000000000002</v>
      </c>
    </row>
    <row r="92" spans="1:5" x14ac:dyDescent="0.35">
      <c r="A92" t="s">
        <v>15</v>
      </c>
      <c r="B92" s="3">
        <v>4</v>
      </c>
      <c r="C92">
        <v>63.3</v>
      </c>
      <c r="D92">
        <f t="shared" si="2"/>
        <v>5.6879305199999987E-2</v>
      </c>
      <c r="E92">
        <f t="shared" si="3"/>
        <v>52.566999999999993</v>
      </c>
    </row>
    <row r="93" spans="1:5" x14ac:dyDescent="0.35">
      <c r="A93" t="s">
        <v>15</v>
      </c>
      <c r="B93" s="3">
        <v>5</v>
      </c>
      <c r="C93">
        <v>50.4</v>
      </c>
      <c r="D93">
        <f t="shared" si="2"/>
        <v>3.7504588799999995E-2</v>
      </c>
      <c r="E93">
        <f t="shared" si="3"/>
        <v>39.795999999999999</v>
      </c>
    </row>
    <row r="94" spans="1:5" x14ac:dyDescent="0.35">
      <c r="A94" t="s">
        <v>129</v>
      </c>
      <c r="B94" s="3">
        <v>1</v>
      </c>
      <c r="C94">
        <v>62</v>
      </c>
      <c r="D94">
        <f t="shared" si="2"/>
        <v>5.4795920000000005E-2</v>
      </c>
      <c r="E94">
        <f t="shared" si="3"/>
        <v>51.28</v>
      </c>
    </row>
    <row r="95" spans="1:5" x14ac:dyDescent="0.35">
      <c r="A95" t="s">
        <v>129</v>
      </c>
      <c r="B95" s="3">
        <v>2</v>
      </c>
      <c r="C95">
        <v>67</v>
      </c>
      <c r="D95">
        <f t="shared" si="2"/>
        <v>6.2969520000000015E-2</v>
      </c>
      <c r="E95">
        <f t="shared" si="3"/>
        <v>56.23</v>
      </c>
    </row>
    <row r="96" spans="1:5" x14ac:dyDescent="0.35">
      <c r="A96" t="s">
        <v>129</v>
      </c>
      <c r="B96" s="3">
        <v>3</v>
      </c>
      <c r="C96">
        <v>69.599999999999994</v>
      </c>
      <c r="D96">
        <f t="shared" si="2"/>
        <v>6.7391308799999994E-2</v>
      </c>
      <c r="E96">
        <f t="shared" si="3"/>
        <v>58.803999999999995</v>
      </c>
    </row>
    <row r="97" spans="1:5" x14ac:dyDescent="0.35">
      <c r="A97" t="s">
        <v>129</v>
      </c>
      <c r="B97" s="3">
        <v>4</v>
      </c>
      <c r="C97">
        <v>64.5</v>
      </c>
      <c r="D97">
        <f t="shared" si="2"/>
        <v>5.8828470000000001E-2</v>
      </c>
      <c r="E97">
        <f t="shared" si="3"/>
        <v>53.754999999999995</v>
      </c>
    </row>
    <row r="98" spans="1:5" x14ac:dyDescent="0.35">
      <c r="A98" t="s">
        <v>129</v>
      </c>
      <c r="B98" s="3">
        <v>5</v>
      </c>
    </row>
    <row r="99" spans="1:5" x14ac:dyDescent="0.35">
      <c r="A99" t="s">
        <v>130</v>
      </c>
      <c r="B99" s="3">
        <v>1</v>
      </c>
      <c r="C99">
        <v>60.1</v>
      </c>
      <c r="D99">
        <f t="shared" si="2"/>
        <v>5.1803746800000001E-2</v>
      </c>
      <c r="E99">
        <f t="shared" si="3"/>
        <v>49.399000000000001</v>
      </c>
    </row>
    <row r="100" spans="1:5" x14ac:dyDescent="0.35">
      <c r="A100" t="s">
        <v>130</v>
      </c>
      <c r="B100" s="3">
        <v>2</v>
      </c>
      <c r="C100">
        <v>69.2</v>
      </c>
      <c r="D100">
        <f t="shared" si="2"/>
        <v>6.6703395200000001E-2</v>
      </c>
      <c r="E100">
        <f t="shared" si="3"/>
        <v>58.407999999999994</v>
      </c>
    </row>
    <row r="101" spans="1:5" x14ac:dyDescent="0.35">
      <c r="A101" t="s">
        <v>130</v>
      </c>
      <c r="B101" s="3">
        <v>3</v>
      </c>
      <c r="C101">
        <v>62</v>
      </c>
      <c r="D101">
        <f t="shared" si="2"/>
        <v>5.4795920000000005E-2</v>
      </c>
      <c r="E101">
        <f t="shared" si="3"/>
        <v>51.28</v>
      </c>
    </row>
    <row r="102" spans="1:5" x14ac:dyDescent="0.35">
      <c r="A102" t="s">
        <v>130</v>
      </c>
      <c r="B102" s="3">
        <v>4</v>
      </c>
      <c r="C102">
        <v>38.5</v>
      </c>
      <c r="D102">
        <f t="shared" si="2"/>
        <v>2.219343E-2</v>
      </c>
      <c r="E102">
        <f t="shared" si="3"/>
        <v>28.015000000000001</v>
      </c>
    </row>
    <row r="103" spans="1:5" x14ac:dyDescent="0.35">
      <c r="A103" t="s">
        <v>130</v>
      </c>
      <c r="B103" s="3">
        <v>5</v>
      </c>
      <c r="C103">
        <v>61.3</v>
      </c>
      <c r="D103">
        <f t="shared" si="2"/>
        <v>5.3686249199999987E-2</v>
      </c>
      <c r="E103">
        <f t="shared" si="3"/>
        <v>50.586999999999996</v>
      </c>
    </row>
    <row r="104" spans="1:5" x14ac:dyDescent="0.35">
      <c r="A104" t="s">
        <v>41</v>
      </c>
      <c r="B104" s="3">
        <v>1</v>
      </c>
      <c r="C104">
        <v>61.1</v>
      </c>
      <c r="D104">
        <f t="shared" si="2"/>
        <v>5.3370762800000006E-2</v>
      </c>
      <c r="E104">
        <f t="shared" si="3"/>
        <v>50.389000000000003</v>
      </c>
    </row>
    <row r="105" spans="1:5" x14ac:dyDescent="0.35">
      <c r="A105" t="s">
        <v>41</v>
      </c>
      <c r="B105" s="3">
        <v>2</v>
      </c>
      <c r="C105">
        <v>57.7</v>
      </c>
      <c r="D105">
        <f t="shared" si="2"/>
        <v>4.8113737200000006E-2</v>
      </c>
      <c r="E105">
        <f t="shared" si="3"/>
        <v>47.023000000000003</v>
      </c>
    </row>
    <row r="106" spans="1:5" x14ac:dyDescent="0.35">
      <c r="A106" t="s">
        <v>41</v>
      </c>
      <c r="B106" s="3">
        <v>3</v>
      </c>
      <c r="C106">
        <v>62.5</v>
      </c>
      <c r="D106">
        <f t="shared" si="2"/>
        <v>5.5593750000000004E-2</v>
      </c>
      <c r="E106">
        <f t="shared" si="3"/>
        <v>51.774999999999999</v>
      </c>
    </row>
    <row r="107" spans="1:5" x14ac:dyDescent="0.35">
      <c r="A107" t="s">
        <v>41</v>
      </c>
      <c r="B107" s="3">
        <v>4</v>
      </c>
      <c r="C107">
        <v>61</v>
      </c>
      <c r="D107">
        <f t="shared" si="2"/>
        <v>5.3213280000000009E-2</v>
      </c>
      <c r="E107">
        <f t="shared" si="3"/>
        <v>50.29</v>
      </c>
    </row>
    <row r="108" spans="1:5" x14ac:dyDescent="0.35">
      <c r="A108" t="s">
        <v>41</v>
      </c>
      <c r="B108" s="3">
        <v>5</v>
      </c>
      <c r="C108">
        <v>60</v>
      </c>
      <c r="D108">
        <f t="shared" si="2"/>
        <v>5.1647999999999999E-2</v>
      </c>
      <c r="E108">
        <f t="shared" si="3"/>
        <v>49.3</v>
      </c>
    </row>
    <row r="109" spans="1:5" x14ac:dyDescent="0.35">
      <c r="A109" t="s">
        <v>40</v>
      </c>
      <c r="B109" s="3">
        <v>1</v>
      </c>
      <c r="C109">
        <v>35.9</v>
      </c>
      <c r="D109">
        <f t="shared" si="2"/>
        <v>1.9175370800000001E-2</v>
      </c>
      <c r="E109">
        <f t="shared" si="3"/>
        <v>25.440999999999995</v>
      </c>
    </row>
    <row r="110" spans="1:5" x14ac:dyDescent="0.35">
      <c r="A110" t="s">
        <v>40</v>
      </c>
      <c r="B110" s="3">
        <v>2</v>
      </c>
      <c r="C110">
        <v>53.1</v>
      </c>
      <c r="D110">
        <f t="shared" si="2"/>
        <v>4.1320714799999998E-2</v>
      </c>
      <c r="E110">
        <f t="shared" si="3"/>
        <v>42.469000000000001</v>
      </c>
    </row>
    <row r="111" spans="1:5" x14ac:dyDescent="0.35">
      <c r="A111" t="s">
        <v>40</v>
      </c>
      <c r="B111" s="3">
        <v>3</v>
      </c>
      <c r="C111">
        <v>34.799999999999997</v>
      </c>
      <c r="D111">
        <f t="shared" si="2"/>
        <v>1.7933827199999995E-2</v>
      </c>
      <c r="E111">
        <f t="shared" si="3"/>
        <v>24.351999999999997</v>
      </c>
    </row>
    <row r="112" spans="1:5" x14ac:dyDescent="0.35">
      <c r="A112" t="s">
        <v>40</v>
      </c>
      <c r="B112" s="3">
        <v>4</v>
      </c>
      <c r="C112">
        <v>40.1</v>
      </c>
      <c r="D112">
        <f t="shared" si="2"/>
        <v>2.4109026800000002E-2</v>
      </c>
      <c r="E112">
        <f t="shared" si="3"/>
        <v>29.598999999999997</v>
      </c>
    </row>
    <row r="113" spans="1:5" x14ac:dyDescent="0.35">
      <c r="A113" t="s">
        <v>40</v>
      </c>
      <c r="B113" s="3">
        <v>5</v>
      </c>
      <c r="C113">
        <v>61</v>
      </c>
      <c r="D113">
        <f t="shared" si="2"/>
        <v>5.3213280000000009E-2</v>
      </c>
      <c r="E113">
        <f t="shared" si="3"/>
        <v>50.29</v>
      </c>
    </row>
    <row r="114" spans="1:5" x14ac:dyDescent="0.35">
      <c r="A114" t="s">
        <v>37</v>
      </c>
      <c r="B114" s="3">
        <v>1</v>
      </c>
      <c r="C114">
        <v>47.8</v>
      </c>
      <c r="D114">
        <f t="shared" si="2"/>
        <v>3.3949411199999995E-2</v>
      </c>
      <c r="E114">
        <f t="shared" si="3"/>
        <v>37.221999999999994</v>
      </c>
    </row>
    <row r="115" spans="1:5" x14ac:dyDescent="0.35">
      <c r="A115" t="s">
        <v>37</v>
      </c>
      <c r="B115" s="3">
        <v>2</v>
      </c>
      <c r="C115">
        <v>56</v>
      </c>
      <c r="D115">
        <f t="shared" si="2"/>
        <v>4.556048E-2</v>
      </c>
      <c r="E115">
        <f t="shared" si="3"/>
        <v>45.339999999999996</v>
      </c>
    </row>
    <row r="116" spans="1:5" x14ac:dyDescent="0.35">
      <c r="A116" t="s">
        <v>37</v>
      </c>
      <c r="B116" s="3">
        <v>3</v>
      </c>
      <c r="C116">
        <v>27.3</v>
      </c>
      <c r="D116">
        <f t="shared" si="2"/>
        <v>1.0028617200000001E-2</v>
      </c>
      <c r="E116">
        <f t="shared" si="3"/>
        <v>16.927</v>
      </c>
    </row>
    <row r="117" spans="1:5" x14ac:dyDescent="0.35">
      <c r="A117" t="s">
        <v>37</v>
      </c>
      <c r="B117" s="3">
        <v>4</v>
      </c>
      <c r="C117">
        <v>47.6</v>
      </c>
      <c r="D117">
        <f t="shared" si="2"/>
        <v>3.3680796800000003E-2</v>
      </c>
      <c r="E117">
        <f t="shared" si="3"/>
        <v>37.024000000000001</v>
      </c>
    </row>
    <row r="118" spans="1:5" x14ac:dyDescent="0.35">
      <c r="A118" t="s">
        <v>37</v>
      </c>
      <c r="B118" s="3">
        <v>5</v>
      </c>
    </row>
    <row r="119" spans="1:5" x14ac:dyDescent="0.35">
      <c r="A119" t="s">
        <v>36</v>
      </c>
      <c r="B119" s="3">
        <v>1</v>
      </c>
      <c r="C119">
        <v>50.9</v>
      </c>
      <c r="D119">
        <f t="shared" si="2"/>
        <v>3.8201730799999993E-2</v>
      </c>
      <c r="E119">
        <f t="shared" si="3"/>
        <v>40.290999999999997</v>
      </c>
    </row>
    <row r="120" spans="1:5" x14ac:dyDescent="0.35">
      <c r="A120" t="s">
        <v>36</v>
      </c>
      <c r="B120" s="3">
        <v>2</v>
      </c>
      <c r="C120">
        <v>67.5</v>
      </c>
      <c r="D120">
        <f t="shared" si="2"/>
        <v>6.3810750000000013E-2</v>
      </c>
      <c r="E120">
        <f t="shared" si="3"/>
        <v>56.725000000000001</v>
      </c>
    </row>
    <row r="121" spans="1:5" x14ac:dyDescent="0.35">
      <c r="A121" t="s">
        <v>36</v>
      </c>
      <c r="B121" s="3">
        <v>3</v>
      </c>
      <c r="C121">
        <v>50.2</v>
      </c>
      <c r="D121">
        <f t="shared" si="2"/>
        <v>3.7226947200000006E-2</v>
      </c>
      <c r="E121">
        <f t="shared" si="3"/>
        <v>39.597999999999999</v>
      </c>
    </row>
    <row r="122" spans="1:5" x14ac:dyDescent="0.35">
      <c r="A122" t="s">
        <v>36</v>
      </c>
      <c r="B122" s="3">
        <v>4</v>
      </c>
      <c r="C122">
        <v>62.2</v>
      </c>
      <c r="D122">
        <f t="shared" si="2"/>
        <v>5.5114531200000004E-2</v>
      </c>
      <c r="E122">
        <f t="shared" si="3"/>
        <v>51.478000000000002</v>
      </c>
    </row>
    <row r="123" spans="1:5" x14ac:dyDescent="0.35">
      <c r="A123" t="s">
        <v>36</v>
      </c>
      <c r="B123" s="3">
        <v>5</v>
      </c>
      <c r="C123">
        <v>51.1</v>
      </c>
      <c r="D123">
        <f t="shared" si="2"/>
        <v>3.8481802799999999E-2</v>
      </c>
      <c r="E123">
        <f t="shared" si="3"/>
        <v>40.488999999999997</v>
      </c>
    </row>
    <row r="124" spans="1:5" x14ac:dyDescent="0.35">
      <c r="A124" t="s">
        <v>29</v>
      </c>
      <c r="B124" s="3">
        <v>1</v>
      </c>
      <c r="C124">
        <v>56.5</v>
      </c>
      <c r="D124">
        <f t="shared" si="2"/>
        <v>4.6306229999999997E-2</v>
      </c>
      <c r="E124">
        <f t="shared" si="3"/>
        <v>45.835000000000001</v>
      </c>
    </row>
    <row r="125" spans="1:5" x14ac:dyDescent="0.35">
      <c r="A125" t="s">
        <v>29</v>
      </c>
      <c r="B125" s="3">
        <v>2</v>
      </c>
      <c r="C125">
        <v>35.5</v>
      </c>
      <c r="D125">
        <f t="shared" si="2"/>
        <v>1.8721469999999997E-2</v>
      </c>
      <c r="E125">
        <f t="shared" si="3"/>
        <v>25.045000000000002</v>
      </c>
    </row>
    <row r="126" spans="1:5" x14ac:dyDescent="0.35">
      <c r="A126" t="s">
        <v>29</v>
      </c>
      <c r="B126" s="3">
        <v>3</v>
      </c>
      <c r="C126">
        <v>45.1</v>
      </c>
      <c r="D126">
        <f t="shared" si="2"/>
        <v>3.0381706800000005E-2</v>
      </c>
      <c r="E126">
        <f t="shared" si="3"/>
        <v>34.548999999999999</v>
      </c>
    </row>
    <row r="127" spans="1:5" x14ac:dyDescent="0.35">
      <c r="A127" t="s">
        <v>29</v>
      </c>
      <c r="B127" s="3">
        <v>4</v>
      </c>
      <c r="C127">
        <v>46</v>
      </c>
      <c r="D127">
        <f t="shared" si="2"/>
        <v>3.1556880000000002E-2</v>
      </c>
      <c r="E127">
        <f t="shared" si="3"/>
        <v>35.44</v>
      </c>
    </row>
    <row r="128" spans="1:5" x14ac:dyDescent="0.35">
      <c r="A128" t="s">
        <v>29</v>
      </c>
      <c r="B128" s="3">
        <v>5</v>
      </c>
      <c r="C128">
        <v>53</v>
      </c>
      <c r="D128">
        <f t="shared" si="2"/>
        <v>4.1177120000000005E-2</v>
      </c>
      <c r="E128">
        <f t="shared" si="3"/>
        <v>42.37</v>
      </c>
    </row>
    <row r="129" spans="1:5" x14ac:dyDescent="0.35">
      <c r="A129" t="s">
        <v>28</v>
      </c>
      <c r="B129" s="3">
        <v>1</v>
      </c>
      <c r="C129">
        <v>57.6</v>
      </c>
      <c r="D129">
        <f t="shared" si="2"/>
        <v>4.7962156800000003E-2</v>
      </c>
      <c r="E129">
        <f t="shared" si="3"/>
        <v>46.923999999999999</v>
      </c>
    </row>
    <row r="130" spans="1:5" x14ac:dyDescent="0.35">
      <c r="A130" t="s">
        <v>28</v>
      </c>
      <c r="B130" s="3">
        <v>2</v>
      </c>
      <c r="C130">
        <v>66.5</v>
      </c>
      <c r="D130">
        <f t="shared" si="2"/>
        <v>6.2132630000000001E-2</v>
      </c>
      <c r="E130">
        <f t="shared" si="3"/>
        <v>55.734999999999992</v>
      </c>
    </row>
    <row r="131" spans="1:5" x14ac:dyDescent="0.35">
      <c r="A131" t="s">
        <v>28</v>
      </c>
      <c r="B131" s="3">
        <v>3</v>
      </c>
      <c r="C131">
        <v>48.5</v>
      </c>
      <c r="D131">
        <f t="shared" si="2"/>
        <v>3.489503E-2</v>
      </c>
      <c r="E131">
        <f t="shared" si="3"/>
        <v>37.914999999999999</v>
      </c>
    </row>
    <row r="132" spans="1:5" x14ac:dyDescent="0.35">
      <c r="A132" t="s">
        <v>28</v>
      </c>
      <c r="B132" s="3">
        <v>4</v>
      </c>
      <c r="C132">
        <v>61.9</v>
      </c>
      <c r="D132">
        <f t="shared" si="2"/>
        <v>5.4636874799999992E-2</v>
      </c>
      <c r="E132">
        <f t="shared" si="3"/>
        <v>51.180999999999997</v>
      </c>
    </row>
    <row r="133" spans="1:5" x14ac:dyDescent="0.35">
      <c r="A133" t="s">
        <v>28</v>
      </c>
      <c r="B133" s="3">
        <v>5</v>
      </c>
      <c r="C133">
        <v>63.2</v>
      </c>
      <c r="D133">
        <f t="shared" ref="D133:D196" si="4">8.68*10^-6*C133^2+5.15*10^-4*C133-1.05*10^-2</f>
        <v>5.6718003200000013E-2</v>
      </c>
      <c r="E133">
        <f t="shared" ref="E133:E196" si="5">0.99*C133-10.1</f>
        <v>52.468000000000004</v>
      </c>
    </row>
    <row r="134" spans="1:5" x14ac:dyDescent="0.35">
      <c r="A134" t="s">
        <v>133</v>
      </c>
      <c r="B134" s="3">
        <v>1</v>
      </c>
      <c r="C134">
        <v>57.1</v>
      </c>
      <c r="D134">
        <f t="shared" si="4"/>
        <v>4.7206858800000001E-2</v>
      </c>
      <c r="E134">
        <f t="shared" si="5"/>
        <v>46.429000000000002</v>
      </c>
    </row>
    <row r="135" spans="1:5" x14ac:dyDescent="0.35">
      <c r="A135" t="s">
        <v>133</v>
      </c>
      <c r="B135" s="3">
        <v>2</v>
      </c>
      <c r="C135">
        <v>55.3</v>
      </c>
      <c r="D135">
        <f t="shared" si="4"/>
        <v>4.4523721199999998E-2</v>
      </c>
      <c r="E135">
        <f t="shared" si="5"/>
        <v>44.646999999999998</v>
      </c>
    </row>
    <row r="136" spans="1:5" x14ac:dyDescent="0.35">
      <c r="A136" t="s">
        <v>133</v>
      </c>
      <c r="B136" s="3">
        <v>3</v>
      </c>
      <c r="C136">
        <v>68.7</v>
      </c>
      <c r="D136">
        <f t="shared" si="4"/>
        <v>6.5847409200000012E-2</v>
      </c>
      <c r="E136">
        <f t="shared" si="5"/>
        <v>57.913000000000004</v>
      </c>
    </row>
    <row r="137" spans="1:5" x14ac:dyDescent="0.35">
      <c r="A137" t="s">
        <v>133</v>
      </c>
      <c r="B137" s="3">
        <v>4</v>
      </c>
      <c r="C137">
        <v>61.4</v>
      </c>
      <c r="D137">
        <f t="shared" si="4"/>
        <v>5.3844252799999999E-2</v>
      </c>
      <c r="E137">
        <f t="shared" si="5"/>
        <v>50.686</v>
      </c>
    </row>
    <row r="138" spans="1:5" x14ac:dyDescent="0.35">
      <c r="A138" t="s">
        <v>133</v>
      </c>
      <c r="B138" s="3">
        <v>5</v>
      </c>
      <c r="C138">
        <v>67.2</v>
      </c>
      <c r="D138">
        <f t="shared" si="4"/>
        <v>6.3305491200000022E-2</v>
      </c>
      <c r="E138">
        <f t="shared" si="5"/>
        <v>56.428000000000004</v>
      </c>
    </row>
    <row r="139" spans="1:5" x14ac:dyDescent="0.35">
      <c r="A139" t="s">
        <v>134</v>
      </c>
      <c r="B139" s="3">
        <v>1</v>
      </c>
      <c r="C139">
        <v>69.7</v>
      </c>
      <c r="D139">
        <f t="shared" si="4"/>
        <v>6.756372120000001E-2</v>
      </c>
      <c r="E139">
        <f t="shared" si="5"/>
        <v>58.902999999999999</v>
      </c>
    </row>
    <row r="140" spans="1:5" x14ac:dyDescent="0.35">
      <c r="A140" t="s">
        <v>134</v>
      </c>
      <c r="B140" s="3">
        <v>2</v>
      </c>
      <c r="C140">
        <v>64.599999999999994</v>
      </c>
      <c r="D140">
        <f t="shared" si="4"/>
        <v>5.8992028799999992E-2</v>
      </c>
      <c r="E140">
        <f t="shared" si="5"/>
        <v>53.853999999999992</v>
      </c>
    </row>
    <row r="141" spans="1:5" x14ac:dyDescent="0.35">
      <c r="A141" t="s">
        <v>134</v>
      </c>
      <c r="B141" s="3">
        <v>3</v>
      </c>
      <c r="C141">
        <v>61.6</v>
      </c>
      <c r="D141">
        <f t="shared" si="4"/>
        <v>5.4160780800000009E-2</v>
      </c>
      <c r="E141">
        <f t="shared" si="5"/>
        <v>50.884</v>
      </c>
    </row>
    <row r="142" spans="1:5" x14ac:dyDescent="0.35">
      <c r="A142" t="s">
        <v>134</v>
      </c>
      <c r="B142" s="3">
        <v>4</v>
      </c>
      <c r="C142">
        <v>68.3</v>
      </c>
      <c r="D142">
        <f t="shared" si="4"/>
        <v>6.51657452E-2</v>
      </c>
      <c r="E142">
        <f t="shared" si="5"/>
        <v>57.516999999999989</v>
      </c>
    </row>
    <row r="143" spans="1:5" x14ac:dyDescent="0.35">
      <c r="A143" t="s">
        <v>134</v>
      </c>
      <c r="B143" s="3">
        <v>5</v>
      </c>
      <c r="C143">
        <v>65.5</v>
      </c>
      <c r="D143">
        <f t="shared" si="4"/>
        <v>6.0471870000000004E-2</v>
      </c>
      <c r="E143">
        <f t="shared" si="5"/>
        <v>54.744999999999997</v>
      </c>
    </row>
    <row r="144" spans="1:5" x14ac:dyDescent="0.35">
      <c r="A144" t="s">
        <v>131</v>
      </c>
      <c r="B144" s="3">
        <v>1</v>
      </c>
      <c r="C144">
        <v>65.5</v>
      </c>
      <c r="D144">
        <f t="shared" si="4"/>
        <v>6.0471870000000004E-2</v>
      </c>
      <c r="E144">
        <f t="shared" si="5"/>
        <v>54.744999999999997</v>
      </c>
    </row>
    <row r="145" spans="1:5" x14ac:dyDescent="0.35">
      <c r="A145" t="s">
        <v>131</v>
      </c>
      <c r="B145" s="3">
        <v>2</v>
      </c>
      <c r="C145">
        <v>66.099999999999994</v>
      </c>
      <c r="D145">
        <f t="shared" si="4"/>
        <v>6.1466242799999994E-2</v>
      </c>
      <c r="E145">
        <f t="shared" si="5"/>
        <v>55.338999999999992</v>
      </c>
    </row>
    <row r="146" spans="1:5" x14ac:dyDescent="0.35">
      <c r="A146" t="s">
        <v>131</v>
      </c>
      <c r="B146" s="3">
        <v>3</v>
      </c>
      <c r="C146">
        <v>67.2</v>
      </c>
      <c r="D146">
        <f t="shared" si="4"/>
        <v>6.3305491200000022E-2</v>
      </c>
      <c r="E146">
        <f t="shared" si="5"/>
        <v>56.428000000000004</v>
      </c>
    </row>
    <row r="147" spans="1:5" x14ac:dyDescent="0.35">
      <c r="A147" t="s">
        <v>131</v>
      </c>
      <c r="B147" s="3">
        <v>4</v>
      </c>
      <c r="C147">
        <v>57.9</v>
      </c>
      <c r="D147">
        <f t="shared" si="4"/>
        <v>4.8417418799999994E-2</v>
      </c>
      <c r="E147">
        <f t="shared" si="5"/>
        <v>47.220999999999997</v>
      </c>
    </row>
    <row r="148" spans="1:5" x14ac:dyDescent="0.35">
      <c r="A148" t="s">
        <v>131</v>
      </c>
      <c r="B148" s="3">
        <v>5</v>
      </c>
      <c r="C148">
        <v>67.099999999999994</v>
      </c>
      <c r="D148">
        <f t="shared" si="4"/>
        <v>6.3137418799999998E-2</v>
      </c>
      <c r="E148">
        <f t="shared" si="5"/>
        <v>56.328999999999986</v>
      </c>
    </row>
    <row r="149" spans="1:5" x14ac:dyDescent="0.35">
      <c r="A149" t="s">
        <v>132</v>
      </c>
      <c r="B149" s="3">
        <v>1</v>
      </c>
      <c r="C149">
        <v>64</v>
      </c>
      <c r="D149">
        <f t="shared" si="4"/>
        <v>5.8013280000000007E-2</v>
      </c>
      <c r="E149">
        <f t="shared" si="5"/>
        <v>53.26</v>
      </c>
    </row>
    <row r="150" spans="1:5" x14ac:dyDescent="0.35">
      <c r="A150" t="s">
        <v>132</v>
      </c>
      <c r="B150" s="3">
        <v>2</v>
      </c>
      <c r="C150">
        <v>62.3</v>
      </c>
      <c r="D150">
        <f t="shared" si="4"/>
        <v>5.527409719999999E-2</v>
      </c>
      <c r="E150">
        <f t="shared" si="5"/>
        <v>51.576999999999998</v>
      </c>
    </row>
    <row r="151" spans="1:5" x14ac:dyDescent="0.35">
      <c r="A151" t="s">
        <v>132</v>
      </c>
      <c r="B151" s="3">
        <v>3</v>
      </c>
      <c r="C151">
        <v>53.8</v>
      </c>
      <c r="D151">
        <f t="shared" si="4"/>
        <v>4.2330739199999995E-2</v>
      </c>
      <c r="E151">
        <f t="shared" si="5"/>
        <v>43.161999999999992</v>
      </c>
    </row>
    <row r="152" spans="1:5" x14ac:dyDescent="0.35">
      <c r="A152" t="s">
        <v>132</v>
      </c>
      <c r="B152" s="3">
        <v>4</v>
      </c>
      <c r="C152">
        <v>63</v>
      </c>
      <c r="D152">
        <f t="shared" si="4"/>
        <v>5.6395919999999995E-2</v>
      </c>
      <c r="E152">
        <f t="shared" si="5"/>
        <v>52.269999999999996</v>
      </c>
    </row>
    <row r="153" spans="1:5" x14ac:dyDescent="0.35">
      <c r="A153" t="s">
        <v>132</v>
      </c>
      <c r="B153" s="3">
        <v>5</v>
      </c>
      <c r="C153">
        <v>64.099999999999994</v>
      </c>
      <c r="D153">
        <f t="shared" si="4"/>
        <v>5.8175970799999983E-2</v>
      </c>
      <c r="E153">
        <f t="shared" si="5"/>
        <v>53.358999999999995</v>
      </c>
    </row>
    <row r="154" spans="1:5" x14ac:dyDescent="0.35">
      <c r="A154" t="s">
        <v>57</v>
      </c>
      <c r="B154" s="3">
        <v>1</v>
      </c>
      <c r="C154">
        <v>57.3</v>
      </c>
      <c r="D154">
        <f t="shared" si="4"/>
        <v>4.7508457199999993E-2</v>
      </c>
      <c r="E154">
        <f t="shared" si="5"/>
        <v>46.626999999999995</v>
      </c>
    </row>
    <row r="155" spans="1:5" x14ac:dyDescent="0.35">
      <c r="A155" t="s">
        <v>57</v>
      </c>
      <c r="B155" s="3">
        <v>2</v>
      </c>
      <c r="C155">
        <v>63.3</v>
      </c>
      <c r="D155">
        <f t="shared" si="4"/>
        <v>5.6879305199999987E-2</v>
      </c>
      <c r="E155">
        <f t="shared" si="5"/>
        <v>52.566999999999993</v>
      </c>
    </row>
    <row r="156" spans="1:5" x14ac:dyDescent="0.35">
      <c r="A156" t="s">
        <v>57</v>
      </c>
      <c r="B156" s="3">
        <v>3</v>
      </c>
      <c r="C156">
        <v>46.6</v>
      </c>
      <c r="D156">
        <f t="shared" si="4"/>
        <v>3.2348140800000001E-2</v>
      </c>
      <c r="E156">
        <f t="shared" si="5"/>
        <v>36.033999999999999</v>
      </c>
    </row>
    <row r="157" spans="1:5" x14ac:dyDescent="0.35">
      <c r="A157" t="s">
        <v>57</v>
      </c>
      <c r="B157" s="3">
        <v>4</v>
      </c>
      <c r="C157">
        <v>58</v>
      </c>
      <c r="D157">
        <f t="shared" si="4"/>
        <v>4.8569519999999998E-2</v>
      </c>
      <c r="E157">
        <f t="shared" si="5"/>
        <v>47.32</v>
      </c>
    </row>
    <row r="158" spans="1:5" x14ac:dyDescent="0.35">
      <c r="A158" t="s">
        <v>57</v>
      </c>
      <c r="B158" s="3">
        <v>5</v>
      </c>
      <c r="C158">
        <v>62.4</v>
      </c>
      <c r="D158">
        <f t="shared" si="4"/>
        <v>5.5433836800000004E-2</v>
      </c>
      <c r="E158">
        <f t="shared" si="5"/>
        <v>51.675999999999995</v>
      </c>
    </row>
    <row r="159" spans="1:5" x14ac:dyDescent="0.35">
      <c r="A159" t="s">
        <v>56</v>
      </c>
      <c r="B159" s="3">
        <v>1</v>
      </c>
      <c r="C159">
        <v>61.7</v>
      </c>
      <c r="D159">
        <f t="shared" si="4"/>
        <v>5.4319305200000008E-2</v>
      </c>
      <c r="E159">
        <f t="shared" si="5"/>
        <v>50.983000000000004</v>
      </c>
    </row>
    <row r="160" spans="1:5" x14ac:dyDescent="0.35">
      <c r="A160" t="s">
        <v>56</v>
      </c>
      <c r="B160" s="3">
        <v>2</v>
      </c>
      <c r="C160">
        <v>57.3</v>
      </c>
      <c r="D160">
        <f t="shared" si="4"/>
        <v>4.7508457199999993E-2</v>
      </c>
      <c r="E160">
        <f t="shared" si="5"/>
        <v>46.626999999999995</v>
      </c>
    </row>
    <row r="161" spans="1:5" x14ac:dyDescent="0.35">
      <c r="A161" t="s">
        <v>56</v>
      </c>
      <c r="B161" s="3">
        <v>3</v>
      </c>
    </row>
    <row r="162" spans="1:5" x14ac:dyDescent="0.35">
      <c r="A162" t="s">
        <v>56</v>
      </c>
      <c r="B162" s="3">
        <v>4</v>
      </c>
    </row>
    <row r="163" spans="1:5" x14ac:dyDescent="0.35">
      <c r="A163" t="s">
        <v>56</v>
      </c>
      <c r="B163" s="3">
        <v>5</v>
      </c>
      <c r="C163">
        <v>68.8</v>
      </c>
      <c r="D163">
        <f t="shared" si="4"/>
        <v>6.6018259199999998E-2</v>
      </c>
      <c r="E163">
        <f t="shared" si="5"/>
        <v>58.011999999999993</v>
      </c>
    </row>
    <row r="164" spans="1:5" x14ac:dyDescent="0.35">
      <c r="A164" t="s">
        <v>18</v>
      </c>
      <c r="B164" s="3">
        <v>1</v>
      </c>
      <c r="C164">
        <v>58.3</v>
      </c>
      <c r="D164">
        <f t="shared" si="4"/>
        <v>4.9026865199999999E-2</v>
      </c>
      <c r="E164">
        <f t="shared" si="5"/>
        <v>47.616999999999997</v>
      </c>
    </row>
    <row r="165" spans="1:5" x14ac:dyDescent="0.35">
      <c r="A165" t="s">
        <v>18</v>
      </c>
      <c r="B165" s="3">
        <v>2</v>
      </c>
      <c r="C165">
        <v>54.2</v>
      </c>
      <c r="D165">
        <f t="shared" si="4"/>
        <v>4.2911715199999999E-2</v>
      </c>
      <c r="E165">
        <f t="shared" si="5"/>
        <v>43.558</v>
      </c>
    </row>
    <row r="166" spans="1:5" x14ac:dyDescent="0.35">
      <c r="A166" t="s">
        <v>18</v>
      </c>
      <c r="B166" s="3">
        <v>3</v>
      </c>
      <c r="C166">
        <v>54.1</v>
      </c>
      <c r="D166">
        <f t="shared" si="4"/>
        <v>4.2766210800000003E-2</v>
      </c>
      <c r="E166">
        <f t="shared" si="5"/>
        <v>43.458999999999996</v>
      </c>
    </row>
    <row r="167" spans="1:5" x14ac:dyDescent="0.35">
      <c r="A167" t="s">
        <v>18</v>
      </c>
      <c r="B167" s="3">
        <v>4</v>
      </c>
      <c r="C167">
        <v>56.8</v>
      </c>
      <c r="D167">
        <f t="shared" si="4"/>
        <v>4.6755763199999995E-2</v>
      </c>
      <c r="E167">
        <f t="shared" si="5"/>
        <v>46.131999999999998</v>
      </c>
    </row>
    <row r="168" spans="1:5" x14ac:dyDescent="0.35">
      <c r="A168" t="s">
        <v>18</v>
      </c>
      <c r="B168" s="3">
        <v>5</v>
      </c>
      <c r="C168">
        <v>51.2</v>
      </c>
      <c r="D168">
        <f t="shared" si="4"/>
        <v>3.8622099200000003E-2</v>
      </c>
      <c r="E168">
        <f t="shared" si="5"/>
        <v>40.588000000000001</v>
      </c>
    </row>
    <row r="169" spans="1:5" x14ac:dyDescent="0.35">
      <c r="A169" t="s">
        <v>19</v>
      </c>
      <c r="B169" s="3">
        <v>1</v>
      </c>
      <c r="C169">
        <v>51</v>
      </c>
      <c r="D169">
        <f t="shared" si="4"/>
        <v>3.8341679999999996E-2</v>
      </c>
      <c r="E169">
        <f t="shared" si="5"/>
        <v>40.39</v>
      </c>
    </row>
    <row r="170" spans="1:5" x14ac:dyDescent="0.35">
      <c r="A170" t="s">
        <v>19</v>
      </c>
      <c r="B170" s="3">
        <v>2</v>
      </c>
      <c r="C170">
        <v>57.7</v>
      </c>
      <c r="D170">
        <f t="shared" si="4"/>
        <v>4.8113737200000006E-2</v>
      </c>
      <c r="E170">
        <f t="shared" si="5"/>
        <v>47.023000000000003</v>
      </c>
    </row>
    <row r="171" spans="1:5" x14ac:dyDescent="0.35">
      <c r="A171" t="s">
        <v>19</v>
      </c>
      <c r="B171" s="3">
        <v>3</v>
      </c>
      <c r="C171">
        <v>62</v>
      </c>
      <c r="D171">
        <f t="shared" si="4"/>
        <v>5.4795920000000005E-2</v>
      </c>
      <c r="E171">
        <f t="shared" si="5"/>
        <v>51.28</v>
      </c>
    </row>
    <row r="172" spans="1:5" x14ac:dyDescent="0.35">
      <c r="A172" t="s">
        <v>19</v>
      </c>
      <c r="B172" s="3">
        <v>4</v>
      </c>
      <c r="C172">
        <v>55.9</v>
      </c>
      <c r="D172">
        <f t="shared" si="4"/>
        <v>4.5411850799999993E-2</v>
      </c>
      <c r="E172">
        <f t="shared" si="5"/>
        <v>45.241</v>
      </c>
    </row>
    <row r="173" spans="1:5" x14ac:dyDescent="0.35">
      <c r="A173" t="s">
        <v>19</v>
      </c>
      <c r="B173" s="3">
        <v>5</v>
      </c>
      <c r="C173">
        <v>59.4</v>
      </c>
      <c r="D173">
        <f t="shared" si="4"/>
        <v>5.0717164799999999E-2</v>
      </c>
      <c r="E173">
        <f t="shared" si="5"/>
        <v>48.705999999999996</v>
      </c>
    </row>
    <row r="174" spans="1:5" x14ac:dyDescent="0.35">
      <c r="A174" t="s">
        <v>16</v>
      </c>
      <c r="B174" s="3">
        <v>1</v>
      </c>
      <c r="C174">
        <v>55.9</v>
      </c>
      <c r="D174">
        <f t="shared" si="4"/>
        <v>4.5411850799999993E-2</v>
      </c>
      <c r="E174">
        <f t="shared" si="5"/>
        <v>45.241</v>
      </c>
    </row>
    <row r="175" spans="1:5" x14ac:dyDescent="0.35">
      <c r="A175" t="s">
        <v>16</v>
      </c>
      <c r="B175" s="3">
        <v>2</v>
      </c>
      <c r="C175">
        <v>51.5</v>
      </c>
      <c r="D175">
        <f t="shared" si="4"/>
        <v>3.904403E-2</v>
      </c>
      <c r="E175">
        <f t="shared" si="5"/>
        <v>40.884999999999998</v>
      </c>
    </row>
    <row r="176" spans="1:5" x14ac:dyDescent="0.35">
      <c r="A176" t="s">
        <v>16</v>
      </c>
      <c r="B176" s="3">
        <v>3</v>
      </c>
      <c r="C176">
        <v>58.6</v>
      </c>
      <c r="D176">
        <f t="shared" si="4"/>
        <v>4.9485772800000001E-2</v>
      </c>
      <c r="E176">
        <f t="shared" si="5"/>
        <v>47.914000000000001</v>
      </c>
    </row>
    <row r="177" spans="1:5" x14ac:dyDescent="0.35">
      <c r="A177" t="s">
        <v>16</v>
      </c>
      <c r="B177" s="3">
        <v>4</v>
      </c>
      <c r="C177">
        <v>59.1</v>
      </c>
      <c r="D177">
        <f t="shared" si="4"/>
        <v>5.0254090800000005E-2</v>
      </c>
      <c r="E177">
        <f t="shared" si="5"/>
        <v>48.408999999999999</v>
      </c>
    </row>
    <row r="178" spans="1:5" x14ac:dyDescent="0.35">
      <c r="A178" t="s">
        <v>16</v>
      </c>
      <c r="B178" s="3">
        <v>5</v>
      </c>
      <c r="C178">
        <v>64.8</v>
      </c>
      <c r="D178">
        <f t="shared" si="4"/>
        <v>5.9319667199999988E-2</v>
      </c>
      <c r="E178">
        <f t="shared" si="5"/>
        <v>54.052</v>
      </c>
    </row>
    <row r="179" spans="1:5" x14ac:dyDescent="0.35">
      <c r="A179" t="s">
        <v>17</v>
      </c>
      <c r="B179" s="3">
        <v>1</v>
      </c>
      <c r="C179">
        <v>65.400000000000006</v>
      </c>
      <c r="D179">
        <f t="shared" si="4"/>
        <v>6.0306748800000011E-2</v>
      </c>
      <c r="E179">
        <f t="shared" si="5"/>
        <v>54.646000000000008</v>
      </c>
    </row>
    <row r="180" spans="1:5" x14ac:dyDescent="0.35">
      <c r="A180" t="s">
        <v>17</v>
      </c>
      <c r="B180" s="3">
        <v>2</v>
      </c>
      <c r="C180">
        <v>59.2</v>
      </c>
      <c r="D180">
        <f t="shared" si="4"/>
        <v>5.0408275200000005E-2</v>
      </c>
      <c r="E180">
        <f t="shared" si="5"/>
        <v>48.508000000000003</v>
      </c>
    </row>
    <row r="181" spans="1:5" x14ac:dyDescent="0.35">
      <c r="A181" t="s">
        <v>17</v>
      </c>
      <c r="B181" s="3">
        <v>3</v>
      </c>
      <c r="C181">
        <v>52.8</v>
      </c>
      <c r="D181">
        <f t="shared" si="4"/>
        <v>4.0890451199999997E-2</v>
      </c>
      <c r="E181">
        <f t="shared" si="5"/>
        <v>42.171999999999997</v>
      </c>
    </row>
    <row r="182" spans="1:5" x14ac:dyDescent="0.35">
      <c r="A182" t="s">
        <v>17</v>
      </c>
      <c r="B182" s="3">
        <v>4</v>
      </c>
      <c r="C182">
        <v>58</v>
      </c>
      <c r="D182">
        <f t="shared" si="4"/>
        <v>4.8569519999999998E-2</v>
      </c>
      <c r="E182">
        <f t="shared" si="5"/>
        <v>47.32</v>
      </c>
    </row>
    <row r="183" spans="1:5" x14ac:dyDescent="0.35">
      <c r="A183" t="s">
        <v>17</v>
      </c>
      <c r="B183" s="3">
        <v>5</v>
      </c>
      <c r="C183">
        <v>56.1</v>
      </c>
      <c r="D183">
        <f t="shared" si="4"/>
        <v>4.5709282800000001E-2</v>
      </c>
      <c r="E183">
        <f t="shared" si="5"/>
        <v>45.439</v>
      </c>
    </row>
    <row r="184" spans="1:5" x14ac:dyDescent="0.35">
      <c r="A184" t="s">
        <v>43</v>
      </c>
      <c r="B184" s="3">
        <v>1</v>
      </c>
      <c r="C184">
        <v>37.1</v>
      </c>
      <c r="D184">
        <f t="shared" si="4"/>
        <v>2.0553738799999999E-2</v>
      </c>
      <c r="E184">
        <f t="shared" si="5"/>
        <v>26.628999999999998</v>
      </c>
    </row>
    <row r="185" spans="1:5" x14ac:dyDescent="0.35">
      <c r="A185" t="s">
        <v>43</v>
      </c>
      <c r="B185" s="3">
        <v>2</v>
      </c>
      <c r="C185">
        <v>62.7</v>
      </c>
      <c r="D185">
        <f t="shared" si="4"/>
        <v>5.5914097200000006E-2</v>
      </c>
      <c r="E185">
        <f t="shared" si="5"/>
        <v>51.972999999999999</v>
      </c>
    </row>
    <row r="186" spans="1:5" x14ac:dyDescent="0.35">
      <c r="A186" t="s">
        <v>43</v>
      </c>
      <c r="B186" s="3">
        <v>3</v>
      </c>
      <c r="C186">
        <v>50.7</v>
      </c>
      <c r="D186">
        <f t="shared" si="4"/>
        <v>3.7922353200000002E-2</v>
      </c>
      <c r="E186">
        <f t="shared" si="5"/>
        <v>40.093000000000004</v>
      </c>
    </row>
    <row r="187" spans="1:5" x14ac:dyDescent="0.35">
      <c r="A187" t="s">
        <v>43</v>
      </c>
      <c r="B187" s="3">
        <v>4</v>
      </c>
      <c r="C187">
        <v>47</v>
      </c>
      <c r="D187">
        <f t="shared" si="4"/>
        <v>3.2879119999999998E-2</v>
      </c>
      <c r="E187">
        <f t="shared" si="5"/>
        <v>36.43</v>
      </c>
    </row>
    <row r="188" spans="1:5" x14ac:dyDescent="0.35">
      <c r="A188" t="s">
        <v>43</v>
      </c>
      <c r="B188" s="3">
        <v>5</v>
      </c>
      <c r="C188">
        <v>39.5</v>
      </c>
      <c r="D188">
        <f t="shared" si="4"/>
        <v>2.3385469999999998E-2</v>
      </c>
      <c r="E188">
        <f t="shared" si="5"/>
        <v>29.004999999999995</v>
      </c>
    </row>
    <row r="189" spans="1:5" x14ac:dyDescent="0.35">
      <c r="A189" t="s">
        <v>42</v>
      </c>
      <c r="B189" s="3">
        <v>1</v>
      </c>
      <c r="C189">
        <v>48.7</v>
      </c>
      <c r="D189">
        <f t="shared" si="4"/>
        <v>3.5166769200000003E-2</v>
      </c>
      <c r="E189">
        <f t="shared" si="5"/>
        <v>38.113</v>
      </c>
    </row>
    <row r="190" spans="1:5" x14ac:dyDescent="0.35">
      <c r="A190" t="s">
        <v>42</v>
      </c>
      <c r="B190" s="3">
        <v>2</v>
      </c>
      <c r="C190">
        <v>52.8</v>
      </c>
      <c r="D190">
        <f t="shared" si="4"/>
        <v>4.0890451199999997E-2</v>
      </c>
      <c r="E190">
        <f t="shared" si="5"/>
        <v>42.171999999999997</v>
      </c>
    </row>
    <row r="191" spans="1:5" x14ac:dyDescent="0.35">
      <c r="A191" t="s">
        <v>42</v>
      </c>
      <c r="B191" s="3">
        <v>3</v>
      </c>
      <c r="C191">
        <v>49.8</v>
      </c>
      <c r="D191">
        <f t="shared" si="4"/>
        <v>3.6673747199999988E-2</v>
      </c>
      <c r="E191">
        <f t="shared" si="5"/>
        <v>39.201999999999998</v>
      </c>
    </row>
    <row r="192" spans="1:5" x14ac:dyDescent="0.35">
      <c r="A192" t="s">
        <v>42</v>
      </c>
      <c r="B192" s="3">
        <v>4</v>
      </c>
      <c r="C192">
        <v>37.5</v>
      </c>
      <c r="D192">
        <f t="shared" si="4"/>
        <v>2.1018750000000003E-2</v>
      </c>
      <c r="E192">
        <f t="shared" si="5"/>
        <v>27.024999999999999</v>
      </c>
    </row>
    <row r="193" spans="1:5" x14ac:dyDescent="0.35">
      <c r="A193" t="s">
        <v>42</v>
      </c>
      <c r="B193" s="3">
        <v>5</v>
      </c>
      <c r="C193">
        <v>59.6</v>
      </c>
      <c r="D193">
        <f t="shared" si="4"/>
        <v>5.1026748800000001E-2</v>
      </c>
      <c r="E193">
        <f t="shared" si="5"/>
        <v>48.903999999999996</v>
      </c>
    </row>
    <row r="194" spans="1:5" x14ac:dyDescent="0.35">
      <c r="A194" t="s">
        <v>61</v>
      </c>
      <c r="B194" s="3">
        <v>1</v>
      </c>
      <c r="C194">
        <v>64.3</v>
      </c>
      <c r="D194">
        <f t="shared" si="4"/>
        <v>5.8501873200000006E-2</v>
      </c>
      <c r="E194">
        <f t="shared" si="5"/>
        <v>53.556999999999995</v>
      </c>
    </row>
    <row r="195" spans="1:5" x14ac:dyDescent="0.35">
      <c r="A195" t="s">
        <v>61</v>
      </c>
      <c r="B195" s="3">
        <v>2</v>
      </c>
      <c r="C195">
        <v>64.099999999999994</v>
      </c>
      <c r="D195">
        <f t="shared" si="4"/>
        <v>5.8175970799999983E-2</v>
      </c>
      <c r="E195">
        <f t="shared" si="5"/>
        <v>53.358999999999995</v>
      </c>
    </row>
    <row r="196" spans="1:5" x14ac:dyDescent="0.35">
      <c r="A196" t="s">
        <v>61</v>
      </c>
      <c r="B196" s="3">
        <v>3</v>
      </c>
      <c r="C196">
        <v>52.7</v>
      </c>
      <c r="D196">
        <f t="shared" si="4"/>
        <v>4.0747377200000011E-2</v>
      </c>
      <c r="E196">
        <f t="shared" si="5"/>
        <v>42.073</v>
      </c>
    </row>
    <row r="197" spans="1:5" x14ac:dyDescent="0.35">
      <c r="A197" t="s">
        <v>61</v>
      </c>
      <c r="B197" s="3">
        <v>4</v>
      </c>
      <c r="C197">
        <v>57.9</v>
      </c>
      <c r="D197">
        <f t="shared" ref="D197:D203" si="6">8.68*10^-6*C197^2+5.15*10^-4*C197-1.05*10^-2</f>
        <v>4.8417418799999994E-2</v>
      </c>
      <c r="E197">
        <f t="shared" ref="E197:E203" si="7">0.99*C197-10.1</f>
        <v>47.220999999999997</v>
      </c>
    </row>
    <row r="198" spans="1:5" x14ac:dyDescent="0.35">
      <c r="A198" t="s">
        <v>61</v>
      </c>
      <c r="B198" s="3">
        <v>5</v>
      </c>
      <c r="C198">
        <v>61</v>
      </c>
      <c r="D198">
        <f t="shared" si="6"/>
        <v>5.3213280000000009E-2</v>
      </c>
      <c r="E198">
        <f t="shared" si="7"/>
        <v>50.29</v>
      </c>
    </row>
    <row r="199" spans="1:5" x14ac:dyDescent="0.35">
      <c r="A199" t="s">
        <v>60</v>
      </c>
      <c r="B199" s="3">
        <v>1</v>
      </c>
      <c r="C199">
        <v>58.8</v>
      </c>
      <c r="D199">
        <f t="shared" si="6"/>
        <v>4.9792579199999992E-2</v>
      </c>
      <c r="E199">
        <f t="shared" si="7"/>
        <v>48.111999999999995</v>
      </c>
    </row>
    <row r="200" spans="1:5" x14ac:dyDescent="0.35">
      <c r="A200" t="s">
        <v>60</v>
      </c>
      <c r="B200" s="3">
        <v>2</v>
      </c>
      <c r="C200">
        <v>60.7</v>
      </c>
      <c r="D200">
        <f t="shared" si="6"/>
        <v>5.2741873200000004E-2</v>
      </c>
      <c r="E200">
        <f t="shared" si="7"/>
        <v>49.993000000000002</v>
      </c>
    </row>
    <row r="201" spans="1:5" x14ac:dyDescent="0.35">
      <c r="A201" t="s">
        <v>60</v>
      </c>
      <c r="B201" s="3">
        <v>3</v>
      </c>
      <c r="C201">
        <v>60.4</v>
      </c>
      <c r="D201">
        <f t="shared" si="6"/>
        <v>5.2272028799999988E-2</v>
      </c>
      <c r="E201">
        <f t="shared" si="7"/>
        <v>49.695999999999998</v>
      </c>
    </row>
    <row r="202" spans="1:5" x14ac:dyDescent="0.35">
      <c r="A202" t="s">
        <v>60</v>
      </c>
      <c r="B202" s="3">
        <v>4</v>
      </c>
      <c r="C202">
        <v>54.4</v>
      </c>
      <c r="D202">
        <f t="shared" si="6"/>
        <v>4.3203244799999999E-2</v>
      </c>
      <c r="E202">
        <f t="shared" si="7"/>
        <v>43.756</v>
      </c>
    </row>
    <row r="203" spans="1:5" x14ac:dyDescent="0.35">
      <c r="A203" t="s">
        <v>60</v>
      </c>
      <c r="B203" s="3">
        <v>5</v>
      </c>
      <c r="C203">
        <v>63</v>
      </c>
      <c r="D203">
        <f t="shared" si="6"/>
        <v>5.6395919999999995E-2</v>
      </c>
      <c r="E203">
        <f t="shared" si="7"/>
        <v>52.269999999999996</v>
      </c>
    </row>
  </sheetData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469654-5ED9-4D04-92E9-0A674E18479B}">
  <sheetPr>
    <tabColor theme="2"/>
  </sheetPr>
  <dimension ref="A3:Y44"/>
  <sheetViews>
    <sheetView zoomScale="50" zoomScaleNormal="50" workbookViewId="0">
      <pane xSplit="4" ySplit="3" topLeftCell="E18" activePane="bottomRight" state="frozen"/>
      <selection pane="topRight" activeCell="E1" sqref="E1"/>
      <selection pane="bottomLeft" activeCell="A4" sqref="A4"/>
      <selection pane="bottomRight" activeCell="U46" sqref="U46"/>
    </sheetView>
  </sheetViews>
  <sheetFormatPr defaultRowHeight="14.5" x14ac:dyDescent="0.35"/>
  <cols>
    <col min="1" max="1" width="13.453125" bestFit="1" customWidth="1"/>
    <col min="2" max="2" width="0" hidden="1" customWidth="1"/>
    <col min="3" max="3" width="12.54296875" bestFit="1" customWidth="1"/>
    <col min="4" max="4" width="22.36328125" customWidth="1"/>
    <col min="5" max="5" width="11.54296875" customWidth="1"/>
    <col min="6" max="6" width="10.453125" customWidth="1"/>
    <col min="7" max="7" width="10.7265625" customWidth="1"/>
    <col min="8" max="8" width="7.81640625" bestFit="1" customWidth="1"/>
    <col min="10" max="11" width="7.453125" bestFit="1" customWidth="1"/>
    <col min="13" max="13" width="7.81640625" bestFit="1" customWidth="1"/>
    <col min="14" max="14" width="8.1796875" customWidth="1"/>
    <col min="15" max="15" width="7.453125" bestFit="1" customWidth="1"/>
    <col min="16" max="16" width="9.26953125" bestFit="1" customWidth="1"/>
    <col min="17" max="17" width="8.81640625" bestFit="1" customWidth="1"/>
    <col min="18" max="18" width="10.7265625" customWidth="1"/>
    <col min="22" max="22" width="11" customWidth="1"/>
    <col min="23" max="23" width="18.54296875" customWidth="1"/>
    <col min="24" max="25" width="11.1796875" customWidth="1"/>
  </cols>
  <sheetData>
    <row r="3" spans="1:25" ht="44" thickBot="1" x14ac:dyDescent="0.4">
      <c r="A3" s="5" t="s">
        <v>411</v>
      </c>
      <c r="B3" s="5" t="s">
        <v>66</v>
      </c>
      <c r="C3" s="5" t="s">
        <v>91</v>
      </c>
      <c r="D3" s="5" t="s">
        <v>119</v>
      </c>
      <c r="E3" s="5" t="s">
        <v>116</v>
      </c>
      <c r="F3" s="5" t="s">
        <v>10</v>
      </c>
      <c r="G3" s="5" t="s">
        <v>115</v>
      </c>
      <c r="H3" s="5" t="s">
        <v>112</v>
      </c>
      <c r="I3" s="5" t="s">
        <v>151</v>
      </c>
      <c r="J3" s="5" t="s">
        <v>401</v>
      </c>
      <c r="K3" s="5" t="s">
        <v>151</v>
      </c>
      <c r="L3" s="5" t="s">
        <v>400</v>
      </c>
      <c r="M3" s="5" t="s">
        <v>151</v>
      </c>
      <c r="N3" s="5" t="s">
        <v>153</v>
      </c>
      <c r="O3" s="5" t="s">
        <v>151</v>
      </c>
      <c r="P3" s="5" t="s">
        <v>384</v>
      </c>
      <c r="Q3" s="5" t="s">
        <v>151</v>
      </c>
      <c r="R3" s="5" t="s">
        <v>402</v>
      </c>
      <c r="S3" s="5" t="s">
        <v>151</v>
      </c>
      <c r="T3" s="5" t="s">
        <v>150</v>
      </c>
      <c r="U3" s="5" t="s">
        <v>151</v>
      </c>
      <c r="V3" s="52" t="s">
        <v>409</v>
      </c>
      <c r="W3" s="51" t="s">
        <v>407</v>
      </c>
      <c r="X3" s="4" t="s">
        <v>408</v>
      </c>
      <c r="Y3" s="4"/>
    </row>
    <row r="4" spans="1:25" ht="15" thickTop="1" x14ac:dyDescent="0.35">
      <c r="A4" t="s">
        <v>127</v>
      </c>
      <c r="B4" t="s">
        <v>98</v>
      </c>
      <c r="C4">
        <v>0</v>
      </c>
      <c r="D4" s="2" t="s">
        <v>378</v>
      </c>
      <c r="E4" s="43">
        <v>0.80717333333333341</v>
      </c>
      <c r="F4" s="44">
        <v>0.69540628930817605</v>
      </c>
      <c r="G4" s="45">
        <v>2968.8796088048598</v>
      </c>
      <c r="H4" s="47">
        <v>2.157517748478702</v>
      </c>
      <c r="I4" s="47">
        <v>0.43725156255863767</v>
      </c>
      <c r="J4">
        <v>83.333333333333314</v>
      </c>
      <c r="K4" s="14">
        <v>23.570226039551578</v>
      </c>
      <c r="L4" s="14">
        <v>45.85</v>
      </c>
      <c r="M4" s="14">
        <v>11.059990958405001</v>
      </c>
      <c r="N4" s="157">
        <v>10.191999999999998</v>
      </c>
      <c r="O4" s="157">
        <v>5.3594676228147922</v>
      </c>
      <c r="P4" s="14">
        <v>46.333333333333336</v>
      </c>
      <c r="Q4" s="14">
        <v>2.0548046676563256</v>
      </c>
      <c r="R4" s="48">
        <v>0</v>
      </c>
      <c r="S4" s="48">
        <v>6.6385599090498107E-3</v>
      </c>
      <c r="T4" s="14">
        <v>52.943200000000004</v>
      </c>
      <c r="U4" s="48">
        <v>4.0191561502385049</v>
      </c>
      <c r="V4" s="109">
        <v>100</v>
      </c>
      <c r="W4" s="47">
        <v>0</v>
      </c>
      <c r="X4">
        <v>2</v>
      </c>
      <c r="Y4">
        <v>0</v>
      </c>
    </row>
    <row r="5" spans="1:25" x14ac:dyDescent="0.35">
      <c r="A5" t="s">
        <v>128</v>
      </c>
      <c r="B5" t="s">
        <v>98</v>
      </c>
      <c r="C5">
        <v>1</v>
      </c>
      <c r="D5" s="2" t="s">
        <v>378</v>
      </c>
      <c r="E5" s="43">
        <v>0.83296000000000003</v>
      </c>
      <c r="F5" s="44">
        <v>0.68567547169811316</v>
      </c>
      <c r="G5" s="45">
        <v>3235.3357974929363</v>
      </c>
      <c r="H5" s="47">
        <v>2.0822222222222222</v>
      </c>
      <c r="I5" s="47">
        <v>0.47629226425342608</v>
      </c>
      <c r="J5">
        <v>74.999999999999986</v>
      </c>
      <c r="K5" s="14">
        <v>24.999999999999996</v>
      </c>
      <c r="L5" s="14">
        <v>45.72</v>
      </c>
      <c r="M5" s="14">
        <v>19.197407811125601</v>
      </c>
      <c r="N5" s="157">
        <v>23.058799999999998</v>
      </c>
      <c r="O5" s="157">
        <v>4.2677474808146751</v>
      </c>
      <c r="P5" s="14">
        <v>46</v>
      </c>
      <c r="Q5" s="14">
        <v>1.6329931618554521</v>
      </c>
      <c r="R5" s="48">
        <v>0</v>
      </c>
      <c r="S5" s="48">
        <v>8.6215866380791296E-4</v>
      </c>
      <c r="T5" s="14">
        <v>53.774800000000006</v>
      </c>
      <c r="U5" s="48">
        <v>0.52160881894385291</v>
      </c>
      <c r="V5" s="109">
        <v>100</v>
      </c>
      <c r="W5" s="47">
        <v>0</v>
      </c>
      <c r="X5">
        <v>2</v>
      </c>
      <c r="Y5">
        <v>0</v>
      </c>
    </row>
    <row r="6" spans="1:25" x14ac:dyDescent="0.35">
      <c r="A6" t="s">
        <v>37</v>
      </c>
      <c r="B6" s="2" t="s">
        <v>76</v>
      </c>
      <c r="C6">
        <v>0</v>
      </c>
      <c r="D6" s="2" t="s">
        <v>377</v>
      </c>
      <c r="E6" s="43">
        <v>1.3810933333333333</v>
      </c>
      <c r="F6" s="44">
        <v>0.47883270440251569</v>
      </c>
      <c r="G6" s="45">
        <v>332.54141667602693</v>
      </c>
      <c r="H6" s="47">
        <v>3.540289855072464</v>
      </c>
      <c r="I6" s="47">
        <v>0.58024497068302205</v>
      </c>
      <c r="J6">
        <v>16.666666666666661</v>
      </c>
      <c r="K6" s="14">
        <v>23.570226039551578</v>
      </c>
      <c r="L6" s="14">
        <v>7.25</v>
      </c>
      <c r="M6" s="14">
        <v>5.5518825635994897</v>
      </c>
      <c r="N6" s="157">
        <v>37.453400000000002</v>
      </c>
      <c r="O6" s="157">
        <v>29.347697351581093</v>
      </c>
      <c r="P6" s="14">
        <v>7</v>
      </c>
      <c r="Q6" s="14">
        <v>0</v>
      </c>
      <c r="R6" s="48">
        <v>3.0804826299999997E-2</v>
      </c>
      <c r="S6" s="48">
        <v>1.2918395809768959E-2</v>
      </c>
      <c r="T6" s="14">
        <v>34.128249999999994</v>
      </c>
      <c r="U6" s="48">
        <v>10.482640372897475</v>
      </c>
      <c r="V6" s="109">
        <v>90</v>
      </c>
      <c r="W6" s="47">
        <v>0.4</v>
      </c>
      <c r="X6">
        <v>2</v>
      </c>
      <c r="Y6">
        <v>0</v>
      </c>
    </row>
    <row r="7" spans="1:25" x14ac:dyDescent="0.35">
      <c r="A7" t="s">
        <v>36</v>
      </c>
      <c r="B7" s="2" t="s">
        <v>76</v>
      </c>
      <c r="C7">
        <v>1</v>
      </c>
      <c r="D7" s="2" t="s">
        <v>377</v>
      </c>
      <c r="E7" s="43">
        <v>1.2261866666666668</v>
      </c>
      <c r="F7" s="44">
        <v>0.53728805031446536</v>
      </c>
      <c r="G7" s="45">
        <v>542.07100162137328</v>
      </c>
      <c r="H7" s="47">
        <v>3.2692307692307687</v>
      </c>
      <c r="I7" s="47">
        <v>0.32191738293077493</v>
      </c>
      <c r="J7">
        <v>49.999999999999993</v>
      </c>
      <c r="K7" s="14">
        <v>0</v>
      </c>
      <c r="L7" s="14">
        <v>51.423333333333296</v>
      </c>
      <c r="M7" s="14">
        <v>6.7687632220041003</v>
      </c>
      <c r="N7" s="157">
        <v>11.663500000000001</v>
      </c>
      <c r="O7" s="157">
        <v>6.2004067003705492</v>
      </c>
      <c r="P7" s="14">
        <v>9.3333333333333339</v>
      </c>
      <c r="Q7" s="14">
        <v>0.94280904158206336</v>
      </c>
      <c r="R7" s="48">
        <v>4.6567152399999999E-2</v>
      </c>
      <c r="S7" s="48">
        <v>1.0890288631799354E-2</v>
      </c>
      <c r="T7" s="14">
        <v>45.716200000000001</v>
      </c>
      <c r="U7" s="48">
        <v>7.0509687674815291</v>
      </c>
      <c r="V7" s="109">
        <v>85</v>
      </c>
      <c r="W7" s="47">
        <v>3.3</v>
      </c>
      <c r="X7">
        <v>2</v>
      </c>
      <c r="Y7">
        <v>0</v>
      </c>
    </row>
    <row r="8" spans="1:25" x14ac:dyDescent="0.35">
      <c r="A8" t="s">
        <v>129</v>
      </c>
      <c r="B8" s="2" t="s">
        <v>99</v>
      </c>
      <c r="C8">
        <v>0</v>
      </c>
      <c r="D8" s="2" t="s">
        <v>377</v>
      </c>
      <c r="E8" s="43">
        <v>0.91101333333333334</v>
      </c>
      <c r="F8" s="44">
        <v>0.65622138364779881</v>
      </c>
      <c r="G8" s="45">
        <v>5054.7551248813525</v>
      </c>
      <c r="H8" s="47">
        <v>2.7485714285714287</v>
      </c>
      <c r="I8" s="47">
        <v>0.35877342062496637</v>
      </c>
      <c r="J8">
        <v>0</v>
      </c>
      <c r="K8" s="14">
        <v>0</v>
      </c>
      <c r="L8" s="14">
        <v>94.155000000000001</v>
      </c>
      <c r="M8" s="14">
        <v>3.0049999999999999</v>
      </c>
      <c r="N8" s="157">
        <v>29.866280315303801</v>
      </c>
      <c r="O8" s="157">
        <v>24.284645132528748</v>
      </c>
      <c r="P8" s="14">
        <v>76.5</v>
      </c>
      <c r="Q8" s="14">
        <v>3.5</v>
      </c>
      <c r="R8" s="48">
        <v>6.0996304700000004E-2</v>
      </c>
      <c r="S8" s="48">
        <v>4.6886547583952316E-3</v>
      </c>
      <c r="T8" s="14">
        <v>55.017249999999997</v>
      </c>
      <c r="U8" s="48">
        <v>2.8004709760145685</v>
      </c>
      <c r="V8" s="109">
        <v>100</v>
      </c>
      <c r="W8" s="47">
        <v>0</v>
      </c>
      <c r="X8">
        <v>2</v>
      </c>
      <c r="Y8">
        <v>0</v>
      </c>
    </row>
    <row r="9" spans="1:25" x14ac:dyDescent="0.35">
      <c r="A9" t="s">
        <v>130</v>
      </c>
      <c r="B9" s="2" t="s">
        <v>99</v>
      </c>
      <c r="C9">
        <v>1</v>
      </c>
      <c r="D9" s="2" t="s">
        <v>377</v>
      </c>
      <c r="E9" s="43">
        <v>1.1066133333333334</v>
      </c>
      <c r="F9" s="44">
        <v>0.58241006289308173</v>
      </c>
      <c r="G9" s="45">
        <v>3037.0285767549881</v>
      </c>
      <c r="H9" s="47">
        <v>2.3188728216536894</v>
      </c>
      <c r="I9" s="47">
        <v>0.23845831382785487</v>
      </c>
      <c r="J9">
        <v>16.666666666666661</v>
      </c>
      <c r="K9" s="14">
        <v>23.570226039551578</v>
      </c>
      <c r="L9" s="14">
        <v>96.006666666666703</v>
      </c>
      <c r="M9" s="14">
        <v>2.1048251444927399</v>
      </c>
      <c r="N9" s="157">
        <v>11.483759270818329</v>
      </c>
      <c r="O9" s="157">
        <v>8.3471397782082128</v>
      </c>
      <c r="P9" s="14">
        <v>31</v>
      </c>
      <c r="Q9" s="14">
        <v>1.4142135623730951</v>
      </c>
      <c r="R9" s="48">
        <v>4.983654824E-2</v>
      </c>
      <c r="S9" s="48">
        <v>1.4777807336086489E-2</v>
      </c>
      <c r="T9" s="14">
        <v>47.53779999999999</v>
      </c>
      <c r="U9" s="48">
        <v>10.257355553942777</v>
      </c>
      <c r="V9" s="109">
        <v>100</v>
      </c>
      <c r="W9" s="47">
        <v>0</v>
      </c>
      <c r="X9">
        <v>2</v>
      </c>
      <c r="Y9">
        <v>0</v>
      </c>
    </row>
    <row r="10" spans="1:25" x14ac:dyDescent="0.35">
      <c r="A10" t="s">
        <v>29</v>
      </c>
      <c r="B10" s="2" t="s">
        <v>73</v>
      </c>
      <c r="C10">
        <v>0</v>
      </c>
      <c r="D10" s="2" t="s">
        <v>377</v>
      </c>
      <c r="E10" s="43">
        <v>1.0989599999999999</v>
      </c>
      <c r="F10" s="44">
        <v>0.58529811320754721</v>
      </c>
      <c r="G10" s="45">
        <v>8192.2350687129765</v>
      </c>
      <c r="H10" s="47">
        <v>3.5977011494252871</v>
      </c>
      <c r="I10" s="47">
        <v>0.13817029057668173</v>
      </c>
      <c r="J10">
        <v>0</v>
      </c>
      <c r="K10" s="14">
        <v>0</v>
      </c>
      <c r="L10" s="14">
        <v>43.446666666666701</v>
      </c>
      <c r="M10" s="14">
        <v>8.2849435054735707</v>
      </c>
      <c r="N10" s="157">
        <v>3.9541999999999993</v>
      </c>
      <c r="O10" s="157">
        <v>2.019796167933785</v>
      </c>
      <c r="P10" s="14">
        <v>44.666666666666664</v>
      </c>
      <c r="Q10" s="14">
        <v>4.1096093353126513</v>
      </c>
      <c r="R10" s="48">
        <v>3.3628681360000003E-2</v>
      </c>
      <c r="S10" s="48">
        <v>9.5368686750076353E-3</v>
      </c>
      <c r="T10" s="14">
        <v>36.647800000000004</v>
      </c>
      <c r="U10" s="48">
        <v>7.1782578220623909</v>
      </c>
      <c r="V10" s="109">
        <v>100</v>
      </c>
      <c r="W10" s="47">
        <v>1.2</v>
      </c>
      <c r="X10">
        <v>2</v>
      </c>
      <c r="Y10">
        <v>0</v>
      </c>
    </row>
    <row r="11" spans="1:25" x14ac:dyDescent="0.35">
      <c r="A11" t="s">
        <v>28</v>
      </c>
      <c r="B11" s="2" t="s">
        <v>73</v>
      </c>
      <c r="C11">
        <v>1</v>
      </c>
      <c r="D11" s="2" t="s">
        <v>377</v>
      </c>
      <c r="E11" s="43">
        <v>1.1306400000000001</v>
      </c>
      <c r="F11" s="44">
        <v>0.57334339622641506</v>
      </c>
      <c r="G11" s="45">
        <v>2052.9830038154701</v>
      </c>
      <c r="H11" s="47">
        <v>3.3379629629629628</v>
      </c>
      <c r="I11" s="47">
        <v>7.870370370370372E-2</v>
      </c>
      <c r="J11">
        <v>24.999999999999996</v>
      </c>
      <c r="K11" s="14">
        <v>24.999999999999996</v>
      </c>
      <c r="L11" s="14">
        <v>82.263333333333307</v>
      </c>
      <c r="M11" s="14">
        <v>2.8001111089066102</v>
      </c>
      <c r="N11" s="157">
        <v>1.2588000000000001</v>
      </c>
      <c r="O11" s="157">
        <v>0.63881747001784428</v>
      </c>
      <c r="P11" s="14">
        <v>22.666666666666668</v>
      </c>
      <c r="Q11" s="14">
        <v>2.0548046676563256</v>
      </c>
      <c r="R11" s="48">
        <v>5.1268938959999996E-2</v>
      </c>
      <c r="S11" s="48">
        <v>9.3604997602760899E-3</v>
      </c>
      <c r="T11" s="14">
        <v>48.8446</v>
      </c>
      <c r="U11" s="48">
        <v>6.1515894726484914</v>
      </c>
      <c r="V11" s="109">
        <v>85</v>
      </c>
      <c r="W11" s="47">
        <v>0</v>
      </c>
      <c r="X11">
        <v>2</v>
      </c>
      <c r="Y11">
        <v>0</v>
      </c>
    </row>
    <row r="12" spans="1:25" x14ac:dyDescent="0.35">
      <c r="A12" t="s">
        <v>53</v>
      </c>
      <c r="B12" s="2" t="s">
        <v>84</v>
      </c>
      <c r="C12">
        <v>0</v>
      </c>
      <c r="D12" s="2" t="s">
        <v>393</v>
      </c>
      <c r="E12" s="43">
        <v>1.1902666666666668</v>
      </c>
      <c r="F12" s="44">
        <v>0.55084276729559734</v>
      </c>
      <c r="G12" s="45">
        <v>3637.6327640030154</v>
      </c>
      <c r="H12" s="47">
        <v>2.9689937166493006</v>
      </c>
      <c r="I12" s="47">
        <v>0.35515821879414017</v>
      </c>
      <c r="J12">
        <v>16.666666666666661</v>
      </c>
      <c r="K12" s="14">
        <v>23.570226039551578</v>
      </c>
      <c r="L12" s="14">
        <v>83.03</v>
      </c>
      <c r="M12" s="14">
        <v>10.00618808538</v>
      </c>
      <c r="N12" s="157">
        <v>5.1398000000000001</v>
      </c>
      <c r="O12" s="157">
        <v>2.0643248194022172</v>
      </c>
      <c r="P12" s="14">
        <v>25</v>
      </c>
      <c r="Q12" s="14">
        <v>4.8476798574163293</v>
      </c>
      <c r="R12" s="48">
        <v>4.3383073920000001E-2</v>
      </c>
      <c r="S12" s="48">
        <v>1.0489282636563053E-2</v>
      </c>
      <c r="T12" s="14">
        <v>43.558</v>
      </c>
      <c r="U12" s="48">
        <v>7.2954335306409543</v>
      </c>
      <c r="V12" s="109">
        <v>100</v>
      </c>
      <c r="W12" s="47">
        <v>0</v>
      </c>
      <c r="X12">
        <v>2</v>
      </c>
      <c r="Y12">
        <v>0</v>
      </c>
    </row>
    <row r="13" spans="1:25" x14ac:dyDescent="0.35">
      <c r="A13" t="s">
        <v>52</v>
      </c>
      <c r="B13" s="2" t="s">
        <v>84</v>
      </c>
      <c r="C13">
        <v>1</v>
      </c>
      <c r="D13" s="2" t="s">
        <v>393</v>
      </c>
      <c r="E13" s="43">
        <v>1.0900799999999999</v>
      </c>
      <c r="F13" s="44">
        <v>0.58864905660377365</v>
      </c>
      <c r="G13" s="45">
        <v>4819.4926349799789</v>
      </c>
      <c r="H13" s="47">
        <v>2.9783290173095267</v>
      </c>
      <c r="I13" s="47">
        <v>7.9944246361540114E-2</v>
      </c>
      <c r="J13">
        <v>33.333333333333321</v>
      </c>
      <c r="K13" s="14">
        <v>47.140452079103156</v>
      </c>
      <c r="L13" s="14">
        <v>86.606666666666698</v>
      </c>
      <c r="M13" s="14">
        <v>8.2468795445442407</v>
      </c>
      <c r="N13" s="157">
        <v>1.0660000000000001</v>
      </c>
      <c r="O13" s="157">
        <v>0.66443539941818253</v>
      </c>
      <c r="P13" s="14">
        <v>29.333333333333332</v>
      </c>
      <c r="Q13" s="14">
        <v>4.9216076867444665</v>
      </c>
      <c r="R13" s="48">
        <v>3.3184469040000004E-2</v>
      </c>
      <c r="S13" s="48">
        <v>1.2170291453237527E-2</v>
      </c>
      <c r="T13" s="14">
        <v>36.132999999999996</v>
      </c>
      <c r="U13" s="48">
        <v>8.9148386861456839</v>
      </c>
      <c r="V13" s="109">
        <v>100</v>
      </c>
      <c r="W13" s="47">
        <v>0.3</v>
      </c>
      <c r="X13">
        <v>2</v>
      </c>
      <c r="Y13">
        <v>0</v>
      </c>
    </row>
    <row r="14" spans="1:25" x14ac:dyDescent="0.35">
      <c r="A14" t="s">
        <v>25</v>
      </c>
      <c r="B14" t="s">
        <v>72</v>
      </c>
      <c r="C14">
        <v>0</v>
      </c>
      <c r="D14" s="2" t="s">
        <v>394</v>
      </c>
      <c r="E14" s="43">
        <v>1.2470666666666665</v>
      </c>
      <c r="F14" s="44">
        <v>0.52940880503144649</v>
      </c>
      <c r="G14" s="45">
        <v>5096.5429529425364</v>
      </c>
      <c r="H14" s="47">
        <v>2.0700431034482758</v>
      </c>
      <c r="I14" s="47">
        <v>0.82835802356835253</v>
      </c>
      <c r="J14">
        <v>0</v>
      </c>
      <c r="K14" s="14">
        <v>0</v>
      </c>
      <c r="L14" s="14">
        <v>81.233333333333306</v>
      </c>
      <c r="M14" s="14">
        <v>3.5079560367193299</v>
      </c>
      <c r="N14" s="157">
        <v>63.793800000000012</v>
      </c>
      <c r="O14" s="157">
        <v>50.554443909116429</v>
      </c>
      <c r="P14" s="14">
        <v>55</v>
      </c>
      <c r="Q14" s="14">
        <v>17.795130420052185</v>
      </c>
      <c r="R14" s="48">
        <v>3.4102539200000004E-2</v>
      </c>
      <c r="S14" s="48">
        <v>1.7466530038611757E-2</v>
      </c>
      <c r="T14" s="14">
        <v>36.271599999999999</v>
      </c>
      <c r="U14" s="48">
        <v>12.734278834704366</v>
      </c>
      <c r="V14" s="109">
        <v>97.5</v>
      </c>
      <c r="W14" s="47">
        <v>0</v>
      </c>
      <c r="X14">
        <v>0</v>
      </c>
      <c r="Y14">
        <v>0</v>
      </c>
    </row>
    <row r="15" spans="1:25" x14ac:dyDescent="0.35">
      <c r="A15" t="s">
        <v>24</v>
      </c>
      <c r="B15" t="s">
        <v>72</v>
      </c>
      <c r="C15">
        <v>1</v>
      </c>
      <c r="D15" s="2" t="s">
        <v>394</v>
      </c>
      <c r="E15" s="43">
        <v>1.0758400000000001</v>
      </c>
      <c r="F15" s="44">
        <v>0.59402264150943385</v>
      </c>
      <c r="G15" s="45">
        <v>4583.5340557517802</v>
      </c>
      <c r="H15" s="47">
        <v>1.5006190941674813</v>
      </c>
      <c r="I15" s="47">
        <v>5.6802931322153784E-2</v>
      </c>
      <c r="J15">
        <v>0</v>
      </c>
      <c r="K15" s="14">
        <v>0</v>
      </c>
      <c r="L15" s="14">
        <v>85.606666666666698</v>
      </c>
      <c r="M15" s="14">
        <v>2.2708931184790599</v>
      </c>
      <c r="N15" s="157">
        <v>63.179999999999993</v>
      </c>
      <c r="O15" s="157">
        <v>33.189468914099841</v>
      </c>
      <c r="P15" s="14">
        <v>60</v>
      </c>
      <c r="Q15" s="14">
        <v>0</v>
      </c>
      <c r="R15" s="48">
        <v>3.7092229679999991E-2</v>
      </c>
      <c r="S15" s="48">
        <v>3.5893997006353115E-3</v>
      </c>
      <c r="T15" s="14">
        <v>39.459399999999995</v>
      </c>
      <c r="U15" s="48">
        <v>2.5858527104226163</v>
      </c>
      <c r="V15" s="109">
        <v>100</v>
      </c>
      <c r="W15" s="47">
        <v>0</v>
      </c>
      <c r="X15">
        <v>1</v>
      </c>
      <c r="Y15">
        <v>0</v>
      </c>
    </row>
    <row r="16" spans="1:25" x14ac:dyDescent="0.35">
      <c r="A16" t="s">
        <v>43</v>
      </c>
      <c r="B16" s="2" t="s">
        <v>79</v>
      </c>
      <c r="C16">
        <v>0</v>
      </c>
      <c r="D16" s="2" t="s">
        <v>378</v>
      </c>
      <c r="E16" s="43">
        <v>1.2945333333333333</v>
      </c>
      <c r="F16" s="44">
        <v>0.51149685534591194</v>
      </c>
      <c r="G16" s="45">
        <v>2217.3271098471846</v>
      </c>
      <c r="H16" s="47">
        <v>3.8090996168582372</v>
      </c>
      <c r="I16" s="47">
        <v>0.20543281892377957</v>
      </c>
      <c r="J16">
        <v>16.666666666666661</v>
      </c>
      <c r="K16" s="14">
        <v>23.570226039551578</v>
      </c>
      <c r="L16" s="14">
        <v>69.8333333333333</v>
      </c>
      <c r="M16" s="14">
        <v>7.9377802662681098</v>
      </c>
      <c r="N16" s="157">
        <v>5.9964000000000004</v>
      </c>
      <c r="O16" s="157">
        <v>2.8627281114349632</v>
      </c>
      <c r="P16" s="14">
        <v>12.333333333333334</v>
      </c>
      <c r="Q16" s="14">
        <v>1.247219128924647</v>
      </c>
      <c r="R16" s="48">
        <v>3.4130955840000005E-2</v>
      </c>
      <c r="S16" s="48">
        <v>1.2571820257308585E-2</v>
      </c>
      <c r="T16" s="14">
        <v>36.826000000000001</v>
      </c>
      <c r="U16" s="48">
        <v>9.0045384556900014</v>
      </c>
      <c r="V16" s="109">
        <v>90</v>
      </c>
      <c r="W16" s="47">
        <v>0.8</v>
      </c>
      <c r="X16">
        <v>2</v>
      </c>
      <c r="Y16">
        <v>1</v>
      </c>
    </row>
    <row r="17" spans="1:25" x14ac:dyDescent="0.35">
      <c r="A17" t="s">
        <v>42</v>
      </c>
      <c r="B17" s="2" t="s">
        <v>79</v>
      </c>
      <c r="C17">
        <v>1</v>
      </c>
      <c r="D17" s="2" t="s">
        <v>378</v>
      </c>
      <c r="E17" s="43">
        <v>1.2437333333333334</v>
      </c>
      <c r="F17" s="44">
        <v>0.53066666666666662</v>
      </c>
      <c r="G17" s="45">
        <v>1911.7927151363103</v>
      </c>
      <c r="H17" s="47">
        <v>3.7198749526335733</v>
      </c>
      <c r="I17" s="47">
        <v>0.30716973463409125</v>
      </c>
      <c r="J17">
        <v>0</v>
      </c>
      <c r="K17" s="14">
        <v>0</v>
      </c>
      <c r="L17" s="14">
        <v>77.42</v>
      </c>
      <c r="M17" s="14">
        <v>7.3097605979949796</v>
      </c>
      <c r="N17" s="157">
        <v>6.7438000000000002</v>
      </c>
      <c r="O17" s="157">
        <v>1.890770678850294</v>
      </c>
      <c r="P17" s="14">
        <v>11.333333333333334</v>
      </c>
      <c r="Q17" s="14">
        <v>1.8856180831641267</v>
      </c>
      <c r="R17" s="48">
        <v>3.6955293279999996E-2</v>
      </c>
      <c r="S17" s="48">
        <v>9.7030183613336964E-3</v>
      </c>
      <c r="T17" s="14">
        <v>39.083199999999998</v>
      </c>
      <c r="U17" s="48">
        <v>7.104145082977948</v>
      </c>
      <c r="V17" s="109">
        <v>65</v>
      </c>
      <c r="W17" s="47">
        <v>1.3</v>
      </c>
      <c r="X17">
        <v>2</v>
      </c>
      <c r="Y17">
        <v>1</v>
      </c>
    </row>
    <row r="18" spans="1:25" x14ac:dyDescent="0.35">
      <c r="A18" t="s">
        <v>61</v>
      </c>
      <c r="B18" s="2" t="s">
        <v>88</v>
      </c>
      <c r="C18">
        <v>0</v>
      </c>
      <c r="D18" s="2" t="s">
        <v>378</v>
      </c>
      <c r="E18" s="43">
        <v>0.90861333333333327</v>
      </c>
      <c r="F18" s="44">
        <v>0.65712704402515731</v>
      </c>
      <c r="G18" s="45">
        <v>1475.1060789450009</v>
      </c>
      <c r="H18" s="47">
        <v>2.8277777777777779</v>
      </c>
      <c r="I18" s="47">
        <v>0.34703328192758315</v>
      </c>
      <c r="J18">
        <v>33.333333333333321</v>
      </c>
      <c r="K18" s="14">
        <v>23.570226039551578</v>
      </c>
      <c r="L18" s="14">
        <v>82.7</v>
      </c>
      <c r="M18" s="14">
        <v>1.8901322705038399</v>
      </c>
      <c r="N18" s="157">
        <v>48.011600000000001</v>
      </c>
      <c r="O18" s="157">
        <v>28.522028866123811</v>
      </c>
      <c r="P18" s="14">
        <v>38</v>
      </c>
      <c r="Q18" s="14">
        <v>2.1602468994692869</v>
      </c>
      <c r="R18" s="48">
        <v>5.1811183999999996E-2</v>
      </c>
      <c r="S18" s="48">
        <v>6.6508220441404663E-3</v>
      </c>
      <c r="T18" s="14">
        <v>49.3</v>
      </c>
      <c r="U18" s="48">
        <v>4.2925377109584009</v>
      </c>
      <c r="V18" s="109">
        <v>95</v>
      </c>
      <c r="W18" s="47">
        <v>0.6</v>
      </c>
      <c r="X18">
        <v>2</v>
      </c>
      <c r="Y18">
        <v>1</v>
      </c>
    </row>
    <row r="19" spans="1:25" x14ac:dyDescent="0.35">
      <c r="A19" t="s">
        <v>60</v>
      </c>
      <c r="B19" s="2" t="s">
        <v>88</v>
      </c>
      <c r="C19">
        <v>1</v>
      </c>
      <c r="D19" s="2" t="s">
        <v>378</v>
      </c>
      <c r="E19" s="43">
        <v>1.01664</v>
      </c>
      <c r="F19" s="44">
        <v>0.61636226415094342</v>
      </c>
      <c r="G19" s="45">
        <v>1724.7735579215002</v>
      </c>
      <c r="H19" s="47">
        <v>3.0675757575757578</v>
      </c>
      <c r="I19" s="47">
        <v>0.27421446366754831</v>
      </c>
      <c r="J19">
        <v>0</v>
      </c>
      <c r="K19" s="14">
        <v>0</v>
      </c>
      <c r="L19" s="14">
        <v>77.183333333333294</v>
      </c>
      <c r="M19" s="14">
        <v>7.92343500145126</v>
      </c>
      <c r="N19" s="157">
        <v>24.631</v>
      </c>
      <c r="O19" s="157">
        <v>12.767418611450005</v>
      </c>
      <c r="P19" s="14">
        <v>39</v>
      </c>
      <c r="Q19" s="14">
        <v>1.4142135623730951</v>
      </c>
      <c r="R19" s="48">
        <v>5.08811292E-2</v>
      </c>
      <c r="S19" s="48">
        <v>4.3805190893510355E-3</v>
      </c>
      <c r="T19" s="14">
        <v>48.7654</v>
      </c>
      <c r="U19" s="48">
        <v>2.834651978638647</v>
      </c>
      <c r="V19" s="109">
        <v>95</v>
      </c>
      <c r="W19" s="47">
        <v>0.3</v>
      </c>
      <c r="X19">
        <v>2</v>
      </c>
      <c r="Y19">
        <v>1</v>
      </c>
    </row>
    <row r="20" spans="1:25" x14ac:dyDescent="0.35">
      <c r="A20" t="s">
        <v>63</v>
      </c>
      <c r="B20" t="s">
        <v>89</v>
      </c>
      <c r="C20">
        <v>0</v>
      </c>
      <c r="D20" s="2" t="s">
        <v>378</v>
      </c>
      <c r="E20" s="43">
        <v>1.1176533333333334</v>
      </c>
      <c r="F20" s="44">
        <v>0.57824402515723272</v>
      </c>
      <c r="G20" s="45">
        <v>1214.2651981932274</v>
      </c>
      <c r="H20" s="47">
        <v>3.4864532019704431</v>
      </c>
      <c r="I20" s="47">
        <v>0.17224657619526929</v>
      </c>
      <c r="J20">
        <v>0</v>
      </c>
      <c r="K20" s="14">
        <v>0</v>
      </c>
      <c r="L20" s="14">
        <v>38.94</v>
      </c>
      <c r="M20" s="14">
        <v>10.1547263216035</v>
      </c>
      <c r="N20" s="157">
        <v>16.926749999999998</v>
      </c>
      <c r="O20" s="157">
        <v>13.165679670548727</v>
      </c>
      <c r="P20" s="14">
        <v>15.333333333333334</v>
      </c>
      <c r="Q20" s="14">
        <v>1.247219128924647</v>
      </c>
      <c r="R20" s="48">
        <v>4.8311484160000001E-2</v>
      </c>
      <c r="S20" s="48">
        <v>5.2992971684277367E-3</v>
      </c>
      <c r="T20" s="14">
        <v>47.082399999999993</v>
      </c>
      <c r="U20" s="48">
        <v>3.4712737489284806</v>
      </c>
      <c r="V20" s="109">
        <v>62.5</v>
      </c>
      <c r="W20" s="47">
        <v>1.4</v>
      </c>
      <c r="X20">
        <v>2</v>
      </c>
      <c r="Y20">
        <v>1</v>
      </c>
    </row>
    <row r="21" spans="1:25" x14ac:dyDescent="0.35">
      <c r="A21" t="s">
        <v>62</v>
      </c>
      <c r="B21" t="s">
        <v>89</v>
      </c>
      <c r="C21">
        <v>1</v>
      </c>
      <c r="D21" s="2" t="s">
        <v>378</v>
      </c>
      <c r="E21" s="43">
        <v>1.1652533333333333</v>
      </c>
      <c r="F21" s="44">
        <v>0.56028176100628935</v>
      </c>
      <c r="G21" s="45">
        <v>1806.8571444663958</v>
      </c>
      <c r="H21" s="47">
        <v>3.3214336917562726</v>
      </c>
      <c r="I21" s="47">
        <v>0.31871351476285259</v>
      </c>
      <c r="J21">
        <v>0</v>
      </c>
      <c r="K21" s="14">
        <v>0</v>
      </c>
      <c r="L21" s="14">
        <v>48.28</v>
      </c>
      <c r="M21" s="14">
        <v>10.930227201054301</v>
      </c>
      <c r="N21" s="157">
        <v>9.986600000000001</v>
      </c>
      <c r="O21" s="157">
        <v>3.7905911201288895</v>
      </c>
      <c r="P21" s="14">
        <v>21.666666666666668</v>
      </c>
      <c r="Q21" s="14">
        <v>2.3570226039551585</v>
      </c>
      <c r="R21" s="48">
        <v>5.2101401360000008E-2</v>
      </c>
      <c r="S21" s="48">
        <v>9.2305173319746775E-3</v>
      </c>
      <c r="T21" s="14">
        <v>49.399000000000001</v>
      </c>
      <c r="U21" s="48">
        <v>5.7973777865514124</v>
      </c>
      <c r="V21" s="109">
        <v>85</v>
      </c>
      <c r="W21" s="47">
        <v>0.2</v>
      </c>
      <c r="X21">
        <v>2</v>
      </c>
      <c r="Y21">
        <v>1</v>
      </c>
    </row>
    <row r="22" spans="1:25" x14ac:dyDescent="0.35">
      <c r="A22" t="s">
        <v>16</v>
      </c>
      <c r="B22" s="2" t="s">
        <v>69</v>
      </c>
      <c r="C22">
        <v>0</v>
      </c>
      <c r="D22" s="2" t="s">
        <v>395</v>
      </c>
      <c r="E22" s="43">
        <v>1.0224</v>
      </c>
      <c r="F22" s="44">
        <v>0.61418867924528309</v>
      </c>
      <c r="G22" s="45">
        <v>1197.9269366454971</v>
      </c>
      <c r="H22" s="47">
        <v>3.9438549955791338</v>
      </c>
      <c r="I22" s="47">
        <v>0.31684816149100242</v>
      </c>
      <c r="J22">
        <v>0</v>
      </c>
      <c r="K22" s="14">
        <v>0</v>
      </c>
      <c r="L22" s="14">
        <v>47.203333333333298</v>
      </c>
      <c r="M22" s="14">
        <v>17.243484437768199</v>
      </c>
      <c r="N22" s="157">
        <v>42.553000000000004</v>
      </c>
      <c r="O22" s="157">
        <v>14.600127821358273</v>
      </c>
      <c r="P22" s="14">
        <v>49.333333333333336</v>
      </c>
      <c r="Q22" s="14">
        <v>4.9216076867444674</v>
      </c>
      <c r="R22" s="48">
        <v>4.8703082319999993E-2</v>
      </c>
      <c r="S22" s="48">
        <v>6.6311326761798071E-3</v>
      </c>
      <c r="T22" s="14">
        <v>47.300200000000004</v>
      </c>
      <c r="U22" s="48">
        <v>4.3032101226874815</v>
      </c>
      <c r="V22" s="109">
        <v>97.5</v>
      </c>
      <c r="W22" s="47">
        <v>0.5</v>
      </c>
      <c r="X22">
        <v>0</v>
      </c>
      <c r="Y22">
        <v>0</v>
      </c>
    </row>
    <row r="23" spans="1:25" x14ac:dyDescent="0.35">
      <c r="A23" t="s">
        <v>17</v>
      </c>
      <c r="B23" s="2" t="s">
        <v>69</v>
      </c>
      <c r="C23">
        <v>1</v>
      </c>
      <c r="D23" s="2" t="s">
        <v>395</v>
      </c>
      <c r="E23" s="43">
        <v>1.1242133333333333</v>
      </c>
      <c r="F23" s="44">
        <v>0.57576855345911948</v>
      </c>
      <c r="G23" s="45">
        <v>2186.471619464734</v>
      </c>
      <c r="H23" s="47">
        <v>3.8697318007662833</v>
      </c>
      <c r="I23" s="47">
        <v>0.3956576442429286</v>
      </c>
      <c r="J23">
        <v>0</v>
      </c>
      <c r="K23" s="14">
        <v>0</v>
      </c>
      <c r="L23" s="14">
        <v>49.566666666666698</v>
      </c>
      <c r="M23" s="14">
        <v>6.25371000997725</v>
      </c>
      <c r="N23" s="157">
        <v>84.145399999999995</v>
      </c>
      <c r="O23" s="157">
        <v>22.131520621954571</v>
      </c>
      <c r="P23" s="14">
        <v>38</v>
      </c>
      <c r="Q23" s="14">
        <v>4</v>
      </c>
      <c r="R23" s="48">
        <v>4.91768556E-2</v>
      </c>
      <c r="S23" s="48">
        <v>6.4257035787427547E-3</v>
      </c>
      <c r="T23" s="14">
        <v>47.617000000000004</v>
      </c>
      <c r="U23" s="48">
        <v>4.1153527187836563</v>
      </c>
      <c r="V23" s="109">
        <v>100</v>
      </c>
      <c r="W23" s="47">
        <v>0.1</v>
      </c>
      <c r="X23">
        <v>1</v>
      </c>
      <c r="Y23">
        <v>0</v>
      </c>
    </row>
    <row r="24" spans="1:25" x14ac:dyDescent="0.35">
      <c r="A24" t="s">
        <v>14</v>
      </c>
      <c r="B24" s="2" t="s">
        <v>68</v>
      </c>
      <c r="C24">
        <v>0</v>
      </c>
      <c r="D24" s="2" t="s">
        <v>393</v>
      </c>
      <c r="E24" s="43">
        <v>0.90045333333333344</v>
      </c>
      <c r="F24" s="44">
        <v>0.66020628930817604</v>
      </c>
      <c r="G24" s="45">
        <v>4413.8887309689035</v>
      </c>
      <c r="H24" s="47">
        <v>2.6184615384615384</v>
      </c>
      <c r="I24" s="47">
        <v>0.31027632909147007</v>
      </c>
      <c r="J24">
        <v>66.666666666666643</v>
      </c>
      <c r="K24" s="14">
        <v>62.360956446232336</v>
      </c>
      <c r="L24" s="14">
        <v>78.456666666666706</v>
      </c>
      <c r="M24" s="14">
        <v>9.3502097421513692</v>
      </c>
      <c r="N24" s="157">
        <v>15.843999999999999</v>
      </c>
      <c r="O24" s="157">
        <v>14.203844620383595</v>
      </c>
      <c r="P24" s="14">
        <v>30.833333333333332</v>
      </c>
      <c r="Q24" s="14">
        <v>5.1370116691408141</v>
      </c>
      <c r="R24" s="48">
        <v>4.4951486560000004E-2</v>
      </c>
      <c r="S24" s="48">
        <v>6.3222762904474455E-3</v>
      </c>
      <c r="T24" s="14">
        <v>44.825200000000002</v>
      </c>
      <c r="U24" s="48">
        <v>4.2767083323509434</v>
      </c>
      <c r="V24" s="109">
        <v>100</v>
      </c>
      <c r="W24" s="47">
        <v>0</v>
      </c>
      <c r="X24">
        <v>2</v>
      </c>
      <c r="Y24">
        <v>0</v>
      </c>
    </row>
    <row r="25" spans="1:25" x14ac:dyDescent="0.35">
      <c r="A25" t="s">
        <v>15</v>
      </c>
      <c r="B25" s="2" t="s">
        <v>68</v>
      </c>
      <c r="C25">
        <v>1</v>
      </c>
      <c r="D25" s="2" t="s">
        <v>393</v>
      </c>
      <c r="E25" s="43">
        <v>0.91352</v>
      </c>
      <c r="F25" s="44">
        <v>0.65527547169811318</v>
      </c>
      <c r="G25" s="45">
        <v>6092.9399254619584</v>
      </c>
      <c r="H25" s="47">
        <v>3.2222222222222228</v>
      </c>
      <c r="I25" s="47">
        <v>0.80521846217878079</v>
      </c>
      <c r="J25">
        <v>16.666666666666661</v>
      </c>
      <c r="K25" s="14">
        <v>23.570226039551578</v>
      </c>
      <c r="L25" s="14">
        <v>76.823333333333295</v>
      </c>
      <c r="M25" s="14">
        <v>13.0700429311546</v>
      </c>
      <c r="N25" s="157">
        <v>1.754</v>
      </c>
      <c r="O25" s="157">
        <v>1.7296543007202336</v>
      </c>
      <c r="P25" s="14">
        <v>40.666666666666664</v>
      </c>
      <c r="Q25" s="14">
        <v>0.94280904158206336</v>
      </c>
      <c r="R25" s="48">
        <v>4.3214287359999992E-2</v>
      </c>
      <c r="S25" s="48">
        <v>6.9917449109330185E-3</v>
      </c>
      <c r="T25" s="14">
        <v>43.637199999999993</v>
      </c>
      <c r="U25" s="48">
        <v>4.5833471786458313</v>
      </c>
      <c r="V25" s="109">
        <v>95</v>
      </c>
      <c r="W25" s="47">
        <v>0.4</v>
      </c>
      <c r="X25">
        <v>2</v>
      </c>
      <c r="Y25">
        <v>0</v>
      </c>
    </row>
    <row r="26" spans="1:25" x14ac:dyDescent="0.35">
      <c r="A26" t="s">
        <v>41</v>
      </c>
      <c r="B26" s="2" t="s">
        <v>78</v>
      </c>
      <c r="C26">
        <v>0</v>
      </c>
      <c r="D26" s="2" t="s">
        <v>377</v>
      </c>
      <c r="E26" s="43">
        <v>1.2177866666666668</v>
      </c>
      <c r="F26" s="44">
        <v>0.54045786163522003</v>
      </c>
      <c r="G26" s="45">
        <v>1714.3721657481019</v>
      </c>
      <c r="H26" s="47">
        <v>3.8824531949531949</v>
      </c>
      <c r="I26" s="47">
        <v>0.36882804460925273</v>
      </c>
      <c r="J26">
        <v>33.333333333333321</v>
      </c>
      <c r="K26" s="14">
        <v>23.570226039551578</v>
      </c>
      <c r="L26" s="14">
        <v>59.063333333333297</v>
      </c>
      <c r="M26" s="14">
        <v>13.0550024469124</v>
      </c>
      <c r="N26" s="157">
        <v>1.9141999999999999</v>
      </c>
      <c r="O26" s="157">
        <v>1.6253344763463302</v>
      </c>
      <c r="P26" s="14"/>
      <c r="Q26" s="14"/>
      <c r="R26" s="48">
        <v>5.2387906000000005E-2</v>
      </c>
      <c r="S26" s="48">
        <v>2.47954291357289E-3</v>
      </c>
      <c r="T26" s="14">
        <v>49.755399999999995</v>
      </c>
      <c r="U26" s="48">
        <v>1.5773033443190299</v>
      </c>
      <c r="V26" s="109">
        <v>87.5</v>
      </c>
      <c r="W26" s="47">
        <v>2</v>
      </c>
      <c r="X26">
        <v>2</v>
      </c>
      <c r="Y26">
        <v>0</v>
      </c>
    </row>
    <row r="27" spans="1:25" x14ac:dyDescent="0.35">
      <c r="A27" t="s">
        <v>40</v>
      </c>
      <c r="B27" s="2" t="s">
        <v>78</v>
      </c>
      <c r="C27">
        <v>1</v>
      </c>
      <c r="D27" s="2" t="s">
        <v>377</v>
      </c>
      <c r="E27" s="43">
        <v>1.2455999999999998</v>
      </c>
      <c r="F27" s="44">
        <v>0.52996226415094339</v>
      </c>
      <c r="G27" s="45">
        <v>5691.5210510045172</v>
      </c>
      <c r="H27" s="47">
        <v>3.8264102564102562</v>
      </c>
      <c r="I27" s="47">
        <v>9.4787904698091979E-2</v>
      </c>
      <c r="J27">
        <v>24.999999999999996</v>
      </c>
      <c r="K27" s="14">
        <v>24.999999999999996</v>
      </c>
      <c r="L27" s="14">
        <v>58.63</v>
      </c>
      <c r="M27" s="14">
        <v>7.8852562841461804</v>
      </c>
      <c r="N27" s="18">
        <v>2.0049999999999999</v>
      </c>
      <c r="O27" s="18">
        <v>0.15516120649182896</v>
      </c>
      <c r="P27" s="14"/>
      <c r="Q27" s="14"/>
      <c r="R27" s="48">
        <v>3.1150443920000003E-2</v>
      </c>
      <c r="S27" s="48">
        <v>1.3840997322997246E-2</v>
      </c>
      <c r="T27" s="14">
        <v>34.430199999999999</v>
      </c>
      <c r="U27" s="48">
        <v>10.216377898257292</v>
      </c>
      <c r="V27" s="109">
        <v>82.5</v>
      </c>
      <c r="W27" s="47">
        <v>0.6</v>
      </c>
      <c r="X27">
        <v>2</v>
      </c>
      <c r="Y27">
        <v>0</v>
      </c>
    </row>
    <row r="28" spans="1:25" x14ac:dyDescent="0.35">
      <c r="A28" t="s">
        <v>31</v>
      </c>
      <c r="B28" t="s">
        <v>74</v>
      </c>
      <c r="C28">
        <v>0</v>
      </c>
      <c r="D28" s="2" t="s">
        <v>378</v>
      </c>
      <c r="E28" s="43">
        <v>1.1333866666666668</v>
      </c>
      <c r="F28" s="44">
        <v>0.57230691823899371</v>
      </c>
      <c r="G28" s="45">
        <v>2526.3920882765592</v>
      </c>
      <c r="H28" s="47">
        <v>2.9763532763532763</v>
      </c>
      <c r="I28" s="47">
        <v>0.35079289761306737</v>
      </c>
      <c r="J28">
        <v>16.666666666666661</v>
      </c>
      <c r="K28" s="14">
        <v>23.570226039551578</v>
      </c>
      <c r="L28" s="14">
        <v>92.626666666666694</v>
      </c>
      <c r="M28" s="14">
        <v>1.42600451923859</v>
      </c>
      <c r="N28" s="157">
        <v>0.87259999999999993</v>
      </c>
      <c r="O28" s="157">
        <v>0.48117464604860488</v>
      </c>
      <c r="P28" s="14">
        <v>24.666666666666668</v>
      </c>
      <c r="Q28" s="14">
        <v>4.1096093353126513</v>
      </c>
      <c r="R28" s="48">
        <v>4.32554432E-2</v>
      </c>
      <c r="S28" s="48">
        <v>9.1875441707218539E-3</v>
      </c>
      <c r="T28" s="14">
        <v>43.558</v>
      </c>
      <c r="U28" s="48">
        <v>6.2299245581307208</v>
      </c>
      <c r="V28" s="109">
        <v>95</v>
      </c>
      <c r="W28" s="47">
        <v>0</v>
      </c>
      <c r="X28">
        <v>2</v>
      </c>
      <c r="Y28">
        <v>1</v>
      </c>
    </row>
    <row r="29" spans="1:25" x14ac:dyDescent="0.35">
      <c r="A29" t="s">
        <v>30</v>
      </c>
      <c r="B29" t="s">
        <v>74</v>
      </c>
      <c r="C29">
        <v>1</v>
      </c>
      <c r="D29" s="2" t="s">
        <v>378</v>
      </c>
      <c r="E29" s="43">
        <v>1.0957333333333334</v>
      </c>
      <c r="F29" s="44">
        <v>0.58651572327044021</v>
      </c>
      <c r="G29" s="45">
        <v>2640.9330248497245</v>
      </c>
      <c r="H29" s="47">
        <v>3.4613526570048307</v>
      </c>
      <c r="I29" s="47">
        <v>0.18544055765863987</v>
      </c>
      <c r="J29">
        <v>0</v>
      </c>
      <c r="K29" s="14">
        <v>0</v>
      </c>
      <c r="L29" s="14">
        <v>94.136666666666699</v>
      </c>
      <c r="M29" s="14">
        <v>1.4144571004059801</v>
      </c>
      <c r="N29" s="157">
        <v>0.52719999999999989</v>
      </c>
      <c r="O29" s="157">
        <v>0.42162466721006731</v>
      </c>
      <c r="P29" s="14">
        <v>22.333333333333332</v>
      </c>
      <c r="Q29" s="14">
        <v>1.699673171197595</v>
      </c>
      <c r="R29" s="48">
        <v>4.5756106720000002E-2</v>
      </c>
      <c r="S29" s="48">
        <v>1.1064560374000835E-2</v>
      </c>
      <c r="T29" s="14">
        <v>45.141999999999996</v>
      </c>
      <c r="U29" s="48">
        <v>7.4588468545747917</v>
      </c>
      <c r="V29" s="109">
        <v>97.5</v>
      </c>
      <c r="W29" s="47">
        <v>0</v>
      </c>
      <c r="X29">
        <v>2</v>
      </c>
      <c r="Y29">
        <v>1</v>
      </c>
    </row>
    <row r="30" spans="1:25" x14ac:dyDescent="0.35">
      <c r="A30" t="s">
        <v>131</v>
      </c>
      <c r="B30" s="2" t="s">
        <v>101</v>
      </c>
      <c r="C30">
        <v>0</v>
      </c>
      <c r="D30" s="2" t="s">
        <v>375</v>
      </c>
      <c r="E30" s="43">
        <v>0.98010666666666679</v>
      </c>
      <c r="F30" s="44">
        <v>0.63014842767295587</v>
      </c>
      <c r="G30" s="45">
        <v>8751.2391554655223</v>
      </c>
      <c r="H30" s="47">
        <v>2.6180555555555558</v>
      </c>
      <c r="I30" s="47">
        <v>0.20994745080320795</v>
      </c>
      <c r="J30">
        <v>49.999999999999993</v>
      </c>
      <c r="K30" s="14">
        <v>40.824829046386292</v>
      </c>
      <c r="L30" s="14">
        <v>87.796666666666695</v>
      </c>
      <c r="M30" s="14">
        <v>2.21016339265273</v>
      </c>
      <c r="N30" s="157">
        <v>1.0098</v>
      </c>
      <c r="O30" s="157">
        <v>0.93941735134071247</v>
      </c>
      <c r="P30" s="14">
        <v>69.333333333333329</v>
      </c>
      <c r="Q30" s="14">
        <v>2.6246692913372702</v>
      </c>
      <c r="R30" s="48">
        <v>5.9359688320000006E-2</v>
      </c>
      <c r="S30" s="48">
        <v>5.572223794181176E-3</v>
      </c>
      <c r="T30" s="14">
        <v>54.0124</v>
      </c>
      <c r="U30" s="48">
        <v>3.4531563300841155</v>
      </c>
      <c r="V30" s="109">
        <v>97.5</v>
      </c>
      <c r="W30" s="47">
        <v>0</v>
      </c>
      <c r="X30">
        <v>2</v>
      </c>
      <c r="Y30">
        <v>0</v>
      </c>
    </row>
    <row r="31" spans="1:25" x14ac:dyDescent="0.35">
      <c r="A31" t="s">
        <v>132</v>
      </c>
      <c r="B31" s="2" t="s">
        <v>101</v>
      </c>
      <c r="C31">
        <v>1</v>
      </c>
      <c r="D31" s="2" t="s">
        <v>375</v>
      </c>
      <c r="E31" s="43">
        <v>1.0016800000000001</v>
      </c>
      <c r="F31" s="44">
        <v>0.62200754716981121</v>
      </c>
      <c r="G31" s="45">
        <v>7482.4111631009218</v>
      </c>
      <c r="H31" s="47">
        <v>2.5829248366013076</v>
      </c>
      <c r="I31" s="47">
        <v>0.18761432643079134</v>
      </c>
      <c r="J31">
        <v>0</v>
      </c>
      <c r="K31" s="14">
        <v>0</v>
      </c>
      <c r="L31" s="14">
        <v>81.006666666666703</v>
      </c>
      <c r="M31" s="14">
        <v>4.7960075989190099</v>
      </c>
      <c r="N31" s="157">
        <v>0.77520000000000011</v>
      </c>
      <c r="O31" s="157">
        <v>0.31066856937900872</v>
      </c>
      <c r="P31" s="14">
        <v>63.333333333333336</v>
      </c>
      <c r="Q31" s="14">
        <v>0.47140452079103168</v>
      </c>
      <c r="R31" s="48">
        <v>5.4038001439999997E-2</v>
      </c>
      <c r="S31" s="48">
        <v>5.9510222966059657E-3</v>
      </c>
      <c r="T31" s="14">
        <v>50.725599999999986</v>
      </c>
      <c r="U31" s="48">
        <v>3.8386476056027874</v>
      </c>
      <c r="V31" s="109">
        <v>95</v>
      </c>
      <c r="W31" s="47">
        <v>0.6</v>
      </c>
      <c r="X31">
        <v>2</v>
      </c>
      <c r="Y31">
        <v>0</v>
      </c>
    </row>
    <row r="32" spans="1:25" x14ac:dyDescent="0.35">
      <c r="A32" t="s">
        <v>133</v>
      </c>
      <c r="B32" s="2" t="s">
        <v>100</v>
      </c>
      <c r="C32">
        <v>0</v>
      </c>
      <c r="D32" s="2" t="s">
        <v>375</v>
      </c>
      <c r="E32" s="43">
        <v>0.96085333333333323</v>
      </c>
      <c r="F32" s="44">
        <v>0.63741383647798744</v>
      </c>
      <c r="G32" s="45">
        <v>7224.8636031757906</v>
      </c>
      <c r="H32" s="47">
        <v>2.7927803379416276</v>
      </c>
      <c r="I32" s="47">
        <v>0.11957338929532343</v>
      </c>
      <c r="J32">
        <v>49.999999999999993</v>
      </c>
      <c r="K32" s="14">
        <v>40.824829046386292</v>
      </c>
      <c r="L32" s="14">
        <v>58.56</v>
      </c>
      <c r="M32" s="14">
        <v>19.6656502562209</v>
      </c>
      <c r="N32" s="157">
        <v>3.0054000000000003</v>
      </c>
      <c r="O32" s="157">
        <v>2.180507794069996</v>
      </c>
      <c r="P32" s="14">
        <v>51.333333333333336</v>
      </c>
      <c r="Q32" s="14">
        <v>3.0912061651652349</v>
      </c>
      <c r="R32" s="48">
        <v>5.4945546640000009E-2</v>
      </c>
      <c r="S32" s="48">
        <v>8.4670403734979378E-3</v>
      </c>
      <c r="T32" s="14">
        <v>51.220600000000005</v>
      </c>
      <c r="U32" s="48">
        <v>5.2604691273687534</v>
      </c>
      <c r="V32" s="109">
        <v>100</v>
      </c>
      <c r="W32" s="47">
        <v>0</v>
      </c>
      <c r="X32">
        <v>2</v>
      </c>
      <c r="Y32">
        <v>0</v>
      </c>
    </row>
    <row r="33" spans="1:25" x14ac:dyDescent="0.35">
      <c r="A33" t="s">
        <v>134</v>
      </c>
      <c r="B33" s="2" t="s">
        <v>100</v>
      </c>
      <c r="C33">
        <v>1</v>
      </c>
      <c r="D33" s="2" t="s">
        <v>375</v>
      </c>
      <c r="E33" s="43">
        <v>0.94592000000000009</v>
      </c>
      <c r="F33" s="44">
        <v>0.64304905660377354</v>
      </c>
      <c r="G33" s="45">
        <v>9923.7108547209773</v>
      </c>
      <c r="H33" s="47">
        <v>3.0400000000000005</v>
      </c>
      <c r="I33" s="47">
        <v>0.11775681155103807</v>
      </c>
      <c r="J33">
        <v>16.666666666666661</v>
      </c>
      <c r="K33" s="14">
        <v>23.570226039551578</v>
      </c>
      <c r="L33" s="14">
        <v>83.503333333333302</v>
      </c>
      <c r="M33" s="14">
        <v>7.4984991090810196</v>
      </c>
      <c r="N33" s="157">
        <v>1.411</v>
      </c>
      <c r="O33" s="157">
        <v>0.67337300213180529</v>
      </c>
      <c r="P33" s="14">
        <v>59</v>
      </c>
      <c r="Q33" s="14">
        <v>2.1602468994692869</v>
      </c>
      <c r="R33" s="48">
        <v>6.1270829200000002E-2</v>
      </c>
      <c r="S33" s="48">
        <v>4.7149743517301843E-3</v>
      </c>
      <c r="T33" s="14">
        <v>55.180599999999991</v>
      </c>
      <c r="U33" s="48">
        <v>2.8187022971573268</v>
      </c>
      <c r="V33" s="109">
        <v>100</v>
      </c>
      <c r="W33" s="47">
        <v>0</v>
      </c>
      <c r="X33">
        <v>2</v>
      </c>
      <c r="Y33">
        <v>0</v>
      </c>
    </row>
    <row r="34" spans="1:25" x14ac:dyDescent="0.35">
      <c r="A34" t="s">
        <v>49</v>
      </c>
      <c r="B34" t="s">
        <v>82</v>
      </c>
      <c r="C34">
        <v>0</v>
      </c>
      <c r="D34" s="2" t="s">
        <v>393</v>
      </c>
      <c r="E34" s="43">
        <v>1.1868799999999999</v>
      </c>
      <c r="F34" s="44">
        <v>0.55212075471698108</v>
      </c>
      <c r="G34" s="45">
        <v>4043.5516138251478</v>
      </c>
      <c r="H34" s="47">
        <v>2.9156327543424316</v>
      </c>
      <c r="I34" s="47">
        <v>0.23821339950372211</v>
      </c>
      <c r="J34">
        <v>0</v>
      </c>
      <c r="K34" s="14">
        <v>0</v>
      </c>
      <c r="L34" s="14">
        <v>87.2</v>
      </c>
      <c r="M34" s="14">
        <v>4.5835430255062199</v>
      </c>
      <c r="N34" s="157">
        <v>2.8940000000000001</v>
      </c>
      <c r="O34" s="157">
        <v>1.2350363557401867</v>
      </c>
      <c r="P34" s="14">
        <v>36</v>
      </c>
      <c r="Q34" s="14">
        <v>6.4807406984078604</v>
      </c>
      <c r="R34" s="48">
        <v>4.4141224479999998E-2</v>
      </c>
      <c r="S34" s="48">
        <v>1.0258457833080121E-2</v>
      </c>
      <c r="T34" s="14">
        <v>44.072799999999994</v>
      </c>
      <c r="U34" s="48">
        <v>7.2855928900810918</v>
      </c>
      <c r="V34" s="109">
        <v>95</v>
      </c>
      <c r="W34" s="47">
        <v>0.4</v>
      </c>
      <c r="X34">
        <v>2</v>
      </c>
      <c r="Y34">
        <v>0</v>
      </c>
    </row>
    <row r="35" spans="1:25" x14ac:dyDescent="0.35">
      <c r="A35" t="s">
        <v>48</v>
      </c>
      <c r="B35" t="s">
        <v>82</v>
      </c>
      <c r="C35">
        <v>1</v>
      </c>
      <c r="D35" s="2" t="s">
        <v>393</v>
      </c>
      <c r="E35" s="43">
        <v>0.8446933333333333</v>
      </c>
      <c r="F35" s="44">
        <v>0.68124779874213837</v>
      </c>
      <c r="G35" s="45">
        <v>4768.9258020690677</v>
      </c>
      <c r="H35" s="47">
        <v>2.7993979200875749</v>
      </c>
      <c r="I35" s="47">
        <v>0.29964522406375882</v>
      </c>
      <c r="J35">
        <v>0</v>
      </c>
      <c r="K35" s="14">
        <v>0</v>
      </c>
      <c r="L35" s="14">
        <v>79.614999999999995</v>
      </c>
      <c r="M35" s="14">
        <v>9.7414180179273302</v>
      </c>
      <c r="N35" s="157">
        <v>2.2093999999999996</v>
      </c>
      <c r="O35" s="157">
        <v>0.64368955250182658</v>
      </c>
      <c r="P35" s="14">
        <v>56.666666666666664</v>
      </c>
      <c r="Q35" s="14">
        <v>4.714045207910317</v>
      </c>
      <c r="R35" s="48">
        <v>3.6680489999999996E-2</v>
      </c>
      <c r="S35" s="48">
        <v>5.6244678375805832E-3</v>
      </c>
      <c r="T35" s="14">
        <v>39.102999999999994</v>
      </c>
      <c r="U35" s="48">
        <v>4.0408496631277444</v>
      </c>
      <c r="V35" s="109">
        <v>100</v>
      </c>
      <c r="W35" s="47">
        <v>0</v>
      </c>
      <c r="X35">
        <v>2</v>
      </c>
      <c r="Y35">
        <v>0</v>
      </c>
    </row>
    <row r="36" spans="1:25" x14ac:dyDescent="0.35">
      <c r="A36" t="s">
        <v>22</v>
      </c>
      <c r="B36" t="s">
        <v>71</v>
      </c>
      <c r="C36">
        <v>0</v>
      </c>
      <c r="D36" s="2" t="s">
        <v>395</v>
      </c>
      <c r="E36" s="43">
        <v>1.1328800000000001</v>
      </c>
      <c r="F36" s="44">
        <v>0.57249811320754707</v>
      </c>
      <c r="G36" s="45">
        <v>6168.3008933089968</v>
      </c>
      <c r="H36" s="47">
        <v>3.6811409110259685</v>
      </c>
      <c r="I36" s="47">
        <v>5.5770036925624544E-2</v>
      </c>
      <c r="J36">
        <v>0</v>
      </c>
      <c r="K36" s="14">
        <v>0</v>
      </c>
      <c r="L36" s="14">
        <v>14.3233333333333</v>
      </c>
      <c r="M36" s="14">
        <v>10.9956243822511</v>
      </c>
      <c r="N36" s="157">
        <v>22.826799999999999</v>
      </c>
      <c r="O36" s="157">
        <v>12.599865354836144</v>
      </c>
      <c r="P36" s="14">
        <v>32.5</v>
      </c>
      <c r="Q36" s="14">
        <v>5.4083269131959844</v>
      </c>
      <c r="R36" s="46"/>
      <c r="S36" s="46"/>
      <c r="T36" s="14"/>
      <c r="U36" s="48"/>
      <c r="V36" s="109">
        <v>95</v>
      </c>
      <c r="W36" s="47">
        <v>0.9</v>
      </c>
      <c r="X36">
        <v>2</v>
      </c>
      <c r="Y36">
        <v>0</v>
      </c>
    </row>
    <row r="37" spans="1:25" x14ac:dyDescent="0.35">
      <c r="A37" t="s">
        <v>23</v>
      </c>
      <c r="B37" t="s">
        <v>71</v>
      </c>
      <c r="C37">
        <v>1</v>
      </c>
      <c r="D37" s="2" t="s">
        <v>395</v>
      </c>
      <c r="E37" s="43">
        <v>1.1547466666666666</v>
      </c>
      <c r="F37" s="44">
        <v>0.56424654088050308</v>
      </c>
      <c r="G37" s="45">
        <v>4922.7957344608058</v>
      </c>
      <c r="H37" s="47">
        <v>3.6733143399810064</v>
      </c>
      <c r="I37" s="47">
        <v>0.25830871878518519</v>
      </c>
      <c r="J37">
        <v>16.666666666666661</v>
      </c>
      <c r="K37" s="14">
        <v>23.570226039551578</v>
      </c>
      <c r="L37" s="14">
        <v>25.8966666666667</v>
      </c>
      <c r="M37" s="14">
        <v>8.0705486526973793</v>
      </c>
      <c r="N37" s="157">
        <v>15.212799999999998</v>
      </c>
      <c r="O37" s="157">
        <v>6.3948561641369261</v>
      </c>
      <c r="P37" s="14">
        <v>46</v>
      </c>
      <c r="Q37" s="14">
        <v>11.343133018115703</v>
      </c>
      <c r="R37" s="46"/>
      <c r="S37" s="46"/>
      <c r="T37" s="14"/>
      <c r="U37" s="48"/>
      <c r="V37" s="109">
        <v>85</v>
      </c>
      <c r="W37" s="47">
        <v>1.3</v>
      </c>
      <c r="X37">
        <v>2</v>
      </c>
      <c r="Y37">
        <v>0</v>
      </c>
    </row>
    <row r="38" spans="1:25" x14ac:dyDescent="0.35">
      <c r="A38" t="s">
        <v>135</v>
      </c>
      <c r="B38" t="s">
        <v>97</v>
      </c>
      <c r="C38">
        <v>0</v>
      </c>
      <c r="D38" s="2" t="s">
        <v>395</v>
      </c>
      <c r="E38" s="43">
        <v>0.92893333333333328</v>
      </c>
      <c r="F38" s="44">
        <v>0.64945911949685531</v>
      </c>
      <c r="G38" s="45">
        <v>2077.4127876749972</v>
      </c>
      <c r="H38" s="47">
        <v>2.5745519713261653</v>
      </c>
      <c r="I38" s="47">
        <v>0.22241233629797008</v>
      </c>
      <c r="J38">
        <v>0</v>
      </c>
      <c r="K38" s="14">
        <v>0</v>
      </c>
      <c r="L38" s="14">
        <v>95.723333333333301</v>
      </c>
      <c r="M38" s="14">
        <v>0.50413842896129002</v>
      </c>
      <c r="N38" s="157">
        <v>55.188602263599819</v>
      </c>
      <c r="O38" s="157">
        <v>25.995441171904435</v>
      </c>
      <c r="P38" s="14">
        <v>50</v>
      </c>
      <c r="Q38" s="14">
        <v>4.0824829046386304</v>
      </c>
      <c r="R38" s="46">
        <v>3.5030842E-2</v>
      </c>
      <c r="S38" s="46">
        <v>2.3976981834645059E-3</v>
      </c>
      <c r="T38" s="14">
        <v>37.994199999999999</v>
      </c>
      <c r="U38" s="48">
        <v>1.7524957517780171</v>
      </c>
      <c r="V38" s="109">
        <v>95</v>
      </c>
      <c r="W38" s="47">
        <v>0.7</v>
      </c>
      <c r="X38">
        <v>0</v>
      </c>
      <c r="Y38">
        <v>0</v>
      </c>
    </row>
    <row r="39" spans="1:25" x14ac:dyDescent="0.35">
      <c r="A39" t="s">
        <v>136</v>
      </c>
      <c r="B39" t="s">
        <v>97</v>
      </c>
      <c r="C39">
        <v>1</v>
      </c>
      <c r="D39" s="2" t="s">
        <v>395</v>
      </c>
      <c r="E39" s="43">
        <v>0.97432000000000007</v>
      </c>
      <c r="F39" s="44">
        <v>0.63233207547169812</v>
      </c>
      <c r="G39" s="45">
        <v>1479.9464631485914</v>
      </c>
      <c r="H39" s="47">
        <v>2.7150793650793652</v>
      </c>
      <c r="I39" s="47">
        <v>0.35299353303756026</v>
      </c>
      <c r="J39">
        <v>24.999999999999996</v>
      </c>
      <c r="K39" s="14">
        <v>24.999999999999996</v>
      </c>
      <c r="L39" s="14">
        <v>94.75</v>
      </c>
      <c r="M39" s="14">
        <v>1.2493464958395899</v>
      </c>
      <c r="N39" s="157">
        <v>111.2106</v>
      </c>
      <c r="O39" s="157">
        <v>57.399022049508808</v>
      </c>
      <c r="P39" s="14">
        <v>48.333333333333336</v>
      </c>
      <c r="Q39" s="14">
        <v>6.2360956446232354</v>
      </c>
      <c r="R39" s="46">
        <v>3.5936674880000005E-2</v>
      </c>
      <c r="S39" s="46">
        <v>8.1427335713803659E-3</v>
      </c>
      <c r="T39" s="14">
        <v>38.449599999999997</v>
      </c>
      <c r="U39" s="48">
        <v>5.8814999311400049</v>
      </c>
      <c r="V39" s="109">
        <v>97.5</v>
      </c>
      <c r="W39" s="47">
        <v>0.3</v>
      </c>
      <c r="X39">
        <v>1</v>
      </c>
      <c r="Y39">
        <v>0</v>
      </c>
    </row>
    <row r="40" spans="1:25" x14ac:dyDescent="0.35">
      <c r="A40" t="s">
        <v>57</v>
      </c>
      <c r="B40" s="2" t="s">
        <v>86</v>
      </c>
      <c r="C40">
        <v>0</v>
      </c>
      <c r="D40" s="2" t="s">
        <v>375</v>
      </c>
      <c r="E40" s="43">
        <v>0.90285333333333329</v>
      </c>
      <c r="F40" s="44">
        <v>0.65930062893081764</v>
      </c>
      <c r="G40" s="45">
        <v>1670.6690293437293</v>
      </c>
      <c r="H40" s="47">
        <v>3.240301724137931</v>
      </c>
      <c r="I40" s="47">
        <v>0.32676497529589837</v>
      </c>
      <c r="J40">
        <v>124.99999999999997</v>
      </c>
      <c r="K40" s="14">
        <v>43.301270189221924</v>
      </c>
      <c r="L40" s="14">
        <v>66.58</v>
      </c>
      <c r="M40" s="14">
        <v>14.555922047973</v>
      </c>
      <c r="N40" s="157">
        <v>6.4098720604157551</v>
      </c>
      <c r="O40" s="157">
        <v>1.6585180531845956</v>
      </c>
      <c r="P40" s="14"/>
      <c r="Q40" s="14"/>
      <c r="R40" s="46">
        <v>4.8147851999999998E-2</v>
      </c>
      <c r="S40" s="46">
        <v>8.7125352579546771E-3</v>
      </c>
      <c r="T40" s="14">
        <v>46.844799999999992</v>
      </c>
      <c r="U40" s="48">
        <v>5.886097430386295</v>
      </c>
      <c r="V40" s="109">
        <v>80</v>
      </c>
      <c r="W40" s="47">
        <v>2.2000000000000002</v>
      </c>
      <c r="X40">
        <v>2</v>
      </c>
      <c r="Y40">
        <v>0</v>
      </c>
    </row>
    <row r="41" spans="1:25" x14ac:dyDescent="0.35">
      <c r="A41" t="s">
        <v>56</v>
      </c>
      <c r="B41" s="2" t="s">
        <v>86</v>
      </c>
      <c r="C41">
        <v>1</v>
      </c>
      <c r="D41" s="2" t="s">
        <v>375</v>
      </c>
      <c r="E41" s="43">
        <v>1.0082933333333333</v>
      </c>
      <c r="F41" s="44">
        <v>0.61951194968553458</v>
      </c>
      <c r="G41" s="45">
        <v>1994.0399799882539</v>
      </c>
      <c r="H41" s="47">
        <v>3.3886039886039883</v>
      </c>
      <c r="I41" s="47">
        <v>0.19612643325284376</v>
      </c>
      <c r="J41">
        <v>59.999999999999986</v>
      </c>
      <c r="K41" s="14">
        <v>37.416573867739409</v>
      </c>
      <c r="L41" s="14">
        <v>79.606666666666698</v>
      </c>
      <c r="M41" s="14">
        <v>4.4443547213165697</v>
      </c>
      <c r="N41" s="157">
        <v>7.2586000571473592</v>
      </c>
      <c r="O41" s="157">
        <v>1.4798280103350829</v>
      </c>
      <c r="P41" s="14"/>
      <c r="Q41" s="14"/>
      <c r="R41" s="46">
        <v>5.5948673866666666E-2</v>
      </c>
      <c r="S41" s="46">
        <v>7.6439223879165401E-3</v>
      </c>
      <c r="T41" s="14">
        <v>51.873999999999995</v>
      </c>
      <c r="U41" s="48">
        <v>4.6904134146149623</v>
      </c>
      <c r="V41" s="109">
        <v>92.5</v>
      </c>
      <c r="W41" s="47">
        <v>0.7</v>
      </c>
      <c r="X41">
        <v>2</v>
      </c>
      <c r="Y41">
        <v>0</v>
      </c>
    </row>
    <row r="42" spans="1:25" x14ac:dyDescent="0.35">
      <c r="A42" t="s">
        <v>18</v>
      </c>
      <c r="B42" s="2" t="s">
        <v>70</v>
      </c>
      <c r="C42">
        <v>0</v>
      </c>
      <c r="D42" s="2" t="s">
        <v>375</v>
      </c>
      <c r="E42" s="43">
        <v>1.1898133333333334</v>
      </c>
      <c r="F42" s="44">
        <v>0.55101383647798741</v>
      </c>
      <c r="G42" s="45">
        <v>10644.209514521717</v>
      </c>
      <c r="H42" s="47">
        <v>3.5942028985507246</v>
      </c>
      <c r="I42" s="47">
        <v>0.57388376444125666</v>
      </c>
      <c r="J42">
        <v>0</v>
      </c>
      <c r="K42" s="14">
        <v>0</v>
      </c>
      <c r="L42" s="14">
        <v>60.28</v>
      </c>
      <c r="M42" s="14">
        <v>9.0838024343700106</v>
      </c>
      <c r="N42" s="157">
        <v>16.102399999999999</v>
      </c>
      <c r="O42" s="157">
        <v>10.106458026430429</v>
      </c>
      <c r="P42" s="14"/>
      <c r="Q42" s="14"/>
      <c r="R42" s="46">
        <v>4.4016530720000002E-2</v>
      </c>
      <c r="S42" s="46">
        <v>3.5913967990327924E-3</v>
      </c>
      <c r="T42" s="14">
        <v>44.270799999999994</v>
      </c>
      <c r="U42" s="48">
        <v>2.424509797876675</v>
      </c>
      <c r="V42" s="109">
        <v>97.5</v>
      </c>
      <c r="W42" s="47">
        <v>1</v>
      </c>
      <c r="X42">
        <v>2</v>
      </c>
      <c r="Y42">
        <v>0</v>
      </c>
    </row>
    <row r="43" spans="1:25" x14ac:dyDescent="0.35">
      <c r="A43" t="s">
        <v>19</v>
      </c>
      <c r="B43" s="2" t="s">
        <v>70</v>
      </c>
      <c r="C43">
        <v>1</v>
      </c>
      <c r="D43" s="2" t="s">
        <v>375</v>
      </c>
      <c r="E43" s="43">
        <v>1.1424800000000002</v>
      </c>
      <c r="F43" s="44">
        <v>0.56887547169811314</v>
      </c>
      <c r="G43" s="45">
        <v>9008.9759800940865</v>
      </c>
      <c r="H43" s="47">
        <v>3.5268727373990529</v>
      </c>
      <c r="I43" s="47">
        <v>0.20462019682084645</v>
      </c>
      <c r="J43">
        <v>0</v>
      </c>
      <c r="K43" s="14">
        <v>0</v>
      </c>
      <c r="L43" s="14">
        <v>67.3333333333333</v>
      </c>
      <c r="M43" s="14">
        <v>2.79702619858227</v>
      </c>
      <c r="N43" s="157">
        <v>14.087999999999999</v>
      </c>
      <c r="O43" s="157">
        <v>11.369077517547323</v>
      </c>
      <c r="P43" s="14"/>
      <c r="Q43" s="14"/>
      <c r="R43" s="46">
        <v>0</v>
      </c>
      <c r="S43" s="46">
        <v>5.5170571967452014E-3</v>
      </c>
      <c r="T43" s="14">
        <v>46.528000000000006</v>
      </c>
      <c r="U43" s="48">
        <v>3.6579126834849403</v>
      </c>
      <c r="V43" s="109">
        <v>95</v>
      </c>
      <c r="W43" s="47">
        <v>5.5</v>
      </c>
      <c r="X43">
        <v>2</v>
      </c>
      <c r="Y43">
        <v>0</v>
      </c>
    </row>
    <row r="44" spans="1:25" x14ac:dyDescent="0.35">
      <c r="J44">
        <f>MAX(J4:J43)</f>
        <v>124.99999999999997</v>
      </c>
    </row>
  </sheetData>
  <autoFilter ref="A3:Y3" xr:uid="{EC26E323-63E0-46BB-B1C6-0AA350F0EACF}">
    <sortState xmlns:xlrd2="http://schemas.microsoft.com/office/spreadsheetml/2017/richdata2" ref="A4:Y43">
      <sortCondition ref="A3"/>
    </sortState>
  </autoFilter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BA7E3-9A68-4B8D-8AAE-555E15EBCAC2}">
  <dimension ref="A2:Y42"/>
  <sheetViews>
    <sheetView zoomScaleNormal="100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A15" sqref="A15"/>
    </sheetView>
  </sheetViews>
  <sheetFormatPr defaultRowHeight="14.5" x14ac:dyDescent="0.35"/>
  <cols>
    <col min="5" max="6" width="9.26953125" bestFit="1" customWidth="1"/>
    <col min="7" max="7" width="11" bestFit="1" customWidth="1"/>
    <col min="8" max="11" width="9.26953125" bestFit="1" customWidth="1"/>
    <col min="14" max="17" width="9.26953125" bestFit="1" customWidth="1"/>
    <col min="18" max="18" width="10.54296875" bestFit="1" customWidth="1"/>
    <col min="19" max="21" width="9.26953125" bestFit="1" customWidth="1"/>
    <col min="24" max="25" width="9.1796875" style="48"/>
  </cols>
  <sheetData>
    <row r="2" spans="1:21" x14ac:dyDescent="0.35">
      <c r="A2" s="1" t="s">
        <v>411</v>
      </c>
      <c r="B2" s="1" t="s">
        <v>412</v>
      </c>
      <c r="C2" s="1" t="s">
        <v>91</v>
      </c>
      <c r="D2" s="1" t="s">
        <v>119</v>
      </c>
      <c r="E2" s="1" t="s">
        <v>116</v>
      </c>
      <c r="F2" s="1" t="s">
        <v>10</v>
      </c>
      <c r="G2" s="1" t="s">
        <v>115</v>
      </c>
      <c r="H2" s="1" t="s">
        <v>112</v>
      </c>
      <c r="I2" s="1" t="s">
        <v>151</v>
      </c>
      <c r="J2" s="1" t="s">
        <v>401</v>
      </c>
      <c r="K2" s="1" t="s">
        <v>151</v>
      </c>
      <c r="L2" s="1" t="s">
        <v>400</v>
      </c>
      <c r="M2" s="1" t="s">
        <v>151</v>
      </c>
      <c r="N2" s="1" t="s">
        <v>153</v>
      </c>
      <c r="O2" s="1" t="s">
        <v>151</v>
      </c>
      <c r="P2" s="1" t="s">
        <v>384</v>
      </c>
      <c r="Q2" s="1" t="s">
        <v>151</v>
      </c>
      <c r="R2" s="1" t="s">
        <v>402</v>
      </c>
      <c r="S2" s="1" t="s">
        <v>151</v>
      </c>
      <c r="T2" s="1" t="s">
        <v>150</v>
      </c>
      <c r="U2" s="1" t="s">
        <v>151</v>
      </c>
    </row>
    <row r="3" spans="1:21" x14ac:dyDescent="0.35">
      <c r="A3" t="s">
        <v>127</v>
      </c>
      <c r="B3" t="s">
        <v>98</v>
      </c>
      <c r="C3">
        <v>0</v>
      </c>
      <c r="D3" t="s">
        <v>378</v>
      </c>
      <c r="E3" s="48">
        <v>0.77949425287356333</v>
      </c>
      <c r="F3" s="61">
        <v>0.70585122533073075</v>
      </c>
      <c r="G3" s="88">
        <v>12547.710488606348</v>
      </c>
      <c r="H3" s="47">
        <v>2.6379208754208756</v>
      </c>
      <c r="I3" s="47">
        <v>0.22459071886133436</v>
      </c>
      <c r="J3" s="14">
        <v>69.999999999999986</v>
      </c>
      <c r="K3" s="14">
        <v>67.823299831252669</v>
      </c>
      <c r="L3" s="14">
        <v>15.519375</v>
      </c>
      <c r="M3" s="14">
        <v>2.2256878150360602</v>
      </c>
      <c r="N3" s="47">
        <v>5.4732355369037009</v>
      </c>
      <c r="O3" s="47">
        <v>3.0986891667937804</v>
      </c>
      <c r="P3" s="14">
        <v>125</v>
      </c>
      <c r="Q3" s="14">
        <v>12.24744871391589</v>
      </c>
      <c r="R3" s="48">
        <v>0</v>
      </c>
      <c r="S3" s="48">
        <v>0</v>
      </c>
      <c r="T3" s="14">
        <v>0</v>
      </c>
      <c r="U3" s="14">
        <v>0</v>
      </c>
    </row>
    <row r="4" spans="1:21" x14ac:dyDescent="0.35">
      <c r="A4" t="s">
        <v>128</v>
      </c>
      <c r="B4" t="s">
        <v>98</v>
      </c>
      <c r="C4">
        <v>1</v>
      </c>
      <c r="D4" t="s">
        <v>378</v>
      </c>
      <c r="E4" s="48">
        <v>0.73650574712643679</v>
      </c>
      <c r="F4" s="61">
        <v>0.72207330297115591</v>
      </c>
      <c r="G4" s="88">
        <v>11157.489729237086</v>
      </c>
      <c r="H4" s="47">
        <v>1.9084986772486772</v>
      </c>
      <c r="I4" s="47">
        <v>0.10260522412421647</v>
      </c>
      <c r="J4" s="14">
        <v>49.999999999999993</v>
      </c>
      <c r="K4" s="14">
        <v>77.459666924148323</v>
      </c>
      <c r="L4" s="14">
        <v>13.669375</v>
      </c>
      <c r="M4" s="14">
        <v>3.2709844975684801</v>
      </c>
      <c r="N4" s="47">
        <v>5.1845507300586133</v>
      </c>
      <c r="O4" s="47">
        <v>3.2657381112908102</v>
      </c>
      <c r="P4" s="14">
        <v>126.25</v>
      </c>
      <c r="Q4" s="14">
        <v>6.49519052838329</v>
      </c>
      <c r="R4" s="48">
        <v>0</v>
      </c>
      <c r="S4" s="48">
        <v>0</v>
      </c>
      <c r="T4" s="14">
        <v>0</v>
      </c>
      <c r="U4" s="14">
        <v>0</v>
      </c>
    </row>
    <row r="5" spans="1:21" x14ac:dyDescent="0.35">
      <c r="A5" t="s">
        <v>37</v>
      </c>
      <c r="B5" t="s">
        <v>76</v>
      </c>
      <c r="C5">
        <v>0</v>
      </c>
      <c r="D5" t="s">
        <v>377</v>
      </c>
      <c r="E5" s="48">
        <v>1.2425287356321839</v>
      </c>
      <c r="F5" s="61">
        <v>0.53112123183691173</v>
      </c>
      <c r="G5" s="88">
        <v>3040.1169882051004</v>
      </c>
      <c r="H5" s="47">
        <v>2.8603994705943734</v>
      </c>
      <c r="I5" s="47">
        <v>0.36644087456711777</v>
      </c>
      <c r="J5" s="14">
        <v>19.999999999999996</v>
      </c>
      <c r="K5" s="14">
        <v>39.999999999999993</v>
      </c>
      <c r="L5" s="14">
        <v>91.975499999999997</v>
      </c>
      <c r="M5" s="14">
        <v>4.78445231425379</v>
      </c>
      <c r="N5" s="47">
        <v>11.39829247255881</v>
      </c>
      <c r="O5" s="47">
        <v>9.6221866744065068</v>
      </c>
      <c r="P5" s="14">
        <v>43</v>
      </c>
      <c r="Q5" s="14">
        <v>2.4494897427831779</v>
      </c>
      <c r="R5" s="48">
        <v>4.7341024000000002E-2</v>
      </c>
      <c r="S5" s="48">
        <v>8.5556475453388899E-3</v>
      </c>
      <c r="T5" s="14">
        <v>46.33</v>
      </c>
      <c r="U5" s="14">
        <v>5.6698571410573875</v>
      </c>
    </row>
    <row r="6" spans="1:21" x14ac:dyDescent="0.35">
      <c r="A6" t="s">
        <v>36</v>
      </c>
      <c r="B6" t="s">
        <v>76</v>
      </c>
      <c r="C6">
        <v>1</v>
      </c>
      <c r="D6" t="s">
        <v>377</v>
      </c>
      <c r="E6" s="48">
        <v>1.173103448275862</v>
      </c>
      <c r="F6" s="61">
        <v>0.5573194534808068</v>
      </c>
      <c r="G6" s="88">
        <v>5773.2136596647615</v>
      </c>
      <c r="H6" s="47">
        <v>2.7494407814407813</v>
      </c>
      <c r="I6" s="47">
        <v>0.18606421343242907</v>
      </c>
      <c r="J6" s="14">
        <v>69.999999999999986</v>
      </c>
      <c r="K6" s="14">
        <v>59.999999999999986</v>
      </c>
      <c r="L6" s="14">
        <v>83.402000000000001</v>
      </c>
      <c r="M6" s="14">
        <v>9.1329655067436004</v>
      </c>
      <c r="N6" s="47">
        <v>10.775629492667736</v>
      </c>
      <c r="O6" s="47">
        <v>6.7656292927256212</v>
      </c>
      <c r="P6" s="14">
        <v>79</v>
      </c>
      <c r="Q6" s="14">
        <v>3.7416573867739413</v>
      </c>
      <c r="R6" s="48">
        <v>3.6615535999999997E-2</v>
      </c>
      <c r="S6" s="48">
        <v>6.6244744675290493E-3</v>
      </c>
      <c r="T6" s="14">
        <v>39.004000000000005</v>
      </c>
      <c r="U6" s="14">
        <v>4.9539584172659072</v>
      </c>
    </row>
    <row r="7" spans="1:21" x14ac:dyDescent="0.35">
      <c r="A7" t="s">
        <v>129</v>
      </c>
      <c r="B7" t="s">
        <v>99</v>
      </c>
      <c r="C7">
        <v>0</v>
      </c>
      <c r="D7" t="s">
        <v>377</v>
      </c>
      <c r="E7" s="48">
        <v>0.93402298850574716</v>
      </c>
      <c r="F7" s="61">
        <v>0.64753849490349169</v>
      </c>
      <c r="G7" s="88">
        <v>8188.1755017377636</v>
      </c>
      <c r="H7" s="47">
        <v>2.6945603500442208</v>
      </c>
      <c r="I7" s="47">
        <v>0.17670948735031372</v>
      </c>
      <c r="J7" s="14">
        <v>0</v>
      </c>
      <c r="K7" s="14">
        <v>0</v>
      </c>
      <c r="L7" s="14">
        <v>85.495000000000005</v>
      </c>
      <c r="M7" s="14">
        <v>10.0533322572013</v>
      </c>
      <c r="N7" s="47">
        <v>11.572385083868639</v>
      </c>
      <c r="O7" s="47">
        <v>1.9279073833609972</v>
      </c>
      <c r="P7" s="14">
        <v>85</v>
      </c>
      <c r="Q7" s="14">
        <v>6.1237243569579451</v>
      </c>
      <c r="R7" s="48">
        <v>5.3706304000000017E-2</v>
      </c>
      <c r="S7" s="48">
        <v>1.1654350150184394E-2</v>
      </c>
      <c r="T7" s="14">
        <v>50.290000000000006</v>
      </c>
      <c r="U7" s="14">
        <v>7.461211697841037</v>
      </c>
    </row>
    <row r="8" spans="1:21" x14ac:dyDescent="0.35">
      <c r="A8" t="s">
        <v>130</v>
      </c>
      <c r="B8" t="s">
        <v>99</v>
      </c>
      <c r="C8">
        <v>1</v>
      </c>
      <c r="D8" t="s">
        <v>377</v>
      </c>
      <c r="E8" s="48">
        <v>0.98995402298850577</v>
      </c>
      <c r="F8" s="61">
        <v>0.62643244415528088</v>
      </c>
      <c r="G8" s="88">
        <v>802.40585117489343</v>
      </c>
      <c r="H8" s="47">
        <v>2.3162980030721965</v>
      </c>
      <c r="I8" s="47">
        <v>0.54571360427183691</v>
      </c>
      <c r="J8" s="14">
        <v>0</v>
      </c>
      <c r="K8" s="14">
        <v>0</v>
      </c>
      <c r="L8" s="14">
        <v>67.242500000000007</v>
      </c>
      <c r="M8" s="14">
        <v>7.8770271409299699</v>
      </c>
      <c r="N8" s="47">
        <v>8.1867516411540571</v>
      </c>
      <c r="O8" s="47">
        <v>3.6579273471479286</v>
      </c>
      <c r="P8" s="14">
        <v>10</v>
      </c>
      <c r="Q8" s="14">
        <v>0</v>
      </c>
      <c r="R8" s="48">
        <v>3.6657792000000002E-2</v>
      </c>
      <c r="S8" s="48">
        <v>1.691592218780685E-2</v>
      </c>
      <c r="T8" s="14">
        <v>38.013999999999996</v>
      </c>
      <c r="U8" s="14">
        <v>13.553964143378865</v>
      </c>
    </row>
    <row r="9" spans="1:21" x14ac:dyDescent="0.35">
      <c r="A9" t="s">
        <v>29</v>
      </c>
      <c r="B9" t="s">
        <v>73</v>
      </c>
      <c r="C9">
        <v>0</v>
      </c>
      <c r="D9" t="s">
        <v>377</v>
      </c>
      <c r="E9" s="48">
        <v>0.9167816091954023</v>
      </c>
      <c r="F9" s="61">
        <v>0.65404467577531988</v>
      </c>
      <c r="G9" s="88">
        <v>4360.8567322639356</v>
      </c>
      <c r="H9" s="47">
        <v>3.7731237102204842</v>
      </c>
      <c r="I9" s="47">
        <v>0.29910002357961574</v>
      </c>
      <c r="J9" s="14">
        <v>19.999999999999996</v>
      </c>
      <c r="K9" s="14">
        <v>39.999999999999993</v>
      </c>
      <c r="L9" s="14">
        <v>69.525499999999994</v>
      </c>
      <c r="M9" s="14">
        <v>7.8585035906469196</v>
      </c>
      <c r="N9" s="47">
        <v>8.2792501679438786</v>
      </c>
      <c r="O9" s="47">
        <v>2.3043426531730979</v>
      </c>
      <c r="P9" s="14">
        <v>60</v>
      </c>
      <c r="Q9" s="14">
        <v>0</v>
      </c>
      <c r="R9" s="48">
        <v>4.9013936000000001E-2</v>
      </c>
      <c r="S9" s="48">
        <v>1.0841276727813168E-2</v>
      </c>
      <c r="T9" s="14">
        <v>47.319999999999993</v>
      </c>
      <c r="U9" s="14">
        <v>7.0838633527193497</v>
      </c>
    </row>
    <row r="10" spans="1:21" x14ac:dyDescent="0.35">
      <c r="A10" t="s">
        <v>28</v>
      </c>
      <c r="B10" t="s">
        <v>73</v>
      </c>
      <c r="C10">
        <v>1</v>
      </c>
      <c r="D10" t="s">
        <v>377</v>
      </c>
      <c r="E10" s="48">
        <v>1.0720689655172415</v>
      </c>
      <c r="F10" s="61">
        <v>0.59544567338972021</v>
      </c>
      <c r="G10" s="88">
        <v>601.62759781154568</v>
      </c>
      <c r="H10" s="47">
        <v>3.9926654446800627</v>
      </c>
      <c r="I10" s="47">
        <v>0.44260199679849682</v>
      </c>
      <c r="J10" s="14">
        <v>29.999999999999993</v>
      </c>
      <c r="K10" s="14">
        <v>39.999999999999993</v>
      </c>
      <c r="L10" s="14">
        <v>40.158999999999999</v>
      </c>
      <c r="M10" s="14">
        <v>18.363684098900499</v>
      </c>
      <c r="N10" s="47">
        <v>13.734150830300697</v>
      </c>
      <c r="O10" s="47">
        <v>8.5491005424367561</v>
      </c>
      <c r="P10" s="14">
        <v>38</v>
      </c>
      <c r="Q10" s="14">
        <v>8.717797887081348</v>
      </c>
      <c r="R10" s="48">
        <v>3.6664143999999996E-2</v>
      </c>
      <c r="S10" s="48">
        <v>7.5507606846505204E-3</v>
      </c>
      <c r="T10" s="14">
        <v>39.004000000000005</v>
      </c>
      <c r="U10" s="14">
        <v>5.4799875912267755</v>
      </c>
    </row>
    <row r="11" spans="1:21" x14ac:dyDescent="0.35">
      <c r="A11" t="s">
        <v>53</v>
      </c>
      <c r="B11" t="s">
        <v>84</v>
      </c>
      <c r="C11">
        <v>0</v>
      </c>
      <c r="D11" t="s">
        <v>393</v>
      </c>
      <c r="E11" s="48">
        <v>1.096528735632184</v>
      </c>
      <c r="F11" s="61">
        <v>0.58621557145955316</v>
      </c>
      <c r="G11" s="88">
        <v>1046.1226313691864</v>
      </c>
      <c r="H11" s="47">
        <v>2.9148681541582149</v>
      </c>
      <c r="I11" s="47">
        <v>0.27802648762329846</v>
      </c>
      <c r="J11" s="14">
        <v>89.999999999999986</v>
      </c>
      <c r="K11" s="14">
        <v>48.989794855663547</v>
      </c>
      <c r="L11" s="14">
        <v>61.374499999999998</v>
      </c>
      <c r="M11" s="14">
        <v>4.8037085180426802</v>
      </c>
      <c r="N11" s="47">
        <v>4.0079715035302623</v>
      </c>
      <c r="O11" s="47">
        <v>1.6879075110277133</v>
      </c>
      <c r="P11" s="14">
        <v>22.8</v>
      </c>
      <c r="Q11" s="14">
        <v>21.535087647836495</v>
      </c>
      <c r="R11" s="48">
        <v>3.2506463999999999E-2</v>
      </c>
      <c r="S11" s="48">
        <v>5.544495172899332E-3</v>
      </c>
      <c r="T11" s="14">
        <v>36.033999999999992</v>
      </c>
      <c r="U11" s="14">
        <v>4.2281229878044275</v>
      </c>
    </row>
    <row r="12" spans="1:21" x14ac:dyDescent="0.35">
      <c r="A12" t="s">
        <v>52</v>
      </c>
      <c r="B12" t="s">
        <v>84</v>
      </c>
      <c r="C12">
        <v>1</v>
      </c>
      <c r="D12" t="s">
        <v>393</v>
      </c>
      <c r="E12" s="48">
        <v>1.0477635459015184</v>
      </c>
      <c r="F12" s="61">
        <v>0.6046175298484836</v>
      </c>
      <c r="G12" s="88">
        <v>3988.5766004392435</v>
      </c>
      <c r="H12" s="47">
        <v>3.1511381092026252</v>
      </c>
      <c r="I12" s="47">
        <v>0.17388243269861456</v>
      </c>
      <c r="J12" s="14">
        <v>159.99999999999997</v>
      </c>
      <c r="K12" s="14">
        <v>115.75836902790225</v>
      </c>
      <c r="L12" s="14">
        <v>92.487499999999997</v>
      </c>
      <c r="M12" s="14">
        <v>4.4145343280275098</v>
      </c>
      <c r="N12" s="47">
        <v>17.660522456738082</v>
      </c>
      <c r="O12" s="47">
        <v>9.5905927696665181</v>
      </c>
      <c r="P12" s="14">
        <v>86</v>
      </c>
      <c r="Q12" s="14">
        <v>8.6023252670426267</v>
      </c>
      <c r="R12" s="48">
        <v>2.4887247999999997E-2</v>
      </c>
      <c r="S12" s="48">
        <v>1.2845791826440906E-2</v>
      </c>
      <c r="T12" s="14">
        <v>29.5</v>
      </c>
      <c r="U12" s="14">
        <v>10.07662443479958</v>
      </c>
    </row>
    <row r="13" spans="1:21" x14ac:dyDescent="0.35">
      <c r="A13" t="s">
        <v>25</v>
      </c>
      <c r="B13" t="s">
        <v>72</v>
      </c>
      <c r="C13">
        <v>0</v>
      </c>
      <c r="D13" t="s">
        <v>394</v>
      </c>
      <c r="E13" s="48">
        <v>1.1718390804597703</v>
      </c>
      <c r="F13" s="61">
        <v>0.55779657341140743</v>
      </c>
      <c r="G13" s="88">
        <v>1868.4007294956257</v>
      </c>
      <c r="H13" s="47">
        <v>2.5483001541469283</v>
      </c>
      <c r="I13" s="47">
        <v>0.88716783355867423</v>
      </c>
      <c r="J13" s="14">
        <v>0</v>
      </c>
      <c r="K13" s="14">
        <v>0</v>
      </c>
      <c r="L13" s="14">
        <v>63.162500000000001</v>
      </c>
      <c r="M13" s="14">
        <v>17.6766944025177</v>
      </c>
      <c r="N13" s="47">
        <v>71.942256259574705</v>
      </c>
      <c r="O13" s="47">
        <v>29.150249786787715</v>
      </c>
      <c r="P13" s="14">
        <v>60</v>
      </c>
      <c r="Q13" s="14">
        <v>0</v>
      </c>
      <c r="R13" s="48">
        <v>4.8018640000000001E-2</v>
      </c>
      <c r="S13" s="48">
        <v>1.2530158060053377E-2</v>
      </c>
      <c r="T13" s="14">
        <v>47.814999999999998</v>
      </c>
      <c r="U13" s="14">
        <v>1.4849999999999994</v>
      </c>
    </row>
    <row r="14" spans="1:21" x14ac:dyDescent="0.35">
      <c r="A14" t="s">
        <v>24</v>
      </c>
      <c r="B14" t="s">
        <v>72</v>
      </c>
      <c r="C14">
        <v>1</v>
      </c>
      <c r="D14" t="s">
        <v>394</v>
      </c>
      <c r="E14" s="48">
        <v>1.092528735632184</v>
      </c>
      <c r="F14" s="61">
        <v>0.58772500542181727</v>
      </c>
      <c r="G14" s="88">
        <v>2563.0772030671505</v>
      </c>
      <c r="H14" s="47">
        <v>1.9773076923076924</v>
      </c>
      <c r="I14" s="47">
        <v>0.24339114711323567</v>
      </c>
      <c r="J14" s="14">
        <v>0</v>
      </c>
      <c r="K14" s="14">
        <v>0</v>
      </c>
      <c r="L14" s="14">
        <v>73.516499999999994</v>
      </c>
      <c r="M14" s="14">
        <v>13.865110425281999</v>
      </c>
      <c r="N14" s="47">
        <v>43.649921213757082</v>
      </c>
      <c r="O14" s="47">
        <v>29.670334736293345</v>
      </c>
      <c r="P14" s="14">
        <v>41</v>
      </c>
      <c r="Q14" s="14">
        <v>12</v>
      </c>
      <c r="R14" s="48">
        <v>4.3841855999999998E-2</v>
      </c>
      <c r="S14" s="48">
        <v>3.5719872334463894E-3</v>
      </c>
      <c r="T14" s="14">
        <v>44.152000000000001</v>
      </c>
      <c r="U14" s="14">
        <v>2.4571153819061893</v>
      </c>
    </row>
    <row r="15" spans="1:21" x14ac:dyDescent="0.35">
      <c r="A15" t="s">
        <v>43</v>
      </c>
      <c r="B15" t="s">
        <v>79</v>
      </c>
      <c r="C15">
        <v>0</v>
      </c>
      <c r="D15" t="s">
        <v>378</v>
      </c>
      <c r="E15" s="48">
        <v>1.2749425287356322</v>
      </c>
      <c r="F15" s="61">
        <v>0.51888961179787463</v>
      </c>
      <c r="G15" s="88">
        <v>1162.6709665365377</v>
      </c>
      <c r="H15" s="47">
        <v>3.197150997150997</v>
      </c>
      <c r="I15" s="47">
        <v>0.45308873867981281</v>
      </c>
      <c r="J15" s="14">
        <v>19.999999999999996</v>
      </c>
      <c r="K15" s="14">
        <v>39.999999999999993</v>
      </c>
      <c r="L15" s="14">
        <v>97.816000000000003</v>
      </c>
      <c r="M15" s="14">
        <v>1.3216990659952199</v>
      </c>
      <c r="N15" s="47">
        <v>5.7314293578401152</v>
      </c>
      <c r="O15" s="47">
        <v>3.0790726190377313</v>
      </c>
      <c r="P15" s="14">
        <v>20</v>
      </c>
      <c r="Q15" s="14">
        <v>4.0824829046386304</v>
      </c>
      <c r="R15" s="48">
        <v>2.6419536E-2</v>
      </c>
      <c r="S15" s="48">
        <v>9.7665195716664637E-3</v>
      </c>
      <c r="T15" s="14">
        <v>31.083999999999996</v>
      </c>
      <c r="U15" s="14">
        <v>7.3179685705802218</v>
      </c>
    </row>
    <row r="16" spans="1:21" x14ac:dyDescent="0.35">
      <c r="A16" t="s">
        <v>42</v>
      </c>
      <c r="B16" t="s">
        <v>79</v>
      </c>
      <c r="C16">
        <v>1</v>
      </c>
      <c r="D16" t="s">
        <v>378</v>
      </c>
      <c r="E16" s="48">
        <v>1.3193103448275862</v>
      </c>
      <c r="F16" s="61">
        <v>0.50214703968770324</v>
      </c>
      <c r="G16" s="88">
        <v>1440.9802989051207</v>
      </c>
      <c r="H16" s="47">
        <v>2.556896551724138</v>
      </c>
      <c r="I16" s="47">
        <v>0.26117249165492762</v>
      </c>
      <c r="J16" s="14">
        <v>9.9999999999999982</v>
      </c>
      <c r="K16" s="14">
        <v>19.999999999999996</v>
      </c>
      <c r="L16" s="14">
        <v>97.816000000000003</v>
      </c>
      <c r="M16" s="14">
        <v>1.3216990659952199</v>
      </c>
      <c r="N16" s="47">
        <v>7.6820378740593238</v>
      </c>
      <c r="O16" s="47">
        <v>9.1516409832279635</v>
      </c>
      <c r="P16" s="14">
        <v>22.4</v>
      </c>
      <c r="Q16" s="14">
        <v>2.2449944320643649</v>
      </c>
      <c r="R16" s="48">
        <v>2.393824E-2</v>
      </c>
      <c r="S16" s="48">
        <v>8.4993208209785832E-3</v>
      </c>
      <c r="T16" s="14">
        <v>29.104000000000003</v>
      </c>
      <c r="U16" s="14">
        <v>6.9891475875102174</v>
      </c>
    </row>
    <row r="17" spans="1:21" x14ac:dyDescent="0.35">
      <c r="A17" t="s">
        <v>61</v>
      </c>
      <c r="B17" t="s">
        <v>88</v>
      </c>
      <c r="C17">
        <v>0</v>
      </c>
      <c r="D17" t="s">
        <v>378</v>
      </c>
      <c r="E17" s="48">
        <v>1.0311494252873563</v>
      </c>
      <c r="F17" s="61">
        <v>0.61088700932552586</v>
      </c>
      <c r="G17" s="88">
        <v>2128.5292544890226</v>
      </c>
      <c r="H17" s="47">
        <v>3.2484998227578878</v>
      </c>
      <c r="I17" s="47">
        <v>0.41410362614560087</v>
      </c>
      <c r="J17" s="14">
        <v>29.999999999999993</v>
      </c>
      <c r="K17" s="14">
        <v>59.999999999999986</v>
      </c>
      <c r="L17" s="14">
        <v>71.087500000000006</v>
      </c>
      <c r="M17" s="14">
        <v>11.3434529575434</v>
      </c>
      <c r="N17" s="47">
        <v>3.2905080579303698</v>
      </c>
      <c r="O17" s="47">
        <v>2.1699820591408461</v>
      </c>
      <c r="P17" s="14">
        <v>16.666666666666668</v>
      </c>
      <c r="Q17" s="14">
        <v>2.3570226039551585</v>
      </c>
      <c r="R17" s="48">
        <v>3.2203823999999999E-2</v>
      </c>
      <c r="S17" s="48">
        <v>4.9453687905578877E-3</v>
      </c>
      <c r="T17" s="14">
        <v>35.835999999999999</v>
      </c>
      <c r="U17" s="14">
        <v>3.6830128970721825</v>
      </c>
    </row>
    <row r="18" spans="1:21" x14ac:dyDescent="0.35">
      <c r="A18" t="s">
        <v>60</v>
      </c>
      <c r="B18" t="s">
        <v>88</v>
      </c>
      <c r="C18">
        <v>1</v>
      </c>
      <c r="D18" t="s">
        <v>378</v>
      </c>
      <c r="E18" s="48">
        <v>1.10816091954023</v>
      </c>
      <c r="F18" s="61">
        <v>0.58182606809802639</v>
      </c>
      <c r="G18" s="88">
        <v>1509.1689203986612</v>
      </c>
      <c r="H18" s="47">
        <v>3.3183531746031747</v>
      </c>
      <c r="I18" s="47">
        <v>0.41355560970133681</v>
      </c>
      <c r="J18" s="14">
        <v>0</v>
      </c>
      <c r="K18" s="14">
        <v>0</v>
      </c>
      <c r="L18" s="14">
        <v>72.386499999999998</v>
      </c>
      <c r="M18" s="14">
        <v>10.7950092147885</v>
      </c>
      <c r="N18" s="47">
        <v>2.9888938937554252</v>
      </c>
      <c r="O18" s="47">
        <v>2.0948467425245889</v>
      </c>
      <c r="P18" s="14">
        <v>29</v>
      </c>
      <c r="Q18" s="14">
        <v>2</v>
      </c>
      <c r="R18" s="48">
        <v>3.7600415999999998E-2</v>
      </c>
      <c r="S18" s="48">
        <v>4.5887467643773959E-3</v>
      </c>
      <c r="T18" s="14">
        <v>39.795999999999999</v>
      </c>
      <c r="U18" s="14">
        <v>3.2894230497155594</v>
      </c>
    </row>
    <row r="19" spans="1:21" x14ac:dyDescent="0.35">
      <c r="A19" t="s">
        <v>63</v>
      </c>
      <c r="B19" t="s">
        <v>89</v>
      </c>
      <c r="C19">
        <v>0</v>
      </c>
      <c r="D19" t="s">
        <v>378</v>
      </c>
      <c r="E19" s="48">
        <v>1.0982758620689654</v>
      </c>
      <c r="F19" s="61">
        <v>0.58555627846454139</v>
      </c>
      <c r="G19" s="88">
        <v>1296.1414403078268</v>
      </c>
      <c r="H19" s="47">
        <v>2.4742211193824097</v>
      </c>
      <c r="I19" s="47">
        <v>0.3344106670452921</v>
      </c>
      <c r="J19" s="14">
        <v>59.999999999999986</v>
      </c>
      <c r="K19" s="14">
        <v>79.999999999999986</v>
      </c>
      <c r="L19" s="14">
        <v>52.085833333333298</v>
      </c>
      <c r="M19" s="14">
        <v>17.97411276559</v>
      </c>
      <c r="N19" s="47">
        <v>16.150442030252076</v>
      </c>
      <c r="O19" s="47">
        <v>9.3280731588830008</v>
      </c>
      <c r="P19" s="14">
        <v>23</v>
      </c>
      <c r="Q19" s="14">
        <v>5.0990195135927845</v>
      </c>
      <c r="R19" s="48">
        <v>2.36356E-2</v>
      </c>
      <c r="S19" s="48">
        <v>8.0914455532444841E-3</v>
      </c>
      <c r="T19" s="14">
        <v>28.905999999999999</v>
      </c>
      <c r="U19" s="14">
        <v>6.4646317760565433</v>
      </c>
    </row>
    <row r="20" spans="1:21" x14ac:dyDescent="0.35">
      <c r="A20" t="s">
        <v>62</v>
      </c>
      <c r="B20" t="s">
        <v>89</v>
      </c>
      <c r="C20">
        <v>1</v>
      </c>
      <c r="D20" t="s">
        <v>378</v>
      </c>
      <c r="E20" s="48">
        <v>1.1980459770114942</v>
      </c>
      <c r="F20" s="61">
        <v>0.54790717848622861</v>
      </c>
      <c r="G20" s="88">
        <v>1217.8012410087795</v>
      </c>
      <c r="H20" s="47">
        <v>2.6780448717948717</v>
      </c>
      <c r="I20" s="47">
        <v>0.59664354714830992</v>
      </c>
      <c r="J20" s="14">
        <v>9.9999999999999982</v>
      </c>
      <c r="K20" s="14">
        <v>19.999999999999996</v>
      </c>
      <c r="L20" s="14">
        <v>56.477499999999999</v>
      </c>
      <c r="M20" s="14">
        <v>13.809264281633499</v>
      </c>
      <c r="N20" s="47">
        <v>10.997611356723594</v>
      </c>
      <c r="O20" s="47">
        <v>4.3771036303867703</v>
      </c>
      <c r="P20" s="14">
        <v>23</v>
      </c>
      <c r="Q20" s="14">
        <v>2.4494897427831779</v>
      </c>
      <c r="R20" s="48">
        <v>3.3644111999999997E-2</v>
      </c>
      <c r="S20" s="48">
        <v>6.7036551992667578E-3</v>
      </c>
      <c r="T20" s="14">
        <v>36.826000000000001</v>
      </c>
      <c r="U20" s="14">
        <v>5.1097812086232866</v>
      </c>
    </row>
    <row r="21" spans="1:21" x14ac:dyDescent="0.35">
      <c r="A21" t="s">
        <v>16</v>
      </c>
      <c r="B21" t="s">
        <v>69</v>
      </c>
      <c r="C21">
        <v>0</v>
      </c>
      <c r="D21" t="s">
        <v>395</v>
      </c>
      <c r="E21" s="48">
        <v>0.93816091954022995</v>
      </c>
      <c r="F21" s="61">
        <v>0.64597701149425291</v>
      </c>
      <c r="G21" s="88">
        <v>3538.9435911408436</v>
      </c>
      <c r="H21" s="47">
        <v>3.1697676558546122</v>
      </c>
      <c r="I21" s="47">
        <v>0.63831727157631291</v>
      </c>
      <c r="J21" s="14">
        <v>9.9999999999999982</v>
      </c>
      <c r="K21" s="14">
        <v>19.999999999999996</v>
      </c>
      <c r="L21" s="14">
        <v>76.506</v>
      </c>
      <c r="M21" s="14">
        <v>5.1415176952458603</v>
      </c>
      <c r="N21" s="47">
        <v>4.7939830995886066</v>
      </c>
      <c r="O21" s="47">
        <v>2.0900037843216239</v>
      </c>
      <c r="P21" s="14">
        <v>66.400000000000006</v>
      </c>
      <c r="Q21" s="14">
        <v>1.9595917942265422</v>
      </c>
      <c r="R21" s="48">
        <v>5.099700800000001E-2</v>
      </c>
      <c r="S21" s="48">
        <v>8.5336829530944965E-3</v>
      </c>
      <c r="T21" s="14">
        <v>48.706000000000003</v>
      </c>
      <c r="U21" s="14">
        <v>5.621247548365063</v>
      </c>
    </row>
    <row r="22" spans="1:21" x14ac:dyDescent="0.35">
      <c r="A22" t="s">
        <v>17</v>
      </c>
      <c r="B22" t="s">
        <v>69</v>
      </c>
      <c r="C22">
        <v>1</v>
      </c>
      <c r="D22" t="s">
        <v>395</v>
      </c>
      <c r="E22" s="48">
        <v>0.84563218390804595</v>
      </c>
      <c r="F22" s="61">
        <v>0.68089351550639776</v>
      </c>
      <c r="G22" s="88">
        <v>5169.3881349856711</v>
      </c>
      <c r="H22" s="47">
        <v>3.401090629800307</v>
      </c>
      <c r="I22" s="47">
        <v>0.25665411896765983</v>
      </c>
      <c r="J22" s="14">
        <v>19.999999999999996</v>
      </c>
      <c r="K22" s="14">
        <v>24.494897427831773</v>
      </c>
      <c r="L22" s="14">
        <v>84.289000000000001</v>
      </c>
      <c r="M22" s="14">
        <v>8.6056302867122394</v>
      </c>
      <c r="N22" s="47">
        <v>6.5744666485211001</v>
      </c>
      <c r="O22" s="47">
        <v>2.523862128382393</v>
      </c>
      <c r="P22" s="14">
        <v>67</v>
      </c>
      <c r="Q22" s="14">
        <v>4</v>
      </c>
      <c r="R22" s="48">
        <v>4.6338784000000001E-2</v>
      </c>
      <c r="S22" s="48">
        <v>1.1208050360189525E-2</v>
      </c>
      <c r="T22" s="14">
        <v>45.537999999999997</v>
      </c>
      <c r="U22" s="14">
        <v>7.3660257941443064</v>
      </c>
    </row>
    <row r="23" spans="1:21" x14ac:dyDescent="0.35">
      <c r="A23" t="s">
        <v>14</v>
      </c>
      <c r="B23" t="s">
        <v>68</v>
      </c>
      <c r="C23">
        <v>0</v>
      </c>
      <c r="D23" t="s">
        <v>393</v>
      </c>
      <c r="E23" s="48">
        <v>0.80954022988505736</v>
      </c>
      <c r="F23" s="61">
        <v>0.69451312079809158</v>
      </c>
      <c r="G23" s="88">
        <v>1656.5264948054544</v>
      </c>
      <c r="H23" s="47">
        <v>2.5531089743589743</v>
      </c>
      <c r="I23" s="47">
        <v>0.37425736788495589</v>
      </c>
      <c r="J23" s="14">
        <v>49.999999999999993</v>
      </c>
      <c r="K23" s="14">
        <v>44.721359549995782</v>
      </c>
      <c r="L23" s="14">
        <v>94.879230769230801</v>
      </c>
      <c r="M23" s="14">
        <v>1.87791312160805</v>
      </c>
      <c r="N23" s="47">
        <v>4.5764377836244936</v>
      </c>
      <c r="O23" s="47">
        <v>1.4723367570071153</v>
      </c>
      <c r="P23" s="14">
        <v>26.666666666666668</v>
      </c>
      <c r="Q23" s="14">
        <v>6.2360956446232354</v>
      </c>
      <c r="R23" s="48">
        <v>3.7562223999999991E-2</v>
      </c>
      <c r="S23" s="48">
        <v>3.5804343031850196E-3</v>
      </c>
      <c r="T23" s="14">
        <v>39.796000000000006</v>
      </c>
      <c r="U23" s="14">
        <v>2.5510515478915754</v>
      </c>
    </row>
    <row r="24" spans="1:21" x14ac:dyDescent="0.35">
      <c r="A24" t="s">
        <v>15</v>
      </c>
      <c r="B24" t="s">
        <v>68</v>
      </c>
      <c r="C24">
        <v>1</v>
      </c>
      <c r="D24" t="s">
        <v>393</v>
      </c>
      <c r="E24" s="48">
        <v>0.62413793103448278</v>
      </c>
      <c r="F24" s="61">
        <v>0.76447625243981787</v>
      </c>
      <c r="G24" s="88">
        <v>3506.4868644829985</v>
      </c>
      <c r="H24" s="47">
        <v>2.5434258455671137</v>
      </c>
      <c r="I24" s="47">
        <v>0.18529013929530858</v>
      </c>
      <c r="J24" s="14">
        <v>24.999999999999996</v>
      </c>
      <c r="K24" s="14">
        <v>24.999999999999996</v>
      </c>
      <c r="L24" s="14">
        <v>84.5625</v>
      </c>
      <c r="M24" s="14">
        <v>5.2929960010061103</v>
      </c>
      <c r="N24" s="47">
        <v>4.8248636368823563</v>
      </c>
      <c r="O24" s="47">
        <v>0.88913082486958006</v>
      </c>
      <c r="P24" s="14">
        <v>65</v>
      </c>
      <c r="Q24" s="14">
        <v>3.5355339059327378</v>
      </c>
      <c r="R24" s="48">
        <v>4.8551008000000007E-2</v>
      </c>
      <c r="S24" s="48">
        <v>1.2218861816935973E-2</v>
      </c>
      <c r="T24" s="14">
        <v>46.923999999999992</v>
      </c>
      <c r="U24" s="14">
        <v>8.1541390716617101</v>
      </c>
    </row>
    <row r="25" spans="1:21" x14ac:dyDescent="0.35">
      <c r="A25" t="s">
        <v>41</v>
      </c>
      <c r="B25" t="s">
        <v>78</v>
      </c>
      <c r="C25">
        <v>0</v>
      </c>
      <c r="D25" t="s">
        <v>377</v>
      </c>
      <c r="E25" s="48">
        <v>1.0972413793103448</v>
      </c>
      <c r="F25" s="61">
        <v>0.58594664931685103</v>
      </c>
      <c r="G25" s="88">
        <v>3368.9998246549835</v>
      </c>
      <c r="H25" s="47">
        <v>3.1804688083308768</v>
      </c>
      <c r="I25" s="47">
        <v>0.5960642956295551</v>
      </c>
      <c r="J25" s="14">
        <v>49.999999999999993</v>
      </c>
      <c r="K25" s="14">
        <v>44.721359549995782</v>
      </c>
      <c r="L25" s="14">
        <v>83.282499999999999</v>
      </c>
      <c r="M25" s="14">
        <v>5.9494042449278197</v>
      </c>
      <c r="N25" s="47">
        <v>1.1996596432692348</v>
      </c>
      <c r="O25" s="47">
        <v>1.1914069564228684</v>
      </c>
      <c r="P25" s="14">
        <v>67</v>
      </c>
      <c r="Q25" s="14">
        <v>6.06630035524124</v>
      </c>
      <c r="R25" s="48">
        <v>5.4585282480000011E-2</v>
      </c>
      <c r="S25" s="48">
        <v>6.2779335670664158E-3</v>
      </c>
      <c r="T25" s="14">
        <v>51.062200000000004</v>
      </c>
      <c r="U25" s="14">
        <v>3.9621774013791971</v>
      </c>
    </row>
    <row r="26" spans="1:21" x14ac:dyDescent="0.35">
      <c r="A26" t="s">
        <v>40</v>
      </c>
      <c r="B26" t="s">
        <v>78</v>
      </c>
      <c r="C26">
        <v>1</v>
      </c>
      <c r="D26" t="s">
        <v>377</v>
      </c>
      <c r="E26" s="48">
        <v>1.0467816091954023</v>
      </c>
      <c r="F26" s="61">
        <v>0.60498807200173499</v>
      </c>
      <c r="G26" s="88">
        <v>4209.9146922236405</v>
      </c>
      <c r="H26" s="47">
        <v>3.521906796906797</v>
      </c>
      <c r="I26" s="47">
        <v>0.42874232790400574</v>
      </c>
      <c r="J26" s="14">
        <v>69.999999999999986</v>
      </c>
      <c r="K26" s="14">
        <v>59.999999999999986</v>
      </c>
      <c r="L26" s="14">
        <v>75.789500000000004</v>
      </c>
      <c r="M26" s="14">
        <v>5.9535972982284999</v>
      </c>
      <c r="N26" s="47">
        <v>1.3536241652870462</v>
      </c>
      <c r="O26" s="47">
        <v>1.2214042388771074</v>
      </c>
      <c r="P26" s="14">
        <v>59.6</v>
      </c>
      <c r="Q26" s="14">
        <v>3.2619012860600178</v>
      </c>
      <c r="R26" s="48">
        <v>4.8954620000000004E-2</v>
      </c>
      <c r="S26" s="48">
        <v>4.6100159528357377E-3</v>
      </c>
      <c r="T26" s="14">
        <v>47.517999999999994</v>
      </c>
      <c r="U26" s="14">
        <v>3.012594562831183</v>
      </c>
    </row>
    <row r="27" spans="1:21" x14ac:dyDescent="0.35">
      <c r="A27" t="s">
        <v>31</v>
      </c>
      <c r="B27" t="s">
        <v>74</v>
      </c>
      <c r="C27">
        <v>0</v>
      </c>
      <c r="D27" t="s">
        <v>378</v>
      </c>
      <c r="E27" s="48">
        <v>1.0755172413793104</v>
      </c>
      <c r="F27" s="61">
        <v>0.59414443721535459</v>
      </c>
      <c r="G27" s="88">
        <v>2933.5581738025389</v>
      </c>
      <c r="H27" s="47">
        <v>3.0060215053763444</v>
      </c>
      <c r="I27" s="47">
        <v>0.38768271066486021</v>
      </c>
      <c r="J27" s="14">
        <v>24.999999999999996</v>
      </c>
      <c r="K27" s="14">
        <v>43.301270189221924</v>
      </c>
      <c r="L27" s="14">
        <v>89.0563157894737</v>
      </c>
      <c r="M27" s="14">
        <v>6.61621342740386</v>
      </c>
      <c r="N27" s="47">
        <v>4.7774224298642576</v>
      </c>
      <c r="O27" s="47">
        <v>3.933858097535281</v>
      </c>
      <c r="P27" s="14">
        <v>40</v>
      </c>
      <c r="Q27" s="14">
        <v>5.4772255750516612</v>
      </c>
      <c r="R27" s="48">
        <v>3.5484255999999999E-2</v>
      </c>
      <c r="S27" s="48">
        <v>9.8588459882434625E-3</v>
      </c>
      <c r="T27" s="14">
        <v>38.013999999999996</v>
      </c>
      <c r="U27" s="14">
        <v>7.1554471558386732</v>
      </c>
    </row>
    <row r="28" spans="1:21" x14ac:dyDescent="0.35">
      <c r="A28" t="s">
        <v>30</v>
      </c>
      <c r="B28" t="s">
        <v>74</v>
      </c>
      <c r="C28">
        <v>1</v>
      </c>
      <c r="D28" t="s">
        <v>378</v>
      </c>
      <c r="E28" s="48">
        <v>0.97942528735632184</v>
      </c>
      <c r="F28" s="61">
        <v>0.63040555194101056</v>
      </c>
      <c r="G28" s="88">
        <v>2989.9004651181667</v>
      </c>
      <c r="H28" s="47">
        <v>3.2550868486352358</v>
      </c>
      <c r="I28" s="47">
        <v>0.47132291867905945</v>
      </c>
      <c r="J28" s="14">
        <v>99.999999999999986</v>
      </c>
      <c r="K28" s="14">
        <v>93.541434669348519</v>
      </c>
      <c r="L28" s="14">
        <v>80.1755</v>
      </c>
      <c r="M28" s="14">
        <v>6.6851685606430697</v>
      </c>
      <c r="N28" s="47">
        <v>5.2914098229491762</v>
      </c>
      <c r="O28" s="47">
        <v>3.7827483765047423</v>
      </c>
      <c r="P28" s="14">
        <v>40</v>
      </c>
      <c r="Q28" s="14">
        <v>5.4772255750516612</v>
      </c>
      <c r="R28" s="48">
        <v>3.6338943999999998E-2</v>
      </c>
      <c r="S28" s="48">
        <v>1.4435889448789239E-2</v>
      </c>
      <c r="T28" s="14">
        <v>38.212000000000003</v>
      </c>
      <c r="U28" s="14">
        <v>10.815948224728148</v>
      </c>
    </row>
    <row r="29" spans="1:21" x14ac:dyDescent="0.35">
      <c r="A29" t="s">
        <v>131</v>
      </c>
      <c r="B29" t="s">
        <v>101</v>
      </c>
      <c r="C29">
        <v>0</v>
      </c>
      <c r="D29" t="s">
        <v>375</v>
      </c>
      <c r="E29" s="48">
        <v>0.97370114942528729</v>
      </c>
      <c r="F29" s="61">
        <v>0.63256560399045769</v>
      </c>
      <c r="G29" s="88">
        <v>7212.5924490843463</v>
      </c>
      <c r="H29" s="47">
        <v>2.4998035996007597</v>
      </c>
      <c r="I29" s="47">
        <v>0.20453027749199251</v>
      </c>
      <c r="J29" s="14">
        <v>69.999999999999986</v>
      </c>
      <c r="K29" s="14">
        <v>59.999999999999986</v>
      </c>
      <c r="L29" s="14">
        <v>94.106842105263198</v>
      </c>
      <c r="M29" s="14">
        <v>2.3387319751228399</v>
      </c>
      <c r="N29" s="47">
        <v>5.8619508215088301</v>
      </c>
      <c r="O29" s="47">
        <v>3.418858405959496</v>
      </c>
      <c r="P29" s="14">
        <v>61</v>
      </c>
      <c r="Q29" s="14">
        <v>9.6953597148326587</v>
      </c>
      <c r="R29" s="48">
        <v>6.1025216000000007E-2</v>
      </c>
      <c r="S29" s="48">
        <v>4.184430117058234E-3</v>
      </c>
      <c r="T29" s="14">
        <v>55.041999999999994</v>
      </c>
      <c r="U29" s="14">
        <v>2.5356371980234056</v>
      </c>
    </row>
    <row r="30" spans="1:21" x14ac:dyDescent="0.35">
      <c r="A30" t="s">
        <v>132</v>
      </c>
      <c r="B30" t="s">
        <v>101</v>
      </c>
      <c r="C30">
        <v>1</v>
      </c>
      <c r="D30" t="s">
        <v>375</v>
      </c>
      <c r="E30" s="48">
        <v>0.90443678160919538</v>
      </c>
      <c r="F30" s="61">
        <v>0.6587031012795489</v>
      </c>
      <c r="G30" s="88">
        <v>7641.5489727765289</v>
      </c>
      <c r="H30" s="47">
        <v>2.3933573323228492</v>
      </c>
      <c r="I30" s="47">
        <v>0.29397792788988719</v>
      </c>
      <c r="J30" s="14">
        <v>49.999999999999993</v>
      </c>
      <c r="K30" s="14">
        <v>63.245553203367578</v>
      </c>
      <c r="L30" s="14">
        <v>89.700500000000005</v>
      </c>
      <c r="M30" s="14">
        <v>4.3432336667753102</v>
      </c>
      <c r="N30" s="47">
        <v>3.9101069531113675</v>
      </c>
      <c r="O30" s="47">
        <v>2.6399115126579336</v>
      </c>
      <c r="P30" s="14">
        <v>58</v>
      </c>
      <c r="Q30" s="14">
        <v>5.0990195135927845</v>
      </c>
      <c r="R30" s="48">
        <v>5.0854655999999998E-2</v>
      </c>
      <c r="S30" s="48">
        <v>6.1531979012464733E-3</v>
      </c>
      <c r="T30" s="14">
        <v>48.705999999999996</v>
      </c>
      <c r="U30" s="14">
        <v>3.9401502509422133</v>
      </c>
    </row>
    <row r="31" spans="1:21" x14ac:dyDescent="0.35">
      <c r="A31" t="s">
        <v>133</v>
      </c>
      <c r="B31" t="s">
        <v>100</v>
      </c>
      <c r="C31">
        <v>0</v>
      </c>
      <c r="D31" t="s">
        <v>375</v>
      </c>
      <c r="E31" s="48">
        <v>0.85944827586206907</v>
      </c>
      <c r="F31" s="61">
        <v>0.675679895901106</v>
      </c>
      <c r="G31" s="88">
        <v>7250.1076624223942</v>
      </c>
      <c r="H31" s="47">
        <v>3.0808008898776418</v>
      </c>
      <c r="I31" s="47">
        <v>0.27443567321742263</v>
      </c>
      <c r="J31" s="14">
        <v>149.99999999999997</v>
      </c>
      <c r="K31" s="14">
        <v>61.237243569579434</v>
      </c>
      <c r="L31" s="14">
        <v>54.476999999999997</v>
      </c>
      <c r="M31" s="14">
        <v>5.4110054518545798</v>
      </c>
      <c r="N31" s="47">
        <v>7.0416596302288523</v>
      </c>
      <c r="O31" s="47">
        <v>5.4654279236172316</v>
      </c>
      <c r="P31" s="14">
        <v>62</v>
      </c>
      <c r="Q31" s="14">
        <v>8.1240384046359608</v>
      </c>
      <c r="R31" s="48">
        <v>4.7038384000000003E-2</v>
      </c>
      <c r="S31" s="48">
        <v>8.5685352581864084E-3</v>
      </c>
      <c r="T31" s="14">
        <v>46.131999999999991</v>
      </c>
      <c r="U31" s="14">
        <v>5.6490756766041335</v>
      </c>
    </row>
    <row r="32" spans="1:21" x14ac:dyDescent="0.35">
      <c r="A32" t="s">
        <v>134</v>
      </c>
      <c r="B32" t="s">
        <v>100</v>
      </c>
      <c r="C32">
        <v>1</v>
      </c>
      <c r="D32" t="s">
        <v>375</v>
      </c>
      <c r="E32" s="48">
        <v>0.90512643678160931</v>
      </c>
      <c r="F32" s="61">
        <v>0.65844285404467573</v>
      </c>
      <c r="G32" s="88">
        <v>9442.9062024451268</v>
      </c>
      <c r="H32" s="47">
        <v>2.7566666666666668</v>
      </c>
      <c r="I32" s="47">
        <v>0.20203275368140364</v>
      </c>
      <c r="J32" s="14">
        <v>109.99999999999999</v>
      </c>
      <c r="K32" s="14">
        <v>96.953597148326551</v>
      </c>
      <c r="L32" s="14">
        <v>56.472499999999997</v>
      </c>
      <c r="M32" s="14">
        <v>4.0320503795411504</v>
      </c>
      <c r="N32" s="47">
        <v>3.1669505159840998</v>
      </c>
      <c r="O32" s="47">
        <v>1.0786321504811085</v>
      </c>
      <c r="P32" s="14">
        <v>71.666666666666671</v>
      </c>
      <c r="Q32" s="14">
        <v>2.3570226039551581</v>
      </c>
      <c r="R32" s="48">
        <v>5.6621023999999999E-2</v>
      </c>
      <c r="S32" s="48">
        <v>1.2187325000319972E-2</v>
      </c>
      <c r="T32" s="14">
        <v>52.071999999999989</v>
      </c>
      <c r="U32" s="14">
        <v>7.8553864322514411</v>
      </c>
    </row>
    <row r="33" spans="1:21" x14ac:dyDescent="0.35">
      <c r="A33" t="s">
        <v>49</v>
      </c>
      <c r="B33" t="s">
        <v>82</v>
      </c>
      <c r="C33">
        <v>0</v>
      </c>
      <c r="D33" t="s">
        <v>393</v>
      </c>
      <c r="E33" s="48">
        <v>0.82712643678160924</v>
      </c>
      <c r="F33" s="61">
        <v>0.68787681630882669</v>
      </c>
      <c r="G33" s="88">
        <v>5891.9359042431088</v>
      </c>
      <c r="H33" s="47">
        <v>3.0563875205254512</v>
      </c>
      <c r="I33" s="47">
        <v>0.50341846393674139</v>
      </c>
      <c r="J33" s="14">
        <v>0</v>
      </c>
      <c r="K33" s="14">
        <v>0</v>
      </c>
      <c r="L33" s="14">
        <v>87.76</v>
      </c>
      <c r="M33" s="14">
        <v>4.1900797630895603</v>
      </c>
      <c r="N33" s="47">
        <v>9.4901098555898162</v>
      </c>
      <c r="O33" s="47">
        <v>3.6054644920414733</v>
      </c>
      <c r="P33" s="14">
        <v>85</v>
      </c>
      <c r="Q33" s="14">
        <v>3.1622776601683795</v>
      </c>
      <c r="R33" s="48">
        <v>5.9720912000000001E-2</v>
      </c>
      <c r="S33" s="48">
        <v>4.7918431767594444E-3</v>
      </c>
      <c r="T33" s="14">
        <v>54.25</v>
      </c>
      <c r="U33" s="14">
        <v>2.8692925957455082</v>
      </c>
    </row>
    <row r="34" spans="1:21" x14ac:dyDescent="0.35">
      <c r="A34" t="s">
        <v>48</v>
      </c>
      <c r="B34" t="s">
        <v>82</v>
      </c>
      <c r="C34">
        <v>1</v>
      </c>
      <c r="D34" t="s">
        <v>393</v>
      </c>
      <c r="E34" s="48">
        <v>0.81482758620689655</v>
      </c>
      <c r="F34" s="61">
        <v>0.69251789199739755</v>
      </c>
      <c r="G34" s="88">
        <v>3430.202539553874</v>
      </c>
      <c r="H34" s="47">
        <v>2.6319977266268828</v>
      </c>
      <c r="I34" s="47">
        <v>0.40816189002190478</v>
      </c>
      <c r="J34" s="14">
        <v>0</v>
      </c>
      <c r="K34" s="14">
        <v>0</v>
      </c>
      <c r="L34" s="14">
        <v>82.724999999999994</v>
      </c>
      <c r="M34" s="14">
        <v>5.5124189933181498</v>
      </c>
      <c r="N34" s="47">
        <v>16.790034103328018</v>
      </c>
      <c r="O34" s="47">
        <v>4.8016145513581003</v>
      </c>
      <c r="P34" s="14">
        <v>38</v>
      </c>
      <c r="Q34" s="14">
        <v>12.083045973594572</v>
      </c>
      <c r="R34" s="48">
        <v>3.4652143999999996E-2</v>
      </c>
      <c r="S34" s="48">
        <v>1.2187512380021779E-2</v>
      </c>
      <c r="T34" s="14">
        <v>37.222000000000001</v>
      </c>
      <c r="U34" s="14">
        <v>8.9077997283279426</v>
      </c>
    </row>
    <row r="35" spans="1:21" x14ac:dyDescent="0.35">
      <c r="A35" t="s">
        <v>22</v>
      </c>
      <c r="B35" t="s">
        <v>71</v>
      </c>
      <c r="C35">
        <v>0</v>
      </c>
      <c r="D35" t="s">
        <v>395</v>
      </c>
      <c r="E35" s="48">
        <v>1.0834482758620689</v>
      </c>
      <c r="F35" s="61">
        <v>0.59115159401431361</v>
      </c>
      <c r="G35" s="88">
        <v>1087.5670370029427</v>
      </c>
      <c r="H35" s="47">
        <v>2.5815270935960593</v>
      </c>
      <c r="I35" s="47">
        <v>0.16313808638582505</v>
      </c>
      <c r="J35" s="14">
        <v>99.999999999999986</v>
      </c>
      <c r="K35" s="14">
        <v>79.056941504209476</v>
      </c>
      <c r="L35" s="14">
        <v>75.789500000000004</v>
      </c>
      <c r="M35" s="14">
        <v>5.9535972982284999</v>
      </c>
      <c r="N35" s="47">
        <v>6.0914911507464584</v>
      </c>
      <c r="O35" s="47">
        <v>2.4146312098248215</v>
      </c>
      <c r="P35" s="14">
        <v>22</v>
      </c>
      <c r="Q35" s="14">
        <v>4</v>
      </c>
      <c r="R35" s="48">
        <v>0</v>
      </c>
      <c r="S35" s="48">
        <v>0</v>
      </c>
      <c r="T35" s="14">
        <v>0</v>
      </c>
      <c r="U35" s="14">
        <v>0</v>
      </c>
    </row>
    <row r="36" spans="1:21" x14ac:dyDescent="0.35">
      <c r="A36" t="s">
        <v>23</v>
      </c>
      <c r="B36" t="s">
        <v>71</v>
      </c>
      <c r="C36">
        <v>1</v>
      </c>
      <c r="D36" t="s">
        <v>395</v>
      </c>
      <c r="E36" s="48">
        <v>1.05</v>
      </c>
      <c r="F36" s="61">
        <v>0.60377358490566035</v>
      </c>
      <c r="G36" s="88">
        <v>775.50001583684968</v>
      </c>
      <c r="H36" s="47">
        <v>2.6007836990595612</v>
      </c>
      <c r="I36" s="47">
        <v>0.41217924745543283</v>
      </c>
      <c r="J36" s="14">
        <v>9.9999999999999982</v>
      </c>
      <c r="K36" s="14">
        <v>19.999999999999996</v>
      </c>
      <c r="L36" s="14">
        <v>70.259</v>
      </c>
      <c r="M36" s="14">
        <v>4.4414671592071704</v>
      </c>
      <c r="N36" s="47">
        <v>8.8394586146384917</v>
      </c>
      <c r="O36" s="47">
        <v>3.6373007396228476</v>
      </c>
      <c r="P36" s="14">
        <v>20</v>
      </c>
      <c r="Q36" s="14">
        <v>3.1622776601683795</v>
      </c>
      <c r="R36" s="48">
        <v>0</v>
      </c>
      <c r="S36" s="48">
        <v>0</v>
      </c>
      <c r="T36" s="14">
        <v>0</v>
      </c>
      <c r="U36" s="14">
        <v>0</v>
      </c>
    </row>
    <row r="37" spans="1:21" x14ac:dyDescent="0.35">
      <c r="A37" t="s">
        <v>135</v>
      </c>
      <c r="B37" t="s">
        <v>97</v>
      </c>
      <c r="C37">
        <v>0</v>
      </c>
      <c r="D37" t="s">
        <v>395</v>
      </c>
      <c r="E37" s="48">
        <v>0.92413793103448283</v>
      </c>
      <c r="F37" s="61">
        <v>0.65126870527000646</v>
      </c>
      <c r="G37" s="88">
        <v>5167.2289516765559</v>
      </c>
      <c r="H37" s="47">
        <v>2.3632234432234434</v>
      </c>
      <c r="I37" s="47">
        <v>0.25340619628966399</v>
      </c>
      <c r="J37" s="14">
        <v>59.999999999999986</v>
      </c>
      <c r="K37" s="14">
        <v>37.416573867739409</v>
      </c>
      <c r="L37" s="14">
        <v>89.091999999999999</v>
      </c>
      <c r="M37" s="14">
        <v>2.5830043706791099</v>
      </c>
      <c r="N37" s="47">
        <v>9.5249755911807839</v>
      </c>
      <c r="O37" s="47">
        <v>3.4229488292159349</v>
      </c>
      <c r="P37" s="14">
        <v>73.400000000000006</v>
      </c>
      <c r="Q37" s="14">
        <v>5.3141321022345691</v>
      </c>
      <c r="R37" s="48">
        <v>6.2517008000000013E-2</v>
      </c>
      <c r="S37" s="48">
        <v>8.1009873290763656E-3</v>
      </c>
      <c r="T37" s="14">
        <v>55.833999999999989</v>
      </c>
      <c r="U37" s="14">
        <v>4.9539584172659348</v>
      </c>
    </row>
    <row r="38" spans="1:21" x14ac:dyDescent="0.35">
      <c r="A38" t="s">
        <v>136</v>
      </c>
      <c r="B38" t="s">
        <v>97</v>
      </c>
      <c r="C38">
        <v>1</v>
      </c>
      <c r="D38" t="s">
        <v>395</v>
      </c>
      <c r="E38" s="48">
        <v>1.0589655172413794</v>
      </c>
      <c r="F38" s="61">
        <v>0.60039037085230962</v>
      </c>
      <c r="G38" s="88">
        <v>5416.7967733013893</v>
      </c>
      <c r="H38" s="47">
        <v>2.6326947912864633</v>
      </c>
      <c r="I38" s="47">
        <v>0.38861615752597634</v>
      </c>
      <c r="J38" s="14">
        <v>69.999999999999986</v>
      </c>
      <c r="K38" s="14">
        <v>59.999999999999986</v>
      </c>
      <c r="L38" s="14">
        <v>93.566000000000003</v>
      </c>
      <c r="M38" s="14">
        <v>1.38670529635801</v>
      </c>
      <c r="N38" s="47">
        <v>6.7966838949411237</v>
      </c>
      <c r="O38" s="47">
        <v>2.5994931410874824</v>
      </c>
      <c r="P38" s="14">
        <v>70</v>
      </c>
      <c r="Q38" s="14">
        <v>0</v>
      </c>
      <c r="R38" s="48">
        <v>6.5883664000000008E-2</v>
      </c>
      <c r="S38" s="48">
        <v>8.1744155439116544E-3</v>
      </c>
      <c r="T38" s="14">
        <v>57.814</v>
      </c>
      <c r="U38" s="14">
        <v>4.8337960238305486</v>
      </c>
    </row>
    <row r="39" spans="1:21" x14ac:dyDescent="0.35">
      <c r="A39" t="s">
        <v>57</v>
      </c>
      <c r="B39" t="s">
        <v>86</v>
      </c>
      <c r="C39">
        <v>0</v>
      </c>
      <c r="D39" t="s">
        <v>375</v>
      </c>
      <c r="E39" s="48">
        <v>1.0131034482758621</v>
      </c>
      <c r="F39" s="61">
        <v>0.61769681197137283</v>
      </c>
      <c r="G39" s="88">
        <v>5623.3241016683323</v>
      </c>
      <c r="H39" s="47">
        <v>3.0113247863247863</v>
      </c>
      <c r="I39" s="47">
        <v>0.44565501453179723</v>
      </c>
      <c r="J39" s="14">
        <v>29.999999999999993</v>
      </c>
      <c r="K39" s="14">
        <v>24.494897427831773</v>
      </c>
      <c r="L39" s="14">
        <v>85.694500000000005</v>
      </c>
      <c r="M39" s="14">
        <v>7.0651878024728099</v>
      </c>
      <c r="N39" s="47">
        <v>6.4487375125747608</v>
      </c>
      <c r="O39" s="47">
        <v>2.9679083310639913</v>
      </c>
      <c r="P39" s="14">
        <v>69.400000000000006</v>
      </c>
      <c r="Q39" s="14">
        <v>2.5768197453450248</v>
      </c>
      <c r="R39" s="48">
        <v>5.7414944000000002E-2</v>
      </c>
      <c r="S39" s="48">
        <v>3.8825177656134431E-3</v>
      </c>
      <c r="T39" s="14">
        <v>52.863999999999997</v>
      </c>
      <c r="U39" s="14">
        <v>2.3924431027717223</v>
      </c>
    </row>
    <row r="40" spans="1:21" x14ac:dyDescent="0.35">
      <c r="A40" t="s">
        <v>56</v>
      </c>
      <c r="B40" t="s">
        <v>86</v>
      </c>
      <c r="C40">
        <v>1</v>
      </c>
      <c r="D40" t="s">
        <v>375</v>
      </c>
      <c r="E40" s="48">
        <v>0.95471264367816089</v>
      </c>
      <c r="F40" s="61">
        <v>0.63973107785729777</v>
      </c>
      <c r="G40" s="88">
        <v>5791.6560032004081</v>
      </c>
      <c r="H40" s="47">
        <v>3.1085823754789272</v>
      </c>
      <c r="I40" s="47">
        <v>0.39866747115603451</v>
      </c>
      <c r="J40" s="14">
        <v>19.999999999999996</v>
      </c>
      <c r="K40" s="14">
        <v>39.999999999999993</v>
      </c>
      <c r="L40" s="14">
        <v>85.343500000000006</v>
      </c>
      <c r="M40" s="14">
        <v>7.1011958036731597</v>
      </c>
      <c r="N40" s="47">
        <v>9.5742640417932865</v>
      </c>
      <c r="O40" s="47">
        <v>2.4390774235350383</v>
      </c>
      <c r="P40" s="14">
        <v>66.5</v>
      </c>
      <c r="Q40" s="14">
        <v>5.5901699437494745</v>
      </c>
      <c r="R40" s="48">
        <v>6.2828652500000012E-2</v>
      </c>
      <c r="S40" s="48">
        <v>4.6796191813350367E-3</v>
      </c>
      <c r="T40" s="14">
        <v>56.106249999999996</v>
      </c>
      <c r="U40" s="14">
        <v>2.7864367366764307</v>
      </c>
    </row>
    <row r="41" spans="1:21" x14ac:dyDescent="0.35">
      <c r="A41" t="s">
        <v>18</v>
      </c>
      <c r="B41" t="s">
        <v>70</v>
      </c>
      <c r="C41">
        <v>0</v>
      </c>
      <c r="D41" t="s">
        <v>375</v>
      </c>
      <c r="E41" s="48">
        <v>0.85402298850574709</v>
      </c>
      <c r="F41" s="61">
        <v>0.6777271741487747</v>
      </c>
      <c r="G41" s="88">
        <v>1196.3767337438458</v>
      </c>
      <c r="H41" s="47">
        <v>3.4876600102406554</v>
      </c>
      <c r="I41" s="47">
        <v>0.34781785358450928</v>
      </c>
      <c r="J41" s="14">
        <v>49.999999999999993</v>
      </c>
      <c r="K41" s="14">
        <v>44.721359549995782</v>
      </c>
      <c r="L41" s="14">
        <v>46.997999999999998</v>
      </c>
      <c r="M41" s="14">
        <v>11.692988722442101</v>
      </c>
      <c r="N41" s="47">
        <v>18.451474770583211</v>
      </c>
      <c r="O41" s="47">
        <v>6.1494773161505778</v>
      </c>
      <c r="P41" s="14">
        <v>39.4</v>
      </c>
      <c r="Q41" s="14">
        <v>7.657675887630659</v>
      </c>
      <c r="R41" s="48">
        <v>4.5282000000000003E-2</v>
      </c>
      <c r="S41" s="48">
        <v>4.8291357706322577E-3</v>
      </c>
      <c r="T41" s="14">
        <v>45.092500000000001</v>
      </c>
      <c r="U41" s="14">
        <v>3.2364824655789488</v>
      </c>
    </row>
    <row r="42" spans="1:21" x14ac:dyDescent="0.35">
      <c r="A42" t="s">
        <v>19</v>
      </c>
      <c r="B42" t="s">
        <v>70</v>
      </c>
      <c r="C42">
        <v>1</v>
      </c>
      <c r="D42" t="s">
        <v>375</v>
      </c>
      <c r="E42" s="48">
        <v>0.79839080459770118</v>
      </c>
      <c r="F42" s="61">
        <v>0.69872045109520708</v>
      </c>
      <c r="G42" s="88">
        <v>630.7987745014035</v>
      </c>
      <c r="H42" s="47">
        <v>3.0514285714285712</v>
      </c>
      <c r="I42" s="47">
        <v>0.20136495674518121</v>
      </c>
      <c r="J42" s="14">
        <v>49.999999999999993</v>
      </c>
      <c r="K42" s="14">
        <v>31.622776601683789</v>
      </c>
      <c r="L42" s="14">
        <v>34.688000000000002</v>
      </c>
      <c r="M42" s="14">
        <v>12.0400435390015</v>
      </c>
      <c r="N42" s="47">
        <v>8.8788130396595211</v>
      </c>
      <c r="O42" s="47">
        <v>1.2108758773758392</v>
      </c>
      <c r="P42" s="14">
        <v>39.25</v>
      </c>
      <c r="Q42" s="14">
        <v>6.2599920127744575</v>
      </c>
      <c r="R42" s="48">
        <v>0</v>
      </c>
      <c r="S42" s="48">
        <v>0</v>
      </c>
      <c r="T42" s="14">
        <v>0</v>
      </c>
      <c r="U42" s="14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T55"/>
  <sheetViews>
    <sheetView zoomScale="85" zoomScaleNormal="85" workbookViewId="0">
      <selection activeCell="A10" sqref="A10"/>
    </sheetView>
  </sheetViews>
  <sheetFormatPr defaultRowHeight="14.5" x14ac:dyDescent="0.35"/>
  <cols>
    <col min="2" max="2" width="0" hidden="1" customWidth="1"/>
    <col min="3" max="3" width="8.7265625" customWidth="1"/>
    <col min="4" max="4" width="17.7265625" customWidth="1"/>
    <col min="5" max="5" width="14.1796875" bestFit="1" customWidth="1"/>
    <col min="6" max="6" width="12" style="61" bestFit="1" customWidth="1"/>
    <col min="7" max="7" width="12" style="88" bestFit="1" customWidth="1"/>
    <col min="8" max="9" width="12" style="85" bestFit="1" customWidth="1"/>
    <col min="10" max="10" width="13.81640625" bestFit="1" customWidth="1"/>
    <col min="11" max="11" width="12" bestFit="1" customWidth="1"/>
    <col min="12" max="12" width="11.1796875" style="88" bestFit="1" customWidth="1"/>
    <col min="13" max="13" width="8.7265625" style="88"/>
    <col min="14" max="14" width="12.26953125" style="85" bestFit="1" customWidth="1"/>
    <col min="15" max="15" width="13" style="85" bestFit="1" customWidth="1"/>
    <col min="17" max="17" width="12.7265625" bestFit="1" customWidth="1"/>
    <col min="18" max="18" width="7.453125" customWidth="1"/>
  </cols>
  <sheetData>
    <row r="3" spans="1:20" s="54" customFormat="1" ht="33" customHeight="1" thickBot="1" x14ac:dyDescent="0.4">
      <c r="A3" s="5" t="s">
        <v>411</v>
      </c>
      <c r="B3" s="5" t="s">
        <v>66</v>
      </c>
      <c r="C3" s="5" t="s">
        <v>372</v>
      </c>
      <c r="D3" s="5" t="s">
        <v>119</v>
      </c>
      <c r="E3" s="5" t="s">
        <v>7</v>
      </c>
      <c r="F3" s="110" t="s">
        <v>10</v>
      </c>
      <c r="G3" s="112" t="s">
        <v>6</v>
      </c>
      <c r="H3" s="111" t="s">
        <v>0</v>
      </c>
      <c r="I3" s="111" t="s">
        <v>1</v>
      </c>
      <c r="J3" s="5" t="s">
        <v>2</v>
      </c>
      <c r="K3" s="5" t="s">
        <v>3</v>
      </c>
      <c r="L3" s="112" t="s">
        <v>4</v>
      </c>
      <c r="M3" s="112" t="s">
        <v>5</v>
      </c>
      <c r="N3" s="111" t="s">
        <v>8</v>
      </c>
      <c r="O3" s="111" t="s">
        <v>9</v>
      </c>
      <c r="P3" s="5" t="s">
        <v>11</v>
      </c>
      <c r="Q3" s="5" t="s">
        <v>12</v>
      </c>
      <c r="R3" s="5" t="s">
        <v>13</v>
      </c>
      <c r="S3" s="55"/>
      <c r="T3" s="55"/>
    </row>
    <row r="4" spans="1:20" ht="15" thickTop="1" x14ac:dyDescent="0.35">
      <c r="A4" t="s">
        <v>37</v>
      </c>
      <c r="B4" t="s">
        <v>76</v>
      </c>
      <c r="C4">
        <v>0</v>
      </c>
      <c r="D4" t="s">
        <v>377</v>
      </c>
      <c r="E4" s="56">
        <v>1.3864197530864197</v>
      </c>
      <c r="F4" s="61">
        <v>0.47682273468436986</v>
      </c>
      <c r="G4" s="88">
        <v>6202.5669642857147</v>
      </c>
      <c r="H4" s="85">
        <v>2.9955723905723906</v>
      </c>
      <c r="I4" s="85">
        <v>0.40810750293280734</v>
      </c>
      <c r="J4">
        <v>0</v>
      </c>
      <c r="K4">
        <v>0</v>
      </c>
      <c r="L4" s="88">
        <v>0.6</v>
      </c>
      <c r="M4" s="88">
        <v>1.2</v>
      </c>
      <c r="N4" s="85">
        <v>13.193882347926422</v>
      </c>
      <c r="O4" s="85">
        <v>7.0631573243125105</v>
      </c>
      <c r="P4" s="61">
        <v>0.18735161506172848</v>
      </c>
      <c r="Q4" s="61">
        <v>0.28947111962264138</v>
      </c>
      <c r="R4" s="61">
        <v>0.52317726531563014</v>
      </c>
    </row>
    <row r="5" spans="1:20" x14ac:dyDescent="0.35">
      <c r="A5" t="s">
        <v>36</v>
      </c>
      <c r="B5" t="s">
        <v>76</v>
      </c>
      <c r="C5">
        <v>1</v>
      </c>
      <c r="D5" t="s">
        <v>377</v>
      </c>
      <c r="E5" s="56">
        <v>1.2148148148148148</v>
      </c>
      <c r="F5" s="61">
        <v>0.54157931516422075</v>
      </c>
      <c r="G5" s="88">
        <v>4140.672782874618</v>
      </c>
      <c r="H5" s="85">
        <v>2.7878502415458937</v>
      </c>
      <c r="I5" s="85">
        <v>0.24583054435540669</v>
      </c>
      <c r="J5">
        <v>0</v>
      </c>
      <c r="K5">
        <v>0</v>
      </c>
      <c r="L5" s="88">
        <v>60.8</v>
      </c>
      <c r="M5" s="88">
        <v>20.855694665965935</v>
      </c>
      <c r="N5" s="85">
        <v>10.213658357430768</v>
      </c>
      <c r="O5" s="85">
        <v>8.5475742109010717</v>
      </c>
      <c r="P5" s="61">
        <v>0.28944590814814825</v>
      </c>
      <c r="Q5" s="61">
        <v>0.25213340701607251</v>
      </c>
      <c r="R5" s="61">
        <v>0.45842068483577919</v>
      </c>
    </row>
    <row r="6" spans="1:20" x14ac:dyDescent="0.35">
      <c r="A6" t="s">
        <v>51</v>
      </c>
      <c r="B6" t="s">
        <v>83</v>
      </c>
      <c r="C6">
        <v>0</v>
      </c>
      <c r="D6" t="s">
        <v>376</v>
      </c>
      <c r="E6" s="56">
        <v>1.0172839506172839</v>
      </c>
      <c r="F6" s="61">
        <v>0.61611926391800598</v>
      </c>
      <c r="G6" s="88">
        <v>813.72549019607823</v>
      </c>
      <c r="H6" s="85">
        <v>2.9410104471573737</v>
      </c>
      <c r="I6" s="85">
        <v>0.42252116804329948</v>
      </c>
      <c r="J6">
        <v>0</v>
      </c>
      <c r="K6">
        <v>0</v>
      </c>
      <c r="L6" s="88">
        <v>33.6</v>
      </c>
      <c r="M6" s="88">
        <v>24.286621831782206</v>
      </c>
      <c r="N6" s="85">
        <v>1.6763873011664845</v>
      </c>
      <c r="O6" s="85">
        <v>1.1378191280788061</v>
      </c>
      <c r="P6" s="61">
        <v>0.45220652049382715</v>
      </c>
      <c r="Q6" s="61">
        <v>0.16391274342417883</v>
      </c>
      <c r="R6" s="61">
        <v>0.38388073608199402</v>
      </c>
    </row>
    <row r="7" spans="1:20" x14ac:dyDescent="0.35">
      <c r="A7" t="s">
        <v>50</v>
      </c>
      <c r="B7" t="s">
        <v>83</v>
      </c>
      <c r="C7">
        <v>1</v>
      </c>
      <c r="D7" t="s">
        <v>376</v>
      </c>
      <c r="E7" s="56">
        <v>1.230246913580247</v>
      </c>
      <c r="F7" s="61">
        <v>0.53575588166783139</v>
      </c>
      <c r="G7" s="88">
        <v>1568.9102564102561</v>
      </c>
      <c r="H7" s="85">
        <v>3.2253968253968255</v>
      </c>
      <c r="I7" s="85">
        <v>0.27709111399814712</v>
      </c>
      <c r="J7">
        <v>29.999999999999993</v>
      </c>
      <c r="K7">
        <v>39.999999999999993</v>
      </c>
      <c r="L7" s="88">
        <v>23.8</v>
      </c>
      <c r="M7" s="88">
        <v>21.36726468221892</v>
      </c>
      <c r="N7" s="85">
        <v>1.7401185674538227</v>
      </c>
      <c r="O7" s="85">
        <v>1.177134017533366</v>
      </c>
      <c r="P7" s="61">
        <v>0.45171701771604933</v>
      </c>
      <c r="Q7" s="61">
        <v>8.4038863951782061E-2</v>
      </c>
      <c r="R7" s="61">
        <v>0.46424411833216861</v>
      </c>
    </row>
    <row r="8" spans="1:20" x14ac:dyDescent="0.35">
      <c r="A8" t="s">
        <v>29</v>
      </c>
      <c r="B8" t="s">
        <v>73</v>
      </c>
      <c r="C8">
        <v>0</v>
      </c>
      <c r="D8" t="s">
        <v>377</v>
      </c>
      <c r="E8" s="56">
        <v>1.4037037037037037</v>
      </c>
      <c r="F8" s="61">
        <v>0.47030048916841372</v>
      </c>
      <c r="G8" s="88">
        <v>13067.70833333333</v>
      </c>
      <c r="H8" s="85">
        <v>3.1553650793650792</v>
      </c>
      <c r="I8" s="85">
        <v>0.20783286887722904</v>
      </c>
      <c r="J8">
        <v>0</v>
      </c>
      <c r="K8">
        <v>0</v>
      </c>
      <c r="L8" s="88">
        <v>1</v>
      </c>
      <c r="M8" s="88">
        <v>1.5491933384829668</v>
      </c>
      <c r="N8" s="85">
        <v>1.6963563239357031</v>
      </c>
      <c r="O8" s="85">
        <v>0.84661230767065587</v>
      </c>
      <c r="P8" s="61">
        <v>0.24759283925925926</v>
      </c>
      <c r="Q8" s="61">
        <v>0.22270764990915445</v>
      </c>
      <c r="R8" s="61">
        <v>0.52969951083158628</v>
      </c>
    </row>
    <row r="9" spans="1:20" x14ac:dyDescent="0.35">
      <c r="A9" t="s">
        <v>28</v>
      </c>
      <c r="B9" t="s">
        <v>73</v>
      </c>
      <c r="C9">
        <v>1</v>
      </c>
      <c r="D9" t="s">
        <v>377</v>
      </c>
      <c r="E9" s="56">
        <v>1.0629629629629629</v>
      </c>
      <c r="F9" s="61">
        <v>0.59888190076869319</v>
      </c>
      <c r="G9" s="88">
        <v>13423.913043478258</v>
      </c>
      <c r="H9" s="85">
        <v>3.6520968660968665</v>
      </c>
      <c r="I9" s="85">
        <v>0.12493421565856995</v>
      </c>
      <c r="J9">
        <v>9.9999999999999982</v>
      </c>
      <c r="K9">
        <v>19.999999999999996</v>
      </c>
      <c r="L9" s="88">
        <v>2.4</v>
      </c>
      <c r="M9" s="88">
        <v>2.2449944320643649</v>
      </c>
      <c r="N9" s="85">
        <v>1.4228155473276645</v>
      </c>
      <c r="O9" s="85">
        <v>1.356895368537085</v>
      </c>
      <c r="P9" s="61">
        <v>0.43962489925925918</v>
      </c>
      <c r="Q9" s="61">
        <v>0.159257001509434</v>
      </c>
      <c r="R9" s="61">
        <v>0.40111809923130681</v>
      </c>
    </row>
    <row r="10" spans="1:20" x14ac:dyDescent="0.35">
      <c r="A10" t="s">
        <v>53</v>
      </c>
      <c r="B10" t="s">
        <v>84</v>
      </c>
      <c r="C10">
        <v>0</v>
      </c>
      <c r="D10" t="s">
        <v>373</v>
      </c>
      <c r="E10" s="56">
        <v>1.0762213575443147</v>
      </c>
      <c r="F10" s="61">
        <v>0.59387873300214533</v>
      </c>
      <c r="G10" s="88">
        <v>4120.1456310679605</v>
      </c>
      <c r="H10" s="85">
        <v>2.6568083735909824</v>
      </c>
      <c r="I10" s="85">
        <v>0.28865191845575267</v>
      </c>
      <c r="J10">
        <v>9.9999999999999982</v>
      </c>
      <c r="K10">
        <v>19.999999999999996</v>
      </c>
      <c r="L10" s="88">
        <v>28</v>
      </c>
      <c r="M10" s="88">
        <v>16.589153082662175</v>
      </c>
      <c r="N10" s="85">
        <v>1.2492689616437112</v>
      </c>
      <c r="O10" s="85">
        <v>1.4281366163752769</v>
      </c>
      <c r="P10" s="61">
        <v>0.51645953424371571</v>
      </c>
      <c r="Q10" s="61">
        <v>7.7419198758429619E-2</v>
      </c>
      <c r="R10" s="61">
        <v>0.40612126699785467</v>
      </c>
    </row>
    <row r="11" spans="1:20" x14ac:dyDescent="0.35">
      <c r="A11" t="s">
        <v>52</v>
      </c>
      <c r="B11" t="s">
        <v>84</v>
      </c>
      <c r="C11">
        <v>1</v>
      </c>
      <c r="D11" t="s">
        <v>373</v>
      </c>
      <c r="E11" s="56">
        <v>1.0166930873805062</v>
      </c>
      <c r="F11" s="61">
        <v>0.61634223117716747</v>
      </c>
      <c r="G11" s="88">
        <v>6113.8392857142844</v>
      </c>
      <c r="H11" s="85">
        <v>3.1266469038208173</v>
      </c>
      <c r="I11" s="85">
        <v>0.32254900153533095</v>
      </c>
      <c r="J11">
        <v>0</v>
      </c>
      <c r="K11">
        <v>0</v>
      </c>
      <c r="L11" s="88">
        <v>12</v>
      </c>
      <c r="M11" s="88">
        <v>3.4641016151377544</v>
      </c>
      <c r="N11" s="85">
        <v>0.36903380270203689</v>
      </c>
      <c r="O11" s="85">
        <v>0.46353895351305535</v>
      </c>
      <c r="P11" s="61">
        <v>0.7350430748330693</v>
      </c>
      <c r="Q11" s="61">
        <v>-0.11870084365590183</v>
      </c>
      <c r="R11" s="61">
        <v>0.38365776882283253</v>
      </c>
    </row>
    <row r="12" spans="1:20" x14ac:dyDescent="0.35">
      <c r="A12" t="s">
        <v>20</v>
      </c>
      <c r="B12" t="s">
        <v>109</v>
      </c>
      <c r="C12">
        <v>0</v>
      </c>
      <c r="D12" t="s">
        <v>375</v>
      </c>
      <c r="E12" s="56"/>
      <c r="G12" s="88">
        <v>5330.7560137457031</v>
      </c>
      <c r="H12" s="85">
        <v>2.8370655270655272</v>
      </c>
      <c r="I12" s="85">
        <v>0.48988696690877009</v>
      </c>
      <c r="J12">
        <v>19.999999999999996</v>
      </c>
      <c r="K12">
        <v>39.999999999999993</v>
      </c>
      <c r="L12" s="88">
        <v>83.8</v>
      </c>
      <c r="M12" s="88">
        <v>8.7954533709184091</v>
      </c>
      <c r="N12" s="85">
        <v>3.6988668253259229</v>
      </c>
      <c r="O12" s="85">
        <v>3.0588133682645751</v>
      </c>
      <c r="P12" s="61"/>
      <c r="Q12" s="61">
        <v>1</v>
      </c>
      <c r="R12" s="61">
        <v>0</v>
      </c>
    </row>
    <row r="13" spans="1:20" x14ac:dyDescent="0.35">
      <c r="A13" t="s">
        <v>21</v>
      </c>
      <c r="B13" t="s">
        <v>109</v>
      </c>
      <c r="C13">
        <v>1</v>
      </c>
      <c r="D13" t="s">
        <v>375</v>
      </c>
      <c r="E13" s="56"/>
      <c r="G13" s="88">
        <v>6624.2138364779867</v>
      </c>
      <c r="H13" s="85">
        <v>2.6837761674718195</v>
      </c>
      <c r="I13" s="85">
        <v>0.31876326141687922</v>
      </c>
      <c r="J13">
        <v>0</v>
      </c>
      <c r="K13">
        <v>0</v>
      </c>
      <c r="L13" s="88">
        <v>81.8</v>
      </c>
      <c r="M13" s="88">
        <v>4.4899888641287298</v>
      </c>
      <c r="N13" s="85">
        <v>5.6831765742239471</v>
      </c>
      <c r="O13" s="85">
        <v>6.8297421324545269</v>
      </c>
      <c r="P13" s="61"/>
      <c r="Q13" s="61">
        <v>1</v>
      </c>
      <c r="R13" s="61">
        <v>0</v>
      </c>
    </row>
    <row r="14" spans="1:20" x14ac:dyDescent="0.35">
      <c r="A14" t="s">
        <v>59</v>
      </c>
      <c r="B14" t="s">
        <v>87</v>
      </c>
      <c r="C14">
        <v>0</v>
      </c>
      <c r="D14" t="s">
        <v>379</v>
      </c>
      <c r="E14" s="56">
        <v>0.99858024691358027</v>
      </c>
      <c r="F14" s="61">
        <v>0.62317726531563</v>
      </c>
      <c r="G14" s="88">
        <v>1825.8426966292132</v>
      </c>
      <c r="H14" s="85">
        <v>2.5589947089947089</v>
      </c>
      <c r="I14" s="85">
        <v>0.31020320679589031</v>
      </c>
      <c r="J14">
        <v>0</v>
      </c>
      <c r="K14">
        <v>0</v>
      </c>
      <c r="L14" s="88">
        <v>61</v>
      </c>
      <c r="M14" s="88">
        <v>5.0199601592044534</v>
      </c>
      <c r="N14" s="85">
        <v>4.966067000403009</v>
      </c>
      <c r="O14" s="85">
        <v>0.64101532083117874</v>
      </c>
      <c r="P14" s="61">
        <v>0.57850653866049395</v>
      </c>
      <c r="Q14" s="61">
        <v>4.467072665513605E-2</v>
      </c>
      <c r="R14" s="61">
        <v>0.37682273468437</v>
      </c>
    </row>
    <row r="15" spans="1:20" x14ac:dyDescent="0.35">
      <c r="A15" t="s">
        <v>58</v>
      </c>
      <c r="B15" t="s">
        <v>87</v>
      </c>
      <c r="C15">
        <v>1</v>
      </c>
      <c r="D15" t="s">
        <v>379</v>
      </c>
      <c r="E15" s="56">
        <v>0.70123456790123451</v>
      </c>
      <c r="F15" s="61">
        <v>0.73538318192406238</v>
      </c>
      <c r="G15" s="88">
        <v>1825.8426966292129</v>
      </c>
      <c r="H15" s="85">
        <v>2.0859259259259262</v>
      </c>
      <c r="I15" s="85">
        <v>0.60569949586134952</v>
      </c>
      <c r="J15">
        <v>0</v>
      </c>
      <c r="K15">
        <v>0</v>
      </c>
      <c r="L15" s="88">
        <v>61.8</v>
      </c>
      <c r="M15" s="88">
        <v>2.8565713714171399</v>
      </c>
      <c r="N15" s="85">
        <v>6.9426532082346926</v>
      </c>
      <c r="O15" s="85">
        <v>2.5910586093558861</v>
      </c>
      <c r="P15" s="61">
        <v>0.3520068102998235</v>
      </c>
      <c r="Q15" s="61">
        <v>0.38337637162423888</v>
      </c>
      <c r="R15" s="61">
        <v>0.26461681807593762</v>
      </c>
    </row>
    <row r="16" spans="1:20" x14ac:dyDescent="0.35">
      <c r="A16" t="s">
        <v>65</v>
      </c>
      <c r="B16" t="s">
        <v>90</v>
      </c>
      <c r="C16">
        <v>0</v>
      </c>
      <c r="D16" t="s">
        <v>375</v>
      </c>
      <c r="E16" s="56">
        <v>0.99629629629629635</v>
      </c>
      <c r="F16" s="61">
        <v>0.6240391334730957</v>
      </c>
      <c r="G16" s="88">
        <v>2022.4719101123592</v>
      </c>
      <c r="H16" s="85">
        <v>2.4759405754639019</v>
      </c>
      <c r="I16" s="85">
        <v>0.1825636798743604</v>
      </c>
      <c r="J16">
        <v>0</v>
      </c>
      <c r="K16">
        <v>0</v>
      </c>
      <c r="L16" s="88">
        <v>51.8</v>
      </c>
      <c r="M16" s="88">
        <v>8.7954533709184091</v>
      </c>
      <c r="N16" s="85">
        <v>4.6126298963514154</v>
      </c>
      <c r="O16" s="85">
        <v>3.0008940705130098</v>
      </c>
      <c r="P16" s="61">
        <v>0.51993804481481498</v>
      </c>
      <c r="Q16" s="61">
        <v>0.10410108865828072</v>
      </c>
      <c r="R16" s="61">
        <v>0.3759608665269043</v>
      </c>
    </row>
    <row r="17" spans="1:18" x14ac:dyDescent="0.35">
      <c r="A17" t="s">
        <v>64</v>
      </c>
      <c r="B17" t="s">
        <v>90</v>
      </c>
      <c r="C17">
        <v>1</v>
      </c>
      <c r="D17" t="s">
        <v>375</v>
      </c>
      <c r="E17" s="56">
        <v>0.86913580246913569</v>
      </c>
      <c r="F17" s="61">
        <v>0.67202422548334506</v>
      </c>
      <c r="H17" s="85">
        <v>2.5930940170940167</v>
      </c>
      <c r="I17" s="85">
        <v>0.3745645047597379</v>
      </c>
      <c r="J17">
        <v>0</v>
      </c>
      <c r="K17">
        <v>0</v>
      </c>
      <c r="L17" s="88">
        <v>5</v>
      </c>
      <c r="M17" s="88">
        <v>0</v>
      </c>
      <c r="N17" s="85">
        <v>8.177486151805498</v>
      </c>
      <c r="O17" s="85">
        <v>4.8458117813824728</v>
      </c>
      <c r="P17" s="61">
        <v>0.4535766834567902</v>
      </c>
      <c r="Q17" s="61">
        <v>0.21844754202655486</v>
      </c>
      <c r="R17" s="61">
        <v>0.32797577451665499</v>
      </c>
    </row>
    <row r="18" spans="1:18" x14ac:dyDescent="0.35">
      <c r="A18" t="s">
        <v>25</v>
      </c>
      <c r="B18" t="s">
        <v>72</v>
      </c>
      <c r="C18">
        <v>0</v>
      </c>
      <c r="D18" t="s">
        <v>374</v>
      </c>
      <c r="E18" s="56"/>
      <c r="G18" s="88">
        <v>2790.246212121212</v>
      </c>
      <c r="H18" s="85">
        <v>2.6668929027549715</v>
      </c>
      <c r="I18" s="85">
        <v>0.98283415074443414</v>
      </c>
      <c r="J18">
        <v>9.9999999999999982</v>
      </c>
      <c r="K18">
        <v>19.999999999999996</v>
      </c>
      <c r="L18" s="88">
        <v>19</v>
      </c>
      <c r="M18" s="88">
        <v>9.0994505328618605</v>
      </c>
      <c r="N18" s="85">
        <v>73.480874754041125</v>
      </c>
      <c r="O18" s="85">
        <v>36.612643312081403</v>
      </c>
      <c r="P18" s="61">
        <v>0</v>
      </c>
      <c r="Q18" s="61">
        <v>1</v>
      </c>
      <c r="R18" s="61">
        <v>0</v>
      </c>
    </row>
    <row r="19" spans="1:18" x14ac:dyDescent="0.35">
      <c r="A19" t="s">
        <v>24</v>
      </c>
      <c r="B19" t="s">
        <v>72</v>
      </c>
      <c r="C19">
        <v>1</v>
      </c>
      <c r="D19" t="s">
        <v>374</v>
      </c>
      <c r="E19" s="56"/>
      <c r="G19" s="88">
        <v>5045.2850877192977</v>
      </c>
      <c r="H19" s="85">
        <v>2.1116691729323311</v>
      </c>
      <c r="I19" s="85">
        <v>0.40372954734864269</v>
      </c>
      <c r="J19">
        <v>0</v>
      </c>
      <c r="K19">
        <v>0</v>
      </c>
      <c r="L19" s="88">
        <v>55.2</v>
      </c>
      <c r="M19" s="88">
        <v>20.291870293297265</v>
      </c>
      <c r="N19" s="85">
        <v>64.432102977184471</v>
      </c>
      <c r="O19" s="85">
        <v>44.527536301938525</v>
      </c>
      <c r="P19" s="61">
        <v>0</v>
      </c>
      <c r="Q19" s="61">
        <v>1</v>
      </c>
      <c r="R19" s="61">
        <v>0</v>
      </c>
    </row>
    <row r="20" spans="1:18" x14ac:dyDescent="0.35">
      <c r="A20" t="s">
        <v>43</v>
      </c>
      <c r="B20" t="s">
        <v>79</v>
      </c>
      <c r="C20">
        <v>0</v>
      </c>
      <c r="D20" t="s">
        <v>378</v>
      </c>
      <c r="E20" s="56">
        <v>0.82098765432098764</v>
      </c>
      <c r="F20" s="61">
        <v>0.69019333799208016</v>
      </c>
      <c r="G20" s="88">
        <v>2063.7499999999995</v>
      </c>
      <c r="H20" s="85">
        <v>2.8842061642061645</v>
      </c>
      <c r="I20" s="85">
        <v>0.26423242036352718</v>
      </c>
      <c r="J20">
        <v>0</v>
      </c>
      <c r="K20">
        <v>0</v>
      </c>
      <c r="L20" s="88">
        <v>67.599999999999994</v>
      </c>
      <c r="M20" s="88">
        <v>15.679285698015711</v>
      </c>
      <c r="N20" s="85">
        <v>6.8759365268857175</v>
      </c>
      <c r="O20" s="85">
        <v>9.5239668897121241</v>
      </c>
      <c r="P20" s="61">
        <v>0.22161662160493828</v>
      </c>
      <c r="Q20" s="61">
        <v>0.46857671638714188</v>
      </c>
      <c r="R20" s="61">
        <v>0.30980666200791979</v>
      </c>
    </row>
    <row r="21" spans="1:18" x14ac:dyDescent="0.35">
      <c r="A21" t="s">
        <v>42</v>
      </c>
      <c r="B21" t="s">
        <v>79</v>
      </c>
      <c r="C21">
        <v>1</v>
      </c>
      <c r="D21" t="s">
        <v>378</v>
      </c>
      <c r="E21" s="56">
        <v>0.96172839506172836</v>
      </c>
      <c r="F21" s="61">
        <v>0.63708362450500822</v>
      </c>
      <c r="G21" s="88">
        <v>2562.4999999999995</v>
      </c>
      <c r="H21" s="85">
        <v>2.9436202686202688</v>
      </c>
      <c r="I21" s="85">
        <v>0.34687247879822058</v>
      </c>
      <c r="J21">
        <v>19.999999999999996</v>
      </c>
      <c r="K21">
        <v>39.999999999999993</v>
      </c>
      <c r="L21" s="88">
        <v>63.6</v>
      </c>
      <c r="M21" s="88">
        <v>14.008568806269968</v>
      </c>
      <c r="N21" s="85">
        <v>4.6339979889735989</v>
      </c>
      <c r="O21" s="85">
        <v>2.2847150612226637</v>
      </c>
      <c r="P21" s="61">
        <v>0.27023479774250442</v>
      </c>
      <c r="Q21" s="61">
        <v>0.3668488267625038</v>
      </c>
      <c r="R21" s="61">
        <v>0.36291637549499173</v>
      </c>
    </row>
    <row r="22" spans="1:18" x14ac:dyDescent="0.35">
      <c r="A22" t="s">
        <v>61</v>
      </c>
      <c r="B22" t="s">
        <v>88</v>
      </c>
      <c r="C22">
        <v>0</v>
      </c>
      <c r="D22" t="s">
        <v>378</v>
      </c>
      <c r="E22" s="56">
        <v>0.86524691358024663</v>
      </c>
      <c r="F22" s="61">
        <v>0.67349173072443524</v>
      </c>
      <c r="H22" s="85">
        <v>2.7231720430107531</v>
      </c>
      <c r="I22" s="85">
        <v>0.2418869461761553</v>
      </c>
      <c r="J22">
        <v>0</v>
      </c>
      <c r="K22">
        <v>0</v>
      </c>
      <c r="L22" s="88">
        <v>0</v>
      </c>
      <c r="M22" s="88">
        <v>0</v>
      </c>
      <c r="N22" s="85">
        <v>18.001764716234376</v>
      </c>
      <c r="O22" s="85">
        <v>13.091992510607597</v>
      </c>
      <c r="P22" s="61">
        <v>0.45345931938800682</v>
      </c>
      <c r="Q22" s="61">
        <v>0.22003241133642842</v>
      </c>
      <c r="R22" s="61">
        <v>0.3265082692755647</v>
      </c>
    </row>
    <row r="23" spans="1:18" x14ac:dyDescent="0.35">
      <c r="A23" t="s">
        <v>60</v>
      </c>
      <c r="B23" t="s">
        <v>88</v>
      </c>
      <c r="C23">
        <v>1</v>
      </c>
      <c r="D23" t="s">
        <v>378</v>
      </c>
      <c r="E23" s="56">
        <v>1.0764403292181071</v>
      </c>
      <c r="F23" s="61">
        <v>0.59379610218184631</v>
      </c>
      <c r="H23" s="85">
        <v>2.9557029177718834</v>
      </c>
      <c r="I23" s="85">
        <v>0.21394443439942645</v>
      </c>
      <c r="J23">
        <v>0</v>
      </c>
      <c r="K23">
        <v>0</v>
      </c>
      <c r="L23" s="88">
        <v>0</v>
      </c>
      <c r="M23" s="88">
        <v>0</v>
      </c>
      <c r="N23" s="85">
        <v>34.163608278649022</v>
      </c>
      <c r="O23" s="85">
        <v>9.5989281324001503</v>
      </c>
      <c r="P23" s="61">
        <v>0.45709320889035865</v>
      </c>
      <c r="Q23" s="61">
        <v>0.13670289329148766</v>
      </c>
      <c r="R23" s="61">
        <v>0.40620389781815369</v>
      </c>
    </row>
    <row r="24" spans="1:18" x14ac:dyDescent="0.35">
      <c r="A24" t="s">
        <v>45</v>
      </c>
      <c r="B24" t="s">
        <v>80</v>
      </c>
      <c r="C24">
        <v>0</v>
      </c>
      <c r="D24" t="s">
        <v>373</v>
      </c>
      <c r="E24" s="56">
        <v>0.48913012629487723</v>
      </c>
      <c r="F24" s="61">
        <v>0.8154225938509897</v>
      </c>
      <c r="G24" s="88">
        <v>4970.2970297029688</v>
      </c>
      <c r="H24" s="85">
        <v>2.4079636949202166</v>
      </c>
      <c r="I24" s="85">
        <v>0.39273811970639749</v>
      </c>
      <c r="J24">
        <v>0</v>
      </c>
      <c r="K24">
        <v>0</v>
      </c>
      <c r="L24" s="88">
        <v>87.6</v>
      </c>
      <c r="M24" s="88">
        <v>2.9393876913398134</v>
      </c>
      <c r="N24" s="85">
        <v>1.6776831838324127</v>
      </c>
      <c r="O24" s="85">
        <v>1.4339352952469573</v>
      </c>
      <c r="P24" s="61">
        <v>0.27796257469277702</v>
      </c>
      <c r="Q24" s="61">
        <v>0.53746001915821262</v>
      </c>
      <c r="R24" s="61">
        <v>0.18457740614901036</v>
      </c>
    </row>
    <row r="25" spans="1:18" x14ac:dyDescent="0.35">
      <c r="A25" t="s">
        <v>44</v>
      </c>
      <c r="B25" t="s">
        <v>80</v>
      </c>
      <c r="C25">
        <v>1</v>
      </c>
      <c r="D25" t="s">
        <v>373</v>
      </c>
      <c r="E25" s="56">
        <v>0.63422733077905491</v>
      </c>
      <c r="F25" s="61">
        <v>0.76066893178148876</v>
      </c>
      <c r="G25" s="88">
        <v>2228.5657051282051</v>
      </c>
      <c r="H25" s="85">
        <v>2.4343342175066311</v>
      </c>
      <c r="I25" s="85">
        <v>0.46808852357594732</v>
      </c>
      <c r="J25">
        <v>0</v>
      </c>
      <c r="K25">
        <v>0</v>
      </c>
      <c r="L25" s="88">
        <v>35.75</v>
      </c>
      <c r="M25" s="88">
        <v>5.5845769759221691</v>
      </c>
      <c r="N25" s="85">
        <v>2.5548055256074189</v>
      </c>
      <c r="O25" s="85">
        <v>2.1526902891851449</v>
      </c>
      <c r="P25" s="61">
        <v>0.32537839952198505</v>
      </c>
      <c r="Q25" s="61">
        <v>0.4352905322595037</v>
      </c>
      <c r="R25" s="61">
        <v>0.23933106821851119</v>
      </c>
    </row>
    <row r="26" spans="1:18" x14ac:dyDescent="0.35">
      <c r="A26" t="s">
        <v>63</v>
      </c>
      <c r="B26" t="s">
        <v>89</v>
      </c>
      <c r="C26">
        <v>0</v>
      </c>
      <c r="D26" t="s">
        <v>378</v>
      </c>
      <c r="E26" s="56">
        <v>1.1595987654320987</v>
      </c>
      <c r="F26" s="61">
        <v>0.56241556021430239</v>
      </c>
      <c r="G26" s="88">
        <v>983.14606741572993</v>
      </c>
      <c r="H26" s="85">
        <v>2.8578119658119658</v>
      </c>
      <c r="I26" s="85">
        <v>0.4467309023191251</v>
      </c>
      <c r="J26">
        <v>0</v>
      </c>
      <c r="K26">
        <v>0</v>
      </c>
      <c r="L26" s="88">
        <v>70.2</v>
      </c>
      <c r="M26" s="88">
        <v>14.985326155943353</v>
      </c>
      <c r="N26" s="85">
        <v>1.8934841742451232</v>
      </c>
      <c r="O26" s="85">
        <v>1.9986051825079207</v>
      </c>
      <c r="P26" s="61">
        <v>0.68460239509171095</v>
      </c>
      <c r="Q26" s="61">
        <v>-0.12218683487740856</v>
      </c>
      <c r="R26" s="61">
        <v>0.43758443978569772</v>
      </c>
    </row>
    <row r="27" spans="1:18" x14ac:dyDescent="0.35">
      <c r="A27" t="s">
        <v>62</v>
      </c>
      <c r="B27" t="s">
        <v>89</v>
      </c>
      <c r="C27">
        <v>1</v>
      </c>
      <c r="D27" t="s">
        <v>378</v>
      </c>
      <c r="E27" s="56">
        <v>1.228996913580247</v>
      </c>
      <c r="F27" s="61">
        <v>0.53622757978103885</v>
      </c>
      <c r="G27" s="88">
        <v>1228.9325842696626</v>
      </c>
      <c r="H27" s="85">
        <v>3.1362230362230363</v>
      </c>
      <c r="I27" s="85">
        <v>0.24194096659153058</v>
      </c>
      <c r="J27">
        <v>0</v>
      </c>
      <c r="K27">
        <v>0</v>
      </c>
      <c r="L27" s="88">
        <v>80.8</v>
      </c>
      <c r="M27" s="88">
        <v>6.5848310532617305</v>
      </c>
      <c r="N27" s="85">
        <v>1.9976081871937277</v>
      </c>
      <c r="O27" s="85">
        <v>1.1525511554007031</v>
      </c>
      <c r="P27" s="61">
        <v>0.73915355955401241</v>
      </c>
      <c r="Q27" s="61">
        <v>-0.20292597977297355</v>
      </c>
      <c r="R27" s="61">
        <v>0.46377242021896103</v>
      </c>
    </row>
    <row r="28" spans="1:18" x14ac:dyDescent="0.35">
      <c r="A28" t="s">
        <v>16</v>
      </c>
      <c r="B28" t="s">
        <v>69</v>
      </c>
      <c r="C28">
        <v>0</v>
      </c>
      <c r="D28" t="s">
        <v>374</v>
      </c>
      <c r="E28" s="56">
        <v>0.90246913580246901</v>
      </c>
      <c r="F28" s="61">
        <v>0.65944560913114381</v>
      </c>
      <c r="G28" s="88">
        <v>9538.4615384615354</v>
      </c>
      <c r="H28" s="85">
        <v>2.3617342657342659</v>
      </c>
      <c r="I28" s="85">
        <v>0.36636976543806282</v>
      </c>
      <c r="J28">
        <v>0</v>
      </c>
      <c r="K28">
        <v>0</v>
      </c>
      <c r="L28" s="88">
        <v>22.4</v>
      </c>
      <c r="M28" s="88">
        <v>9.0686272390037068</v>
      </c>
      <c r="N28" s="85">
        <v>2.0949497560751982</v>
      </c>
      <c r="O28" s="85">
        <v>0.8067408090972602</v>
      </c>
      <c r="P28" s="61">
        <v>0.14987521530864195</v>
      </c>
      <c r="Q28" s="61">
        <v>0.5095703938225018</v>
      </c>
      <c r="R28" s="61">
        <v>0.34055439086885625</v>
      </c>
    </row>
    <row r="29" spans="1:18" x14ac:dyDescent="0.35">
      <c r="A29" t="s">
        <v>17</v>
      </c>
      <c r="B29" t="s">
        <v>69</v>
      </c>
      <c r="C29">
        <v>1</v>
      </c>
      <c r="D29" t="s">
        <v>374</v>
      </c>
      <c r="E29" s="56">
        <v>0.70246913580246906</v>
      </c>
      <c r="F29" s="61">
        <v>0.73491730724435134</v>
      </c>
      <c r="G29" s="88">
        <v>11742.30769230769</v>
      </c>
      <c r="H29" s="85">
        <v>2.6252801358234295</v>
      </c>
      <c r="I29" s="85">
        <v>0.39372774389822301</v>
      </c>
      <c r="J29">
        <v>0</v>
      </c>
      <c r="K29">
        <v>0</v>
      </c>
      <c r="L29" s="88">
        <v>18.600000000000001</v>
      </c>
      <c r="M29" s="88">
        <v>7.3102667529988263</v>
      </c>
      <c r="N29" s="85">
        <v>5.6358019421679089</v>
      </c>
      <c r="O29" s="85">
        <v>3.2115167541449519</v>
      </c>
      <c r="P29" s="61">
        <v>0.39195417481481493</v>
      </c>
      <c r="Q29" s="61">
        <v>0.34296313242953641</v>
      </c>
      <c r="R29" s="61">
        <v>0.26508269275564872</v>
      </c>
    </row>
    <row r="30" spans="1:18" x14ac:dyDescent="0.35">
      <c r="A30" t="s">
        <v>55</v>
      </c>
      <c r="B30" t="s">
        <v>85</v>
      </c>
      <c r="C30">
        <v>0</v>
      </c>
      <c r="D30" t="s">
        <v>376</v>
      </c>
      <c r="E30" s="56">
        <v>1.2139645482057932</v>
      </c>
      <c r="F30" s="61">
        <v>0.54190017048837991</v>
      </c>
      <c r="H30" s="85">
        <v>3.0989960184742795</v>
      </c>
      <c r="I30" s="85">
        <v>0.65636968882049784</v>
      </c>
      <c r="J30">
        <v>19.999999999999996</v>
      </c>
      <c r="K30">
        <v>24.494897427831773</v>
      </c>
      <c r="L30" s="88">
        <v>91.6</v>
      </c>
      <c r="M30" s="88">
        <v>2.4166091947189141</v>
      </c>
      <c r="N30" s="85">
        <v>6.8824033738085015</v>
      </c>
      <c r="O30" s="85">
        <v>7.7338409783854081</v>
      </c>
      <c r="P30" s="61">
        <v>0.6630432956778457</v>
      </c>
      <c r="Q30" s="61">
        <v>-0.12114312518946579</v>
      </c>
      <c r="R30" s="61">
        <v>0.4580998295116202</v>
      </c>
    </row>
    <row r="31" spans="1:18" x14ac:dyDescent="0.35">
      <c r="A31" t="s">
        <v>54</v>
      </c>
      <c r="B31" t="s">
        <v>85</v>
      </c>
      <c r="C31">
        <v>1</v>
      </c>
      <c r="D31" t="s">
        <v>376</v>
      </c>
      <c r="E31" s="56">
        <v>1.5374501609261662</v>
      </c>
      <c r="F31" s="61">
        <v>0.41983012795239016</v>
      </c>
      <c r="H31" s="85">
        <v>2.936923076923077</v>
      </c>
      <c r="I31" s="85">
        <v>0.41522504057381676</v>
      </c>
      <c r="J31">
        <v>0</v>
      </c>
      <c r="K31">
        <v>0</v>
      </c>
      <c r="L31" s="88">
        <v>73.75</v>
      </c>
      <c r="M31" s="88">
        <v>16.902292743885369</v>
      </c>
      <c r="N31" s="85">
        <v>1.3309696493922523</v>
      </c>
      <c r="O31" s="85">
        <v>1.1136343619920068</v>
      </c>
      <c r="P31" s="61">
        <v>0.82273642941435243</v>
      </c>
      <c r="Q31" s="61">
        <v>-0.40290630146196227</v>
      </c>
      <c r="R31" s="61">
        <v>0.58016987204760984</v>
      </c>
    </row>
    <row r="32" spans="1:18" x14ac:dyDescent="0.35">
      <c r="A32" t="s">
        <v>14</v>
      </c>
      <c r="B32" t="s">
        <v>68</v>
      </c>
      <c r="C32">
        <v>0</v>
      </c>
      <c r="D32" t="s">
        <v>373</v>
      </c>
      <c r="E32" s="56">
        <v>0.90493827160493823</v>
      </c>
      <c r="F32" s="61">
        <v>0.65851385977172139</v>
      </c>
      <c r="G32" s="88">
        <v>4179.6874999999991</v>
      </c>
      <c r="H32" s="85">
        <v>2.8000740740740744</v>
      </c>
      <c r="I32" s="85">
        <v>0.34094263501995015</v>
      </c>
      <c r="J32">
        <v>0</v>
      </c>
      <c r="K32">
        <v>0</v>
      </c>
      <c r="L32" s="88">
        <v>68.400000000000006</v>
      </c>
      <c r="M32" s="88">
        <v>11.534296684236971</v>
      </c>
      <c r="N32" s="85">
        <v>2.6901567549066598</v>
      </c>
      <c r="O32" s="85">
        <v>1.3982471368462472</v>
      </c>
      <c r="P32" s="61">
        <v>0.37426835209876502</v>
      </c>
      <c r="Q32" s="61">
        <v>0.28424550767295603</v>
      </c>
      <c r="R32" s="61">
        <v>0.34148614022827867</v>
      </c>
    </row>
    <row r="33" spans="1:18" x14ac:dyDescent="0.35">
      <c r="A33" t="s">
        <v>15</v>
      </c>
      <c r="B33" t="s">
        <v>68</v>
      </c>
      <c r="C33">
        <v>1</v>
      </c>
      <c r="D33" t="s">
        <v>373</v>
      </c>
      <c r="E33" s="56">
        <v>1.0222222222222221</v>
      </c>
      <c r="F33" s="61">
        <v>0.61425576519916136</v>
      </c>
      <c r="G33" s="88">
        <v>7414.6981627296582</v>
      </c>
      <c r="H33" s="85">
        <v>2.8737931034482758</v>
      </c>
      <c r="I33" s="85">
        <v>0.1503825272801016</v>
      </c>
      <c r="J33">
        <v>0</v>
      </c>
      <c r="K33">
        <v>0</v>
      </c>
      <c r="L33" s="88">
        <v>80.599999999999994</v>
      </c>
      <c r="M33" s="88">
        <v>4.029888335921977</v>
      </c>
      <c r="N33" s="85">
        <v>1.1123614899874645</v>
      </c>
      <c r="O33" s="85">
        <v>0.21997240196431705</v>
      </c>
      <c r="P33" s="61">
        <v>0.40169080888888892</v>
      </c>
      <c r="Q33" s="61">
        <v>0.21256495631027245</v>
      </c>
      <c r="R33" s="61">
        <v>0.38574423480083858</v>
      </c>
    </row>
    <row r="34" spans="1:18" x14ac:dyDescent="0.35">
      <c r="A34" t="s">
        <v>35</v>
      </c>
      <c r="B34" t="s">
        <v>75</v>
      </c>
      <c r="C34">
        <v>0</v>
      </c>
      <c r="D34" t="s">
        <v>376</v>
      </c>
      <c r="E34" s="56">
        <v>1.1851851851851851</v>
      </c>
      <c r="F34" s="61">
        <v>0.55276030747728866</v>
      </c>
      <c r="G34" s="88">
        <v>2999.9999999999995</v>
      </c>
      <c r="H34" s="85">
        <v>2.2203959720088755</v>
      </c>
      <c r="I34" s="85">
        <v>0.25585218378846297</v>
      </c>
      <c r="J34">
        <v>9.9999999999999982</v>
      </c>
      <c r="K34">
        <v>19.999999999999996</v>
      </c>
      <c r="L34" s="88">
        <v>61.8</v>
      </c>
      <c r="M34" s="88">
        <v>8.7269696917085717</v>
      </c>
      <c r="N34" s="85">
        <v>3.5299095305414556</v>
      </c>
      <c r="O34" s="85">
        <v>1.782176735132684</v>
      </c>
      <c r="P34" s="61">
        <v>0.13571247407407411</v>
      </c>
      <c r="Q34" s="61">
        <v>0.41704783340321455</v>
      </c>
      <c r="R34" s="61">
        <v>0.44723969252271129</v>
      </c>
    </row>
    <row r="35" spans="1:18" x14ac:dyDescent="0.35">
      <c r="A35" t="s">
        <v>34</v>
      </c>
      <c r="B35" t="s">
        <v>75</v>
      </c>
      <c r="C35">
        <v>1</v>
      </c>
      <c r="D35" t="s">
        <v>376</v>
      </c>
      <c r="E35" s="56">
        <v>1.0790123456790122</v>
      </c>
      <c r="F35" s="61">
        <v>0.5928255299324483</v>
      </c>
      <c r="G35" s="88">
        <v>3277.7777777777765</v>
      </c>
      <c r="H35" s="85">
        <v>2.3907407407407408</v>
      </c>
      <c r="I35" s="85">
        <v>0.46438300733707721</v>
      </c>
      <c r="J35">
        <v>0</v>
      </c>
      <c r="K35">
        <v>0</v>
      </c>
      <c r="L35" s="88">
        <v>68</v>
      </c>
      <c r="M35" s="88">
        <v>14.028542333400146</v>
      </c>
      <c r="N35" s="85">
        <v>3.5322136284059402</v>
      </c>
      <c r="O35" s="85">
        <v>2.288560277975594</v>
      </c>
      <c r="P35" s="61">
        <v>0.2348334414814815</v>
      </c>
      <c r="Q35" s="61">
        <v>0.35799208845096681</v>
      </c>
      <c r="R35" s="61">
        <v>0.40717447006755164</v>
      </c>
    </row>
    <row r="36" spans="1:18" x14ac:dyDescent="0.35">
      <c r="A36" t="s">
        <v>41</v>
      </c>
      <c r="B36" t="s">
        <v>78</v>
      </c>
      <c r="C36">
        <v>0</v>
      </c>
      <c r="D36" t="s">
        <v>377</v>
      </c>
      <c r="E36" s="56">
        <v>1.1702142755782601</v>
      </c>
      <c r="F36" s="61">
        <v>0.55840970732895845</v>
      </c>
      <c r="G36" s="88">
        <v>12923.109965635736</v>
      </c>
      <c r="H36" s="85">
        <v>3.4240639295736748</v>
      </c>
      <c r="I36" s="85">
        <v>0.33434031804887759</v>
      </c>
      <c r="J36">
        <v>29.999999999999993</v>
      </c>
      <c r="K36">
        <v>39.999999999999993</v>
      </c>
      <c r="L36" s="88">
        <v>2.4</v>
      </c>
      <c r="M36" s="88">
        <v>1.019803902718557</v>
      </c>
      <c r="N36" s="85">
        <v>2.301557915479985</v>
      </c>
      <c r="O36" s="85">
        <v>2.7294396591164749</v>
      </c>
      <c r="P36" s="61">
        <v>0.69086956601998828</v>
      </c>
      <c r="Q36" s="61">
        <v>-0.13245985869102983</v>
      </c>
      <c r="R36" s="61">
        <v>0.44159029267104144</v>
      </c>
    </row>
    <row r="37" spans="1:18" x14ac:dyDescent="0.35">
      <c r="A37" t="s">
        <v>40</v>
      </c>
      <c r="B37" t="s">
        <v>78</v>
      </c>
      <c r="C37">
        <v>1</v>
      </c>
      <c r="D37" t="s">
        <v>377</v>
      </c>
      <c r="E37" s="56">
        <v>1.0244992073785848</v>
      </c>
      <c r="F37" s="61">
        <v>0.61339652551751511</v>
      </c>
      <c r="G37" s="88">
        <v>11956.018518518516</v>
      </c>
      <c r="H37" s="85">
        <v>3.6851851851851856</v>
      </c>
      <c r="I37" s="85">
        <v>0.31440932491572893</v>
      </c>
      <c r="J37">
        <v>0</v>
      </c>
      <c r="K37">
        <v>0</v>
      </c>
      <c r="L37" s="88">
        <v>2.2000000000000002</v>
      </c>
      <c r="M37" s="88">
        <v>0.9797958971132712</v>
      </c>
      <c r="N37" s="85">
        <v>1.5343856117045664</v>
      </c>
      <c r="O37" s="85">
        <v>1.6853900033437592</v>
      </c>
      <c r="P37" s="61">
        <v>0.5029593424268628</v>
      </c>
      <c r="Q37" s="61">
        <v>0.11043718309065231</v>
      </c>
      <c r="R37" s="61">
        <v>0.38660347448248489</v>
      </c>
    </row>
    <row r="38" spans="1:18" x14ac:dyDescent="0.35">
      <c r="A38" t="s">
        <v>31</v>
      </c>
      <c r="B38" t="s">
        <v>74</v>
      </c>
      <c r="C38">
        <v>0</v>
      </c>
      <c r="D38" t="s">
        <v>376</v>
      </c>
      <c r="E38" s="56">
        <v>1.1481481481481481</v>
      </c>
      <c r="F38" s="61">
        <v>0.56673654786862326</v>
      </c>
      <c r="G38" s="88">
        <v>11281.157817109142</v>
      </c>
      <c r="H38" s="85">
        <v>2.6401683919944792</v>
      </c>
      <c r="I38" s="85">
        <v>0.52018036126661849</v>
      </c>
      <c r="J38">
        <v>39.999999999999993</v>
      </c>
      <c r="K38">
        <v>79.999999999999986</v>
      </c>
      <c r="L38" s="88">
        <v>8.6</v>
      </c>
      <c r="M38" s="88">
        <v>7.7097341069585532</v>
      </c>
      <c r="N38" s="85">
        <v>10.24271664012784</v>
      </c>
      <c r="O38" s="85">
        <v>4.105218015188651</v>
      </c>
      <c r="P38" s="61">
        <v>0.39197020000000016</v>
      </c>
      <c r="Q38" s="61">
        <v>0.17476634786862311</v>
      </c>
      <c r="R38" s="61">
        <v>0.43326345213137674</v>
      </c>
    </row>
    <row r="39" spans="1:18" x14ac:dyDescent="0.35">
      <c r="A39" t="s">
        <v>30</v>
      </c>
      <c r="B39" t="s">
        <v>74</v>
      </c>
      <c r="C39">
        <v>1</v>
      </c>
      <c r="D39" t="s">
        <v>376</v>
      </c>
      <c r="E39" s="56">
        <v>1.0691358024691358</v>
      </c>
      <c r="F39" s="61">
        <v>0.59655252737013742</v>
      </c>
      <c r="G39" s="88">
        <v>7001.2905604719754</v>
      </c>
      <c r="H39" s="85">
        <v>3.2038027994549738</v>
      </c>
      <c r="I39" s="85">
        <v>0.25244465036091879</v>
      </c>
      <c r="J39">
        <v>9.9999999999999982</v>
      </c>
      <c r="K39">
        <v>19.999999999999996</v>
      </c>
      <c r="L39" s="88">
        <v>8.1999999999999993</v>
      </c>
      <c r="M39" s="88">
        <v>7.5206382707852661</v>
      </c>
      <c r="N39" s="85">
        <v>15.192621454221912</v>
      </c>
      <c r="O39" s="85">
        <v>11.446839958707711</v>
      </c>
      <c r="P39" s="61">
        <v>0.44217788938271602</v>
      </c>
      <c r="Q39" s="61">
        <v>0.1543746379874214</v>
      </c>
      <c r="R39" s="61">
        <v>0.40344747262986264</v>
      </c>
    </row>
    <row r="40" spans="1:18" x14ac:dyDescent="0.35">
      <c r="A40" t="s">
        <v>39</v>
      </c>
      <c r="B40" t="s">
        <v>77</v>
      </c>
      <c r="C40">
        <v>0</v>
      </c>
      <c r="D40" t="s">
        <v>375</v>
      </c>
      <c r="E40" s="56">
        <v>1.1111111111111112</v>
      </c>
      <c r="F40" s="61">
        <v>0.58071278825995809</v>
      </c>
      <c r="G40" s="88">
        <v>7392.2413793103442</v>
      </c>
      <c r="H40" s="85">
        <v>2.8182287390029321</v>
      </c>
      <c r="I40" s="85">
        <v>0.48356289903312399</v>
      </c>
      <c r="J40">
        <v>19.999999999999996</v>
      </c>
      <c r="K40">
        <v>39.999999999999993</v>
      </c>
      <c r="L40" s="88">
        <v>0.4</v>
      </c>
      <c r="M40" s="88">
        <v>0.8</v>
      </c>
      <c r="N40" s="85">
        <v>1.0505486153384869</v>
      </c>
      <c r="O40" s="85">
        <v>1.8611190199046523</v>
      </c>
      <c r="P40" s="61">
        <v>0.33349044444444453</v>
      </c>
      <c r="Q40" s="61">
        <v>0.24722234381551356</v>
      </c>
      <c r="R40" s="61">
        <v>0.41928721174004191</v>
      </c>
    </row>
    <row r="41" spans="1:18" x14ac:dyDescent="0.35">
      <c r="A41" t="s">
        <v>38</v>
      </c>
      <c r="B41" t="s">
        <v>77</v>
      </c>
      <c r="C41">
        <v>1</v>
      </c>
      <c r="D41" t="s">
        <v>375</v>
      </c>
      <c r="E41" s="56">
        <v>1.0543209876543209</v>
      </c>
      <c r="F41" s="61">
        <v>0.60214302352667137</v>
      </c>
      <c r="G41" s="88">
        <v>7590.6862745098033</v>
      </c>
      <c r="H41" s="85">
        <v>2.9855886287625415</v>
      </c>
      <c r="I41" s="85">
        <v>0.18996372660289929</v>
      </c>
      <c r="J41">
        <v>9.9999999999999982</v>
      </c>
      <c r="K41">
        <v>19.999999999999996</v>
      </c>
      <c r="L41" s="88">
        <v>2</v>
      </c>
      <c r="M41" s="88">
        <v>0.89442719099991586</v>
      </c>
      <c r="N41" s="85">
        <v>1.7025439312121537</v>
      </c>
      <c r="O41" s="85">
        <v>1.1671046059903409</v>
      </c>
      <c r="P41" s="61">
        <v>0.41430428839506173</v>
      </c>
      <c r="Q41" s="61">
        <v>0.18783873513160965</v>
      </c>
      <c r="R41" s="61">
        <v>0.39785697647332863</v>
      </c>
    </row>
    <row r="42" spans="1:18" x14ac:dyDescent="0.35">
      <c r="A42" t="s">
        <v>49</v>
      </c>
      <c r="B42" t="s">
        <v>82</v>
      </c>
      <c r="C42">
        <v>0</v>
      </c>
      <c r="D42" t="s">
        <v>373</v>
      </c>
      <c r="E42" s="56">
        <v>0.57492550021285649</v>
      </c>
      <c r="F42" s="61">
        <v>0.7830469810517523</v>
      </c>
      <c r="G42" s="88">
        <v>4894.4444444444434</v>
      </c>
      <c r="H42" s="85">
        <v>2.9314046872667561</v>
      </c>
      <c r="I42" s="85">
        <v>0.34305396608931493</v>
      </c>
      <c r="J42">
        <v>0</v>
      </c>
      <c r="K42">
        <v>0</v>
      </c>
      <c r="L42" s="88">
        <v>25.4</v>
      </c>
      <c r="M42" s="88">
        <v>6.3118935352237999</v>
      </c>
      <c r="N42" s="85">
        <v>3.5367574818151892</v>
      </c>
      <c r="O42" s="85">
        <v>2.9328878538882628</v>
      </c>
      <c r="P42" s="61">
        <v>0.33942376119929457</v>
      </c>
      <c r="Q42" s="61">
        <v>0.44362321985245773</v>
      </c>
      <c r="R42" s="61">
        <v>0.21695301894824776</v>
      </c>
    </row>
    <row r="43" spans="1:18" x14ac:dyDescent="0.35">
      <c r="A43" t="s">
        <v>48</v>
      </c>
      <c r="B43" t="s">
        <v>82</v>
      </c>
      <c r="C43">
        <v>1</v>
      </c>
      <c r="D43" t="s">
        <v>373</v>
      </c>
      <c r="E43" s="56">
        <v>1.1499692540560995</v>
      </c>
      <c r="F43" s="61">
        <v>0.56604933809203795</v>
      </c>
      <c r="G43" s="88">
        <v>8269.2057291666642</v>
      </c>
      <c r="H43" s="85">
        <v>2.2788542236818095</v>
      </c>
      <c r="I43" s="85">
        <v>0.61480403297362496</v>
      </c>
      <c r="J43">
        <v>0</v>
      </c>
      <c r="K43">
        <v>0</v>
      </c>
      <c r="L43" s="88">
        <v>52.4</v>
      </c>
      <c r="M43" s="88">
        <v>16.776173580408614</v>
      </c>
      <c r="N43" s="85">
        <v>3.2332229363374916</v>
      </c>
      <c r="O43" s="85">
        <v>3.3464603389243104</v>
      </c>
      <c r="P43" s="61">
        <v>0.22147435287694184</v>
      </c>
      <c r="Q43" s="61">
        <v>0.34457498521509611</v>
      </c>
      <c r="R43" s="61">
        <v>0.43395066190796205</v>
      </c>
    </row>
    <row r="44" spans="1:18" x14ac:dyDescent="0.35">
      <c r="A44" t="s">
        <v>22</v>
      </c>
      <c r="B44" t="s">
        <v>71</v>
      </c>
      <c r="C44">
        <v>0</v>
      </c>
      <c r="D44" t="s">
        <v>374</v>
      </c>
      <c r="E44" s="56"/>
      <c r="G44" s="88">
        <v>3511.2028301886789</v>
      </c>
      <c r="H44" s="85">
        <v>2.5179425287356323</v>
      </c>
      <c r="I44" s="85">
        <v>0.54331288110535514</v>
      </c>
      <c r="J44">
        <v>9.9999999999999982</v>
      </c>
      <c r="K44">
        <v>19.999999999999996</v>
      </c>
      <c r="L44" s="88">
        <v>42</v>
      </c>
      <c r="M44" s="88">
        <v>21.288494545176274</v>
      </c>
      <c r="N44" s="85">
        <v>3.6895585929929062</v>
      </c>
      <c r="O44" s="85">
        <v>1.3190226382435706</v>
      </c>
      <c r="P44" s="61">
        <v>0</v>
      </c>
      <c r="Q44" s="61">
        <v>1</v>
      </c>
      <c r="R44" s="61">
        <v>0</v>
      </c>
    </row>
    <row r="45" spans="1:18" x14ac:dyDescent="0.35">
      <c r="A45" t="s">
        <v>23</v>
      </c>
      <c r="B45" t="s">
        <v>71</v>
      </c>
      <c r="C45">
        <v>1</v>
      </c>
      <c r="D45" t="s">
        <v>374</v>
      </c>
      <c r="E45" s="56"/>
      <c r="G45" s="88">
        <v>4215.9669211195924</v>
      </c>
      <c r="H45" s="85">
        <v>2.4380341880341878</v>
      </c>
      <c r="I45" s="85">
        <v>0.27410707476453683</v>
      </c>
      <c r="J45">
        <v>9.9999999999999982</v>
      </c>
      <c r="K45">
        <v>19.999999999999996</v>
      </c>
      <c r="L45" s="88">
        <v>84.6</v>
      </c>
      <c r="M45" s="88">
        <v>14.319217855734998</v>
      </c>
      <c r="N45" s="85">
        <v>2.6423901822350215</v>
      </c>
      <c r="O45" s="85">
        <v>2.0140472360984205</v>
      </c>
      <c r="P45" s="61">
        <v>0</v>
      </c>
      <c r="Q45" s="61">
        <v>1</v>
      </c>
      <c r="R45" s="61">
        <v>0</v>
      </c>
    </row>
    <row r="46" spans="1:18" x14ac:dyDescent="0.35">
      <c r="A46" t="s">
        <v>57</v>
      </c>
      <c r="B46" t="s">
        <v>86</v>
      </c>
      <c r="C46">
        <v>0</v>
      </c>
      <c r="D46" t="s">
        <v>375</v>
      </c>
      <c r="E46" s="56">
        <v>0.96172839506172836</v>
      </c>
      <c r="F46" s="61">
        <v>0.63708362450500822</v>
      </c>
      <c r="G46" s="88">
        <v>16268.518518518513</v>
      </c>
      <c r="H46" s="85">
        <v>2.5233201581027669</v>
      </c>
      <c r="I46" s="85">
        <v>0.26880492738691836</v>
      </c>
      <c r="J46">
        <v>0</v>
      </c>
      <c r="K46">
        <v>0</v>
      </c>
      <c r="L46" s="88">
        <v>0</v>
      </c>
      <c r="M46" s="88">
        <v>0</v>
      </c>
      <c r="N46" s="85">
        <v>1.4505985197393729</v>
      </c>
      <c r="O46" s="85">
        <v>0.4538778314116283</v>
      </c>
      <c r="P46" s="61">
        <v>0.50933679179012359</v>
      </c>
      <c r="Q46" s="61">
        <v>0.12774683271488463</v>
      </c>
      <c r="R46" s="61">
        <v>0.36291637549499178</v>
      </c>
    </row>
    <row r="47" spans="1:18" x14ac:dyDescent="0.35">
      <c r="A47" t="s">
        <v>56</v>
      </c>
      <c r="B47" t="s">
        <v>86</v>
      </c>
      <c r="C47">
        <v>1</v>
      </c>
      <c r="D47" t="s">
        <v>375</v>
      </c>
      <c r="E47" s="56">
        <v>0.91234567901234565</v>
      </c>
      <c r="F47" s="61">
        <v>0.65571861169345447</v>
      </c>
      <c r="G47" s="88">
        <v>14717.171717171715</v>
      </c>
      <c r="H47" s="85">
        <v>2.6544798534798537</v>
      </c>
      <c r="I47" s="85">
        <v>0.27657517868086978</v>
      </c>
      <c r="J47">
        <v>0</v>
      </c>
      <c r="K47">
        <v>0</v>
      </c>
      <c r="L47" s="88">
        <v>0.6</v>
      </c>
      <c r="M47" s="88">
        <v>0.8</v>
      </c>
      <c r="N47" s="85">
        <v>7.3610615588826827</v>
      </c>
      <c r="O47" s="85">
        <v>7.7468570842688216</v>
      </c>
      <c r="P47" s="61">
        <v>0.5184672550617283</v>
      </c>
      <c r="Q47" s="61">
        <v>0.13725135663172616</v>
      </c>
      <c r="R47" s="61">
        <v>0.34428138830654553</v>
      </c>
    </row>
    <row r="48" spans="1:18" x14ac:dyDescent="0.35">
      <c r="A48" t="s">
        <v>33</v>
      </c>
      <c r="B48" t="s">
        <v>111</v>
      </c>
      <c r="C48">
        <v>0</v>
      </c>
      <c r="D48" t="s">
        <v>375</v>
      </c>
      <c r="E48" s="56">
        <v>1.2506172839506171</v>
      </c>
      <c r="F48" s="61">
        <v>0.5280689494525973</v>
      </c>
      <c r="G48" s="88">
        <v>13491.745283018865</v>
      </c>
      <c r="H48" s="85">
        <v>2.2918949585036539</v>
      </c>
      <c r="I48" s="85">
        <v>0.3225850553690226</v>
      </c>
      <c r="J48">
        <v>9.9999999999999982</v>
      </c>
      <c r="K48">
        <v>19.999999999999996</v>
      </c>
      <c r="L48" s="88">
        <v>2.8</v>
      </c>
      <c r="M48" s="88">
        <v>3.0594117081556709</v>
      </c>
      <c r="N48" s="85">
        <v>9.3804089599259974</v>
      </c>
      <c r="O48" s="85">
        <v>5.9972771981911457</v>
      </c>
      <c r="P48" s="61">
        <v>0.31087394222222214</v>
      </c>
      <c r="Q48" s="61">
        <v>0.21719500723037516</v>
      </c>
      <c r="R48" s="61">
        <v>0.47193105054740264</v>
      </c>
    </row>
    <row r="49" spans="1:18" x14ac:dyDescent="0.35">
      <c r="A49" t="s">
        <v>32</v>
      </c>
      <c r="B49" t="s">
        <v>111</v>
      </c>
      <c r="C49">
        <v>1</v>
      </c>
      <c r="D49" t="s">
        <v>375</v>
      </c>
      <c r="E49" s="56">
        <v>1.1666666666666665</v>
      </c>
      <c r="F49" s="61">
        <v>0.55974842767295607</v>
      </c>
      <c r="G49" s="88">
        <v>15627.777777777774</v>
      </c>
      <c r="H49" s="85">
        <v>2.1820512820512823</v>
      </c>
      <c r="I49" s="85">
        <v>0.31100249348408665</v>
      </c>
      <c r="J49">
        <v>0</v>
      </c>
      <c r="K49">
        <v>0</v>
      </c>
      <c r="L49" s="88">
        <v>3.2</v>
      </c>
      <c r="M49" s="88">
        <v>1.3266499161421599</v>
      </c>
      <c r="N49" s="85">
        <v>1.7343421897627882</v>
      </c>
      <c r="O49" s="85">
        <v>1.3501799322118249</v>
      </c>
      <c r="P49" s="61">
        <v>0.30203763333333328</v>
      </c>
      <c r="Q49" s="61">
        <v>0.2577107943396228</v>
      </c>
      <c r="R49" s="61">
        <v>0.44025157232704387</v>
      </c>
    </row>
    <row r="50" spans="1:18" x14ac:dyDescent="0.35">
      <c r="A50" t="s">
        <v>47</v>
      </c>
      <c r="B50" t="s">
        <v>81</v>
      </c>
      <c r="C50">
        <v>0</v>
      </c>
      <c r="D50" t="s">
        <v>374</v>
      </c>
      <c r="E50" s="56">
        <v>1.0830797205474207</v>
      </c>
      <c r="F50" s="61">
        <v>0.59129067149153935</v>
      </c>
      <c r="G50" s="88">
        <v>11158.588435374146</v>
      </c>
      <c r="H50" s="85">
        <v>3.0359328272371746</v>
      </c>
      <c r="I50" s="85">
        <v>0.2017608123896216</v>
      </c>
      <c r="J50">
        <v>39.999999999999993</v>
      </c>
      <c r="K50">
        <v>37.416573867739409</v>
      </c>
      <c r="L50" s="88">
        <v>0</v>
      </c>
      <c r="M50" s="88">
        <v>0</v>
      </c>
      <c r="N50" s="85">
        <v>5.2312904419632105</v>
      </c>
      <c r="O50" s="85">
        <v>4.4758748888925677</v>
      </c>
      <c r="P50" s="61">
        <v>0.55565367325554049</v>
      </c>
      <c r="Q50" s="61">
        <v>3.5636998235998862E-2</v>
      </c>
      <c r="R50" s="61">
        <v>0.40870932850846065</v>
      </c>
    </row>
    <row r="51" spans="1:18" x14ac:dyDescent="0.35">
      <c r="A51" t="s">
        <v>46</v>
      </c>
      <c r="B51" t="s">
        <v>81</v>
      </c>
      <c r="C51">
        <v>1</v>
      </c>
      <c r="D51" t="s">
        <v>374</v>
      </c>
      <c r="E51" s="56">
        <v>1.1056194125159642</v>
      </c>
      <c r="F51" s="61">
        <v>0.58278512735246635</v>
      </c>
      <c r="G51" s="88">
        <v>10556.65887850467</v>
      </c>
      <c r="H51" s="85">
        <v>3.0229468599033815</v>
      </c>
      <c r="I51" s="85">
        <v>0.24052653264408377</v>
      </c>
      <c r="J51">
        <v>0</v>
      </c>
      <c r="K51">
        <v>0</v>
      </c>
      <c r="L51" s="88">
        <v>0.2</v>
      </c>
      <c r="M51" s="88">
        <v>0.4</v>
      </c>
      <c r="N51" s="85">
        <v>3.8249309392758017</v>
      </c>
      <c r="O51" s="85">
        <v>1.2848407924821277</v>
      </c>
      <c r="P51" s="61">
        <v>0.68938423459405229</v>
      </c>
      <c r="Q51" s="61">
        <v>-0.10659910724158594</v>
      </c>
      <c r="R51" s="61">
        <v>0.41721487264753365</v>
      </c>
    </row>
    <row r="52" spans="1:18" x14ac:dyDescent="0.35">
      <c r="A52" t="s">
        <v>18</v>
      </c>
      <c r="B52" t="s">
        <v>70</v>
      </c>
      <c r="C52">
        <v>0</v>
      </c>
      <c r="D52" t="s">
        <v>375</v>
      </c>
      <c r="E52" s="56"/>
      <c r="G52" s="88">
        <v>3157.0512820512818</v>
      </c>
      <c r="H52" s="85">
        <v>3.6504140786749488</v>
      </c>
      <c r="I52" s="85">
        <v>0.35360591450287171</v>
      </c>
      <c r="J52">
        <v>0</v>
      </c>
      <c r="K52">
        <v>0</v>
      </c>
      <c r="L52" s="88">
        <v>8.1999999999999993</v>
      </c>
      <c r="M52" s="88">
        <v>3.4292856398964493</v>
      </c>
      <c r="N52" s="85">
        <v>1.0988399841056753</v>
      </c>
      <c r="O52" s="85">
        <v>0.69153201640702766</v>
      </c>
      <c r="P52" s="61">
        <v>0</v>
      </c>
      <c r="Q52" s="61">
        <v>1</v>
      </c>
      <c r="R52" s="61">
        <v>0</v>
      </c>
    </row>
    <row r="53" spans="1:18" x14ac:dyDescent="0.35">
      <c r="A53" t="s">
        <v>19</v>
      </c>
      <c r="B53" t="s">
        <v>70</v>
      </c>
      <c r="C53">
        <v>1</v>
      </c>
      <c r="D53" t="s">
        <v>375</v>
      </c>
      <c r="E53" s="56"/>
      <c r="G53" s="88">
        <v>2998.0517848164895</v>
      </c>
      <c r="H53" s="85">
        <v>3.8008541313758699</v>
      </c>
      <c r="I53" s="85">
        <v>0.13144916422984215</v>
      </c>
      <c r="J53">
        <v>0</v>
      </c>
      <c r="K53">
        <v>0</v>
      </c>
      <c r="L53" s="88">
        <v>13.8</v>
      </c>
      <c r="M53" s="88">
        <v>6.675327707311455</v>
      </c>
      <c r="N53" s="85">
        <v>2.912450201040738</v>
      </c>
      <c r="O53" s="85">
        <v>1.7046038554556417</v>
      </c>
      <c r="P53" s="61">
        <v>0</v>
      </c>
      <c r="Q53" s="61">
        <v>1</v>
      </c>
      <c r="R53" s="61">
        <v>0</v>
      </c>
    </row>
    <row r="54" spans="1:18" x14ac:dyDescent="0.35">
      <c r="A54" t="s">
        <v>27</v>
      </c>
      <c r="B54" t="s">
        <v>110</v>
      </c>
      <c r="C54">
        <v>0</v>
      </c>
      <c r="D54" t="s">
        <v>376</v>
      </c>
      <c r="E54" s="56">
        <v>0.7456790123456789</v>
      </c>
      <c r="F54" s="61">
        <v>0.71861169345446085</v>
      </c>
      <c r="G54" s="88">
        <v>7382.2815533980574</v>
      </c>
      <c r="H54" s="85">
        <v>3.224089861751152</v>
      </c>
      <c r="I54" s="85">
        <v>0.16053939908939577</v>
      </c>
      <c r="J54">
        <v>0</v>
      </c>
      <c r="K54">
        <v>0</v>
      </c>
      <c r="L54" s="88">
        <v>6.8</v>
      </c>
      <c r="M54" s="88">
        <v>1.9390719429665315</v>
      </c>
      <c r="N54" s="85">
        <v>7.2419893859881723</v>
      </c>
      <c r="O54" s="85">
        <v>5.4718075044480639</v>
      </c>
      <c r="P54" s="61">
        <v>0.56217739950617285</v>
      </c>
      <c r="Q54" s="61">
        <v>0.15643429394828801</v>
      </c>
      <c r="R54" s="61">
        <v>0.28138830654553915</v>
      </c>
    </row>
    <row r="55" spans="1:18" x14ac:dyDescent="0.35">
      <c r="A55" t="s">
        <v>26</v>
      </c>
      <c r="B55" t="s">
        <v>110</v>
      </c>
      <c r="C55">
        <v>1</v>
      </c>
      <c r="D55" t="s">
        <v>376</v>
      </c>
      <c r="E55" s="56">
        <v>0.72098765432098755</v>
      </c>
      <c r="F55" s="61">
        <v>0.72792918704868392</v>
      </c>
      <c r="G55" s="88">
        <v>7432.4324324324307</v>
      </c>
      <c r="H55" s="85">
        <v>2.7221576354679806</v>
      </c>
      <c r="I55" s="85">
        <v>0.73525507455223116</v>
      </c>
      <c r="J55">
        <v>0</v>
      </c>
      <c r="K55">
        <v>0</v>
      </c>
      <c r="L55" s="88">
        <v>7.2</v>
      </c>
      <c r="M55" s="88">
        <v>2.6381811916545836</v>
      </c>
      <c r="N55" s="85">
        <v>10.160996366886001</v>
      </c>
      <c r="O55" s="85">
        <v>5.6833794190728195</v>
      </c>
      <c r="P55" s="61">
        <v>0.49894897975308639</v>
      </c>
      <c r="Q55" s="61">
        <v>0.22898020729559754</v>
      </c>
      <c r="R55" s="61">
        <v>0.27207081295131608</v>
      </c>
    </row>
  </sheetData>
  <autoFilter ref="A3:R55" xr:uid="{9CDB0490-6980-4201-8FB8-662E12551D8C}"/>
  <sortState xmlns:xlrd2="http://schemas.microsoft.com/office/spreadsheetml/2017/richdata2" ref="Z4:AA55">
    <sortCondition ref="Z55"/>
  </sortState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382D3B-59DA-4D91-A503-C0A0571EDED2}">
  <dimension ref="A1:L203"/>
  <sheetViews>
    <sheetView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D4" sqref="D4"/>
    </sheetView>
  </sheetViews>
  <sheetFormatPr defaultRowHeight="14.5" x14ac:dyDescent="0.35"/>
  <sheetData>
    <row r="1" spans="1:10" x14ac:dyDescent="0.35">
      <c r="B1" s="1"/>
    </row>
    <row r="3" spans="1:10" ht="15" thickBot="1" x14ac:dyDescent="0.4">
      <c r="A3" s="4" t="s">
        <v>164</v>
      </c>
      <c r="B3" s="4" t="s">
        <v>387</v>
      </c>
      <c r="C3" s="4" t="s">
        <v>102</v>
      </c>
      <c r="D3" s="4" t="s">
        <v>103</v>
      </c>
      <c r="E3" s="4" t="s">
        <v>104</v>
      </c>
      <c r="F3" s="4" t="s">
        <v>105</v>
      </c>
      <c r="G3" s="4" t="s">
        <v>92</v>
      </c>
      <c r="H3" s="4" t="s">
        <v>93</v>
      </c>
      <c r="I3" s="4" t="s">
        <v>94</v>
      </c>
      <c r="J3" s="4" t="s">
        <v>95</v>
      </c>
    </row>
    <row r="4" spans="1:10" ht="15" thickTop="1" x14ac:dyDescent="0.35">
      <c r="A4" t="s">
        <v>165</v>
      </c>
      <c r="B4" t="s">
        <v>127</v>
      </c>
      <c r="C4">
        <v>0</v>
      </c>
      <c r="D4">
        <f t="array" ref="D4">C4:C57-VESS!E4:E57</f>
        <v>-5</v>
      </c>
      <c r="E4">
        <f t="array" ref="E4">D4:D203-VESS!F4:F57</f>
        <v>-20</v>
      </c>
      <c r="F4">
        <f t="array" ref="F4">E4:E203-VESS!G4:G203</f>
        <v>-25</v>
      </c>
      <c r="G4">
        <f t="array" ref="G4">IF(VESS!I4:I203&gt;0,VESS!I4:I203,"")</f>
        <v>1</v>
      </c>
      <c r="H4">
        <f t="array" ref="H4">IF(VESS!J4:J203&gt;0,VESS!J4:J203,"")</f>
        <v>2</v>
      </c>
      <c r="I4">
        <f t="array" ref="I4">IF(VESS!K4:K203&gt;0,VESS!K4:K203,"")</f>
        <v>3</v>
      </c>
      <c r="J4">
        <f>IF(VESS!L4:L203&gt;0,VESS!L4:L203,I4)</f>
        <v>3</v>
      </c>
    </row>
    <row r="5" spans="1:10" x14ac:dyDescent="0.35">
      <c r="A5" t="s">
        <v>166</v>
      </c>
      <c r="B5" t="s">
        <v>127</v>
      </c>
      <c r="C5">
        <v>0</v>
      </c>
      <c r="D5">
        <f t="array" ref="D5">C5:C58-VESS!E5:E58</f>
        <v>-4</v>
      </c>
      <c r="E5">
        <f t="array" ref="E5">D5:D204-VESS!F5:F58</f>
        <v>-14</v>
      </c>
      <c r="F5">
        <f t="array" ref="F5">E5:E204-VESS!G5:G204</f>
        <v>-28</v>
      </c>
      <c r="G5">
        <f t="array" ref="G5">IF(VESS!I5:I204&gt;0,VESS!I5:I204,"")</f>
        <v>2</v>
      </c>
      <c r="H5">
        <f t="array" ref="H5">IF(VESS!J5:J204&gt;0,VESS!J5:J204,"")</f>
        <v>2</v>
      </c>
      <c r="I5">
        <f t="array" ref="I5">IF(VESS!K5:K204&gt;0,VESS!K5:K204,"")</f>
        <v>3</v>
      </c>
      <c r="J5">
        <f>IF(VESS!L5:L204&gt;0,VESS!L5:L204,I5)</f>
        <v>3</v>
      </c>
    </row>
    <row r="6" spans="1:10" x14ac:dyDescent="0.35">
      <c r="A6" t="s">
        <v>167</v>
      </c>
      <c r="B6" t="s">
        <v>127</v>
      </c>
      <c r="C6">
        <v>0</v>
      </c>
      <c r="D6">
        <f t="array" ref="D6">C6:C59-VESS!E6:E59</f>
        <v>-10</v>
      </c>
      <c r="E6">
        <f t="array" ref="E6">D6:D205-VESS!F6:F59</f>
        <v>-20</v>
      </c>
      <c r="F6">
        <f t="array" ref="F6">E6:E205-VESS!G6:G205</f>
        <v>-25</v>
      </c>
      <c r="G6">
        <f t="array" ref="G6">IF(VESS!I6:I205&gt;0,VESS!I6:I205,"")</f>
        <v>3</v>
      </c>
      <c r="H6">
        <f t="array" ref="H6">IF(VESS!J6:J205&gt;0,VESS!J6:J205,"")</f>
        <v>2</v>
      </c>
      <c r="I6">
        <f t="array" ref="I6">IF(VESS!K6:K205&gt;0,VESS!K6:K205,"")</f>
        <v>3</v>
      </c>
      <c r="J6">
        <f>IF(VESS!L6:L205&gt;0,VESS!L6:L205,I6)</f>
        <v>3</v>
      </c>
    </row>
    <row r="7" spans="1:10" x14ac:dyDescent="0.35">
      <c r="A7" t="s">
        <v>168</v>
      </c>
      <c r="B7" t="s">
        <v>127</v>
      </c>
      <c r="C7">
        <v>0</v>
      </c>
      <c r="D7">
        <f t="array" ref="D7">C7:C60-VESS!E7:E60</f>
        <v>0</v>
      </c>
      <c r="E7">
        <f t="array" ref="E7">D7:D206-VESS!F7:F60</f>
        <v>0</v>
      </c>
      <c r="F7">
        <f t="array" ref="F7">E7:E206-VESS!G7:G206</f>
        <v>0</v>
      </c>
      <c r="G7" t="str">
        <f t="array" ref="G7">IF(VESS!I7:I206&gt;0,VESS!I7:I206,"")</f>
        <v/>
      </c>
      <c r="H7" t="str">
        <f t="array" ref="H7">IF(VESS!J7:J206&gt;0,VESS!J7:J206,"")</f>
        <v/>
      </c>
      <c r="I7" t="str">
        <f t="array" ref="I7">IF(VESS!K7:K206&gt;0,VESS!K7:K206,"")</f>
        <v/>
      </c>
      <c r="J7" t="str">
        <f>IF(VESS!L7:L206&gt;0,VESS!L7:L206,I7)</f>
        <v/>
      </c>
    </row>
    <row r="8" spans="1:10" x14ac:dyDescent="0.35">
      <c r="A8" t="s">
        <v>169</v>
      </c>
      <c r="B8" t="s">
        <v>127</v>
      </c>
      <c r="C8">
        <v>0</v>
      </c>
      <c r="D8">
        <f t="array" ref="D8">C8:C61-VESS!E8:E61</f>
        <v>0</v>
      </c>
      <c r="E8">
        <f t="array" ref="E8">D8:D207-VESS!F8:F61</f>
        <v>0</v>
      </c>
      <c r="F8">
        <f t="array" ref="F8">E8:E207-VESS!G8:G207</f>
        <v>0</v>
      </c>
      <c r="G8" t="str">
        <f t="array" ref="G8">IF(VESS!I8:I207&gt;0,VESS!I8:I207,"")</f>
        <v/>
      </c>
      <c r="H8" t="str">
        <f t="array" ref="H8">IF(VESS!J8:J207&gt;0,VESS!J8:J207,"")</f>
        <v/>
      </c>
      <c r="I8" t="str">
        <f t="array" ref="I8">IF(VESS!K8:K207&gt;0,VESS!K8:K207,"")</f>
        <v/>
      </c>
      <c r="J8" t="str">
        <f>IF(VESS!L8:L207&gt;0,VESS!L8:L207,I8)</f>
        <v/>
      </c>
    </row>
    <row r="9" spans="1:10" x14ac:dyDescent="0.35">
      <c r="A9" t="s">
        <v>170</v>
      </c>
      <c r="B9" t="s">
        <v>128</v>
      </c>
      <c r="C9">
        <v>0</v>
      </c>
      <c r="D9">
        <f t="array" ref="D9">C9:C62-VESS!E9:E62</f>
        <v>-14</v>
      </c>
      <c r="E9">
        <f t="array" ref="E9">D9:D208-VESS!F9:F62</f>
        <v>-26</v>
      </c>
      <c r="F9">
        <f t="array" ref="F9">E9:E208-VESS!G9:G208</f>
        <v>-26</v>
      </c>
      <c r="G9">
        <f t="array" ref="G9">IF(VESS!I9:I208&gt;0,VESS!I9:I208,"")</f>
        <v>2</v>
      </c>
      <c r="H9">
        <f t="array" ref="H9">IF(VESS!J9:J208&gt;0,VESS!J9:J208,"")</f>
        <v>2</v>
      </c>
      <c r="I9" t="str">
        <f t="array" ref="I9">IF(VESS!K9:K208&gt;0,VESS!K9:K208,"")</f>
        <v/>
      </c>
      <c r="J9" t="str">
        <f>IF(VESS!L9:L208&gt;0,VESS!L9:L208,I9)</f>
        <v/>
      </c>
    </row>
    <row r="10" spans="1:10" x14ac:dyDescent="0.35">
      <c r="A10" t="s">
        <v>171</v>
      </c>
      <c r="B10" t="s">
        <v>128</v>
      </c>
      <c r="C10">
        <v>0</v>
      </c>
      <c r="D10">
        <f t="array" ref="D10">C10:C63-VESS!E10:E63</f>
        <v>-11</v>
      </c>
      <c r="E10">
        <f t="array" ref="E10">D10:D209-VESS!F10:F63</f>
        <v>-26</v>
      </c>
      <c r="F10">
        <f t="array" ref="F10">E10:E209-VESS!G10:G209</f>
        <v>-26</v>
      </c>
      <c r="G10">
        <f t="array" ref="G10">IF(VESS!I10:I209&gt;0,VESS!I10:I209,"")</f>
        <v>1</v>
      </c>
      <c r="H10">
        <f t="array" ref="H10">IF(VESS!J10:J209&gt;0,VESS!J10:J209,"")</f>
        <v>1</v>
      </c>
      <c r="I10" t="str">
        <f t="array" ref="I10">IF(VESS!K10:K209&gt;0,VESS!K10:K209,"")</f>
        <v/>
      </c>
      <c r="J10" t="str">
        <f>IF(VESS!L10:L209&gt;0,VESS!L10:L209,I10)</f>
        <v/>
      </c>
    </row>
    <row r="11" spans="1:10" x14ac:dyDescent="0.35">
      <c r="A11" t="s">
        <v>172</v>
      </c>
      <c r="B11" t="s">
        <v>128</v>
      </c>
      <c r="C11">
        <v>0</v>
      </c>
      <c r="D11">
        <f t="array" ref="D11">C11:C64-VESS!E11:E64</f>
        <v>-20</v>
      </c>
      <c r="E11">
        <f t="array" ref="E11">D11:D210-VESS!F11:F64</f>
        <v>-27</v>
      </c>
      <c r="F11">
        <f t="array" ref="F11">E11:E210-VESS!G11:G210</f>
        <v>-27</v>
      </c>
      <c r="G11">
        <f t="array" ref="G11">IF(VESS!I11:I210&gt;0,VESS!I11:I210,"")</f>
        <v>2</v>
      </c>
      <c r="H11">
        <f t="array" ref="H11">IF(VESS!J11:J210&gt;0,VESS!J11:J210,"")</f>
        <v>2</v>
      </c>
      <c r="I11" t="str">
        <f t="array" ref="I11">IF(VESS!K11:K210&gt;0,VESS!K11:K210,"")</f>
        <v/>
      </c>
      <c r="J11" t="str">
        <f>IF(VESS!L11:L210&gt;0,VESS!L11:L210,I11)</f>
        <v/>
      </c>
    </row>
    <row r="12" spans="1:10" x14ac:dyDescent="0.35">
      <c r="A12" t="s">
        <v>173</v>
      </c>
      <c r="B12" t="s">
        <v>128</v>
      </c>
      <c r="C12">
        <v>0</v>
      </c>
      <c r="D12">
        <f t="array" ref="D12">C12:C65-VESS!E12:E65</f>
        <v>0</v>
      </c>
      <c r="E12">
        <f t="array" ref="E12">D12:D211-VESS!F12:F65</f>
        <v>0</v>
      </c>
      <c r="F12">
        <f t="array" ref="F12">E12:E211-VESS!G12:G211</f>
        <v>0</v>
      </c>
      <c r="G12" t="str">
        <f t="array" ref="G12">IF(VESS!I12:I211&gt;0,VESS!I12:I211,"")</f>
        <v/>
      </c>
      <c r="H12" t="str">
        <f t="array" ref="H12">IF(VESS!J12:J211&gt;0,VESS!J12:J211,"")</f>
        <v/>
      </c>
      <c r="I12" t="str">
        <f t="array" ref="I12">IF(VESS!K12:K211&gt;0,VESS!K12:K211,"")</f>
        <v/>
      </c>
      <c r="J12" t="str">
        <f>IF(VESS!L12:L211&gt;0,VESS!L12:L211,I12)</f>
        <v/>
      </c>
    </row>
    <row r="13" spans="1:10" x14ac:dyDescent="0.35">
      <c r="A13" t="s">
        <v>174</v>
      </c>
      <c r="B13" t="s">
        <v>128</v>
      </c>
      <c r="C13">
        <v>0</v>
      </c>
      <c r="D13">
        <f t="array" ref="D13">C13:C66-VESS!E13:E66</f>
        <v>0</v>
      </c>
      <c r="E13">
        <f t="array" ref="E13">D13:D212-VESS!F13:F66</f>
        <v>0</v>
      </c>
      <c r="F13">
        <f t="array" ref="F13">E13:E212-VESS!G13:G212</f>
        <v>0</v>
      </c>
      <c r="G13" t="str">
        <f t="array" ref="G13">IF(VESS!I13:I212&gt;0,VESS!I13:I212,"")</f>
        <v/>
      </c>
      <c r="H13" t="str">
        <f t="array" ref="H13">IF(VESS!J13:J212&gt;0,VESS!J13:J212,"")</f>
        <v/>
      </c>
      <c r="I13" t="str">
        <f t="array" ref="I13">IF(VESS!K13:K212&gt;0,VESS!K13:K212,"")</f>
        <v/>
      </c>
      <c r="J13" t="str">
        <f>IF(VESS!L13:L212&gt;0,VESS!L13:L212,I13)</f>
        <v/>
      </c>
    </row>
    <row r="14" spans="1:10" x14ac:dyDescent="0.35">
      <c r="A14" t="s">
        <v>175</v>
      </c>
      <c r="B14" t="s">
        <v>37</v>
      </c>
      <c r="C14">
        <v>0</v>
      </c>
      <c r="D14">
        <f t="array" ref="D14">C14:C67-VESS!E14:E67</f>
        <v>-7</v>
      </c>
      <c r="E14">
        <f t="array" ref="E14">D14:D213-VESS!F14:F67</f>
        <v>-22</v>
      </c>
      <c r="F14">
        <f t="array" ref="F14">E14:E213-VESS!G14:G213</f>
        <v>-27</v>
      </c>
      <c r="G14">
        <f t="array" ref="G14">IF(VESS!I14:I213&gt;0,VESS!I14:I213,"")</f>
        <v>1</v>
      </c>
      <c r="H14">
        <f t="array" ref="H14">IF(VESS!J14:J213&gt;0,VESS!J14:J213,"")</f>
        <v>2</v>
      </c>
      <c r="I14">
        <f t="array" ref="I14">IF(VESS!K14:K213&gt;0,VESS!K14:K213,"")</f>
        <v>4</v>
      </c>
      <c r="J14">
        <f>IF(VESS!L14:L213&gt;0,VESS!L14:L213,I14)</f>
        <v>4</v>
      </c>
    </row>
    <row r="15" spans="1:10" x14ac:dyDescent="0.35">
      <c r="A15" t="s">
        <v>176</v>
      </c>
      <c r="B15" t="s">
        <v>37</v>
      </c>
      <c r="C15">
        <v>0</v>
      </c>
      <c r="D15">
        <f t="array" ref="D15">C15:C68-VESS!E15:E68</f>
        <v>-8</v>
      </c>
      <c r="E15">
        <f t="array" ref="E15">D15:D214-VESS!F15:F68</f>
        <v>-21</v>
      </c>
      <c r="F15">
        <f t="array" ref="F15">E15:E214-VESS!G15:G214</f>
        <v>-31</v>
      </c>
      <c r="G15">
        <f t="array" ref="G15">IF(VESS!I15:I214&gt;0,VESS!I15:I214,"")</f>
        <v>1</v>
      </c>
      <c r="H15">
        <f t="array" ref="H15">IF(VESS!J15:J214&gt;0,VESS!J15:J214,"")</f>
        <v>4</v>
      </c>
      <c r="I15">
        <f t="array" ref="I15">IF(VESS!K15:K214&gt;0,VESS!K15:K214,"")</f>
        <v>5</v>
      </c>
      <c r="J15">
        <f>IF(VESS!L15:L214&gt;0,VESS!L15:L214,I15)</f>
        <v>5</v>
      </c>
    </row>
    <row r="16" spans="1:10" x14ac:dyDescent="0.35">
      <c r="A16" t="s">
        <v>177</v>
      </c>
      <c r="B16" t="s">
        <v>37</v>
      </c>
      <c r="C16">
        <v>0</v>
      </c>
      <c r="D16">
        <f t="array" ref="D16">C16:C69-VESS!E16:E69</f>
        <v>-5</v>
      </c>
      <c r="E16">
        <f t="array" ref="E16">D16:D215-VESS!F16:F69</f>
        <v>-20</v>
      </c>
      <c r="F16">
        <f t="array" ref="F16">E16:E215-VESS!G16:G215</f>
        <v>-28</v>
      </c>
      <c r="G16">
        <f t="array" ref="G16">IF(VESS!I16:I215&gt;0,VESS!I16:I215,"")</f>
        <v>1</v>
      </c>
      <c r="H16">
        <f t="array" ref="H16">IF(VESS!J16:J215&gt;0,VESS!J16:J215,"")</f>
        <v>4</v>
      </c>
      <c r="I16">
        <f t="array" ref="I16">IF(VESS!K16:K215&gt;0,VESS!K16:K215,"")</f>
        <v>5</v>
      </c>
      <c r="J16">
        <f>IF(VESS!L16:L215&gt;0,VESS!L16:L215,I16)</f>
        <v>5</v>
      </c>
    </row>
    <row r="17" spans="1:10" x14ac:dyDescent="0.35">
      <c r="A17" t="s">
        <v>178</v>
      </c>
      <c r="B17" t="s">
        <v>37</v>
      </c>
      <c r="C17">
        <v>0</v>
      </c>
      <c r="D17">
        <f t="array" ref="D17">C17:C70-VESS!E17:E70</f>
        <v>-5</v>
      </c>
      <c r="E17">
        <f t="array" ref="E17">D17:D216-VESS!F17:F70</f>
        <v>-17</v>
      </c>
      <c r="F17">
        <f t="array" ref="F17">E17:E216-VESS!G17:G216</f>
        <v>-25</v>
      </c>
      <c r="G17">
        <f t="array" ref="G17">IF(VESS!I17:I216&gt;0,VESS!I17:I216,"")</f>
        <v>1</v>
      </c>
      <c r="H17">
        <f t="array" ref="H17">IF(VESS!J17:J216&gt;0,VESS!J17:J216,"")</f>
        <v>4</v>
      </c>
      <c r="I17">
        <f t="array" ref="I17">IF(VESS!K17:K216&gt;0,VESS!K17:K216,"")</f>
        <v>4</v>
      </c>
      <c r="J17">
        <f>IF(VESS!L17:L216&gt;0,VESS!L17:L216,I17)</f>
        <v>4</v>
      </c>
    </row>
    <row r="18" spans="1:10" x14ac:dyDescent="0.35">
      <c r="A18" t="s">
        <v>179</v>
      </c>
      <c r="B18" t="s">
        <v>37</v>
      </c>
      <c r="C18">
        <v>0</v>
      </c>
      <c r="D18">
        <f t="array" ref="D18">C18:C71-VESS!E18:E71</f>
        <v>-5</v>
      </c>
      <c r="E18">
        <f t="array" ref="E18">D18:D217-VESS!F18:F71</f>
        <v>-10</v>
      </c>
      <c r="F18">
        <f t="array" ref="F18">E18:E217-VESS!G18:G217</f>
        <v>-20</v>
      </c>
      <c r="G18">
        <f t="array" ref="G18">IF(VESS!I18:I217&gt;0,VESS!I18:I217,"")</f>
        <v>1</v>
      </c>
      <c r="H18">
        <f t="array" ref="H18">IF(VESS!J18:J217&gt;0,VESS!J18:J217,"")</f>
        <v>4</v>
      </c>
      <c r="I18">
        <f t="array" ref="I18">IF(VESS!K18:K217&gt;0,VESS!K18:K217,"")</f>
        <v>4</v>
      </c>
      <c r="J18">
        <f>IF(VESS!L18:L217&gt;0,VESS!L18:L217,I18)</f>
        <v>4</v>
      </c>
    </row>
    <row r="19" spans="1:10" x14ac:dyDescent="0.35">
      <c r="A19" t="s">
        <v>180</v>
      </c>
      <c r="B19" t="s">
        <v>36</v>
      </c>
      <c r="C19">
        <v>0</v>
      </c>
      <c r="D19">
        <f t="array" ref="D19">C19:C72-VESS!E19:E72</f>
        <v>-6</v>
      </c>
      <c r="E19">
        <f t="array" ref="E19">D19:D218-VESS!F19:F72</f>
        <v>-13</v>
      </c>
      <c r="F19">
        <f t="array" ref="F19">E19:E218-VESS!G19:G218</f>
        <v>-20</v>
      </c>
      <c r="G19">
        <f t="array" ref="G19">IF(VESS!I19:I218&gt;0,VESS!I19:I218,"")</f>
        <v>2</v>
      </c>
      <c r="H19">
        <f t="array" ref="H19">IF(VESS!J19:J218&gt;0,VESS!J19:J218,"")</f>
        <v>3</v>
      </c>
      <c r="I19">
        <f t="array" ref="I19">IF(VESS!K19:K218&gt;0,VESS!K19:K218,"")</f>
        <v>3</v>
      </c>
      <c r="J19">
        <f>IF(VESS!L19:L218&gt;0,VESS!L19:L218,I19)</f>
        <v>4</v>
      </c>
    </row>
    <row r="20" spans="1:10" x14ac:dyDescent="0.35">
      <c r="A20" t="s">
        <v>181</v>
      </c>
      <c r="B20" t="s">
        <v>36</v>
      </c>
      <c r="C20">
        <v>0</v>
      </c>
      <c r="D20">
        <f t="array" ref="D20">C20:C73-VESS!E20:E73</f>
        <v>-6</v>
      </c>
      <c r="E20">
        <f t="array" ref="E20">D20:D219-VESS!F20:F73</f>
        <v>-18</v>
      </c>
      <c r="F20">
        <f t="array" ref="F20">E20:E219-VESS!G20:G219</f>
        <v>-25</v>
      </c>
      <c r="G20">
        <f t="array" ref="G20">IF(VESS!I20:I219&gt;0,VESS!I20:I219,"")</f>
        <v>2</v>
      </c>
      <c r="H20">
        <f t="array" ref="H20">IF(VESS!J20:J219&gt;0,VESS!J20:J219,"")</f>
        <v>3</v>
      </c>
      <c r="I20">
        <f t="array" ref="I20">IF(VESS!K20:K219&gt;0,VESS!K20:K219,"")</f>
        <v>4</v>
      </c>
      <c r="J20">
        <f>IF(VESS!L20:L219&gt;0,VESS!L20:L219,I20)</f>
        <v>5</v>
      </c>
    </row>
    <row r="21" spans="1:10" x14ac:dyDescent="0.35">
      <c r="A21" t="s">
        <v>182</v>
      </c>
      <c r="B21" t="s">
        <v>36</v>
      </c>
      <c r="C21">
        <v>0</v>
      </c>
      <c r="D21">
        <f t="array" ref="D21">C21:C74-VESS!E21:E74</f>
        <v>-6</v>
      </c>
      <c r="E21">
        <f t="array" ref="E21">D21:D220-VESS!F21:F74</f>
        <v>-11</v>
      </c>
      <c r="F21">
        <f t="array" ref="F21">E21:E220-VESS!G21:G220</f>
        <v>-26</v>
      </c>
      <c r="G21">
        <f t="array" ref="G21">IF(VESS!I21:I220&gt;0,VESS!I21:I220,"")</f>
        <v>1</v>
      </c>
      <c r="H21">
        <f t="array" ref="H21">IF(VESS!J21:J220&gt;0,VESS!J21:J220,"")</f>
        <v>3</v>
      </c>
      <c r="I21">
        <f t="array" ref="I21">IF(VESS!K21:K220&gt;0,VESS!K21:K220,"")</f>
        <v>4</v>
      </c>
      <c r="J21">
        <f>IF(VESS!L21:L220&gt;0,VESS!L21:L220,I21)</f>
        <v>4</v>
      </c>
    </row>
    <row r="22" spans="1:10" x14ac:dyDescent="0.35">
      <c r="A22" t="s">
        <v>183</v>
      </c>
      <c r="B22" t="s">
        <v>36</v>
      </c>
      <c r="C22">
        <v>0</v>
      </c>
      <c r="D22">
        <f t="array" ref="D22">C22:C75-VESS!E22:E75</f>
        <v>-5</v>
      </c>
      <c r="E22">
        <f t="array" ref="E22">D22:D221-VESS!F22:F75</f>
        <v>-14</v>
      </c>
      <c r="F22">
        <f t="array" ref="F22">E22:E221-VESS!G22:G221</f>
        <v>-24</v>
      </c>
      <c r="G22">
        <f t="array" ref="G22">IF(VESS!I22:I221&gt;0,VESS!I22:I221,"")</f>
        <v>1</v>
      </c>
      <c r="H22">
        <f t="array" ref="H22">IF(VESS!J22:J221&gt;0,VESS!J22:J221,"")</f>
        <v>4</v>
      </c>
      <c r="I22">
        <f t="array" ref="I22">IF(VESS!K22:K221&gt;0,VESS!K22:K221,"")</f>
        <v>4</v>
      </c>
      <c r="J22">
        <f>IF(VESS!L22:L221&gt;0,VESS!L22:L221,I22)</f>
        <v>4</v>
      </c>
    </row>
    <row r="23" spans="1:10" x14ac:dyDescent="0.35">
      <c r="A23" t="s">
        <v>184</v>
      </c>
      <c r="B23" t="s">
        <v>36</v>
      </c>
      <c r="C23">
        <v>0</v>
      </c>
      <c r="D23">
        <f t="array" ref="D23">C23:C76-VESS!E23:E76</f>
        <v>-5</v>
      </c>
      <c r="E23">
        <f t="array" ref="E23">D23:D222-VESS!F23:F76</f>
        <v>-10</v>
      </c>
      <c r="F23">
        <f t="array" ref="F23">E23:E222-VESS!G23:G222</f>
        <v>-21</v>
      </c>
      <c r="G23">
        <f t="array" ref="G23">IF(VESS!I23:I222&gt;0,VESS!I23:I222,"")</f>
        <v>1</v>
      </c>
      <c r="H23">
        <f t="array" ref="H23">IF(VESS!J23:J222&gt;0,VESS!J23:J222,"")</f>
        <v>2</v>
      </c>
      <c r="I23">
        <f t="array" ref="I23">IF(VESS!K23:K222&gt;0,VESS!K23:K222,"")</f>
        <v>4</v>
      </c>
      <c r="J23">
        <f>IF(VESS!L23:L222&gt;0,VESS!L23:L222,I23)</f>
        <v>4</v>
      </c>
    </row>
    <row r="24" spans="1:10" x14ac:dyDescent="0.35">
      <c r="A24" t="s">
        <v>185</v>
      </c>
      <c r="B24" t="s">
        <v>129</v>
      </c>
      <c r="C24">
        <v>0</v>
      </c>
      <c r="D24">
        <f t="array" ref="D24">C24:C77-VESS!E24:E77</f>
        <v>-5</v>
      </c>
      <c r="E24">
        <f t="array" ref="E24">D24:D223-VESS!F24:F77</f>
        <v>-12</v>
      </c>
      <c r="F24">
        <f t="array" ref="F24">E24:E223-VESS!G24:G223</f>
        <v>-24</v>
      </c>
      <c r="G24">
        <f t="array" ref="G24">IF(VESS!I24:I223&gt;0,VESS!I24:I223,"")</f>
        <v>1</v>
      </c>
      <c r="H24">
        <f t="array" ref="H24">IF(VESS!J24:J223&gt;0,VESS!J24:J223,"")</f>
        <v>3</v>
      </c>
      <c r="I24">
        <f t="array" ref="I24">IF(VESS!K24:K223&gt;0,VESS!K24:K223,"")</f>
        <v>4</v>
      </c>
      <c r="J24">
        <f>IF(VESS!L24:L223&gt;0,VESS!L24:L223,I24)</f>
        <v>2</v>
      </c>
    </row>
    <row r="25" spans="1:10" x14ac:dyDescent="0.35">
      <c r="A25" t="s">
        <v>186</v>
      </c>
      <c r="B25" t="s">
        <v>129</v>
      </c>
      <c r="C25">
        <v>0</v>
      </c>
      <c r="D25">
        <f t="array" ref="D25">C25:C78-VESS!E25:E78</f>
        <v>-4</v>
      </c>
      <c r="E25">
        <f t="array" ref="E25">D25:D224-VESS!F25:F78</f>
        <v>-24</v>
      </c>
      <c r="F25">
        <f t="array" ref="F25">E25:E224-VESS!G25:G224</f>
        <v>-29</v>
      </c>
      <c r="G25">
        <f t="array" ref="G25">IF(VESS!I25:I224&gt;0,VESS!I25:I224,"")</f>
        <v>1</v>
      </c>
      <c r="H25">
        <f t="array" ref="H25">IF(VESS!J25:J224&gt;0,VESS!J25:J224,"")</f>
        <v>4</v>
      </c>
      <c r="I25">
        <f t="array" ref="I25">IF(VESS!K25:K224&gt;0,VESS!K25:K224,"")</f>
        <v>4</v>
      </c>
      <c r="J25">
        <f>IF(VESS!L25:L224&gt;0,VESS!L25:L224,I25)</f>
        <v>4</v>
      </c>
    </row>
    <row r="26" spans="1:10" x14ac:dyDescent="0.35">
      <c r="A26" t="s">
        <v>187</v>
      </c>
      <c r="B26" t="s">
        <v>129</v>
      </c>
      <c r="C26">
        <v>0</v>
      </c>
      <c r="D26">
        <f t="array" ref="D26">C26:C79-VESS!E26:E79</f>
        <v>-4</v>
      </c>
      <c r="E26">
        <f t="array" ref="E26">D26:D225-VESS!F26:F79</f>
        <v>-17</v>
      </c>
      <c r="F26">
        <f t="array" ref="F26">E26:E225-VESS!G26:G225</f>
        <v>-27</v>
      </c>
      <c r="G26">
        <f t="array" ref="G26">IF(VESS!I26:I225&gt;0,VESS!I26:I225,"")</f>
        <v>3</v>
      </c>
      <c r="H26">
        <f t="array" ref="H26">IF(VESS!J26:J225&gt;0,VESS!J26:J225,"")</f>
        <v>4</v>
      </c>
      <c r="I26">
        <f t="array" ref="I26">IF(VESS!K26:K225&gt;0,VESS!K26:K225,"")</f>
        <v>4</v>
      </c>
      <c r="J26">
        <f>IF(VESS!L26:L225&gt;0,VESS!L26:L225,I26)</f>
        <v>5</v>
      </c>
    </row>
    <row r="27" spans="1:10" x14ac:dyDescent="0.35">
      <c r="A27" t="s">
        <v>188</v>
      </c>
      <c r="B27" t="s">
        <v>129</v>
      </c>
      <c r="C27">
        <v>0</v>
      </c>
      <c r="D27">
        <f t="array" ref="D27">C27:C80-VESS!E27:E80</f>
        <v>0</v>
      </c>
      <c r="E27">
        <f t="array" ref="E27">D27:D226-VESS!F27:F80</f>
        <v>0</v>
      </c>
      <c r="F27">
        <f t="array" ref="F27">E27:E226-VESS!G27:G226</f>
        <v>0</v>
      </c>
      <c r="G27" t="str">
        <f t="array" ref="G27">IF(VESS!I27:I226&gt;0,VESS!I27:I226,"")</f>
        <v/>
      </c>
      <c r="H27" t="str">
        <f t="array" ref="H27">IF(VESS!J27:J226&gt;0,VESS!J27:J226,"")</f>
        <v/>
      </c>
      <c r="I27" t="str">
        <f t="array" ref="I27">IF(VESS!K27:K226&gt;0,VESS!K27:K226,"")</f>
        <v/>
      </c>
      <c r="J27" t="str">
        <f>IF(VESS!L27:L226&gt;0,VESS!L27:L226,I27)</f>
        <v/>
      </c>
    </row>
    <row r="28" spans="1:10" x14ac:dyDescent="0.35">
      <c r="A28" t="s">
        <v>189</v>
      </c>
      <c r="B28" t="s">
        <v>129</v>
      </c>
      <c r="C28">
        <v>0</v>
      </c>
      <c r="D28">
        <f t="array" ref="D28">C28:C81-VESS!E28:E81</f>
        <v>0</v>
      </c>
      <c r="E28">
        <f t="array" ref="E28">D28:D227-VESS!F28:F81</f>
        <v>0</v>
      </c>
      <c r="F28">
        <f t="array" ref="F28">E28:E227-VESS!G28:G227</f>
        <v>0</v>
      </c>
      <c r="G28" t="str">
        <f t="array" ref="G28">IF(VESS!I28:I227&gt;0,VESS!I28:I227,"")</f>
        <v/>
      </c>
      <c r="H28" t="str">
        <f t="array" ref="H28">IF(VESS!J28:J227&gt;0,VESS!J28:J227,"")</f>
        <v/>
      </c>
      <c r="I28" t="str">
        <f t="array" ref="I28">IF(VESS!K28:K227&gt;0,VESS!K28:K227,"")</f>
        <v/>
      </c>
      <c r="J28" t="str">
        <f>IF(VESS!L28:L227&gt;0,VESS!L28:L227,I28)</f>
        <v/>
      </c>
    </row>
    <row r="29" spans="1:10" x14ac:dyDescent="0.35">
      <c r="A29" t="s">
        <v>190</v>
      </c>
      <c r="B29" t="s">
        <v>130</v>
      </c>
      <c r="C29">
        <v>0</v>
      </c>
      <c r="D29">
        <f t="array" ref="D29">C29:C82-VESS!E29:E82</f>
        <v>-5</v>
      </c>
      <c r="E29">
        <f t="array" ref="E29">D29:D228-VESS!F29:F82</f>
        <v>-25</v>
      </c>
      <c r="F29">
        <f t="array" ref="F29">E29:E228-VESS!G29:G228</f>
        <v>-30</v>
      </c>
      <c r="G29">
        <f t="array" ref="G29">IF(VESS!I29:I228&gt;0,VESS!I29:I228,"")</f>
        <v>1</v>
      </c>
      <c r="H29">
        <f t="array" ref="H29">IF(VESS!J29:J228&gt;0,VESS!J29:J228,"")</f>
        <v>2</v>
      </c>
      <c r="I29">
        <f t="array" ref="I29">IF(VESS!K29:K228&gt;0,VESS!K29:K228,"")</f>
        <v>2</v>
      </c>
      <c r="J29">
        <f>IF(VESS!L29:L228&gt;0,VESS!L29:L228,I29)</f>
        <v>2</v>
      </c>
    </row>
    <row r="30" spans="1:10" x14ac:dyDescent="0.35">
      <c r="A30" t="s">
        <v>191</v>
      </c>
      <c r="B30" t="s">
        <v>130</v>
      </c>
      <c r="C30">
        <v>0</v>
      </c>
      <c r="D30">
        <f t="array" ref="D30">C30:C83-VESS!E30:E83</f>
        <v>-5</v>
      </c>
      <c r="E30">
        <f t="array" ref="E30">D30:D229-VESS!F30:F83</f>
        <v>-25</v>
      </c>
      <c r="F30">
        <f t="array" ref="F30">E30:E229-VESS!G30:G229</f>
        <v>-30</v>
      </c>
      <c r="G30">
        <f t="array" ref="G30">IF(VESS!I30:I229&gt;0,VESS!I30:I229,"")</f>
        <v>1</v>
      </c>
      <c r="H30">
        <f t="array" ref="H30">IF(VESS!J30:J229&gt;0,VESS!J30:J229,"")</f>
        <v>2</v>
      </c>
      <c r="I30">
        <f t="array" ref="I30">IF(VESS!K30:K229&gt;0,VESS!K30:K229,"")</f>
        <v>2</v>
      </c>
      <c r="J30">
        <f>IF(VESS!L30:L229&gt;0,VESS!L30:L229,I30)</f>
        <v>2</v>
      </c>
    </row>
    <row r="31" spans="1:10" x14ac:dyDescent="0.35">
      <c r="A31" t="s">
        <v>192</v>
      </c>
      <c r="B31" t="s">
        <v>130</v>
      </c>
      <c r="C31">
        <v>0</v>
      </c>
      <c r="D31">
        <f t="array" ref="D31">C31:C84-VESS!E31:E84</f>
        <v>-5</v>
      </c>
      <c r="E31">
        <f t="array" ref="E31">D31:D230-VESS!F31:F84</f>
        <v>-22</v>
      </c>
      <c r="F31">
        <f t="array" ref="F31">E31:E230-VESS!G31:G230</f>
        <v>-27</v>
      </c>
      <c r="G31">
        <f t="array" ref="G31">IF(VESS!I31:I230&gt;0,VESS!I31:I230,"")</f>
        <v>1</v>
      </c>
      <c r="H31">
        <f t="array" ref="H31">IF(VESS!J31:J230&gt;0,VESS!J31:J230,"")</f>
        <v>2</v>
      </c>
      <c r="I31">
        <f t="array" ref="I31">IF(VESS!K31:K230&gt;0,VESS!K31:K230,"")</f>
        <v>4</v>
      </c>
      <c r="J31">
        <f>IF(VESS!L31:L230&gt;0,VESS!L31:L230,I31)</f>
        <v>4</v>
      </c>
    </row>
    <row r="32" spans="1:10" x14ac:dyDescent="0.35">
      <c r="A32" t="s">
        <v>193</v>
      </c>
      <c r="B32" t="s">
        <v>130</v>
      </c>
      <c r="C32">
        <v>0</v>
      </c>
      <c r="D32">
        <f t="array" ref="D32">C32:C85-VESS!E32:E85</f>
        <v>0</v>
      </c>
      <c r="E32">
        <f t="array" ref="E32">D32:D231-VESS!F32:F85</f>
        <v>0</v>
      </c>
      <c r="F32">
        <f t="array" ref="F32">E32:E231-VESS!G32:G231</f>
        <v>0</v>
      </c>
      <c r="G32" t="str">
        <f t="array" ref="G32">IF(VESS!I32:I231&gt;0,VESS!I32:I231,"")</f>
        <v/>
      </c>
      <c r="H32" t="str">
        <f t="array" ref="H32">IF(VESS!J32:J231&gt;0,VESS!J32:J231,"")</f>
        <v/>
      </c>
      <c r="I32" t="str">
        <f t="array" ref="I32">IF(VESS!K32:K231&gt;0,VESS!K32:K231,"")</f>
        <v/>
      </c>
      <c r="J32" t="str">
        <f>IF(VESS!L32:L231&gt;0,VESS!L32:L231,I32)</f>
        <v/>
      </c>
    </row>
    <row r="33" spans="1:10" x14ac:dyDescent="0.35">
      <c r="A33" t="s">
        <v>194</v>
      </c>
      <c r="B33" t="s">
        <v>130</v>
      </c>
      <c r="C33">
        <v>0</v>
      </c>
      <c r="D33">
        <f t="array" ref="D33">C33:C86-VESS!E33:E86</f>
        <v>0</v>
      </c>
      <c r="E33">
        <f t="array" ref="E33">D33:D232-VESS!F33:F86</f>
        <v>0</v>
      </c>
      <c r="F33">
        <f t="array" ref="F33">E33:E232-VESS!G33:G232</f>
        <v>0</v>
      </c>
      <c r="G33" t="str">
        <f t="array" ref="G33">IF(VESS!I33:I232&gt;0,VESS!I33:I232,"")</f>
        <v/>
      </c>
      <c r="H33" t="str">
        <f t="array" ref="H33">IF(VESS!J33:J232&gt;0,VESS!J33:J232,"")</f>
        <v/>
      </c>
      <c r="I33" t="str">
        <f t="array" ref="I33">IF(VESS!K33:K232&gt;0,VESS!K33:K232,"")</f>
        <v/>
      </c>
      <c r="J33" t="str">
        <f>IF(VESS!L33:L232&gt;0,VESS!L33:L232,I33)</f>
        <v/>
      </c>
    </row>
    <row r="34" spans="1:10" x14ac:dyDescent="0.35">
      <c r="A34" t="s">
        <v>195</v>
      </c>
      <c r="B34" t="s">
        <v>29</v>
      </c>
      <c r="C34">
        <v>0</v>
      </c>
      <c r="D34">
        <f t="array" ref="D34">C34:C87-VESS!E34:E87</f>
        <v>-6</v>
      </c>
      <c r="E34">
        <f t="array" ref="E34">D34:D233-VESS!F34:F87</f>
        <v>-18</v>
      </c>
      <c r="F34">
        <f t="array" ref="F34">E34:E233-VESS!G34:G233</f>
        <v>-26</v>
      </c>
      <c r="G34">
        <f t="array" ref="G34">IF(VESS!I34:I233&gt;0,VESS!I34:I233,"")</f>
        <v>1</v>
      </c>
      <c r="H34">
        <f t="array" ref="H34">IF(VESS!J34:J233&gt;0,VESS!J34:J233,"")</f>
        <v>4</v>
      </c>
      <c r="I34">
        <f t="array" ref="I34">IF(VESS!K34:K233&gt;0,VESS!K34:K233,"")</f>
        <v>4</v>
      </c>
      <c r="J34">
        <f>IF(VESS!L34:L233&gt;0,VESS!L34:L233,I34)</f>
        <v>5</v>
      </c>
    </row>
    <row r="35" spans="1:10" x14ac:dyDescent="0.35">
      <c r="A35" t="s">
        <v>196</v>
      </c>
      <c r="B35" t="s">
        <v>29</v>
      </c>
      <c r="C35">
        <v>0</v>
      </c>
      <c r="D35">
        <f t="array" ref="D35">C35:C88-VESS!E35:E88</f>
        <v>-6</v>
      </c>
      <c r="E35">
        <f t="array" ref="E35">D35:D234-VESS!F35:F88</f>
        <v>-24</v>
      </c>
      <c r="F35">
        <f t="array" ref="F35">E35:E234-VESS!G35:G234</f>
        <v>-30</v>
      </c>
      <c r="G35">
        <f t="array" ref="G35">IF(VESS!I35:I234&gt;0,VESS!I35:I234,"")</f>
        <v>1</v>
      </c>
      <c r="H35">
        <f t="array" ref="H35">IF(VESS!J35:J234&gt;0,VESS!J35:J234,"")</f>
        <v>3</v>
      </c>
      <c r="I35">
        <f t="array" ref="I35">IF(VESS!K35:K234&gt;0,VESS!K35:K234,"")</f>
        <v>4</v>
      </c>
      <c r="J35">
        <f>IF(VESS!L35:L234&gt;0,VESS!L35:L234,I35)</f>
        <v>4</v>
      </c>
    </row>
    <row r="36" spans="1:10" x14ac:dyDescent="0.35">
      <c r="A36" t="s">
        <v>197</v>
      </c>
      <c r="B36" t="s">
        <v>29</v>
      </c>
      <c r="C36">
        <v>0</v>
      </c>
      <c r="D36">
        <f t="array" ref="D36">C36:C89-VESS!E36:E89</f>
        <v>-6</v>
      </c>
      <c r="E36">
        <f t="array" ref="E36">D36:D235-VESS!F36:F89</f>
        <v>-10</v>
      </c>
      <c r="F36">
        <f t="array" ref="F36">E36:E235-VESS!G36:G235</f>
        <v>-23</v>
      </c>
      <c r="G36">
        <f t="array" ref="G36">IF(VESS!I36:I235&gt;0,VESS!I36:I235,"")</f>
        <v>1</v>
      </c>
      <c r="H36">
        <f t="array" ref="H36">IF(VESS!J36:J235&gt;0,VESS!J36:J235,"")</f>
        <v>3</v>
      </c>
      <c r="I36">
        <f t="array" ref="I36">IF(VESS!K36:K235&gt;0,VESS!K36:K235,"")</f>
        <v>4</v>
      </c>
      <c r="J36">
        <f>IF(VESS!L36:L235&gt;0,VESS!L36:L235,I36)</f>
        <v>4</v>
      </c>
    </row>
    <row r="37" spans="1:10" x14ac:dyDescent="0.35">
      <c r="A37" t="s">
        <v>198</v>
      </c>
      <c r="B37" t="s">
        <v>29</v>
      </c>
      <c r="C37">
        <v>0</v>
      </c>
      <c r="D37">
        <f t="array" ref="D37">C37:C90-VESS!E37:E90</f>
        <v>0</v>
      </c>
      <c r="E37">
        <f t="array" ref="E37">D37:D236-VESS!F37:F90</f>
        <v>0</v>
      </c>
      <c r="F37">
        <f t="array" ref="F37">E37:E236-VESS!G37:G236</f>
        <v>0</v>
      </c>
      <c r="G37" t="str">
        <f t="array" ref="G37">IF(VESS!I37:I236&gt;0,VESS!I37:I236,"")</f>
        <v/>
      </c>
      <c r="H37" t="str">
        <f t="array" ref="H37">IF(VESS!J37:J236&gt;0,VESS!J37:J236,"")</f>
        <v/>
      </c>
      <c r="I37" t="str">
        <f t="array" ref="I37">IF(VESS!K37:K236&gt;0,VESS!K37:K236,"")</f>
        <v/>
      </c>
      <c r="J37" t="str">
        <f>IF(VESS!L37:L236&gt;0,VESS!L37:L236,I37)</f>
        <v/>
      </c>
    </row>
    <row r="38" spans="1:10" x14ac:dyDescent="0.35">
      <c r="A38" t="s">
        <v>199</v>
      </c>
      <c r="B38" t="s">
        <v>29</v>
      </c>
      <c r="C38">
        <v>0</v>
      </c>
      <c r="D38">
        <f t="array" ref="D38">C38:C91-VESS!E38:E91</f>
        <v>0</v>
      </c>
      <c r="E38">
        <f t="array" ref="E38">D38:D237-VESS!F38:F91</f>
        <v>0</v>
      </c>
      <c r="F38">
        <f t="array" ref="F38">E38:E237-VESS!G38:G237</f>
        <v>0</v>
      </c>
      <c r="G38" t="str">
        <f t="array" ref="G38">IF(VESS!I38:I237&gt;0,VESS!I38:I237,"")</f>
        <v/>
      </c>
      <c r="H38" t="str">
        <f t="array" ref="H38">IF(VESS!J38:J237&gt;0,VESS!J38:J237,"")</f>
        <v/>
      </c>
      <c r="I38" t="str">
        <f t="array" ref="I38">IF(VESS!K38:K237&gt;0,VESS!K38:K237,"")</f>
        <v/>
      </c>
      <c r="J38" t="str">
        <f>IF(VESS!L38:L237&gt;0,VESS!L38:L237,I38)</f>
        <v/>
      </c>
    </row>
    <row r="39" spans="1:10" x14ac:dyDescent="0.35">
      <c r="A39" t="s">
        <v>200</v>
      </c>
      <c r="B39" t="s">
        <v>28</v>
      </c>
      <c r="C39">
        <v>0</v>
      </c>
      <c r="D39">
        <f t="array" ref="D39">C39:C92-VESS!E39:E92</f>
        <v>-6</v>
      </c>
      <c r="E39">
        <f t="array" ref="E39">D39:D238-VESS!F39:F92</f>
        <v>-16</v>
      </c>
      <c r="F39">
        <f t="array" ref="F39">E39:E238-VESS!G39:G238</f>
        <v>-27</v>
      </c>
      <c r="G39">
        <f t="array" ref="G39">IF(VESS!I39:I238&gt;0,VESS!I39:I238,"")</f>
        <v>1</v>
      </c>
      <c r="H39">
        <f t="array" ref="H39">IF(VESS!J39:J238&gt;0,VESS!J39:J238,"")</f>
        <v>2</v>
      </c>
      <c r="I39">
        <f t="array" ref="I39">IF(VESS!K39:K238&gt;0,VESS!K39:K238,"")</f>
        <v>3</v>
      </c>
      <c r="J39">
        <f>IF(VESS!L39:L238&gt;0,VESS!L39:L238,I39)</f>
        <v>4</v>
      </c>
    </row>
    <row r="40" spans="1:10" x14ac:dyDescent="0.35">
      <c r="A40" t="s">
        <v>201</v>
      </c>
      <c r="B40" t="s">
        <v>28</v>
      </c>
      <c r="C40">
        <v>0</v>
      </c>
      <c r="D40">
        <f t="array" ref="D40">C40:C93-VESS!E40:E93</f>
        <v>-5</v>
      </c>
      <c r="E40">
        <f t="array" ref="E40">D40:D239-VESS!F40:F93</f>
        <v>-20</v>
      </c>
      <c r="F40">
        <f t="array" ref="F40">E40:E239-VESS!G40:G239</f>
        <v>-32</v>
      </c>
      <c r="G40">
        <f t="array" ref="G40">IF(VESS!I40:I239&gt;0,VESS!I40:I239,"")</f>
        <v>1</v>
      </c>
      <c r="H40">
        <f t="array" ref="H40">IF(VESS!J40:J239&gt;0,VESS!J40:J239,"")</f>
        <v>3</v>
      </c>
      <c r="I40">
        <f t="array" ref="I40">IF(VESS!K40:K239&gt;0,VESS!K40:K239,"")</f>
        <v>4</v>
      </c>
      <c r="J40">
        <f>IF(VESS!L40:L239&gt;0,VESS!L40:L239,I40)</f>
        <v>4</v>
      </c>
    </row>
    <row r="41" spans="1:10" x14ac:dyDescent="0.35">
      <c r="A41" t="s">
        <v>202</v>
      </c>
      <c r="B41" t="s">
        <v>28</v>
      </c>
      <c r="C41">
        <v>0</v>
      </c>
      <c r="D41">
        <f t="array" ref="D41">C41:C94-VESS!E41:E94</f>
        <v>-5</v>
      </c>
      <c r="E41">
        <f t="array" ref="E41">D41:D240-VESS!F41:F94</f>
        <v>-20</v>
      </c>
      <c r="F41">
        <f t="array" ref="F41">E41:E240-VESS!G41:G240</f>
        <v>-26</v>
      </c>
      <c r="G41">
        <f t="array" ref="G41">IF(VESS!I41:I240&gt;0,VESS!I41:I240,"")</f>
        <v>1</v>
      </c>
      <c r="H41">
        <f t="array" ref="H41">IF(VESS!J41:J240&gt;0,VESS!J41:J240,"")</f>
        <v>4</v>
      </c>
      <c r="I41">
        <f t="array" ref="I41">IF(VESS!K41:K240&gt;0,VESS!K41:K240,"")</f>
        <v>4</v>
      </c>
      <c r="J41">
        <f>IF(VESS!L41:L240&gt;0,VESS!L41:L240,I41)</f>
        <v>5</v>
      </c>
    </row>
    <row r="42" spans="1:10" x14ac:dyDescent="0.35">
      <c r="A42" t="s">
        <v>203</v>
      </c>
      <c r="B42" t="s">
        <v>28</v>
      </c>
      <c r="C42">
        <v>0</v>
      </c>
      <c r="D42">
        <f t="array" ref="D42">C42:C95-VESS!E42:E95</f>
        <v>0</v>
      </c>
      <c r="E42">
        <f t="array" ref="E42">D42:D241-VESS!F42:F95</f>
        <v>0</v>
      </c>
      <c r="F42">
        <f t="array" ref="F42">E42:E241-VESS!G42:G241</f>
        <v>0</v>
      </c>
      <c r="G42" t="str">
        <f t="array" ref="G42">IF(VESS!I42:I241&gt;0,VESS!I42:I241,"")</f>
        <v/>
      </c>
      <c r="H42" t="str">
        <f t="array" ref="H42">IF(VESS!J42:J241&gt;0,VESS!J42:J241,"")</f>
        <v/>
      </c>
      <c r="I42" t="str">
        <f t="array" ref="I42">IF(VESS!K42:K241&gt;0,VESS!K42:K241,"")</f>
        <v/>
      </c>
      <c r="J42" t="str">
        <f>IF(VESS!L42:L241&gt;0,VESS!L42:L241,I42)</f>
        <v/>
      </c>
    </row>
    <row r="43" spans="1:10" x14ac:dyDescent="0.35">
      <c r="A43" t="s">
        <v>204</v>
      </c>
      <c r="B43" t="s">
        <v>28</v>
      </c>
      <c r="C43">
        <v>0</v>
      </c>
      <c r="D43">
        <f t="array" ref="D43">C43:C96-VESS!E43:E96</f>
        <v>0</v>
      </c>
      <c r="E43">
        <f t="array" ref="E43">D43:D242-VESS!F43:F96</f>
        <v>0</v>
      </c>
      <c r="F43">
        <f t="array" ref="F43">E43:E242-VESS!G43:G242</f>
        <v>0</v>
      </c>
      <c r="G43" t="str">
        <f t="array" ref="G43">IF(VESS!I43:I242&gt;0,VESS!I43:I242,"")</f>
        <v/>
      </c>
      <c r="H43" t="str">
        <f t="array" ref="H43">IF(VESS!J43:J242&gt;0,VESS!J43:J242,"")</f>
        <v/>
      </c>
      <c r="I43" t="str">
        <f t="array" ref="I43">IF(VESS!K43:K242&gt;0,VESS!K43:K242,"")</f>
        <v/>
      </c>
      <c r="J43" t="str">
        <f>IF(VESS!L43:L242&gt;0,VESS!L43:L242,I43)</f>
        <v/>
      </c>
    </row>
    <row r="44" spans="1:10" x14ac:dyDescent="0.35">
      <c r="A44" t="s">
        <v>205</v>
      </c>
      <c r="B44" t="s">
        <v>53</v>
      </c>
      <c r="C44">
        <v>0</v>
      </c>
      <c r="D44">
        <f t="array" ref="D44">C44:C97-VESS!E44:E97</f>
        <v>-5</v>
      </c>
      <c r="E44">
        <f t="array" ref="E44">D44:D243-VESS!F44:F97</f>
        <v>-18</v>
      </c>
      <c r="F44">
        <f t="array" ref="F44">E44:E243-VESS!G44:G243</f>
        <v>-27</v>
      </c>
      <c r="G44">
        <f t="array" ref="G44">IF(VESS!I44:I243&gt;0,VESS!I44:I243,"")</f>
        <v>1</v>
      </c>
      <c r="H44">
        <f t="array" ref="H44">IF(VESS!J44:J243&gt;0,VESS!J44:J243,"")</f>
        <v>3</v>
      </c>
      <c r="I44">
        <f t="array" ref="I44">IF(VESS!K44:K243&gt;0,VESS!K44:K243,"")</f>
        <v>4</v>
      </c>
      <c r="J44">
        <f>IF(VESS!L44:L243&gt;0,VESS!L44:L243,I44)</f>
        <v>4</v>
      </c>
    </row>
    <row r="45" spans="1:10" x14ac:dyDescent="0.35">
      <c r="A45" t="s">
        <v>206</v>
      </c>
      <c r="B45" t="s">
        <v>53</v>
      </c>
      <c r="C45">
        <v>0</v>
      </c>
      <c r="D45">
        <f t="array" ref="D45">C45:C98-VESS!E45:E98</f>
        <v>-8</v>
      </c>
      <c r="E45">
        <f t="array" ref="E45">D45:D244-VESS!F45:F98</f>
        <v>-23</v>
      </c>
      <c r="F45">
        <f t="array" ref="F45">E45:E244-VESS!G45:G244</f>
        <v>-30</v>
      </c>
      <c r="G45">
        <f t="array" ref="G45">IF(VESS!I45:I244&gt;0,VESS!I45:I244,"")</f>
        <v>1</v>
      </c>
      <c r="H45">
        <f t="array" ref="H45">IF(VESS!J45:J244&gt;0,VESS!J45:J244,"")</f>
        <v>3.5</v>
      </c>
      <c r="I45">
        <f t="array" ref="I45">IF(VESS!K45:K244&gt;0,VESS!K45:K244,"")</f>
        <v>3.5</v>
      </c>
      <c r="J45">
        <f>IF(VESS!L45:L244&gt;0,VESS!L45:L244,I45)</f>
        <v>3.5</v>
      </c>
    </row>
    <row r="46" spans="1:10" x14ac:dyDescent="0.35">
      <c r="A46" t="s">
        <v>207</v>
      </c>
      <c r="B46" t="s">
        <v>53</v>
      </c>
      <c r="C46">
        <v>0</v>
      </c>
      <c r="D46">
        <f t="array" ref="D46">C46:C99-VESS!E46:E99</f>
        <v>-5</v>
      </c>
      <c r="E46">
        <f t="array" ref="E46">D46:D245-VESS!F46:F99</f>
        <v>-11</v>
      </c>
      <c r="F46">
        <f t="array" ref="F46">E46:E245-VESS!G46:G245</f>
        <v>-22</v>
      </c>
      <c r="G46">
        <f t="array" ref="G46">IF(VESS!I46:I245&gt;0,VESS!I46:I245,"")</f>
        <v>1</v>
      </c>
      <c r="H46">
        <f t="array" ref="H46">IF(VESS!J46:J245&gt;0,VESS!J46:J245,"")</f>
        <v>2</v>
      </c>
      <c r="I46">
        <f t="array" ref="I46">IF(VESS!K46:K245&gt;0,VESS!K46:K245,"")</f>
        <v>3</v>
      </c>
      <c r="J46">
        <f>IF(VESS!L46:L245&gt;0,VESS!L46:L245,I46)</f>
        <v>3</v>
      </c>
    </row>
    <row r="47" spans="1:10" x14ac:dyDescent="0.35">
      <c r="A47" t="s">
        <v>208</v>
      </c>
      <c r="B47" t="s">
        <v>53</v>
      </c>
      <c r="C47">
        <v>0</v>
      </c>
      <c r="D47">
        <f t="array" ref="D47">C47:C100-VESS!E47:E100</f>
        <v>0</v>
      </c>
      <c r="E47">
        <f t="array" ref="E47">D47:D246-VESS!F47:F100</f>
        <v>0</v>
      </c>
      <c r="F47">
        <f t="array" ref="F47">E47:E246-VESS!G47:G246</f>
        <v>0</v>
      </c>
      <c r="G47" t="str">
        <f t="array" ref="G47">IF(VESS!I47:I246&gt;0,VESS!I47:I246,"")</f>
        <v/>
      </c>
      <c r="H47" t="str">
        <f t="array" ref="H47">IF(VESS!J47:J246&gt;0,VESS!J47:J246,"")</f>
        <v/>
      </c>
      <c r="I47" t="str">
        <f t="array" ref="I47">IF(VESS!K47:K246&gt;0,VESS!K47:K246,"")</f>
        <v/>
      </c>
      <c r="J47" t="str">
        <f>IF(VESS!L47:L246&gt;0,VESS!L47:L246,I47)</f>
        <v/>
      </c>
    </row>
    <row r="48" spans="1:10" x14ac:dyDescent="0.35">
      <c r="A48" t="s">
        <v>209</v>
      </c>
      <c r="B48" t="s">
        <v>53</v>
      </c>
      <c r="C48">
        <v>0</v>
      </c>
      <c r="D48">
        <f t="array" ref="D48">C48:C101-VESS!E48:E101</f>
        <v>0</v>
      </c>
      <c r="E48">
        <f t="array" ref="E48">D48:D247-VESS!F48:F101</f>
        <v>0</v>
      </c>
      <c r="F48">
        <f t="array" ref="F48">E48:E247-VESS!G48:G247</f>
        <v>0</v>
      </c>
      <c r="G48" t="str">
        <f t="array" ref="G48">IF(VESS!I48:I247&gt;0,VESS!I48:I247,"")</f>
        <v/>
      </c>
      <c r="H48" t="str">
        <f t="array" ref="H48">IF(VESS!J48:J247&gt;0,VESS!J48:J247,"")</f>
        <v/>
      </c>
      <c r="I48" t="str">
        <f t="array" ref="I48">IF(VESS!K48:K247&gt;0,VESS!K48:K247,"")</f>
        <v/>
      </c>
      <c r="J48" t="str">
        <f>IF(VESS!L48:L247&gt;0,VESS!L48:L247,I48)</f>
        <v/>
      </c>
    </row>
    <row r="49" spans="1:10" x14ac:dyDescent="0.35">
      <c r="A49" t="s">
        <v>210</v>
      </c>
      <c r="B49" t="s">
        <v>52</v>
      </c>
      <c r="C49">
        <v>0</v>
      </c>
      <c r="D49">
        <f t="array" ref="D49">C49:C102-VESS!E49:E102</f>
        <v>-7</v>
      </c>
      <c r="E49">
        <f t="array" ref="E49">D49:D248-VESS!F49:F102</f>
        <v>-22</v>
      </c>
      <c r="F49">
        <f t="array" ref="F49">E49:E248-VESS!G49:G248</f>
        <v>-30</v>
      </c>
      <c r="G49">
        <f t="array" ref="G49">IF(VESS!I49:I248&gt;0,VESS!I49:I248,"")</f>
        <v>1</v>
      </c>
      <c r="H49">
        <f t="array" ref="H49">IF(VESS!J49:J248&gt;0,VESS!J49:J248,"")</f>
        <v>2</v>
      </c>
      <c r="I49">
        <f t="array" ref="I49">IF(VESS!K49:K248&gt;0,VESS!K49:K248,"")</f>
        <v>3</v>
      </c>
      <c r="J49">
        <f>IF(VESS!L49:L248&gt;0,VESS!L49:L248,I49)</f>
        <v>3</v>
      </c>
    </row>
    <row r="50" spans="1:10" x14ac:dyDescent="0.35">
      <c r="A50" t="s">
        <v>211</v>
      </c>
      <c r="B50" t="s">
        <v>52</v>
      </c>
      <c r="C50">
        <v>0</v>
      </c>
      <c r="D50">
        <f t="array" ref="D50">C50:C103-VESS!E50:E103</f>
        <v>-7</v>
      </c>
      <c r="E50">
        <f t="array" ref="E50">D50:D249-VESS!F50:F103</f>
        <v>-22</v>
      </c>
      <c r="F50">
        <f t="array" ref="F50">E50:E249-VESS!G50:G249</f>
        <v>-30</v>
      </c>
      <c r="G50">
        <f t="array" ref="G50">IF(VESS!I50:I249&gt;0,VESS!I50:I249,"")</f>
        <v>1</v>
      </c>
      <c r="H50">
        <f t="array" ref="H50">IF(VESS!J50:J249&gt;0,VESS!J50:J249,"")</f>
        <v>2</v>
      </c>
      <c r="I50">
        <f t="array" ref="I50">IF(VESS!K50:K249&gt;0,VESS!K50:K249,"")</f>
        <v>3</v>
      </c>
      <c r="J50">
        <f>IF(VESS!L50:L249&gt;0,VESS!L50:L249,I50)</f>
        <v>3</v>
      </c>
    </row>
    <row r="51" spans="1:10" x14ac:dyDescent="0.35">
      <c r="A51" t="s">
        <v>212</v>
      </c>
      <c r="B51" t="s">
        <v>52</v>
      </c>
      <c r="C51">
        <v>0</v>
      </c>
      <c r="D51">
        <f t="array" ref="D51">C51:C104-VESS!E51:E104</f>
        <v>-7</v>
      </c>
      <c r="E51">
        <f t="array" ref="E51">D51:D250-VESS!F51:F104</f>
        <v>-24</v>
      </c>
      <c r="F51">
        <f t="array" ref="F51">E51:E250-VESS!G51:G250</f>
        <v>-29</v>
      </c>
      <c r="G51">
        <f t="array" ref="G51">IF(VESS!I51:I250&gt;0,VESS!I51:I250,"")</f>
        <v>1</v>
      </c>
      <c r="H51">
        <f t="array" ref="H51">IF(VESS!J51:J250&gt;0,VESS!J51:J250,"")</f>
        <v>3</v>
      </c>
      <c r="I51">
        <f t="array" ref="I51">IF(VESS!K51:K250&gt;0,VESS!K51:K250,"")</f>
        <v>4</v>
      </c>
      <c r="J51">
        <f>IF(VESS!L51:L250&gt;0,VESS!L51:L250,I51)</f>
        <v>4</v>
      </c>
    </row>
    <row r="52" spans="1:10" x14ac:dyDescent="0.35">
      <c r="A52" t="s">
        <v>213</v>
      </c>
      <c r="B52" t="s">
        <v>52</v>
      </c>
      <c r="C52">
        <v>0</v>
      </c>
      <c r="D52">
        <f t="array" ref="D52">C52:C105-VESS!E52:E105</f>
        <v>0</v>
      </c>
      <c r="E52">
        <f t="array" ref="E52">D52:D251-VESS!F52:F105</f>
        <v>0</v>
      </c>
      <c r="F52">
        <f t="array" ref="F52">E52:E251-VESS!G52:G251</f>
        <v>0</v>
      </c>
      <c r="G52" t="str">
        <f t="array" ref="G52">IF(VESS!I52:I251&gt;0,VESS!I52:I251,"")</f>
        <v/>
      </c>
      <c r="H52" t="str">
        <f t="array" ref="H52">IF(VESS!J52:J251&gt;0,VESS!J52:J251,"")</f>
        <v/>
      </c>
      <c r="I52" t="str">
        <f t="array" ref="I52">IF(VESS!K52:K251&gt;0,VESS!K52:K251,"")</f>
        <v/>
      </c>
      <c r="J52" t="str">
        <f>IF(VESS!L52:L251&gt;0,VESS!L52:L251,I52)</f>
        <v/>
      </c>
    </row>
    <row r="53" spans="1:10" x14ac:dyDescent="0.35">
      <c r="A53" t="s">
        <v>214</v>
      </c>
      <c r="B53" t="s">
        <v>52</v>
      </c>
      <c r="C53">
        <v>0</v>
      </c>
      <c r="D53">
        <f t="array" ref="D53">C53:C106-VESS!E53:E106</f>
        <v>0</v>
      </c>
      <c r="E53">
        <f t="array" ref="E53">D53:D252-VESS!F53:F106</f>
        <v>0</v>
      </c>
      <c r="F53">
        <f t="array" ref="F53">E53:E252-VESS!G53:G252</f>
        <v>0</v>
      </c>
      <c r="G53" t="str">
        <f t="array" ref="G53">IF(VESS!I53:I252&gt;0,VESS!I53:I252,"")</f>
        <v/>
      </c>
      <c r="H53" t="str">
        <f t="array" ref="H53">IF(VESS!J53:J252&gt;0,VESS!J53:J252,"")</f>
        <v/>
      </c>
      <c r="I53" t="str">
        <f t="array" ref="I53">IF(VESS!K53:K252&gt;0,VESS!K53:K252,"")</f>
        <v/>
      </c>
      <c r="J53" t="str">
        <f>IF(VESS!L53:L252&gt;0,VESS!L53:L252,I53)</f>
        <v/>
      </c>
    </row>
    <row r="54" spans="1:10" x14ac:dyDescent="0.35">
      <c r="A54" t="s">
        <v>215</v>
      </c>
      <c r="B54" t="s">
        <v>25</v>
      </c>
      <c r="C54">
        <v>0</v>
      </c>
      <c r="D54">
        <f t="array" ref="D54">C54:C107-VESS!E54:E107</f>
        <v>-5</v>
      </c>
      <c r="E54">
        <f t="array" ref="E54">D54:D253-VESS!F54:F107</f>
        <v>-17</v>
      </c>
      <c r="F54">
        <f t="array" ref="F54">E54:E253-VESS!G54:G253</f>
        <v>-25</v>
      </c>
      <c r="G54">
        <f t="array" ref="G54">IF(VESS!I54:I253&gt;0,VESS!I54:I253,"")</f>
        <v>1</v>
      </c>
      <c r="H54">
        <f t="array" ref="H54">IF(VESS!J54:J253&gt;0,VESS!J54:J253,"")</f>
        <v>3</v>
      </c>
      <c r="I54">
        <f t="array" ref="I54">IF(VESS!K54:K253&gt;0,VESS!K54:K253,"")</f>
        <v>4</v>
      </c>
      <c r="J54">
        <f>IF(VESS!L54:L253&gt;0,VESS!L54:L253,I54)</f>
        <v>2</v>
      </c>
    </row>
    <row r="55" spans="1:10" x14ac:dyDescent="0.35">
      <c r="A55" t="s">
        <v>216</v>
      </c>
      <c r="B55" t="s">
        <v>25</v>
      </c>
      <c r="C55">
        <v>0</v>
      </c>
      <c r="D55">
        <f t="array" ref="D55">C55:C108-VESS!E55:E108</f>
        <v>-6</v>
      </c>
      <c r="E55">
        <f t="array" ref="E55">D55:D254-VESS!F55:F108</f>
        <v>-24</v>
      </c>
      <c r="F55">
        <f t="array" ref="F55">E55:E254-VESS!G55:G254</f>
        <v>-29</v>
      </c>
      <c r="G55">
        <f t="array" ref="G55">IF(VESS!I55:I254&gt;0,VESS!I55:I254,"")</f>
        <v>2</v>
      </c>
      <c r="H55">
        <f t="array" ref="H55">IF(VESS!J55:J254&gt;0,VESS!J55:J254,"")</f>
        <v>3</v>
      </c>
      <c r="I55">
        <f t="array" ref="I55">IF(VESS!K55:K254&gt;0,VESS!K55:K254,"")</f>
        <v>4</v>
      </c>
      <c r="J55">
        <f>IF(VESS!L55:L254&gt;0,VESS!L55:L254,I55)</f>
        <v>4</v>
      </c>
    </row>
    <row r="56" spans="1:10" x14ac:dyDescent="0.35">
      <c r="A56" t="s">
        <v>217</v>
      </c>
      <c r="B56" t="s">
        <v>25</v>
      </c>
      <c r="C56">
        <v>0</v>
      </c>
      <c r="D56">
        <f t="array" ref="D56">C56:C109-VESS!E56:E109</f>
        <v>-6</v>
      </c>
      <c r="E56">
        <f t="array" ref="E56">D56:D255-VESS!F56:F109</f>
        <v>-18</v>
      </c>
      <c r="F56">
        <f t="array" ref="F56">E56:E255-VESS!G56:G255</f>
        <v>-30</v>
      </c>
      <c r="G56">
        <f t="array" ref="G56">IF(VESS!I56:I255&gt;0,VESS!I56:I255,"")</f>
        <v>1</v>
      </c>
      <c r="H56">
        <f t="array" ref="H56">IF(VESS!J56:J255&gt;0,VESS!J56:J255,"")</f>
        <v>2</v>
      </c>
      <c r="I56">
        <f t="array" ref="I56">IF(VESS!K56:K255&gt;0,VESS!K56:K255,"")</f>
        <v>3</v>
      </c>
      <c r="J56">
        <f>IF(VESS!L56:L255&gt;0,VESS!L56:L255,I56)</f>
        <v>3</v>
      </c>
    </row>
    <row r="57" spans="1:10" x14ac:dyDescent="0.35">
      <c r="A57" t="s">
        <v>218</v>
      </c>
      <c r="B57" t="s">
        <v>25</v>
      </c>
      <c r="C57">
        <v>0</v>
      </c>
      <c r="D57">
        <f t="array" ref="D57">C57:C110-VESS!E57:E110</f>
        <v>0</v>
      </c>
      <c r="E57">
        <f t="array" ref="E57">D57:D256-VESS!F57:F110</f>
        <v>0</v>
      </c>
      <c r="F57">
        <f t="array" ref="F57">E57:E256-VESS!G57:G256</f>
        <v>0</v>
      </c>
      <c r="G57" t="str">
        <f t="array" ref="G57">IF(VESS!I57:I256&gt;0,VESS!I57:I256,"")</f>
        <v/>
      </c>
      <c r="H57" t="str">
        <f t="array" ref="H57">IF(VESS!J57:J256&gt;0,VESS!J57:J256,"")</f>
        <v/>
      </c>
      <c r="I57" t="str">
        <f t="array" ref="I57">IF(VESS!K57:K256&gt;0,VESS!K57:K256,"")</f>
        <v/>
      </c>
      <c r="J57" t="str">
        <f>IF(VESS!L57:L256&gt;0,VESS!L57:L256,I57)</f>
        <v/>
      </c>
    </row>
    <row r="58" spans="1:10" x14ac:dyDescent="0.35">
      <c r="A58" t="s">
        <v>219</v>
      </c>
      <c r="B58" t="s">
        <v>25</v>
      </c>
      <c r="C58">
        <v>0</v>
      </c>
      <c r="D58">
        <f t="array" ref="D58">C58:C111-VESS!E58:E111</f>
        <v>0</v>
      </c>
      <c r="E58">
        <f t="array" ref="E58">D58:D257-VESS!F58:F111</f>
        <v>0</v>
      </c>
      <c r="F58">
        <f t="array" ref="F58">E58:E257-VESS!G58:G257</f>
        <v>0</v>
      </c>
      <c r="G58" t="str">
        <f t="array" ref="G58">IF(VESS!I58:I257&gt;0,VESS!I58:I257,"")</f>
        <v/>
      </c>
      <c r="H58" t="str">
        <f t="array" ref="H58">IF(VESS!J58:J257&gt;0,VESS!J58:J257,"")</f>
        <v/>
      </c>
      <c r="I58" t="str">
        <f t="array" ref="I58">IF(VESS!K58:K257&gt;0,VESS!K58:K257,"")</f>
        <v/>
      </c>
      <c r="J58" t="str">
        <f>IF(VESS!L58:L257&gt;0,VESS!L58:L257,I58)</f>
        <v/>
      </c>
    </row>
    <row r="59" spans="1:10" x14ac:dyDescent="0.35">
      <c r="A59" t="s">
        <v>220</v>
      </c>
      <c r="B59" t="s">
        <v>24</v>
      </c>
      <c r="C59">
        <v>0</v>
      </c>
      <c r="D59">
        <f t="array" ref="D59">C59:C112-VESS!E59:E112</f>
        <v>-6</v>
      </c>
      <c r="E59">
        <f t="array" ref="E59">D59:D258-VESS!F59:F112</f>
        <v>-24</v>
      </c>
      <c r="F59">
        <f t="array" ref="F59">E59:E258-VESS!G59:G258</f>
        <v>-30</v>
      </c>
      <c r="G59">
        <f t="array" ref="G59">IF(VESS!I59:I258&gt;0,VESS!I59:I258,"")</f>
        <v>1</v>
      </c>
      <c r="H59">
        <f t="array" ref="H59">IF(VESS!J59:J258&gt;0,VESS!J59:J258,"")</f>
        <v>3</v>
      </c>
      <c r="I59">
        <f t="array" ref="I59">IF(VESS!K59:K258&gt;0,VESS!K59:K258,"")</f>
        <v>2</v>
      </c>
      <c r="J59">
        <f>IF(VESS!L59:L258&gt;0,VESS!L59:L258,I59)</f>
        <v>2</v>
      </c>
    </row>
    <row r="60" spans="1:10" x14ac:dyDescent="0.35">
      <c r="A60" t="s">
        <v>221</v>
      </c>
      <c r="B60" t="s">
        <v>24</v>
      </c>
      <c r="C60">
        <v>0</v>
      </c>
      <c r="D60">
        <f t="array" ref="D60">C60:C113-VESS!E60:E113</f>
        <v>-5</v>
      </c>
      <c r="E60">
        <f t="array" ref="E60">D60:D259-VESS!F60:F113</f>
        <v>-12</v>
      </c>
      <c r="F60">
        <f t="array" ref="F60">E60:E259-VESS!G60:G259</f>
        <v>-25</v>
      </c>
      <c r="G60">
        <f t="array" ref="G60">IF(VESS!I60:I259&gt;0,VESS!I60:I259,"")</f>
        <v>1</v>
      </c>
      <c r="H60">
        <f t="array" ref="H60">IF(VESS!J60:J259&gt;0,VESS!J60:J259,"")</f>
        <v>2</v>
      </c>
      <c r="I60">
        <f t="array" ref="I60">IF(VESS!K60:K259&gt;0,VESS!K60:K259,"")</f>
        <v>3</v>
      </c>
      <c r="J60">
        <f>IF(VESS!L60:L259&gt;0,VESS!L60:L259,I60)</f>
        <v>4</v>
      </c>
    </row>
    <row r="61" spans="1:10" x14ac:dyDescent="0.35">
      <c r="A61" t="s">
        <v>222</v>
      </c>
      <c r="B61" t="s">
        <v>24</v>
      </c>
      <c r="C61">
        <v>0</v>
      </c>
      <c r="D61">
        <f t="array" ref="D61">C61:C114-VESS!E61:E114</f>
        <v>-4</v>
      </c>
      <c r="E61">
        <f t="array" ref="E61">D61:D260-VESS!F61:F114</f>
        <v>-15</v>
      </c>
      <c r="F61">
        <f t="array" ref="F61">E61:E260-VESS!G61:G260</f>
        <v>-25</v>
      </c>
      <c r="G61">
        <f t="array" ref="G61">IF(VESS!I61:I260&gt;0,VESS!I61:I260,"")</f>
        <v>1</v>
      </c>
      <c r="H61">
        <f t="array" ref="H61">IF(VESS!J61:J260&gt;0,VESS!J61:J260,"")</f>
        <v>3</v>
      </c>
      <c r="I61">
        <f t="array" ref="I61">IF(VESS!K61:K260&gt;0,VESS!K61:K260,"")</f>
        <v>2</v>
      </c>
      <c r="J61">
        <f>IF(VESS!L61:L260&gt;0,VESS!L61:L260,I61)</f>
        <v>2</v>
      </c>
    </row>
    <row r="62" spans="1:10" x14ac:dyDescent="0.35">
      <c r="A62" t="s">
        <v>223</v>
      </c>
      <c r="B62" t="s">
        <v>24</v>
      </c>
      <c r="C62">
        <v>0</v>
      </c>
      <c r="D62">
        <f t="array" ref="D62">C62:C115-VESS!E62:E115</f>
        <v>-6</v>
      </c>
      <c r="E62">
        <f t="array" ref="E62">D62:D261-VESS!F62:F115</f>
        <v>-16</v>
      </c>
      <c r="F62">
        <f t="array" ref="F62">E62:E261-VESS!G62:G261</f>
        <v>-26</v>
      </c>
      <c r="G62">
        <f t="array" ref="G62">IF(VESS!I62:I261&gt;0,VESS!I62:I261,"")</f>
        <v>1</v>
      </c>
      <c r="H62">
        <f t="array" ref="H62">IF(VESS!J62:J261&gt;0,VESS!J62:J261,"")</f>
        <v>1</v>
      </c>
      <c r="I62">
        <f t="array" ref="I62">IF(VESS!K62:K261&gt;0,VESS!K62:K261,"")</f>
        <v>2</v>
      </c>
      <c r="J62">
        <f>IF(VESS!L62:L261&gt;0,VESS!L62:L261,I62)</f>
        <v>3</v>
      </c>
    </row>
    <row r="63" spans="1:10" x14ac:dyDescent="0.35">
      <c r="A63" t="s">
        <v>224</v>
      </c>
      <c r="B63" t="s">
        <v>24</v>
      </c>
      <c r="C63">
        <v>0</v>
      </c>
      <c r="D63">
        <f t="array" ref="D63">C63:C116-VESS!E63:E116</f>
        <v>0</v>
      </c>
      <c r="E63">
        <f t="array" ref="E63">D63:D262-VESS!F63:F116</f>
        <v>0</v>
      </c>
      <c r="F63">
        <f t="array" ref="F63">E63:E262-VESS!G63:G262</f>
        <v>0</v>
      </c>
      <c r="G63" t="str">
        <f t="array" ref="G63">IF(VESS!I63:I262&gt;0,VESS!I63:I262,"")</f>
        <v/>
      </c>
      <c r="H63" t="str">
        <f t="array" ref="H63">IF(VESS!J63:J262&gt;0,VESS!J63:J262,"")</f>
        <v/>
      </c>
      <c r="I63" t="str">
        <f t="array" ref="I63">IF(VESS!K63:K262&gt;0,VESS!K63:K262,"")</f>
        <v/>
      </c>
      <c r="J63" t="str">
        <f>IF(VESS!L63:L262&gt;0,VESS!L63:L262,I63)</f>
        <v/>
      </c>
    </row>
    <row r="64" spans="1:10" x14ac:dyDescent="0.35">
      <c r="A64" t="s">
        <v>225</v>
      </c>
      <c r="B64" t="s">
        <v>43</v>
      </c>
      <c r="C64">
        <v>0</v>
      </c>
      <c r="D64">
        <f t="array" ref="D64">C64:C117-VESS!E64:E117</f>
        <v>-5</v>
      </c>
      <c r="E64">
        <f t="array" ref="E64">D64:D263-VESS!F64:F117</f>
        <v>-25</v>
      </c>
      <c r="F64">
        <f t="array" ref="F64">E64:E263-VESS!G64:G263</f>
        <v>-30</v>
      </c>
      <c r="G64">
        <f t="array" ref="G64">IF(VESS!I64:I263&gt;0,VESS!I64:I263,"")</f>
        <v>2</v>
      </c>
      <c r="H64">
        <f t="array" ref="H64">IF(VESS!J64:J263&gt;0,VESS!J64:J263,"")</f>
        <v>3.5</v>
      </c>
      <c r="I64">
        <f t="array" ref="I64">IF(VESS!K64:K263&gt;0,VESS!K64:K263,"")</f>
        <v>4</v>
      </c>
      <c r="J64">
        <f>IF(VESS!L64:L263&gt;0,VESS!L64:L263,I64)</f>
        <v>5</v>
      </c>
    </row>
    <row r="65" spans="1:10" x14ac:dyDescent="0.35">
      <c r="A65" t="s">
        <v>226</v>
      </c>
      <c r="B65" t="s">
        <v>43</v>
      </c>
      <c r="C65">
        <v>0</v>
      </c>
      <c r="D65">
        <f t="array" ref="D65">C65:C118-VESS!E65:E118</f>
        <v>-5</v>
      </c>
      <c r="E65">
        <f t="array" ref="E65">D65:D264-VESS!F65:F118</f>
        <v>-13</v>
      </c>
      <c r="F65">
        <f t="array" ref="F65">E65:E264-VESS!G65:G264</f>
        <v>-23</v>
      </c>
      <c r="G65">
        <f t="array" ref="G65">IF(VESS!I65:I264&gt;0,VESS!I65:I264,"")</f>
        <v>1</v>
      </c>
      <c r="H65">
        <f t="array" ref="H65">IF(VESS!J65:J264&gt;0,VESS!J65:J264,"")</f>
        <v>3</v>
      </c>
      <c r="I65">
        <f t="array" ref="I65">IF(VESS!K65:K264&gt;0,VESS!K65:K264,"")</f>
        <v>4</v>
      </c>
      <c r="J65">
        <f>IF(VESS!L65:L264&gt;0,VESS!L65:L264,I65)</f>
        <v>4</v>
      </c>
    </row>
    <row r="66" spans="1:10" x14ac:dyDescent="0.35">
      <c r="A66" t="s">
        <v>227</v>
      </c>
      <c r="B66" t="s">
        <v>43</v>
      </c>
      <c r="C66">
        <v>0</v>
      </c>
      <c r="D66">
        <f t="array" ref="D66">C66:C119-VESS!E66:E119</f>
        <v>-3</v>
      </c>
      <c r="E66">
        <f t="array" ref="E66">D66:D265-VESS!F66:F119</f>
        <v>-19</v>
      </c>
      <c r="F66">
        <f t="array" ref="F66">E66:E265-VESS!G66:G265</f>
        <v>-24</v>
      </c>
      <c r="G66">
        <f t="array" ref="G66">IF(VESS!I66:I265&gt;0,VESS!I66:I265,"")</f>
        <v>2</v>
      </c>
      <c r="H66">
        <f t="array" ref="H66">IF(VESS!J66:J265&gt;0,VESS!J66:J265,"")</f>
        <v>4</v>
      </c>
      <c r="I66">
        <f t="array" ref="I66">IF(VESS!K66:K265&gt;0,VESS!K66:K265,"")</f>
        <v>4</v>
      </c>
      <c r="J66">
        <f>IF(VESS!L66:L265&gt;0,VESS!L66:L265,I66)</f>
        <v>5</v>
      </c>
    </row>
    <row r="67" spans="1:10" x14ac:dyDescent="0.35">
      <c r="A67" t="s">
        <v>228</v>
      </c>
      <c r="B67" t="s">
        <v>43</v>
      </c>
      <c r="C67">
        <v>0</v>
      </c>
      <c r="D67">
        <f t="array" ref="D67">C67:C120-VESS!E67:E120</f>
        <v>0</v>
      </c>
      <c r="E67">
        <f t="array" ref="E67">D67:D266-VESS!F67:F120</f>
        <v>0</v>
      </c>
      <c r="F67">
        <f t="array" ref="F67">E67:E266-VESS!G67:G266</f>
        <v>0</v>
      </c>
      <c r="G67" t="str">
        <f t="array" ref="G67">IF(VESS!I67:I266&gt;0,VESS!I67:I266,"")</f>
        <v/>
      </c>
      <c r="H67" t="str">
        <f t="array" ref="H67">IF(VESS!J67:J266&gt;0,VESS!J67:J266,"")</f>
        <v/>
      </c>
      <c r="I67" t="str">
        <f t="array" ref="I67">IF(VESS!K67:K266&gt;0,VESS!K67:K266,"")</f>
        <v/>
      </c>
      <c r="J67" t="str">
        <f>IF(VESS!L67:L266&gt;0,VESS!L67:L266,I67)</f>
        <v/>
      </c>
    </row>
    <row r="68" spans="1:10" x14ac:dyDescent="0.35">
      <c r="A68" t="s">
        <v>229</v>
      </c>
      <c r="B68" t="s">
        <v>43</v>
      </c>
      <c r="C68">
        <v>0</v>
      </c>
      <c r="D68">
        <f t="array" ref="D68">C68:C121-VESS!E68:E121</f>
        <v>0</v>
      </c>
      <c r="E68">
        <f t="array" ref="E68">D68:D267-VESS!F68:F121</f>
        <v>0</v>
      </c>
      <c r="F68">
        <f t="array" ref="F68">E68:E267-VESS!G68:G267</f>
        <v>0</v>
      </c>
      <c r="G68" t="str">
        <f t="array" ref="G68">IF(VESS!I68:I267&gt;0,VESS!I68:I267,"")</f>
        <v/>
      </c>
      <c r="H68" t="str">
        <f t="array" ref="H68">IF(VESS!J68:J267&gt;0,VESS!J68:J267,"")</f>
        <v/>
      </c>
      <c r="I68" t="str">
        <f t="array" ref="I68">IF(VESS!K68:K267&gt;0,VESS!K68:K267,"")</f>
        <v/>
      </c>
      <c r="J68" t="str">
        <f>IF(VESS!L68:L267&gt;0,VESS!L68:L267,I68)</f>
        <v/>
      </c>
    </row>
    <row r="69" spans="1:10" x14ac:dyDescent="0.35">
      <c r="A69" t="s">
        <v>230</v>
      </c>
      <c r="B69" t="s">
        <v>42</v>
      </c>
      <c r="C69">
        <v>0</v>
      </c>
      <c r="D69">
        <f t="array" ref="D69">C69:C122-VESS!E69:E122</f>
        <v>-5</v>
      </c>
      <c r="E69">
        <f t="array" ref="E69">D69:D268-VESS!F69:F122</f>
        <v>-17</v>
      </c>
      <c r="F69">
        <f t="array" ref="F69">E69:E268-VESS!G69:G268</f>
        <v>-27</v>
      </c>
      <c r="G69">
        <f t="array" ref="G69">IF(VESS!I69:I268&gt;0,VESS!I69:I268,"")</f>
        <v>2</v>
      </c>
      <c r="H69">
        <f t="array" ref="H69">IF(VESS!J69:J268&gt;0,VESS!J69:J268,"")</f>
        <v>3</v>
      </c>
      <c r="I69">
        <f t="array" ref="I69">IF(VESS!K69:K268&gt;0,VESS!K69:K268,"")</f>
        <v>4</v>
      </c>
      <c r="J69">
        <f>IF(VESS!L69:L268&gt;0,VESS!L69:L268,I69)</f>
        <v>3</v>
      </c>
    </row>
    <row r="70" spans="1:10" x14ac:dyDescent="0.35">
      <c r="A70" t="s">
        <v>231</v>
      </c>
      <c r="B70" t="s">
        <v>42</v>
      </c>
      <c r="C70">
        <v>0</v>
      </c>
      <c r="D70">
        <f t="array" ref="D70">C70:C123-VESS!E70:E123</f>
        <v>-5</v>
      </c>
      <c r="E70">
        <f t="array" ref="E70">D70:D269-VESS!F70:F123</f>
        <v>-20</v>
      </c>
      <c r="F70">
        <f t="array" ref="F70">E70:E269-VESS!G70:G269</f>
        <v>-27</v>
      </c>
      <c r="G70">
        <f t="array" ref="G70">IF(VESS!I70:I269&gt;0,VESS!I70:I269,"")</f>
        <v>1</v>
      </c>
      <c r="H70">
        <f t="array" ref="H70">IF(VESS!J70:J269&gt;0,VESS!J70:J269,"")</f>
        <v>3.5</v>
      </c>
      <c r="I70">
        <f t="array" ref="I70">IF(VESS!K70:K269&gt;0,VESS!K70:K269,"")</f>
        <v>4</v>
      </c>
      <c r="J70">
        <f>IF(VESS!L70:L269&gt;0,VESS!L70:L269,I70)</f>
        <v>4</v>
      </c>
    </row>
    <row r="71" spans="1:10" x14ac:dyDescent="0.35">
      <c r="A71" t="s">
        <v>232</v>
      </c>
      <c r="B71" t="s">
        <v>42</v>
      </c>
      <c r="C71">
        <v>0</v>
      </c>
      <c r="D71">
        <f t="array" ref="D71">C71:C124-VESS!E71:E124</f>
        <v>-5</v>
      </c>
      <c r="E71">
        <f t="array" ref="E71">D71:D270-VESS!F71:F124</f>
        <v>-25</v>
      </c>
      <c r="F71">
        <f t="array" ref="F71">E71:E270-VESS!G71:G270</f>
        <v>-30</v>
      </c>
      <c r="G71">
        <f t="array" ref="G71">IF(VESS!I71:I270&gt;0,VESS!I71:I270,"")</f>
        <v>2</v>
      </c>
      <c r="H71">
        <f t="array" ref="H71">IF(VESS!J71:J270&gt;0,VESS!J71:J270,"")</f>
        <v>3</v>
      </c>
      <c r="I71">
        <f t="array" ref="I71">IF(VESS!K71:K270&gt;0,VESS!K71:K270,"")</f>
        <v>3.5</v>
      </c>
      <c r="J71">
        <f>IF(VESS!L71:L270&gt;0,VESS!L71:L270,I71)</f>
        <v>5</v>
      </c>
    </row>
    <row r="72" spans="1:10" x14ac:dyDescent="0.35">
      <c r="A72" t="s">
        <v>233</v>
      </c>
      <c r="B72" t="s">
        <v>42</v>
      </c>
      <c r="C72">
        <v>0</v>
      </c>
      <c r="D72">
        <f t="array" ref="D72">C72:C125-VESS!E72:E125</f>
        <v>0</v>
      </c>
      <c r="E72">
        <f t="array" ref="E72">D72:D271-VESS!F72:F125</f>
        <v>0</v>
      </c>
      <c r="F72">
        <f t="array" ref="F72">E72:E271-VESS!G72:G271</f>
        <v>0</v>
      </c>
      <c r="G72" t="str">
        <f t="array" ref="G72">IF(VESS!I72:I271&gt;0,VESS!I72:I271,"")</f>
        <v/>
      </c>
      <c r="H72" t="str">
        <f t="array" ref="H72">IF(VESS!J72:J271&gt;0,VESS!J72:J271,"")</f>
        <v/>
      </c>
      <c r="I72" t="str">
        <f t="array" ref="I72">IF(VESS!K72:K271&gt;0,VESS!K72:K271,"")</f>
        <v/>
      </c>
      <c r="J72" t="str">
        <f>IF(VESS!L72:L271&gt;0,VESS!L72:L271,I72)</f>
        <v/>
      </c>
    </row>
    <row r="73" spans="1:10" x14ac:dyDescent="0.35">
      <c r="A73" t="s">
        <v>234</v>
      </c>
      <c r="B73" t="s">
        <v>42</v>
      </c>
      <c r="C73">
        <v>0</v>
      </c>
      <c r="D73">
        <f t="array" ref="D73">C73:C126-VESS!E73:E126</f>
        <v>0</v>
      </c>
      <c r="E73">
        <f t="array" ref="E73">D73:D272-VESS!F73:F126</f>
        <v>0</v>
      </c>
      <c r="F73">
        <f t="array" ref="F73">E73:E272-VESS!G73:G272</f>
        <v>0</v>
      </c>
      <c r="G73" t="str">
        <f t="array" ref="G73">IF(VESS!I73:I272&gt;0,VESS!I73:I272,"")</f>
        <v/>
      </c>
      <c r="H73" t="str">
        <f t="array" ref="H73">IF(VESS!J73:J272&gt;0,VESS!J73:J272,"")</f>
        <v/>
      </c>
      <c r="I73" t="str">
        <f t="array" ref="I73">IF(VESS!K73:K272&gt;0,VESS!K73:K272,"")</f>
        <v/>
      </c>
      <c r="J73" t="str">
        <f>IF(VESS!L73:L272&gt;0,VESS!L73:L272,I73)</f>
        <v/>
      </c>
    </row>
    <row r="74" spans="1:10" x14ac:dyDescent="0.35">
      <c r="A74" t="s">
        <v>235</v>
      </c>
      <c r="B74" t="s">
        <v>61</v>
      </c>
      <c r="C74">
        <v>0</v>
      </c>
      <c r="D74">
        <f t="array" ref="D74">C74:C127-VESS!E74:E127</f>
        <v>-5</v>
      </c>
      <c r="E74">
        <f t="array" ref="E74">D74:D273-VESS!F74:F127</f>
        <v>-15</v>
      </c>
      <c r="F74">
        <f t="array" ref="F74">E74:E273-VESS!G74:G273</f>
        <v>-27</v>
      </c>
      <c r="G74">
        <f t="array" ref="G74">IF(VESS!I74:I273&gt;0,VESS!I74:I273,"")</f>
        <v>2</v>
      </c>
      <c r="H74">
        <f t="array" ref="H74">IF(VESS!J74:J273&gt;0,VESS!J74:J273,"")</f>
        <v>3</v>
      </c>
      <c r="I74">
        <f t="array" ref="I74">IF(VESS!K74:K273&gt;0,VESS!K74:K273,"")</f>
        <v>4</v>
      </c>
      <c r="J74">
        <f>IF(VESS!L74:L273&gt;0,VESS!L74:L273,I74)</f>
        <v>4</v>
      </c>
    </row>
    <row r="75" spans="1:10" x14ac:dyDescent="0.35">
      <c r="A75" t="s">
        <v>236</v>
      </c>
      <c r="B75" t="s">
        <v>61</v>
      </c>
      <c r="C75">
        <v>0</v>
      </c>
      <c r="D75">
        <f t="array" ref="D75">C75:C128-VESS!E75:E128</f>
        <v>-7</v>
      </c>
      <c r="E75">
        <f t="array" ref="E75">D75:D274-VESS!F75:F128</f>
        <v>-21</v>
      </c>
      <c r="F75">
        <f t="array" ref="F75">E75:E274-VESS!G75:G274</f>
        <v>-26</v>
      </c>
      <c r="G75">
        <f t="array" ref="G75">IF(VESS!I75:I274&gt;0,VESS!I75:I274,"")</f>
        <v>1</v>
      </c>
      <c r="H75">
        <f t="array" ref="H75">IF(VESS!J75:J274&gt;0,VESS!J75:J274,"")</f>
        <v>4</v>
      </c>
      <c r="I75">
        <f t="array" ref="I75">IF(VESS!K75:K274&gt;0,VESS!K75:K274,"")</f>
        <v>4</v>
      </c>
      <c r="J75">
        <f>IF(VESS!L75:L274&gt;0,VESS!L75:L274,I75)</f>
        <v>4</v>
      </c>
    </row>
    <row r="76" spans="1:10" x14ac:dyDescent="0.35">
      <c r="A76" t="s">
        <v>237</v>
      </c>
      <c r="B76" t="s">
        <v>61</v>
      </c>
      <c r="C76">
        <v>0</v>
      </c>
      <c r="D76">
        <f t="array" ref="D76">C76:C129-VESS!E76:E129</f>
        <v>-4</v>
      </c>
      <c r="E76">
        <f t="array" ref="E76">D76:D275-VESS!F76:F129</f>
        <v>-9</v>
      </c>
      <c r="F76">
        <f t="array" ref="F76">E76:E275-VESS!G76:G275</f>
        <v>-19</v>
      </c>
      <c r="G76">
        <f t="array" ref="G76">IF(VESS!I76:I275&gt;0,VESS!I76:I275,"")</f>
        <v>1</v>
      </c>
      <c r="H76">
        <f t="array" ref="H76">IF(VESS!J76:J275&gt;0,VESS!J76:J275,"")</f>
        <v>3</v>
      </c>
      <c r="I76">
        <f t="array" ref="I76">IF(VESS!K76:K275&gt;0,VESS!K76:K275,"")</f>
        <v>4</v>
      </c>
      <c r="J76">
        <f>IF(VESS!L76:L275&gt;0,VESS!L76:L275,I76)</f>
        <v>4</v>
      </c>
    </row>
    <row r="77" spans="1:10" x14ac:dyDescent="0.35">
      <c r="A77" t="s">
        <v>238</v>
      </c>
      <c r="B77" t="s">
        <v>61</v>
      </c>
      <c r="C77">
        <v>0</v>
      </c>
      <c r="D77">
        <f t="array" ref="D77">C77:C130-VESS!E77:E130</f>
        <v>0</v>
      </c>
      <c r="E77">
        <f t="array" ref="E77">D77:D276-VESS!F77:F130</f>
        <v>0</v>
      </c>
      <c r="F77">
        <f t="array" ref="F77">E77:E276-VESS!G77:G276</f>
        <v>0</v>
      </c>
      <c r="G77" t="str">
        <f t="array" ref="G77">IF(VESS!I77:I276&gt;0,VESS!I77:I276,"")</f>
        <v/>
      </c>
      <c r="H77" t="str">
        <f t="array" ref="H77">IF(VESS!J77:J276&gt;0,VESS!J77:J276,"")</f>
        <v/>
      </c>
      <c r="I77" t="str">
        <f t="array" ref="I77">IF(VESS!K77:K276&gt;0,VESS!K77:K276,"")</f>
        <v/>
      </c>
      <c r="J77" t="str">
        <f>IF(VESS!L77:L276&gt;0,VESS!L77:L276,I77)</f>
        <v/>
      </c>
    </row>
    <row r="78" spans="1:10" x14ac:dyDescent="0.35">
      <c r="A78" t="s">
        <v>239</v>
      </c>
      <c r="B78" t="s">
        <v>61</v>
      </c>
      <c r="C78">
        <v>0</v>
      </c>
      <c r="D78">
        <f t="array" ref="D78">C78:C131-VESS!E78:E131</f>
        <v>0</v>
      </c>
      <c r="E78">
        <f t="array" ref="E78">D78:D277-VESS!F78:F131</f>
        <v>0</v>
      </c>
      <c r="F78">
        <f t="array" ref="F78">E78:E277-VESS!G78:G277</f>
        <v>0</v>
      </c>
      <c r="G78" t="str">
        <f t="array" ref="G78">IF(VESS!I78:I277&gt;0,VESS!I78:I277,"")</f>
        <v/>
      </c>
      <c r="H78" t="str">
        <f t="array" ref="H78">IF(VESS!J78:J277&gt;0,VESS!J78:J277,"")</f>
        <v/>
      </c>
      <c r="I78" t="str">
        <f t="array" ref="I78">IF(VESS!K78:K277&gt;0,VESS!K78:K277,"")</f>
        <v/>
      </c>
      <c r="J78" t="str">
        <f>IF(VESS!L78:L277&gt;0,VESS!L78:L277,I78)</f>
        <v/>
      </c>
    </row>
    <row r="79" spans="1:10" x14ac:dyDescent="0.35">
      <c r="A79" t="s">
        <v>240</v>
      </c>
      <c r="B79" t="s">
        <v>60</v>
      </c>
      <c r="C79">
        <v>0</v>
      </c>
      <c r="D79">
        <f t="array" ref="D79">C79:C132-VESS!E79:E132</f>
        <v>-5</v>
      </c>
      <c r="E79">
        <f t="array" ref="E79">D79:D278-VESS!F79:F132</f>
        <v>-17</v>
      </c>
      <c r="F79">
        <f t="array" ref="F79">E79:E278-VESS!G79:G278</f>
        <v>-25</v>
      </c>
      <c r="G79">
        <f t="array" ref="G79">IF(VESS!I79:I278&gt;0,VESS!I79:I278,"")</f>
        <v>1</v>
      </c>
      <c r="H79">
        <f t="array" ref="H79">IF(VESS!J79:J278&gt;0,VESS!J79:J278,"")</f>
        <v>4</v>
      </c>
      <c r="I79">
        <f t="array" ref="I79">IF(VESS!K79:K278&gt;0,VESS!K79:K278,"")</f>
        <v>4</v>
      </c>
      <c r="J79">
        <f>IF(VESS!L79:L278&gt;0,VESS!L79:L278,I79)</f>
        <v>4</v>
      </c>
    </row>
    <row r="80" spans="1:10" x14ac:dyDescent="0.35">
      <c r="A80" t="s">
        <v>241</v>
      </c>
      <c r="B80" t="s">
        <v>60</v>
      </c>
      <c r="C80">
        <v>0</v>
      </c>
      <c r="D80">
        <f t="array" ref="D80">C80:C133-VESS!E80:E133</f>
        <v>-6</v>
      </c>
      <c r="E80">
        <f t="array" ref="E80">D80:D279-VESS!F80:F133</f>
        <v>-18</v>
      </c>
      <c r="F80">
        <f t="array" ref="F80">E80:E279-VESS!G80:G279</f>
        <v>-26</v>
      </c>
      <c r="G80">
        <f t="array" ref="G80">IF(VESS!I80:I279&gt;0,VESS!I80:I279,"")</f>
        <v>2</v>
      </c>
      <c r="H80">
        <f t="array" ref="H80">IF(VESS!J80:J279&gt;0,VESS!J80:J279,"")</f>
        <v>3</v>
      </c>
      <c r="I80">
        <f t="array" ref="I80">IF(VESS!K80:K279&gt;0,VESS!K80:K279,"")</f>
        <v>4</v>
      </c>
      <c r="J80">
        <f>IF(VESS!L80:L279&gt;0,VESS!L80:L279,I80)</f>
        <v>4</v>
      </c>
    </row>
    <row r="81" spans="1:10" x14ac:dyDescent="0.35">
      <c r="A81" t="s">
        <v>242</v>
      </c>
      <c r="B81" t="s">
        <v>60</v>
      </c>
      <c r="C81">
        <v>0</v>
      </c>
      <c r="D81">
        <f t="array" ref="D81">C81:C134-VESS!E81:E134</f>
        <v>-7</v>
      </c>
      <c r="E81">
        <f t="array" ref="E81">D81:D280-VESS!F81:F134</f>
        <v>-17</v>
      </c>
      <c r="F81">
        <f t="array" ref="F81">E81:E280-VESS!G81:G280</f>
        <v>-21</v>
      </c>
      <c r="G81">
        <f t="array" ref="G81">IF(VESS!I81:I280&gt;0,VESS!I81:I280,"")</f>
        <v>1</v>
      </c>
      <c r="H81">
        <f t="array" ref="H81">IF(VESS!J81:J280&gt;0,VESS!J81:J280,"")</f>
        <v>3</v>
      </c>
      <c r="I81">
        <f t="array" ref="I81">IF(VESS!K81:K280&gt;0,VESS!K81:K280,"")</f>
        <v>4</v>
      </c>
      <c r="J81">
        <f>IF(VESS!L81:L280&gt;0,VESS!L81:L280,I81)</f>
        <v>4</v>
      </c>
    </row>
    <row r="82" spans="1:10" x14ac:dyDescent="0.35">
      <c r="A82" t="s">
        <v>243</v>
      </c>
      <c r="B82" t="s">
        <v>60</v>
      </c>
      <c r="C82">
        <v>0</v>
      </c>
      <c r="D82">
        <f t="array" ref="D82">C82:C135-VESS!E82:E135</f>
        <v>0</v>
      </c>
      <c r="E82">
        <f t="array" ref="E82">D82:D281-VESS!F82:F135</f>
        <v>0</v>
      </c>
      <c r="F82">
        <f t="array" ref="F82">E82:E281-VESS!G82:G281</f>
        <v>0</v>
      </c>
      <c r="G82" t="str">
        <f t="array" ref="G82">IF(VESS!I82:I281&gt;0,VESS!I82:I281,"")</f>
        <v/>
      </c>
      <c r="H82" t="str">
        <f t="array" ref="H82">IF(VESS!J82:J281&gt;0,VESS!J82:J281,"")</f>
        <v/>
      </c>
      <c r="I82" t="str">
        <f t="array" ref="I82">IF(VESS!K82:K281&gt;0,VESS!K82:K281,"")</f>
        <v/>
      </c>
      <c r="J82" t="str">
        <f>IF(VESS!L82:L281&gt;0,VESS!L82:L281,I82)</f>
        <v/>
      </c>
    </row>
    <row r="83" spans="1:10" x14ac:dyDescent="0.35">
      <c r="A83" t="s">
        <v>244</v>
      </c>
      <c r="B83" t="s">
        <v>60</v>
      </c>
      <c r="C83">
        <v>0</v>
      </c>
      <c r="D83">
        <f t="array" ref="D83">C83:C136-VESS!E83:E136</f>
        <v>0</v>
      </c>
      <c r="E83">
        <f t="array" ref="E83">D83:D282-VESS!F83:F136</f>
        <v>0</v>
      </c>
      <c r="F83">
        <f t="array" ref="F83">E83:E282-VESS!G83:G282</f>
        <v>0</v>
      </c>
      <c r="G83" t="str">
        <f t="array" ref="G83">IF(VESS!I83:I282&gt;0,VESS!I83:I282,"")</f>
        <v/>
      </c>
      <c r="H83" t="str">
        <f t="array" ref="H83">IF(VESS!J83:J282&gt;0,VESS!J83:J282,"")</f>
        <v/>
      </c>
      <c r="I83" t="str">
        <f t="array" ref="I83">IF(VESS!K83:K282&gt;0,VESS!K83:K282,"")</f>
        <v/>
      </c>
      <c r="J83" t="str">
        <f>IF(VESS!L83:L282&gt;0,VESS!L83:L282,I83)</f>
        <v/>
      </c>
    </row>
    <row r="84" spans="1:10" x14ac:dyDescent="0.35">
      <c r="A84" t="s">
        <v>245</v>
      </c>
      <c r="B84" t="s">
        <v>63</v>
      </c>
      <c r="C84">
        <v>0</v>
      </c>
      <c r="D84">
        <f t="array" ref="D84">C84:C137-VESS!E84:E137</f>
        <v>-5</v>
      </c>
      <c r="E84">
        <f t="array" ref="E84">D84:D283-VESS!F84:F137</f>
        <v>-20</v>
      </c>
      <c r="F84">
        <f t="array" ref="F84">E84:E283-VESS!G84:G283</f>
        <v>-28</v>
      </c>
      <c r="G84">
        <f t="array" ref="G84">IF(VESS!I84:I283&gt;0,VESS!I84:I283,"")</f>
        <v>2</v>
      </c>
      <c r="H84">
        <f t="array" ref="H84">IF(VESS!J84:J283&gt;0,VESS!J84:J283,"")</f>
        <v>3</v>
      </c>
      <c r="I84">
        <f t="array" ref="I84">IF(VESS!K84:K283&gt;0,VESS!K84:K283,"")</f>
        <v>3</v>
      </c>
      <c r="J84">
        <f>IF(VESS!L84:L283&gt;0,VESS!L84:L283,I84)</f>
        <v>3</v>
      </c>
    </row>
    <row r="85" spans="1:10" x14ac:dyDescent="0.35">
      <c r="A85" t="s">
        <v>246</v>
      </c>
      <c r="B85" t="s">
        <v>63</v>
      </c>
      <c r="C85">
        <v>0</v>
      </c>
      <c r="D85">
        <f t="array" ref="D85">C85:C138-VESS!E85:E138</f>
        <v>-6</v>
      </c>
      <c r="E85">
        <f t="array" ref="E85">D85:D284-VESS!F85:F138</f>
        <v>-21</v>
      </c>
      <c r="F85">
        <f t="array" ref="F85">E85:E284-VESS!G85:G284</f>
        <v>-31</v>
      </c>
      <c r="G85">
        <f t="array" ref="G85">IF(VESS!I85:I284&gt;0,VESS!I85:I284,"")</f>
        <v>2</v>
      </c>
      <c r="H85">
        <f t="array" ref="H85">IF(VESS!J85:J284&gt;0,VESS!J85:J284,"")</f>
        <v>2</v>
      </c>
      <c r="I85">
        <f t="array" ref="I85">IF(VESS!K85:K284&gt;0,VESS!K85:K284,"")</f>
        <v>3</v>
      </c>
      <c r="J85">
        <f>IF(VESS!L85:L284&gt;0,VESS!L85:L284,I85)</f>
        <v>3</v>
      </c>
    </row>
    <row r="86" spans="1:10" x14ac:dyDescent="0.35">
      <c r="A86" t="s">
        <v>247</v>
      </c>
      <c r="B86" t="s">
        <v>63</v>
      </c>
      <c r="C86">
        <v>0</v>
      </c>
      <c r="D86">
        <f t="array" ref="D86">C86:C139-VESS!E86:E139</f>
        <v>-2</v>
      </c>
      <c r="E86">
        <f t="array" ref="E86">D86:D285-VESS!F86:F139</f>
        <v>-17</v>
      </c>
      <c r="F86">
        <f t="array" ref="F86">E86:E285-VESS!G86:G285</f>
        <v>-23</v>
      </c>
      <c r="G86">
        <f t="array" ref="G86">IF(VESS!I86:I285&gt;0,VESS!I86:I285,"")</f>
        <v>2</v>
      </c>
      <c r="H86">
        <f t="array" ref="H86">IF(VESS!J86:J285&gt;0,VESS!J86:J285,"")</f>
        <v>4</v>
      </c>
      <c r="I86">
        <f t="array" ref="I86">IF(VESS!K86:K285&gt;0,VESS!K86:K285,"")</f>
        <v>3</v>
      </c>
      <c r="J86">
        <f>IF(VESS!L86:L285&gt;0,VESS!L86:L285,I86)</f>
        <v>5</v>
      </c>
    </row>
    <row r="87" spans="1:10" x14ac:dyDescent="0.35">
      <c r="A87" t="s">
        <v>248</v>
      </c>
      <c r="B87" t="s">
        <v>63</v>
      </c>
      <c r="C87">
        <v>0</v>
      </c>
      <c r="D87">
        <f t="array" ref="D87">C87:C140-VESS!E87:E140</f>
        <v>0</v>
      </c>
      <c r="E87">
        <f t="array" ref="E87">D87:D286-VESS!F87:F140</f>
        <v>0</v>
      </c>
      <c r="F87">
        <f t="array" ref="F87">E87:E286-VESS!G87:G286</f>
        <v>0</v>
      </c>
      <c r="G87" t="str">
        <f t="array" ref="G87">IF(VESS!I87:I286&gt;0,VESS!I87:I286,"")</f>
        <v/>
      </c>
      <c r="H87" t="str">
        <f t="array" ref="H87">IF(VESS!J87:J286&gt;0,VESS!J87:J286,"")</f>
        <v/>
      </c>
      <c r="I87" t="str">
        <f t="array" ref="I87">IF(VESS!K87:K286&gt;0,VESS!K87:K286,"")</f>
        <v/>
      </c>
      <c r="J87" t="str">
        <f>IF(VESS!L87:L286&gt;0,VESS!L87:L286,I87)</f>
        <v/>
      </c>
    </row>
    <row r="88" spans="1:10" x14ac:dyDescent="0.35">
      <c r="A88" t="s">
        <v>249</v>
      </c>
      <c r="B88" t="s">
        <v>63</v>
      </c>
      <c r="C88">
        <v>0</v>
      </c>
      <c r="D88">
        <f t="array" ref="D88">C88:C141-VESS!E88:E141</f>
        <v>0</v>
      </c>
      <c r="E88">
        <f t="array" ref="E88">D88:D287-VESS!F88:F141</f>
        <v>0</v>
      </c>
      <c r="F88">
        <f t="array" ref="F88">E88:E287-VESS!G88:G287</f>
        <v>0</v>
      </c>
      <c r="G88" t="str">
        <f t="array" ref="G88">IF(VESS!I88:I287&gt;0,VESS!I88:I287,"")</f>
        <v/>
      </c>
      <c r="H88" t="str">
        <f t="array" ref="H88">IF(VESS!J88:J287&gt;0,VESS!J88:J287,"")</f>
        <v/>
      </c>
      <c r="I88" t="str">
        <f t="array" ref="I88">IF(VESS!K88:K287&gt;0,VESS!K88:K287,"")</f>
        <v/>
      </c>
      <c r="J88" t="str">
        <f>IF(VESS!L88:L287&gt;0,VESS!L88:L287,I88)</f>
        <v/>
      </c>
    </row>
    <row r="89" spans="1:10" x14ac:dyDescent="0.35">
      <c r="A89" t="s">
        <v>250</v>
      </c>
      <c r="B89" t="s">
        <v>62</v>
      </c>
      <c r="C89">
        <v>0</v>
      </c>
      <c r="D89">
        <f t="array" ref="D89">C89:C142-VESS!E89:E142</f>
        <v>-3</v>
      </c>
      <c r="E89">
        <f t="array" ref="E89">D89:D288-VESS!F89:F142</f>
        <v>-9</v>
      </c>
      <c r="F89">
        <f t="array" ref="F89">E89:E288-VESS!G89:G288</f>
        <v>-20</v>
      </c>
      <c r="G89">
        <f t="array" ref="G89">IF(VESS!I89:I288&gt;0,VESS!I89:I288,"")</f>
        <v>2</v>
      </c>
      <c r="H89">
        <f t="array" ref="H89">IF(VESS!J89:J288&gt;0,VESS!J89:J288,"")</f>
        <v>2</v>
      </c>
      <c r="I89">
        <f t="array" ref="I89">IF(VESS!K89:K288&gt;0,VESS!K89:K288,"")</f>
        <v>4</v>
      </c>
      <c r="J89">
        <f>IF(VESS!L89:L288&gt;0,VESS!L89:L288,I89)</f>
        <v>3</v>
      </c>
    </row>
    <row r="90" spans="1:10" x14ac:dyDescent="0.35">
      <c r="A90" t="s">
        <v>251</v>
      </c>
      <c r="B90" t="s">
        <v>62</v>
      </c>
      <c r="C90">
        <v>0</v>
      </c>
      <c r="D90">
        <f t="array" ref="D90">C90:C143-VESS!E90:E143</f>
        <v>-5</v>
      </c>
      <c r="E90">
        <f t="array" ref="E90">D90:D289-VESS!F90:F143</f>
        <v>-17</v>
      </c>
      <c r="F90">
        <f t="array" ref="F90">E90:E289-VESS!G90:G289</f>
        <v>-22</v>
      </c>
      <c r="G90">
        <f t="array" ref="G90">IF(VESS!I90:I289&gt;0,VESS!I90:I289,"")</f>
        <v>1</v>
      </c>
      <c r="H90">
        <f t="array" ref="H90">IF(VESS!J90:J289&gt;0,VESS!J90:J289,"")</f>
        <v>2</v>
      </c>
      <c r="I90">
        <f t="array" ref="I90">IF(VESS!K90:K289&gt;0,VESS!K90:K289,"")</f>
        <v>2</v>
      </c>
      <c r="J90">
        <f>IF(VESS!L90:L289&gt;0,VESS!L90:L289,I90)</f>
        <v>2</v>
      </c>
    </row>
    <row r="91" spans="1:10" x14ac:dyDescent="0.35">
      <c r="A91" t="s">
        <v>252</v>
      </c>
      <c r="B91" t="s">
        <v>62</v>
      </c>
      <c r="C91">
        <v>0</v>
      </c>
      <c r="D91">
        <f t="array" ref="D91">C91:C144-VESS!E91:E144</f>
        <v>-5</v>
      </c>
      <c r="E91">
        <f t="array" ref="E91">D91:D290-VESS!F91:F144</f>
        <v>-15</v>
      </c>
      <c r="F91">
        <f t="array" ref="F91">E91:E290-VESS!G91:G290</f>
        <v>-25</v>
      </c>
      <c r="G91">
        <f t="array" ref="G91">IF(VESS!I91:I290&gt;0,VESS!I91:I290,"")</f>
        <v>1</v>
      </c>
      <c r="H91">
        <f t="array" ref="H91">IF(VESS!J91:J290&gt;0,VESS!J91:J290,"")</f>
        <v>3</v>
      </c>
      <c r="I91">
        <f t="array" ref="I91">IF(VESS!K91:K290&gt;0,VESS!K91:K290,"")</f>
        <v>2</v>
      </c>
      <c r="J91">
        <f>IF(VESS!L91:L290&gt;0,VESS!L91:L290,I91)</f>
        <v>2</v>
      </c>
    </row>
    <row r="92" spans="1:10" x14ac:dyDescent="0.35">
      <c r="A92" t="s">
        <v>253</v>
      </c>
      <c r="B92" t="s">
        <v>62</v>
      </c>
      <c r="C92">
        <v>0</v>
      </c>
      <c r="D92">
        <f t="array" ref="D92">C92:C145-VESS!E92:E145</f>
        <v>0</v>
      </c>
      <c r="E92">
        <f t="array" ref="E92">D92:D291-VESS!F92:F145</f>
        <v>0</v>
      </c>
      <c r="F92">
        <f t="array" ref="F92">E92:E291-VESS!G92:G291</f>
        <v>0</v>
      </c>
      <c r="G92" t="str">
        <f t="array" ref="G92">IF(VESS!I92:I291&gt;0,VESS!I92:I291,"")</f>
        <v/>
      </c>
      <c r="H92" t="str">
        <f t="array" ref="H92">IF(VESS!J92:J291&gt;0,VESS!J92:J291,"")</f>
        <v/>
      </c>
      <c r="I92" t="str">
        <f t="array" ref="I92">IF(VESS!K92:K291&gt;0,VESS!K92:K291,"")</f>
        <v/>
      </c>
      <c r="J92" t="str">
        <f>IF(VESS!L92:L291&gt;0,VESS!L92:L291,I92)</f>
        <v/>
      </c>
    </row>
    <row r="93" spans="1:10" x14ac:dyDescent="0.35">
      <c r="A93" t="s">
        <v>254</v>
      </c>
      <c r="B93" t="s">
        <v>62</v>
      </c>
      <c r="C93">
        <v>0</v>
      </c>
      <c r="D93">
        <f t="array" ref="D93">C93:C146-VESS!E93:E146</f>
        <v>0</v>
      </c>
      <c r="E93">
        <f t="array" ref="E93">D93:D292-VESS!F93:F146</f>
        <v>0</v>
      </c>
      <c r="F93">
        <f t="array" ref="F93">E93:E292-VESS!G93:G292</f>
        <v>0</v>
      </c>
      <c r="G93" t="str">
        <f t="array" ref="G93">IF(VESS!I93:I292&gt;0,VESS!I93:I292,"")</f>
        <v/>
      </c>
      <c r="H93" t="str">
        <f t="array" ref="H93">IF(VESS!J93:J292&gt;0,VESS!J93:J292,"")</f>
        <v/>
      </c>
      <c r="I93" t="str">
        <f t="array" ref="I93">IF(VESS!K93:K292&gt;0,VESS!K93:K292,"")</f>
        <v/>
      </c>
      <c r="J93" t="str">
        <f>IF(VESS!L93:L292&gt;0,VESS!L93:L292,I93)</f>
        <v/>
      </c>
    </row>
    <row r="94" spans="1:10" x14ac:dyDescent="0.35">
      <c r="A94" t="s">
        <v>255</v>
      </c>
      <c r="B94" t="s">
        <v>16</v>
      </c>
      <c r="C94">
        <v>0</v>
      </c>
      <c r="D94">
        <f t="array" ref="D94">C94:C147-VESS!E94:E147</f>
        <v>-2</v>
      </c>
      <c r="E94">
        <f t="array" ref="E94">D94:D293-VESS!F94:F147</f>
        <v>-11</v>
      </c>
      <c r="F94">
        <f t="array" ref="F94">E94:E293-VESS!G94:G293</f>
        <v>-21</v>
      </c>
      <c r="G94">
        <f t="array" ref="G94">IF(VESS!I94:I293&gt;0,VESS!I94:I293,"")</f>
        <v>1</v>
      </c>
      <c r="H94">
        <f t="array" ref="H94">IF(VESS!J94:J293&gt;0,VESS!J94:J293,"")</f>
        <v>3</v>
      </c>
      <c r="I94">
        <f t="array" ref="I94">IF(VESS!K94:K293&gt;0,VESS!K94:K293,"")</f>
        <v>5</v>
      </c>
      <c r="J94">
        <f>IF(VESS!L94:L293&gt;0,VESS!L94:L293,I94)</f>
        <v>5</v>
      </c>
    </row>
    <row r="95" spans="1:10" x14ac:dyDescent="0.35">
      <c r="A95" t="s">
        <v>256</v>
      </c>
      <c r="B95" t="s">
        <v>16</v>
      </c>
      <c r="C95">
        <v>0</v>
      </c>
      <c r="D95">
        <f t="array" ref="D95">C95:C148-VESS!E95:E148</f>
        <v>-4</v>
      </c>
      <c r="E95">
        <f t="array" ref="E95">D95:D294-VESS!F95:F148</f>
        <v>-24</v>
      </c>
      <c r="F95">
        <f t="array" ref="F95">E95:E294-VESS!G95:G294</f>
        <v>-28</v>
      </c>
      <c r="G95">
        <f t="array" ref="G95">IF(VESS!I95:I294&gt;0,VESS!I95:I294,"")</f>
        <v>1</v>
      </c>
      <c r="H95">
        <f t="array" ref="H95">IF(VESS!J95:J294&gt;0,VESS!J95:J294,"")</f>
        <v>5</v>
      </c>
      <c r="I95">
        <f t="array" ref="I95">IF(VESS!K95:K294&gt;0,VESS!K95:K294,"")</f>
        <v>5</v>
      </c>
      <c r="J95">
        <f>IF(VESS!L95:L294&gt;0,VESS!L95:L294,I95)</f>
        <v>5</v>
      </c>
    </row>
    <row r="96" spans="1:10" x14ac:dyDescent="0.35">
      <c r="A96" t="s">
        <v>257</v>
      </c>
      <c r="B96" t="s">
        <v>16</v>
      </c>
      <c r="C96">
        <v>0</v>
      </c>
      <c r="D96">
        <f t="array" ref="D96">C96:C149-VESS!E96:E149</f>
        <v>-5</v>
      </c>
      <c r="E96">
        <f t="array" ref="E96">D96:D295-VESS!F96:F149</f>
        <v>-13</v>
      </c>
      <c r="F96">
        <f t="array" ref="F96">E96:E295-VESS!G96:G295</f>
        <v>-21</v>
      </c>
      <c r="G96">
        <f t="array" ref="G96">IF(VESS!I96:I295&gt;0,VESS!I96:I295,"")</f>
        <v>1</v>
      </c>
      <c r="H96">
        <f t="array" ref="H96">IF(VESS!J96:J295&gt;0,VESS!J96:J295,"")</f>
        <v>3</v>
      </c>
      <c r="I96">
        <f t="array" ref="I96">IF(VESS!K96:K295&gt;0,VESS!K96:K295,"")</f>
        <v>4</v>
      </c>
      <c r="J96">
        <f>IF(VESS!L96:L295&gt;0,VESS!L96:L295,I96)</f>
        <v>5</v>
      </c>
    </row>
    <row r="97" spans="1:10" x14ac:dyDescent="0.35">
      <c r="A97" t="s">
        <v>258</v>
      </c>
      <c r="B97" t="s">
        <v>16</v>
      </c>
      <c r="C97">
        <v>0</v>
      </c>
      <c r="D97">
        <f t="array" ref="D97">C97:C150-VESS!E97:E150</f>
        <v>-5</v>
      </c>
      <c r="E97">
        <f t="array" ref="E97">D97:D296-VESS!F97:F150</f>
        <v>-20</v>
      </c>
      <c r="F97">
        <f t="array" ref="F97">E97:E296-VESS!G97:G296</f>
        <v>-25</v>
      </c>
      <c r="G97">
        <f t="array" ref="G97">IF(VESS!I97:I296&gt;0,VESS!I97:I296,"")</f>
        <v>1</v>
      </c>
      <c r="H97">
        <f t="array" ref="H97">IF(VESS!J97:J296&gt;0,VESS!J97:J296,"")</f>
        <v>4</v>
      </c>
      <c r="I97">
        <f t="array" ref="I97">IF(VESS!K97:K296&gt;0,VESS!K97:K296,"")</f>
        <v>5</v>
      </c>
      <c r="J97">
        <f>IF(VESS!L97:L296&gt;0,VESS!L97:L296,I97)</f>
        <v>5</v>
      </c>
    </row>
    <row r="98" spans="1:10" x14ac:dyDescent="0.35">
      <c r="A98" t="s">
        <v>259</v>
      </c>
      <c r="B98" t="s">
        <v>16</v>
      </c>
      <c r="C98">
        <v>0</v>
      </c>
      <c r="D98">
        <f t="array" ref="D98">C98:C151-VESS!E98:E151</f>
        <v>-5</v>
      </c>
      <c r="E98">
        <f t="array" ref="E98">D98:D297-VESS!F98:F151</f>
        <v>-21</v>
      </c>
      <c r="F98">
        <f t="array" ref="F98">E98:E297-VESS!G98:G297</f>
        <v>-27</v>
      </c>
      <c r="G98">
        <f t="array" ref="G98">IF(VESS!I98:I297&gt;0,VESS!I98:I297,"")</f>
        <v>1</v>
      </c>
      <c r="H98">
        <f t="array" ref="H98">IF(VESS!J98:J297&gt;0,VESS!J98:J297,"")</f>
        <v>4</v>
      </c>
      <c r="I98">
        <f t="array" ref="I98">IF(VESS!K98:K297&gt;0,VESS!K98:K297,"")</f>
        <v>5</v>
      </c>
      <c r="J98">
        <f>IF(VESS!L98:L297&gt;0,VESS!L98:L297,I98)</f>
        <v>5</v>
      </c>
    </row>
    <row r="99" spans="1:10" x14ac:dyDescent="0.35">
      <c r="A99" t="s">
        <v>260</v>
      </c>
      <c r="B99" t="s">
        <v>17</v>
      </c>
      <c r="C99">
        <v>0</v>
      </c>
      <c r="D99">
        <f t="array" ref="D99">C99:C152-VESS!E99:E152</f>
        <v>-5</v>
      </c>
      <c r="E99">
        <f t="array" ref="E99">D99:D298-VESS!F99:F152</f>
        <v>-25</v>
      </c>
      <c r="F99">
        <f t="array" ref="F99">E99:E298-VESS!G99:G298</f>
        <v>-30</v>
      </c>
      <c r="G99">
        <f t="array" ref="G99">IF(VESS!I99:I298&gt;0,VESS!I99:I298,"")</f>
        <v>1</v>
      </c>
      <c r="H99">
        <f t="array" ref="H99">IF(VESS!J99:J298&gt;0,VESS!J99:J298,"")</f>
        <v>4</v>
      </c>
      <c r="I99">
        <f t="array" ref="I99">IF(VESS!K99:K298&gt;0,VESS!K99:K298,"")</f>
        <v>5</v>
      </c>
      <c r="J99">
        <f>IF(VESS!L99:L298&gt;0,VESS!L99:L298,I99)</f>
        <v>5</v>
      </c>
    </row>
    <row r="100" spans="1:10" x14ac:dyDescent="0.35">
      <c r="A100" t="s">
        <v>261</v>
      </c>
      <c r="B100" t="s">
        <v>17</v>
      </c>
      <c r="C100">
        <v>0</v>
      </c>
      <c r="D100">
        <f t="array" ref="D100">C100:C153-VESS!E100:E153</f>
        <v>-5</v>
      </c>
      <c r="E100">
        <f t="array" ref="E100">D100:D299-VESS!F100:F153</f>
        <v>-12</v>
      </c>
      <c r="F100">
        <f t="array" ref="F100">E100:E299-VESS!G100:G299</f>
        <v>-30</v>
      </c>
      <c r="G100">
        <f t="array" ref="G100">IF(VESS!I100:I299&gt;0,VESS!I100:I299,"")</f>
        <v>1</v>
      </c>
      <c r="H100">
        <f t="array" ref="H100">IF(VESS!J100:J299&gt;0,VESS!J100:J299,"")</f>
        <v>3</v>
      </c>
      <c r="I100">
        <f t="array" ref="I100">IF(VESS!K100:K299&gt;0,VESS!K100:K299,"")</f>
        <v>5</v>
      </c>
      <c r="J100">
        <f>IF(VESS!L100:L299&gt;0,VESS!L100:L299,I100)</f>
        <v>5</v>
      </c>
    </row>
    <row r="101" spans="1:10" x14ac:dyDescent="0.35">
      <c r="A101" t="s">
        <v>262</v>
      </c>
      <c r="B101" t="s">
        <v>17</v>
      </c>
      <c r="C101">
        <v>0</v>
      </c>
      <c r="D101">
        <f t="array" ref="D101">C101:C154-VESS!E101:E154</f>
        <v>-5</v>
      </c>
      <c r="E101">
        <f t="array" ref="E101">D101:D300-VESS!F101:F154</f>
        <v>-20</v>
      </c>
      <c r="F101">
        <f t="array" ref="F101">E101:E300-VESS!G101:G300</f>
        <v>-30</v>
      </c>
      <c r="G101">
        <f t="array" ref="G101">IF(VESS!I101:I300&gt;0,VESS!I101:I300,"")</f>
        <v>1</v>
      </c>
      <c r="H101">
        <f t="array" ref="H101">IF(VESS!J101:J300&gt;0,VESS!J101:J300,"")</f>
        <v>4</v>
      </c>
      <c r="I101">
        <f t="array" ref="I101">IF(VESS!K101:K300&gt;0,VESS!K101:K300,"")</f>
        <v>5</v>
      </c>
      <c r="J101">
        <f>IF(VESS!L101:L300&gt;0,VESS!L101:L300,I101)</f>
        <v>5</v>
      </c>
    </row>
    <row r="102" spans="1:10" x14ac:dyDescent="0.35">
      <c r="A102" t="s">
        <v>263</v>
      </c>
      <c r="B102" t="s">
        <v>17</v>
      </c>
      <c r="C102">
        <v>0</v>
      </c>
      <c r="D102">
        <f t="array" ref="D102">C102:C155-VESS!E102:E155</f>
        <v>-5</v>
      </c>
      <c r="E102">
        <f t="array" ref="E102">D102:D301-VESS!F102:F155</f>
        <v>-12</v>
      </c>
      <c r="F102">
        <f t="array" ref="F102">E102:E301-VESS!G102:G301</f>
        <v>-24</v>
      </c>
      <c r="G102">
        <f t="array" ref="G102">IF(VESS!I102:I301&gt;0,VESS!I102:I301,"")</f>
        <v>1</v>
      </c>
      <c r="H102">
        <f t="array" ref="H102">IF(VESS!J102:J301&gt;0,VESS!J102:J301,"")</f>
        <v>3</v>
      </c>
      <c r="I102">
        <f t="array" ref="I102">IF(VESS!K102:K301&gt;0,VESS!K102:K301,"")</f>
        <v>4</v>
      </c>
      <c r="J102">
        <f>IF(VESS!L102:L301&gt;0,VESS!L102:L301,I102)</f>
        <v>4</v>
      </c>
    </row>
    <row r="103" spans="1:10" x14ac:dyDescent="0.35">
      <c r="A103" t="s">
        <v>264</v>
      </c>
      <c r="B103" t="s">
        <v>17</v>
      </c>
      <c r="C103">
        <v>0</v>
      </c>
      <c r="D103">
        <f t="array" ref="D103">C103:C156-VESS!E103:E156</f>
        <v>-5</v>
      </c>
      <c r="E103">
        <f t="array" ref="E103">D103:D302-VESS!F103:F156</f>
        <v>-22</v>
      </c>
      <c r="F103">
        <f t="array" ref="F103">E103:E302-VESS!G103:G302</f>
        <v>-27</v>
      </c>
      <c r="G103">
        <f t="array" ref="G103">IF(VESS!I103:I302&gt;0,VESS!I103:I302,"")</f>
        <v>1</v>
      </c>
      <c r="H103">
        <f t="array" ref="H103">IF(VESS!J103:J302&gt;0,VESS!J103:J302,"")</f>
        <v>3</v>
      </c>
      <c r="I103">
        <f t="array" ref="I103">IF(VESS!K103:K302&gt;0,VESS!K103:K302,"")</f>
        <v>5</v>
      </c>
      <c r="J103">
        <f>IF(VESS!L103:L302&gt;0,VESS!L103:L302,I103)</f>
        <v>5</v>
      </c>
    </row>
    <row r="104" spans="1:10" x14ac:dyDescent="0.35">
      <c r="A104" t="s">
        <v>265</v>
      </c>
      <c r="B104" t="s">
        <v>14</v>
      </c>
      <c r="C104">
        <v>0</v>
      </c>
      <c r="D104">
        <f t="array" ref="D104">C104:C157-VESS!E104:E157</f>
        <v>-5</v>
      </c>
      <c r="E104">
        <f t="array" ref="E104">D104:D303-VESS!F104:F157</f>
        <v>-13</v>
      </c>
      <c r="F104">
        <f t="array" ref="F104">E104:E303-VESS!G104:G303</f>
        <v>-18</v>
      </c>
      <c r="G104">
        <f t="array" ref="G104">IF(VESS!I104:I303&gt;0,VESS!I104:I303,"")</f>
        <v>2</v>
      </c>
      <c r="H104">
        <f t="array" ref="H104">IF(VESS!J104:J303&gt;0,VESS!J104:J303,"")</f>
        <v>2</v>
      </c>
      <c r="I104">
        <f t="array" ref="I104">IF(VESS!K104:K303&gt;0,VESS!K104:K303,"")</f>
        <v>3</v>
      </c>
      <c r="J104">
        <f>IF(VESS!L104:L303&gt;0,VESS!L104:L303,I104)</f>
        <v>4</v>
      </c>
    </row>
    <row r="105" spans="1:10" x14ac:dyDescent="0.35">
      <c r="A105" t="s">
        <v>266</v>
      </c>
      <c r="B105" t="s">
        <v>14</v>
      </c>
      <c r="C105">
        <v>0</v>
      </c>
      <c r="D105">
        <f t="array" ref="D105">C105:C158-VESS!E105:E158</f>
        <v>-8</v>
      </c>
      <c r="E105">
        <f t="array" ref="E105">D105:D304-VESS!F105:F158</f>
        <v>-23</v>
      </c>
      <c r="F105">
        <f t="array" ref="F105">E105:E304-VESS!G105:G304</f>
        <v>-23</v>
      </c>
      <c r="G105">
        <f t="array" ref="G105">IF(VESS!I105:I304&gt;0,VESS!I105:I304,"")</f>
        <v>1</v>
      </c>
      <c r="H105">
        <f t="array" ref="H105">IF(VESS!J105:J304&gt;0,VESS!J105:J304,"")</f>
        <v>3</v>
      </c>
      <c r="I105" t="str">
        <f t="array" ref="I105">IF(VESS!K105:K304&gt;0,VESS!K105:K304,"")</f>
        <v/>
      </c>
      <c r="J105" t="str">
        <f>IF(VESS!L105:L304&gt;0,VESS!L105:L304,I105)</f>
        <v/>
      </c>
    </row>
    <row r="106" spans="1:10" x14ac:dyDescent="0.35">
      <c r="A106" t="s">
        <v>267</v>
      </c>
      <c r="B106" t="s">
        <v>14</v>
      </c>
      <c r="C106">
        <v>0</v>
      </c>
      <c r="D106">
        <f t="array" ref="D106">C106:C159-VESS!E106:E159</f>
        <v>-5</v>
      </c>
      <c r="E106">
        <f t="array" ref="E106">D106:D305-VESS!F106:F159</f>
        <v>-17</v>
      </c>
      <c r="F106">
        <f t="array" ref="F106">E106:E305-VESS!G106:G305</f>
        <v>-29</v>
      </c>
      <c r="G106">
        <f t="array" ref="G106">IF(VESS!I106:I305&gt;0,VESS!I106:I305,"")</f>
        <v>1</v>
      </c>
      <c r="H106">
        <f t="array" ref="H106">IF(VESS!J106:J305&gt;0,VESS!J106:J305,"")</f>
        <v>2</v>
      </c>
      <c r="I106">
        <f t="array" ref="I106">IF(VESS!K106:K305&gt;0,VESS!K106:K305,"")</f>
        <v>3</v>
      </c>
      <c r="J106">
        <f>IF(VESS!L106:L305&gt;0,VESS!L106:L305,I106)</f>
        <v>3</v>
      </c>
    </row>
    <row r="107" spans="1:10" x14ac:dyDescent="0.35">
      <c r="A107" t="s">
        <v>268</v>
      </c>
      <c r="B107" t="s">
        <v>14</v>
      </c>
      <c r="C107">
        <v>0</v>
      </c>
      <c r="D107">
        <f t="array" ref="D107">C107:C160-VESS!E107:E160</f>
        <v>-5</v>
      </c>
      <c r="E107">
        <f t="array" ref="E107">D107:D306-VESS!F107:F160</f>
        <v>-13</v>
      </c>
      <c r="F107">
        <f t="array" ref="F107">E107:E306-VESS!G107:G306</f>
        <v>-25</v>
      </c>
      <c r="G107">
        <f t="array" ref="G107">IF(VESS!I107:I306&gt;0,VESS!I107:I306,"")</f>
        <v>1</v>
      </c>
      <c r="H107">
        <f t="array" ref="H107">IF(VESS!J107:J306&gt;0,VESS!J107:J306,"")</f>
        <v>2</v>
      </c>
      <c r="I107">
        <f t="array" ref="I107">IF(VESS!K107:K306&gt;0,VESS!K107:K306,"")</f>
        <v>3</v>
      </c>
      <c r="J107">
        <f>IF(VESS!L107:L306&gt;0,VESS!L107:L306,I107)</f>
        <v>4</v>
      </c>
    </row>
    <row r="108" spans="1:10" x14ac:dyDescent="0.35">
      <c r="A108" t="s">
        <v>269</v>
      </c>
      <c r="B108" t="s">
        <v>14</v>
      </c>
      <c r="C108">
        <v>0</v>
      </c>
      <c r="D108">
        <f t="array" ref="D108">C108:C161-VESS!E108:E161</f>
        <v>-5</v>
      </c>
      <c r="E108">
        <f t="array" ref="E108">D108:D307-VESS!F108:F161</f>
        <v>-20</v>
      </c>
      <c r="F108">
        <f t="array" ref="F108">E108:E307-VESS!G108:G307</f>
        <v>-28</v>
      </c>
      <c r="G108">
        <f t="array" ref="G108">IF(VESS!I108:I307&gt;0,VESS!I108:I307,"")</f>
        <v>1</v>
      </c>
      <c r="H108">
        <f t="array" ref="H108">IF(VESS!J108:J307&gt;0,VESS!J108:J307,"")</f>
        <v>2</v>
      </c>
      <c r="I108">
        <f t="array" ref="I108">IF(VESS!K108:K307&gt;0,VESS!K108:K307,"")</f>
        <v>3</v>
      </c>
      <c r="J108">
        <f>IF(VESS!L108:L307&gt;0,VESS!L108:L307,I108)</f>
        <v>3</v>
      </c>
    </row>
    <row r="109" spans="1:10" x14ac:dyDescent="0.35">
      <c r="A109" t="s">
        <v>270</v>
      </c>
      <c r="B109" t="s">
        <v>15</v>
      </c>
      <c r="C109">
        <v>0</v>
      </c>
      <c r="D109">
        <f t="array" ref="D109">C109:C162-VESS!E109:E162</f>
        <v>-10</v>
      </c>
      <c r="E109">
        <f t="array" ref="E109">D109:D308-VESS!F109:F162</f>
        <v>-27</v>
      </c>
      <c r="F109">
        <f t="array" ref="F109">E109:E308-VESS!G109:G308</f>
        <v>-34</v>
      </c>
      <c r="G109">
        <f t="array" ref="G109">IF(VESS!I109:I308&gt;0,VESS!I109:I308,"")</f>
        <v>1</v>
      </c>
      <c r="H109">
        <f t="array" ref="H109">IF(VESS!J109:J308&gt;0,VESS!J109:J308,"")</f>
        <v>2</v>
      </c>
      <c r="I109">
        <f t="array" ref="I109">IF(VESS!K109:K308&gt;0,VESS!K109:K308,"")</f>
        <v>3</v>
      </c>
      <c r="J109">
        <f>IF(VESS!L109:L308&gt;0,VESS!L109:L308,I109)</f>
        <v>3</v>
      </c>
    </row>
    <row r="110" spans="1:10" x14ac:dyDescent="0.35">
      <c r="A110" t="s">
        <v>271</v>
      </c>
      <c r="B110" t="s">
        <v>15</v>
      </c>
      <c r="C110">
        <v>0</v>
      </c>
      <c r="D110">
        <f t="array" ref="D110">C110:C163-VESS!E110:E163</f>
        <v>-8</v>
      </c>
      <c r="E110">
        <f t="array" ref="E110">D110:D309-VESS!F110:F163</f>
        <v>-23</v>
      </c>
      <c r="F110">
        <f t="array" ref="F110">E110:E309-VESS!G110:G309</f>
        <v>-30</v>
      </c>
      <c r="G110">
        <f t="array" ref="G110">IF(VESS!I110:I309&gt;0,VESS!I110:I309,"")</f>
        <v>3</v>
      </c>
      <c r="H110">
        <f t="array" ref="H110">IF(VESS!J110:J309&gt;0,VESS!J110:J309,"")</f>
        <v>3</v>
      </c>
      <c r="I110">
        <f t="array" ref="I110">IF(VESS!K110:K309&gt;0,VESS!K110:K309,"")</f>
        <v>4</v>
      </c>
      <c r="J110">
        <f>IF(VESS!L110:L309&gt;0,VESS!L110:L309,I110)</f>
        <v>4</v>
      </c>
    </row>
    <row r="111" spans="1:10" x14ac:dyDescent="0.35">
      <c r="A111" t="s">
        <v>272</v>
      </c>
      <c r="B111" t="s">
        <v>15</v>
      </c>
      <c r="C111">
        <v>0</v>
      </c>
      <c r="D111">
        <f t="array" ref="D111">C111:C164-VESS!E111:E164</f>
        <v>-5</v>
      </c>
      <c r="E111">
        <f t="array" ref="E111">D111:D310-VESS!F111:F164</f>
        <v>-22</v>
      </c>
      <c r="F111">
        <f t="array" ref="F111">E111:E310-VESS!G111:G310</f>
        <v>-28</v>
      </c>
      <c r="G111">
        <f t="array" ref="G111">IF(VESS!I111:I310&gt;0,VESS!I111:I310,"")</f>
        <v>1</v>
      </c>
      <c r="H111">
        <f t="array" ref="H111">IF(VESS!J111:J310&gt;0,VESS!J111:J310,"")</f>
        <v>3</v>
      </c>
      <c r="I111">
        <f t="array" ref="I111">IF(VESS!K111:K310&gt;0,VESS!K111:K310,"")</f>
        <v>2</v>
      </c>
      <c r="J111">
        <f>IF(VESS!L111:L310&gt;0,VESS!L111:L310,I111)</f>
        <v>2</v>
      </c>
    </row>
    <row r="112" spans="1:10" x14ac:dyDescent="0.35">
      <c r="A112" t="s">
        <v>273</v>
      </c>
      <c r="B112" t="s">
        <v>15</v>
      </c>
      <c r="C112">
        <v>0</v>
      </c>
      <c r="D112">
        <f t="array" ref="D112">C112:C165-VESS!E112:E165</f>
        <v>-8</v>
      </c>
      <c r="E112">
        <f t="array" ref="E112">D112:D311-VESS!F112:F165</f>
        <v>-18</v>
      </c>
      <c r="F112">
        <f t="array" ref="F112">E112:E311-VESS!G112:G311</f>
        <v>-30</v>
      </c>
      <c r="G112">
        <f t="array" ref="G112">IF(VESS!I112:I311&gt;0,VESS!I112:I311,"")</f>
        <v>1</v>
      </c>
      <c r="H112">
        <f t="array" ref="H112">IF(VESS!J112:J311&gt;0,VESS!J112:J311,"")</f>
        <v>3</v>
      </c>
      <c r="I112">
        <f t="array" ref="I112">IF(VESS!K112:K311&gt;0,VESS!K112:K311,"")</f>
        <v>2</v>
      </c>
      <c r="J112">
        <f>IF(VESS!L112:L311&gt;0,VESS!L112:L311,I112)</f>
        <v>2</v>
      </c>
    </row>
    <row r="113" spans="1:10" x14ac:dyDescent="0.35">
      <c r="A113" t="s">
        <v>274</v>
      </c>
      <c r="B113" t="s">
        <v>15</v>
      </c>
      <c r="C113">
        <v>0</v>
      </c>
      <c r="D113">
        <f t="array" ref="D113">C113:C166-VESS!E113:E166</f>
        <v>-5</v>
      </c>
      <c r="E113">
        <f t="array" ref="E113">D113:D312-VESS!F113:F166</f>
        <v>-13</v>
      </c>
      <c r="F113">
        <f t="array" ref="F113">E113:E312-VESS!G113:G312</f>
        <v>-23</v>
      </c>
      <c r="G113">
        <f t="array" ref="G113">IF(VESS!I113:I312&gt;0,VESS!I113:I312,"")</f>
        <v>1</v>
      </c>
      <c r="H113">
        <f t="array" ref="H113">IF(VESS!J113:J312&gt;0,VESS!J113:J312,"")</f>
        <v>2</v>
      </c>
      <c r="I113">
        <f t="array" ref="I113">IF(VESS!K113:K312&gt;0,VESS!K113:K312,"")</f>
        <v>3</v>
      </c>
      <c r="J113">
        <f>IF(VESS!L113:L312&gt;0,VESS!L113:L312,I113)</f>
        <v>2</v>
      </c>
    </row>
    <row r="114" spans="1:10" x14ac:dyDescent="0.35">
      <c r="A114" t="s">
        <v>275</v>
      </c>
      <c r="B114" t="s">
        <v>41</v>
      </c>
      <c r="C114">
        <v>0</v>
      </c>
      <c r="D114">
        <f t="array" ref="D114">C114:C167-VESS!E114:E167</f>
        <v>-15</v>
      </c>
      <c r="E114">
        <f t="array" ref="E114">D114:D313-VESS!F114:F167</f>
        <v>-20</v>
      </c>
      <c r="F114">
        <f t="array" ref="F114">E114:E313-VESS!G114:G313</f>
        <v>-26</v>
      </c>
      <c r="G114">
        <f t="array" ref="G114">IF(VESS!I114:I313&gt;0,VESS!I114:I313,"")</f>
        <v>5</v>
      </c>
      <c r="H114">
        <f t="array" ref="H114">IF(VESS!J114:J313&gt;0,VESS!J114:J313,"")</f>
        <v>4</v>
      </c>
      <c r="I114">
        <f t="array" ref="I114">IF(VESS!K114:K313&gt;0,VESS!K114:K313,"")</f>
        <v>5</v>
      </c>
      <c r="J114">
        <f>IF(VESS!L114:L313&gt;0,VESS!L114:L313,I114)</f>
        <v>5</v>
      </c>
    </row>
    <row r="115" spans="1:10" x14ac:dyDescent="0.35">
      <c r="A115" t="s">
        <v>276</v>
      </c>
      <c r="B115" t="s">
        <v>41</v>
      </c>
      <c r="C115">
        <v>0</v>
      </c>
      <c r="D115">
        <f t="array" ref="D115">C115:C168-VESS!E115:E168</f>
        <v>-7</v>
      </c>
      <c r="E115">
        <f t="array" ref="E115">D115:D314-VESS!F115:F168</f>
        <v>-20</v>
      </c>
      <c r="F115">
        <f t="array" ref="F115">E115:E314-VESS!G115:G314</f>
        <v>-30</v>
      </c>
      <c r="G115">
        <f t="array" ref="G115">IF(VESS!I115:I314&gt;0,VESS!I115:I314,"")</f>
        <v>4</v>
      </c>
      <c r="H115">
        <f t="array" ref="H115">IF(VESS!J115:J314&gt;0,VESS!J115:J314,"")</f>
        <v>4</v>
      </c>
      <c r="I115">
        <f t="array" ref="I115">IF(VESS!K115:K314&gt;0,VESS!K115:K314,"")</f>
        <v>3</v>
      </c>
      <c r="J115">
        <f>IF(VESS!L115:L314&gt;0,VESS!L115:L314,I115)</f>
        <v>3</v>
      </c>
    </row>
    <row r="116" spans="1:10" x14ac:dyDescent="0.35">
      <c r="A116" t="s">
        <v>277</v>
      </c>
      <c r="B116" t="s">
        <v>41</v>
      </c>
      <c r="C116">
        <v>0</v>
      </c>
      <c r="D116">
        <f t="array" ref="D116">C116:C169-VESS!E116:E169</f>
        <v>-15</v>
      </c>
      <c r="E116">
        <f t="array" ref="E116">D116:D315-VESS!F116:F169</f>
        <v>-20</v>
      </c>
      <c r="F116">
        <f t="array" ref="F116">E116:E315-VESS!G116:G315</f>
        <v>-27</v>
      </c>
      <c r="G116">
        <f t="array" ref="G116">IF(VESS!I116:I315&gt;0,VESS!I116:I315,"")</f>
        <v>4</v>
      </c>
      <c r="H116">
        <f t="array" ref="H116">IF(VESS!J116:J315&gt;0,VESS!J116:J315,"")</f>
        <v>3</v>
      </c>
      <c r="I116">
        <f t="array" ref="I116">IF(VESS!K116:K315&gt;0,VESS!K116:K315,"")</f>
        <v>4</v>
      </c>
      <c r="J116">
        <f>IF(VESS!L116:L315&gt;0,VESS!L116:L315,I116)</f>
        <v>3</v>
      </c>
    </row>
    <row r="117" spans="1:10" x14ac:dyDescent="0.35">
      <c r="A117" t="s">
        <v>278</v>
      </c>
      <c r="B117" t="s">
        <v>41</v>
      </c>
      <c r="C117">
        <v>0</v>
      </c>
      <c r="D117">
        <f t="array" ref="D117">C117:C170-VESS!E117:E170</f>
        <v>-13</v>
      </c>
      <c r="E117">
        <f t="array" ref="E117">D117:D316-VESS!F117:F170</f>
        <v>-18</v>
      </c>
      <c r="F117">
        <f t="array" ref="F117">E117:E316-VESS!G117:G316</f>
        <v>-24</v>
      </c>
      <c r="G117">
        <f t="array" ref="G117">IF(VESS!I117:I316&gt;0,VESS!I117:I316,"")</f>
        <v>4</v>
      </c>
      <c r="H117">
        <f t="array" ref="H117">IF(VESS!J117:J316&gt;0,VESS!J117:J316,"")</f>
        <v>4</v>
      </c>
      <c r="I117">
        <f t="array" ref="I117">IF(VESS!K117:K316&gt;0,VESS!K117:K316,"")</f>
        <v>4</v>
      </c>
      <c r="J117">
        <f>IF(VESS!L117:L316&gt;0,VESS!L117:L316,I117)</f>
        <v>5</v>
      </c>
    </row>
    <row r="118" spans="1:10" x14ac:dyDescent="0.35">
      <c r="A118" t="s">
        <v>279</v>
      </c>
      <c r="B118" t="s">
        <v>41</v>
      </c>
      <c r="C118">
        <v>0</v>
      </c>
      <c r="D118">
        <f t="array" ref="D118">C118:C171-VESS!E118:E171</f>
        <v>-12</v>
      </c>
      <c r="E118">
        <f t="array" ref="E118">D118:D317-VESS!F118:F171</f>
        <v>-21</v>
      </c>
      <c r="F118">
        <f t="array" ref="F118">E118:E317-VESS!G118:G317</f>
        <v>-27</v>
      </c>
      <c r="G118">
        <f t="array" ref="G118">IF(VESS!I118:I317&gt;0,VESS!I118:I317,"")</f>
        <v>5</v>
      </c>
      <c r="H118">
        <f t="array" ref="H118">IF(VESS!J118:J317&gt;0,VESS!J118:J317,"")</f>
        <v>4</v>
      </c>
      <c r="I118">
        <f t="array" ref="I118">IF(VESS!K118:K317&gt;0,VESS!K118:K317,"")</f>
        <v>3</v>
      </c>
      <c r="J118">
        <f>IF(VESS!L118:L317&gt;0,VESS!L118:L317,I118)</f>
        <v>3</v>
      </c>
    </row>
    <row r="119" spans="1:10" x14ac:dyDescent="0.35">
      <c r="A119" t="s">
        <v>280</v>
      </c>
      <c r="B119" t="s">
        <v>40</v>
      </c>
      <c r="C119">
        <v>0</v>
      </c>
      <c r="D119">
        <f t="array" ref="D119">C119:C172-VESS!E119:E172</f>
        <v>-15</v>
      </c>
      <c r="E119">
        <f t="array" ref="E119">D119:D318-VESS!F119:F172</f>
        <v>-20</v>
      </c>
      <c r="F119">
        <f t="array" ref="F119">E119:E318-VESS!G119:G318</f>
        <v>-28</v>
      </c>
      <c r="G119">
        <f t="array" ref="G119">IF(VESS!I119:I318&gt;0,VESS!I119:I318,"")</f>
        <v>4</v>
      </c>
      <c r="H119">
        <f t="array" ref="H119">IF(VESS!J119:J318&gt;0,VESS!J119:J318,"")</f>
        <v>2</v>
      </c>
      <c r="I119">
        <f t="array" ref="I119">IF(VESS!K119:K318&gt;0,VESS!K119:K318,"")</f>
        <v>3</v>
      </c>
      <c r="J119">
        <f>IF(VESS!L119:L318&gt;0,VESS!L119:L318,I119)</f>
        <v>3</v>
      </c>
    </row>
    <row r="120" spans="1:10" x14ac:dyDescent="0.35">
      <c r="A120" t="s">
        <v>281</v>
      </c>
      <c r="B120" t="s">
        <v>40</v>
      </c>
      <c r="C120">
        <v>0</v>
      </c>
      <c r="D120">
        <f t="array" ref="D120">C120:C173-VESS!E120:E173</f>
        <v>-5</v>
      </c>
      <c r="E120">
        <f t="array" ref="E120">D120:D319-VESS!F120:F173</f>
        <v>-15</v>
      </c>
      <c r="F120">
        <f t="array" ref="F120">E120:E319-VESS!G120:G319</f>
        <v>-30</v>
      </c>
      <c r="G120">
        <f t="array" ref="G120">IF(VESS!I120:I319&gt;0,VESS!I120:I319,"")</f>
        <v>2</v>
      </c>
      <c r="H120">
        <f t="array" ref="H120">IF(VESS!J120:J319&gt;0,VESS!J120:J319,"")</f>
        <v>5</v>
      </c>
      <c r="I120">
        <f t="array" ref="I120">IF(VESS!K120:K319&gt;0,VESS!K120:K319,"")</f>
        <v>2</v>
      </c>
      <c r="J120">
        <f>IF(VESS!L120:L319&gt;0,VESS!L120:L319,I120)</f>
        <v>2</v>
      </c>
    </row>
    <row r="121" spans="1:10" x14ac:dyDescent="0.35">
      <c r="A121" t="s">
        <v>282</v>
      </c>
      <c r="B121" t="s">
        <v>40</v>
      </c>
      <c r="C121">
        <v>0</v>
      </c>
      <c r="D121">
        <f t="array" ref="D121">C121:C174-VESS!E121:E174</f>
        <v>-5</v>
      </c>
      <c r="E121">
        <f t="array" ref="E121">D121:D320-VESS!F121:F174</f>
        <v>-17</v>
      </c>
      <c r="F121">
        <f t="array" ref="F121">E121:E320-VESS!G121:G320</f>
        <v>-27</v>
      </c>
      <c r="G121">
        <f t="array" ref="G121">IF(VESS!I121:I320&gt;0,VESS!I121:I320,"")</f>
        <v>2</v>
      </c>
      <c r="H121">
        <f t="array" ref="H121">IF(VESS!J121:J320&gt;0,VESS!J121:J320,"")</f>
        <v>3</v>
      </c>
      <c r="I121">
        <f t="array" ref="I121">IF(VESS!K121:K320&gt;0,VESS!K121:K320,"")</f>
        <v>2</v>
      </c>
      <c r="J121">
        <f>IF(VESS!L121:L320&gt;0,VESS!L121:L320,I121)</f>
        <v>2</v>
      </c>
    </row>
    <row r="122" spans="1:10" x14ac:dyDescent="0.35">
      <c r="A122" t="s">
        <v>283</v>
      </c>
      <c r="B122" t="s">
        <v>40</v>
      </c>
      <c r="C122">
        <v>0</v>
      </c>
      <c r="D122">
        <f t="array" ref="D122">C122:C175-VESS!E122:E175</f>
        <v>-3</v>
      </c>
      <c r="E122">
        <f t="array" ref="E122">D122:D321-VESS!F122:F175</f>
        <v>-15</v>
      </c>
      <c r="F122">
        <f t="array" ref="F122">E122:E321-VESS!G122:G321</f>
        <v>-27</v>
      </c>
      <c r="G122">
        <f t="array" ref="G122">IF(VESS!I122:I321&gt;0,VESS!I122:I321,"")</f>
        <v>1</v>
      </c>
      <c r="H122">
        <f t="array" ref="H122">IF(VESS!J122:J321&gt;0,VESS!J122:J321,"")</f>
        <v>3</v>
      </c>
      <c r="I122">
        <f t="array" ref="I122">IF(VESS!K122:K321&gt;0,VESS!K122:K321,"")</f>
        <v>4</v>
      </c>
      <c r="J122">
        <f>IF(VESS!L122:L321&gt;0,VESS!L122:L321,I122)</f>
        <v>4</v>
      </c>
    </row>
    <row r="123" spans="1:10" x14ac:dyDescent="0.35">
      <c r="A123" t="s">
        <v>284</v>
      </c>
      <c r="B123" t="s">
        <v>40</v>
      </c>
      <c r="C123">
        <v>0</v>
      </c>
      <c r="D123">
        <f t="array" ref="D123">C123:C176-VESS!E123:E176</f>
        <v>-12</v>
      </c>
      <c r="E123">
        <f t="array" ref="E123">D123:D322-VESS!F123:F176</f>
        <v>-19</v>
      </c>
      <c r="F123">
        <f t="array" ref="F123">E123:E322-VESS!G123:G322</f>
        <v>-24</v>
      </c>
      <c r="G123">
        <f t="array" ref="G123">IF(VESS!I123:I322&gt;0,VESS!I123:I322,"")</f>
        <v>3</v>
      </c>
      <c r="H123">
        <f t="array" ref="H123">IF(VESS!J123:J322&gt;0,VESS!J123:J322,"")</f>
        <v>2</v>
      </c>
      <c r="I123">
        <f t="array" ref="I123">IF(VESS!K123:K322&gt;0,VESS!K123:K322,"")</f>
        <v>4</v>
      </c>
      <c r="J123">
        <f>IF(VESS!L123:L322&gt;0,VESS!L123:L322,I123)</f>
        <v>4</v>
      </c>
    </row>
    <row r="124" spans="1:10" x14ac:dyDescent="0.35">
      <c r="A124" t="s">
        <v>285</v>
      </c>
      <c r="B124" t="s">
        <v>31</v>
      </c>
      <c r="C124">
        <v>0</v>
      </c>
      <c r="D124">
        <f t="array" ref="D124">C124:C177-VESS!E124:E177</f>
        <v>-6</v>
      </c>
      <c r="E124">
        <f t="array" ref="E124">D124:D323-VESS!F124:F177</f>
        <v>-16</v>
      </c>
      <c r="F124">
        <f t="array" ref="F124">E124:E323-VESS!G124:G323</f>
        <v>-24</v>
      </c>
      <c r="G124">
        <f t="array" ref="G124">IF(VESS!I124:I323&gt;0,VESS!I124:I323,"")</f>
        <v>1</v>
      </c>
      <c r="H124">
        <f t="array" ref="H124">IF(VESS!J124:J323&gt;0,VESS!J124:J323,"")</f>
        <v>2</v>
      </c>
      <c r="I124">
        <f t="array" ref="I124">IF(VESS!K124:K323&gt;0,VESS!K124:K323,"")</f>
        <v>3</v>
      </c>
      <c r="J124">
        <f>IF(VESS!L124:L323&gt;0,VESS!L124:L323,I124)</f>
        <v>5</v>
      </c>
    </row>
    <row r="125" spans="1:10" x14ac:dyDescent="0.35">
      <c r="A125" t="s">
        <v>286</v>
      </c>
      <c r="B125" t="s">
        <v>31</v>
      </c>
      <c r="C125">
        <v>0</v>
      </c>
      <c r="D125">
        <f t="array" ref="D125">C125:C178-VESS!E125:E178</f>
        <v>-5</v>
      </c>
      <c r="E125">
        <f t="array" ref="E125">D125:D324-VESS!F125:F178</f>
        <v>-17</v>
      </c>
      <c r="F125">
        <f t="array" ref="F125">E125:E324-VESS!G125:G324</f>
        <v>-24</v>
      </c>
      <c r="G125">
        <f t="array" ref="G125">IF(VESS!I125:I324&gt;0,VESS!I125:I324,"")</f>
        <v>1</v>
      </c>
      <c r="H125">
        <f t="array" ref="H125">IF(VESS!J125:J324&gt;0,VESS!J125:J324,"")</f>
        <v>3</v>
      </c>
      <c r="I125">
        <f t="array" ref="I125">IF(VESS!K125:K324&gt;0,VESS!K125:K324,"")</f>
        <v>4</v>
      </c>
      <c r="J125">
        <f>IF(VESS!L125:L324&gt;0,VESS!L125:L324,I125)</f>
        <v>5</v>
      </c>
    </row>
    <row r="126" spans="1:10" x14ac:dyDescent="0.35">
      <c r="A126" t="s">
        <v>287</v>
      </c>
      <c r="B126" t="s">
        <v>31</v>
      </c>
      <c r="C126">
        <v>0</v>
      </c>
      <c r="D126">
        <f t="array" ref="D126">C126:C179-VESS!E126:E179</f>
        <v>-5</v>
      </c>
      <c r="E126">
        <f t="array" ref="E126">D126:D325-VESS!F126:F179</f>
        <v>-20</v>
      </c>
      <c r="F126">
        <f t="array" ref="F126">E126:E325-VESS!G126:G325</f>
        <v>-28</v>
      </c>
      <c r="G126">
        <f t="array" ref="G126">IF(VESS!I126:I325&gt;0,VESS!I126:I325,"")</f>
        <v>1</v>
      </c>
      <c r="H126">
        <f t="array" ref="H126">IF(VESS!J126:J325&gt;0,VESS!J126:J325,"")</f>
        <v>3</v>
      </c>
      <c r="I126">
        <f t="array" ref="I126">IF(VESS!K126:K325&gt;0,VESS!K126:K325,"")</f>
        <v>4</v>
      </c>
      <c r="J126">
        <f>IF(VESS!L126:L325&gt;0,VESS!L126:L325,I126)</f>
        <v>4</v>
      </c>
    </row>
    <row r="127" spans="1:10" x14ac:dyDescent="0.35">
      <c r="A127" t="s">
        <v>288</v>
      </c>
      <c r="B127" t="s">
        <v>31</v>
      </c>
      <c r="C127">
        <v>0</v>
      </c>
      <c r="D127">
        <f t="array" ref="D127">C127:C180-VESS!E127:E180</f>
        <v>0</v>
      </c>
      <c r="E127">
        <f t="array" ref="E127">D127:D326-VESS!F127:F180</f>
        <v>0</v>
      </c>
      <c r="F127">
        <f t="array" ref="F127">E127:E326-VESS!G127:G326</f>
        <v>0</v>
      </c>
      <c r="G127" t="str">
        <f t="array" ref="G127">IF(VESS!I127:I326&gt;0,VESS!I127:I326,"")</f>
        <v/>
      </c>
      <c r="H127" t="str">
        <f t="array" ref="H127">IF(VESS!J127:J326&gt;0,VESS!J127:J326,"")</f>
        <v/>
      </c>
      <c r="I127" t="str">
        <f t="array" ref="I127">IF(VESS!K127:K326&gt;0,VESS!K127:K326,"")</f>
        <v/>
      </c>
      <c r="J127" t="str">
        <f>IF(VESS!L127:L326&gt;0,VESS!L127:L326,I127)</f>
        <v/>
      </c>
    </row>
    <row r="128" spans="1:10" x14ac:dyDescent="0.35">
      <c r="A128" t="s">
        <v>289</v>
      </c>
      <c r="B128" t="s">
        <v>31</v>
      </c>
      <c r="C128">
        <v>0</v>
      </c>
      <c r="D128">
        <f t="array" ref="D128">C128:C181-VESS!E128:E181</f>
        <v>0</v>
      </c>
      <c r="E128">
        <f t="array" ref="E128">D128:D327-VESS!F128:F181</f>
        <v>0</v>
      </c>
      <c r="F128">
        <f t="array" ref="F128">E128:E327-VESS!G128:G327</f>
        <v>0</v>
      </c>
      <c r="G128" t="str">
        <f t="array" ref="G128">IF(VESS!I128:I327&gt;0,VESS!I128:I327,"")</f>
        <v/>
      </c>
      <c r="H128" t="str">
        <f t="array" ref="H128">IF(VESS!J128:J327&gt;0,VESS!J128:J327,"")</f>
        <v/>
      </c>
      <c r="I128" t="str">
        <f t="array" ref="I128">IF(VESS!K128:K327&gt;0,VESS!K128:K327,"")</f>
        <v/>
      </c>
      <c r="J128" t="str">
        <f>IF(VESS!L128:L327&gt;0,VESS!L128:L327,I128)</f>
        <v/>
      </c>
    </row>
    <row r="129" spans="1:10" x14ac:dyDescent="0.35">
      <c r="A129" t="s">
        <v>290</v>
      </c>
      <c r="B129" t="s">
        <v>30</v>
      </c>
      <c r="C129">
        <v>0</v>
      </c>
      <c r="D129">
        <f t="array" ref="D129">C129:C182-VESS!E129:E182</f>
        <v>-5</v>
      </c>
      <c r="E129">
        <f t="array" ref="E129">D129:D328-VESS!F129:F182</f>
        <v>-17</v>
      </c>
      <c r="F129">
        <f t="array" ref="F129">E129:E328-VESS!G129:G328</f>
        <v>-24</v>
      </c>
      <c r="G129">
        <f t="array" ref="G129">IF(VESS!I129:I328&gt;0,VESS!I129:I328,"")</f>
        <v>2</v>
      </c>
      <c r="H129">
        <f t="array" ref="H129">IF(VESS!J129:J328&gt;0,VESS!J129:J328,"")</f>
        <v>4</v>
      </c>
      <c r="I129">
        <f t="array" ref="I129">IF(VESS!K129:K328&gt;0,VESS!K129:K328,"")</f>
        <v>4</v>
      </c>
      <c r="J129">
        <f>IF(VESS!L129:L328&gt;0,VESS!L129:L328,I129)</f>
        <v>5</v>
      </c>
    </row>
    <row r="130" spans="1:10" x14ac:dyDescent="0.35">
      <c r="A130" t="s">
        <v>291</v>
      </c>
      <c r="B130" t="s">
        <v>30</v>
      </c>
      <c r="C130">
        <v>0</v>
      </c>
      <c r="D130">
        <f t="array" ref="D130">C130:C183-VESS!E130:E183</f>
        <v>-5</v>
      </c>
      <c r="E130">
        <f t="array" ref="E130">D130:D329-VESS!F130:F183</f>
        <v>-17</v>
      </c>
      <c r="F130">
        <f t="array" ref="F130">E130:E329-VESS!G130:G329</f>
        <v>-30</v>
      </c>
      <c r="G130">
        <f t="array" ref="G130">IF(VESS!I130:I329&gt;0,VESS!I130:I329,"")</f>
        <v>1</v>
      </c>
      <c r="H130">
        <f t="array" ref="H130">IF(VESS!J130:J329&gt;0,VESS!J130:J329,"")</f>
        <v>2</v>
      </c>
      <c r="I130">
        <f t="array" ref="I130">IF(VESS!K130:K329&gt;0,VESS!K130:K329,"")</f>
        <v>4</v>
      </c>
      <c r="J130">
        <f>IF(VESS!L130:L329&gt;0,VESS!L130:L329,I130)</f>
        <v>5</v>
      </c>
    </row>
    <row r="131" spans="1:10" x14ac:dyDescent="0.35">
      <c r="A131" t="s">
        <v>292</v>
      </c>
      <c r="B131" t="s">
        <v>30</v>
      </c>
      <c r="C131">
        <v>0</v>
      </c>
      <c r="D131">
        <f t="array" ref="D131">C131:C184-VESS!E131:E184</f>
        <v>-4</v>
      </c>
      <c r="E131">
        <f t="array" ref="E131">D131:D330-VESS!F131:F184</f>
        <v>-14</v>
      </c>
      <c r="F131">
        <f t="array" ref="F131">E131:E330-VESS!G131:G330</f>
        <v>-21</v>
      </c>
      <c r="G131">
        <f t="array" ref="G131">IF(VESS!I131:I330&gt;0,VESS!I131:I330,"")</f>
        <v>1</v>
      </c>
      <c r="H131">
        <f t="array" ref="H131">IF(VESS!J131:J330&gt;0,VESS!J131:J330,"")</f>
        <v>3</v>
      </c>
      <c r="I131">
        <f t="array" ref="I131">IF(VESS!K131:K330&gt;0,VESS!K131:K330,"")</f>
        <v>4</v>
      </c>
      <c r="J131">
        <f>IF(VESS!L131:L330&gt;0,VESS!L131:L330,I131)</f>
        <v>4</v>
      </c>
    </row>
    <row r="132" spans="1:10" x14ac:dyDescent="0.35">
      <c r="A132" t="s">
        <v>293</v>
      </c>
      <c r="B132" t="s">
        <v>30</v>
      </c>
      <c r="C132">
        <v>0</v>
      </c>
      <c r="D132">
        <f t="array" ref="D132">C132:C185-VESS!E132:E185</f>
        <v>0</v>
      </c>
      <c r="E132">
        <f t="array" ref="E132">D132:D331-VESS!F132:F185</f>
        <v>0</v>
      </c>
      <c r="F132">
        <f t="array" ref="F132">E132:E331-VESS!G132:G331</f>
        <v>0</v>
      </c>
      <c r="G132" t="str">
        <f t="array" ref="G132">IF(VESS!I132:I331&gt;0,VESS!I132:I331,"")</f>
        <v/>
      </c>
      <c r="H132" t="str">
        <f t="array" ref="H132">IF(VESS!J132:J331&gt;0,VESS!J132:J331,"")</f>
        <v/>
      </c>
      <c r="I132" t="str">
        <f t="array" ref="I132">IF(VESS!K132:K331&gt;0,VESS!K132:K331,"")</f>
        <v/>
      </c>
      <c r="J132" t="str">
        <f>IF(VESS!L132:L331&gt;0,VESS!L132:L331,I132)</f>
        <v/>
      </c>
    </row>
    <row r="133" spans="1:10" x14ac:dyDescent="0.35">
      <c r="A133" t="s">
        <v>294</v>
      </c>
      <c r="B133" t="s">
        <v>30</v>
      </c>
      <c r="C133">
        <v>0</v>
      </c>
      <c r="D133">
        <f t="array" ref="D133">C133:C186-VESS!E133:E186</f>
        <v>0</v>
      </c>
      <c r="E133">
        <f t="array" ref="E133">D133:D332-VESS!F133:F186</f>
        <v>0</v>
      </c>
      <c r="F133">
        <f t="array" ref="F133">E133:E332-VESS!G133:G332</f>
        <v>0</v>
      </c>
      <c r="G133" t="str">
        <f t="array" ref="G133">IF(VESS!I133:I332&gt;0,VESS!I133:I332,"")</f>
        <v/>
      </c>
      <c r="H133" t="str">
        <f t="array" ref="H133">IF(VESS!J133:J332&gt;0,VESS!J133:J332,"")</f>
        <v/>
      </c>
      <c r="I133" t="str">
        <f t="array" ref="I133">IF(VESS!K133:K332&gt;0,VESS!K133:K332,"")</f>
        <v/>
      </c>
      <c r="J133" t="str">
        <f>IF(VESS!L133:L332&gt;0,VESS!L133:L332,I133)</f>
        <v/>
      </c>
    </row>
    <row r="134" spans="1:10" x14ac:dyDescent="0.35">
      <c r="A134" t="s">
        <v>295</v>
      </c>
      <c r="B134" t="s">
        <v>131</v>
      </c>
      <c r="C134">
        <v>0</v>
      </c>
      <c r="D134">
        <f t="array" ref="D134">C134:C187-VESS!E134:E187</f>
        <v>-3</v>
      </c>
      <c r="E134">
        <f t="array" ref="E134">D134:D333-VESS!F134:F187</f>
        <v>-18</v>
      </c>
      <c r="F134">
        <f t="array" ref="F134">E134:E333-VESS!G134:G333</f>
        <v>-24</v>
      </c>
      <c r="G134">
        <f t="array" ref="G134">IF(VESS!I134:I333&gt;0,VESS!I134:I333,"")</f>
        <v>2</v>
      </c>
      <c r="H134">
        <f t="array" ref="H134">IF(VESS!J134:J333&gt;0,VESS!J134:J333,"")</f>
        <v>4</v>
      </c>
      <c r="I134">
        <f t="array" ref="I134">IF(VESS!K134:K333&gt;0,VESS!K134:K333,"")</f>
        <v>4</v>
      </c>
      <c r="J134">
        <f>IF(VESS!L134:L333&gt;0,VESS!L134:L333,I134)</f>
        <v>4</v>
      </c>
    </row>
    <row r="135" spans="1:10" x14ac:dyDescent="0.35">
      <c r="A135" t="s">
        <v>296</v>
      </c>
      <c r="B135" t="s">
        <v>131</v>
      </c>
      <c r="C135">
        <v>0</v>
      </c>
      <c r="D135">
        <f t="array" ref="D135">C135:C188-VESS!E135:E188</f>
        <v>-4</v>
      </c>
      <c r="E135">
        <f t="array" ref="E135">D135:D334-VESS!F135:F188</f>
        <v>-11</v>
      </c>
      <c r="F135">
        <f t="array" ref="F135">E135:E334-VESS!G135:G334</f>
        <v>-22</v>
      </c>
      <c r="G135">
        <f t="array" ref="G135">IF(VESS!I135:I334&gt;0,VESS!I135:I334,"")</f>
        <v>2</v>
      </c>
      <c r="H135">
        <f t="array" ref="H135">IF(VESS!J135:J334&gt;0,VESS!J135:J334,"")</f>
        <v>3</v>
      </c>
      <c r="I135">
        <f t="array" ref="I135">IF(VESS!K135:K334&gt;0,VESS!K135:K334,"")</f>
        <v>4</v>
      </c>
      <c r="J135">
        <f>IF(VESS!L135:L334&gt;0,VESS!L135:L334,I135)</f>
        <v>4</v>
      </c>
    </row>
    <row r="136" spans="1:10" x14ac:dyDescent="0.35">
      <c r="A136" t="s">
        <v>297</v>
      </c>
      <c r="B136" t="s">
        <v>131</v>
      </c>
      <c r="C136">
        <v>0</v>
      </c>
      <c r="D136">
        <f t="array" ref="D136">C136:C189-VESS!E136:E189</f>
        <v>-4</v>
      </c>
      <c r="E136">
        <f t="array" ref="E136">D136:D335-VESS!F136:F189</f>
        <v>-14</v>
      </c>
      <c r="F136">
        <f t="array" ref="F136">E136:E335-VESS!G136:G335</f>
        <v>-24</v>
      </c>
      <c r="G136">
        <f t="array" ref="G136">IF(VESS!I136:I335&gt;0,VESS!I136:I335,"")</f>
        <v>1</v>
      </c>
      <c r="H136">
        <f t="array" ref="H136">IF(VESS!J136:J335&gt;0,VESS!J136:J335,"")</f>
        <v>2</v>
      </c>
      <c r="I136">
        <f t="array" ref="I136">IF(VESS!K136:K335&gt;0,VESS!K136:K335,"")</f>
        <v>4</v>
      </c>
      <c r="J136">
        <f>IF(VESS!L136:L335&gt;0,VESS!L136:L335,I136)</f>
        <v>4</v>
      </c>
    </row>
    <row r="137" spans="1:10" x14ac:dyDescent="0.35">
      <c r="A137" t="s">
        <v>298</v>
      </c>
      <c r="B137" t="s">
        <v>131</v>
      </c>
      <c r="C137">
        <v>0</v>
      </c>
      <c r="D137">
        <f t="array" ref="D137">C137:C190-VESS!E137:E190</f>
        <v>0</v>
      </c>
      <c r="E137">
        <f t="array" ref="E137">D137:D336-VESS!F137:F190</f>
        <v>0</v>
      </c>
      <c r="F137">
        <f t="array" ref="F137">E137:E336-VESS!G137:G336</f>
        <v>0</v>
      </c>
      <c r="G137" t="str">
        <f t="array" ref="G137">IF(VESS!I137:I336&gt;0,VESS!I137:I336,"")</f>
        <v/>
      </c>
      <c r="H137" t="str">
        <f t="array" ref="H137">IF(VESS!J137:J336&gt;0,VESS!J137:J336,"")</f>
        <v/>
      </c>
      <c r="I137" t="str">
        <f t="array" ref="I137">IF(VESS!K137:K336&gt;0,VESS!K137:K336,"")</f>
        <v/>
      </c>
      <c r="J137" t="str">
        <f>IF(VESS!L137:L336&gt;0,VESS!L137:L336,I137)</f>
        <v/>
      </c>
    </row>
    <row r="138" spans="1:10" x14ac:dyDescent="0.35">
      <c r="A138" t="s">
        <v>299</v>
      </c>
      <c r="B138" t="s">
        <v>131</v>
      </c>
      <c r="C138">
        <v>0</v>
      </c>
      <c r="D138">
        <f t="array" ref="D138">C138:C191-VESS!E138:E191</f>
        <v>0</v>
      </c>
      <c r="E138">
        <f t="array" ref="E138">D138:D337-VESS!F138:F191</f>
        <v>0</v>
      </c>
      <c r="F138">
        <f t="array" ref="F138">E138:E337-VESS!G138:G337</f>
        <v>0</v>
      </c>
      <c r="G138" t="str">
        <f t="array" ref="G138">IF(VESS!I138:I337&gt;0,VESS!I138:I337,"")</f>
        <v/>
      </c>
      <c r="H138" t="str">
        <f t="array" ref="H138">IF(VESS!J138:J337&gt;0,VESS!J138:J337,"")</f>
        <v/>
      </c>
      <c r="I138" t="str">
        <f t="array" ref="I138">IF(VESS!K138:K337&gt;0,VESS!K138:K337,"")</f>
        <v/>
      </c>
      <c r="J138" t="str">
        <f>IF(VESS!L138:L337&gt;0,VESS!L138:L337,I138)</f>
        <v/>
      </c>
    </row>
    <row r="139" spans="1:10" x14ac:dyDescent="0.35">
      <c r="A139" t="s">
        <v>300</v>
      </c>
      <c r="B139" t="s">
        <v>132</v>
      </c>
      <c r="C139">
        <v>0</v>
      </c>
      <c r="D139">
        <f t="array" ref="D139">C139:C192-VESS!E139:E192</f>
        <v>-3</v>
      </c>
      <c r="E139">
        <f t="array" ref="E139">D139:D338-VESS!F139:F192</f>
        <v>-11</v>
      </c>
      <c r="F139">
        <f t="array" ref="F139">E139:E338-VESS!G139:G338</f>
        <v>-17</v>
      </c>
      <c r="G139">
        <f t="array" ref="G139">IF(VESS!I139:I338&gt;0,VESS!I139:I338,"")</f>
        <v>1</v>
      </c>
      <c r="H139">
        <f t="array" ref="H139">IF(VESS!J139:J338&gt;0,VESS!J139:J338,"")</f>
        <v>2</v>
      </c>
      <c r="I139">
        <f t="array" ref="I139">IF(VESS!K139:K338&gt;0,VESS!K139:K338,"")</f>
        <v>3</v>
      </c>
      <c r="J139">
        <f>IF(VESS!L139:L338&gt;0,VESS!L139:L338,I139)</f>
        <v>2.5</v>
      </c>
    </row>
    <row r="140" spans="1:10" x14ac:dyDescent="0.35">
      <c r="A140" t="s">
        <v>301</v>
      </c>
      <c r="B140" t="s">
        <v>132</v>
      </c>
      <c r="C140">
        <v>0</v>
      </c>
      <c r="D140">
        <f t="array" ref="D140">C140:C193-VESS!E140:E193</f>
        <v>-4</v>
      </c>
      <c r="E140">
        <f t="array" ref="E140">D140:D339-VESS!F140:F193</f>
        <v>-11</v>
      </c>
      <c r="F140">
        <f t="array" ref="F140">E140:E339-VESS!G140:G339</f>
        <v>-24</v>
      </c>
      <c r="G140">
        <f t="array" ref="G140">IF(VESS!I140:I339&gt;0,VESS!I140:I339,"")</f>
        <v>1</v>
      </c>
      <c r="H140">
        <f t="array" ref="H140">IF(VESS!J140:J339&gt;0,VESS!J140:J339,"")</f>
        <v>3</v>
      </c>
      <c r="I140">
        <f t="array" ref="I140">IF(VESS!K140:K339&gt;0,VESS!K140:K339,"")</f>
        <v>4</v>
      </c>
      <c r="J140">
        <f>IF(VESS!L140:L339&gt;0,VESS!L140:L339,I140)</f>
        <v>4</v>
      </c>
    </row>
    <row r="141" spans="1:10" x14ac:dyDescent="0.35">
      <c r="A141" t="s">
        <v>302</v>
      </c>
      <c r="B141" t="s">
        <v>132</v>
      </c>
      <c r="C141">
        <v>0</v>
      </c>
      <c r="D141">
        <f t="array" ref="D141">C141:C194-VESS!E141:E194</f>
        <v>-5</v>
      </c>
      <c r="E141">
        <f t="array" ref="E141">D141:D340-VESS!F141:F194</f>
        <v>-16</v>
      </c>
      <c r="F141">
        <f t="array" ref="F141">E141:E340-VESS!G141:G340</f>
        <v>-28</v>
      </c>
      <c r="G141">
        <f t="array" ref="G141">IF(VESS!I141:I340&gt;0,VESS!I141:I340,"")</f>
        <v>1</v>
      </c>
      <c r="H141">
        <f t="array" ref="H141">IF(VESS!J141:J340&gt;0,VESS!J141:J340,"")</f>
        <v>2</v>
      </c>
      <c r="I141">
        <f t="array" ref="I141">IF(VESS!K141:K340&gt;0,VESS!K141:K340,"")</f>
        <v>4</v>
      </c>
      <c r="J141">
        <f>IF(VESS!L141:L340&gt;0,VESS!L141:L340,I141)</f>
        <v>4</v>
      </c>
    </row>
    <row r="142" spans="1:10" x14ac:dyDescent="0.35">
      <c r="A142" t="s">
        <v>303</v>
      </c>
      <c r="B142" t="s">
        <v>132</v>
      </c>
      <c r="C142">
        <v>0</v>
      </c>
      <c r="D142">
        <f t="array" ref="D142">C142:C195-VESS!E142:E195</f>
        <v>0</v>
      </c>
      <c r="E142">
        <f t="array" ref="E142">D142:D341-VESS!F142:F195</f>
        <v>0</v>
      </c>
      <c r="F142">
        <f t="array" ref="F142">E142:E341-VESS!G142:G341</f>
        <v>0</v>
      </c>
      <c r="G142" t="str">
        <f t="array" ref="G142">IF(VESS!I142:I341&gt;0,VESS!I142:I341,"")</f>
        <v/>
      </c>
      <c r="H142" t="str">
        <f t="array" ref="H142">IF(VESS!J142:J341&gt;0,VESS!J142:J341,"")</f>
        <v/>
      </c>
      <c r="I142" t="str">
        <f t="array" ref="I142">IF(VESS!K142:K341&gt;0,VESS!K142:K341,"")</f>
        <v/>
      </c>
      <c r="J142" t="str">
        <f>IF(VESS!L142:L341&gt;0,VESS!L142:L341,I142)</f>
        <v/>
      </c>
    </row>
    <row r="143" spans="1:10" x14ac:dyDescent="0.35">
      <c r="A143" t="s">
        <v>304</v>
      </c>
      <c r="B143" t="s">
        <v>132</v>
      </c>
      <c r="C143">
        <v>0</v>
      </c>
      <c r="D143">
        <f t="array" ref="D143">C143:C196-VESS!E143:E196</f>
        <v>0</v>
      </c>
      <c r="E143">
        <f t="array" ref="E143">D143:D342-VESS!F143:F196</f>
        <v>0</v>
      </c>
      <c r="F143">
        <f t="array" ref="F143">E143:E342-VESS!G143:G342</f>
        <v>0</v>
      </c>
      <c r="G143" t="str">
        <f t="array" ref="G143">IF(VESS!I143:I342&gt;0,VESS!I143:I342,"")</f>
        <v/>
      </c>
      <c r="H143" t="str">
        <f t="array" ref="H143">IF(VESS!J143:J342&gt;0,VESS!J143:J342,"")</f>
        <v/>
      </c>
      <c r="I143" t="str">
        <f t="array" ref="I143">IF(VESS!K143:K342&gt;0,VESS!K143:K342,"")</f>
        <v/>
      </c>
      <c r="J143" t="str">
        <f>IF(VESS!L143:L342&gt;0,VESS!L143:L342,I143)</f>
        <v/>
      </c>
    </row>
    <row r="144" spans="1:10" x14ac:dyDescent="0.35">
      <c r="A144" t="s">
        <v>305</v>
      </c>
      <c r="B144" t="s">
        <v>133</v>
      </c>
      <c r="C144">
        <v>0</v>
      </c>
      <c r="D144">
        <f t="array" ref="D144">C144:C197-VESS!E144:E197</f>
        <v>-3</v>
      </c>
      <c r="E144">
        <f t="array" ref="E144">D144:D343-VESS!F144:F197</f>
        <v>-17</v>
      </c>
      <c r="F144">
        <f t="array" ref="F144">E144:E343-VESS!G144:G343</f>
        <v>-25</v>
      </c>
      <c r="G144">
        <f t="array" ref="G144">IF(VESS!I144:I343&gt;0,VESS!I144:I343,"")</f>
        <v>1</v>
      </c>
      <c r="H144">
        <f t="array" ref="H144">IF(VESS!J144:J343&gt;0,VESS!J144:J343,"")</f>
        <v>2</v>
      </c>
      <c r="I144">
        <f t="array" ref="I144">IF(VESS!K144:K343&gt;0,VESS!K144:K343,"")</f>
        <v>3</v>
      </c>
      <c r="J144">
        <f>IF(VESS!L144:L343&gt;0,VESS!L144:L343,I144)</f>
        <v>3</v>
      </c>
    </row>
    <row r="145" spans="1:10" x14ac:dyDescent="0.35">
      <c r="A145" t="s">
        <v>306</v>
      </c>
      <c r="B145" t="s">
        <v>133</v>
      </c>
      <c r="C145">
        <v>0</v>
      </c>
      <c r="D145">
        <f t="array" ref="D145">C145:C198-VESS!E145:E198</f>
        <v>-4</v>
      </c>
      <c r="E145">
        <f t="array" ref="E145">D145:D344-VESS!F145:F198</f>
        <v>-14</v>
      </c>
      <c r="F145">
        <f t="array" ref="F145">E145:E344-VESS!G145:G344</f>
        <v>-20</v>
      </c>
      <c r="G145">
        <f t="array" ref="G145">IF(VESS!I145:I344&gt;0,VESS!I145:I344,"")</f>
        <v>1</v>
      </c>
      <c r="H145">
        <f t="array" ref="H145">IF(VESS!J145:J344&gt;0,VESS!J145:J344,"")</f>
        <v>2</v>
      </c>
      <c r="I145">
        <f t="array" ref="I145">IF(VESS!K145:K344&gt;0,VESS!K145:K344,"")</f>
        <v>4</v>
      </c>
      <c r="J145">
        <f>IF(VESS!L145:L344&gt;0,VESS!L145:L344,I145)</f>
        <v>4</v>
      </c>
    </row>
    <row r="146" spans="1:10" x14ac:dyDescent="0.35">
      <c r="A146" t="s">
        <v>307</v>
      </c>
      <c r="B146" t="s">
        <v>133</v>
      </c>
      <c r="C146">
        <v>0</v>
      </c>
      <c r="D146">
        <f t="array" ref="D146">C146:C199-VESS!E146:E199</f>
        <v>-5</v>
      </c>
      <c r="E146">
        <f t="array" ref="E146">D146:D345-VESS!F146:F199</f>
        <v>-17</v>
      </c>
      <c r="F146">
        <f t="array" ref="F146">E146:E345-VESS!G146:G345</f>
        <v>-28</v>
      </c>
      <c r="G146">
        <f t="array" ref="G146">IF(VESS!I146:I345&gt;0,VESS!I146:I345,"")</f>
        <v>2</v>
      </c>
      <c r="H146">
        <f t="array" ref="H146">IF(VESS!J146:J345&gt;0,VESS!J146:J345,"")</f>
        <v>2</v>
      </c>
      <c r="I146">
        <f t="array" ref="I146">IF(VESS!K146:K345&gt;0,VESS!K146:K345,"")</f>
        <v>3</v>
      </c>
      <c r="J146">
        <f>IF(VESS!L146:L345&gt;0,VESS!L146:L345,I146)</f>
        <v>3</v>
      </c>
    </row>
    <row r="147" spans="1:10" x14ac:dyDescent="0.35">
      <c r="A147" t="s">
        <v>308</v>
      </c>
      <c r="B147" t="s">
        <v>133</v>
      </c>
      <c r="C147">
        <v>0</v>
      </c>
      <c r="D147">
        <f t="array" ref="D147">C147:C200-VESS!E147:E200</f>
        <v>0</v>
      </c>
      <c r="E147">
        <f t="array" ref="E147">D147:D346-VESS!F147:F200</f>
        <v>0</v>
      </c>
      <c r="F147">
        <f t="array" ref="F147">E147:E346-VESS!G147:G346</f>
        <v>0</v>
      </c>
      <c r="G147" t="str">
        <f t="array" ref="G147">IF(VESS!I147:I346&gt;0,VESS!I147:I346,"")</f>
        <v/>
      </c>
      <c r="H147" t="str">
        <f t="array" ref="H147">IF(VESS!J147:J346&gt;0,VESS!J147:J346,"")</f>
        <v/>
      </c>
      <c r="I147" t="str">
        <f t="array" ref="I147">IF(VESS!K147:K346&gt;0,VESS!K147:K346,"")</f>
        <v/>
      </c>
      <c r="J147" t="str">
        <f>IF(VESS!L147:L346&gt;0,VESS!L147:L346,I147)</f>
        <v/>
      </c>
    </row>
    <row r="148" spans="1:10" x14ac:dyDescent="0.35">
      <c r="A148" t="s">
        <v>309</v>
      </c>
      <c r="B148" t="s">
        <v>133</v>
      </c>
      <c r="C148">
        <v>0</v>
      </c>
      <c r="D148">
        <f t="array" ref="D148">C148:C201-VESS!E148:E201</f>
        <v>0</v>
      </c>
      <c r="E148">
        <f t="array" ref="E148">D148:D347-VESS!F148:F201</f>
        <v>0</v>
      </c>
      <c r="F148">
        <f t="array" ref="F148">E148:E347-VESS!G148:G347</f>
        <v>0</v>
      </c>
      <c r="G148" t="str">
        <f t="array" ref="G148">IF(VESS!I148:I347&gt;0,VESS!I148:I347,"")</f>
        <v/>
      </c>
      <c r="H148" t="str">
        <f t="array" ref="H148">IF(VESS!J148:J347&gt;0,VESS!J148:J347,"")</f>
        <v/>
      </c>
      <c r="I148" t="str">
        <f t="array" ref="I148">IF(VESS!K148:K347&gt;0,VESS!K148:K347,"")</f>
        <v/>
      </c>
      <c r="J148" t="str">
        <f>IF(VESS!L148:L347&gt;0,VESS!L148:L347,I148)</f>
        <v/>
      </c>
    </row>
    <row r="149" spans="1:10" x14ac:dyDescent="0.35">
      <c r="A149" t="s">
        <v>310</v>
      </c>
      <c r="B149" t="s">
        <v>134</v>
      </c>
      <c r="C149">
        <v>0</v>
      </c>
      <c r="D149">
        <f t="array" ref="D149">C149:C202-VESS!E149:E202</f>
        <v>-4</v>
      </c>
      <c r="E149">
        <f t="array" ref="E149">D149:D348-VESS!F149:F202</f>
        <v>-24</v>
      </c>
      <c r="F149">
        <f t="array" ref="F149">E149:E348-VESS!G149:G348</f>
        <v>-29</v>
      </c>
      <c r="G149">
        <f t="array" ref="G149">IF(VESS!I149:I348&gt;0,VESS!I149:I348,"")</f>
        <v>1</v>
      </c>
      <c r="H149">
        <f t="array" ref="H149">IF(VESS!J149:J348&gt;0,VESS!J149:J348,"")</f>
        <v>2</v>
      </c>
      <c r="I149">
        <f t="array" ref="I149">IF(VESS!K149:K348&gt;0,VESS!K149:K348,"")</f>
        <v>4</v>
      </c>
      <c r="J149">
        <f>IF(VESS!L149:L348&gt;0,VESS!L149:L348,I149)</f>
        <v>4</v>
      </c>
    </row>
    <row r="150" spans="1:10" x14ac:dyDescent="0.35">
      <c r="A150" t="s">
        <v>311</v>
      </c>
      <c r="B150" t="s">
        <v>134</v>
      </c>
      <c r="C150">
        <v>0</v>
      </c>
      <c r="D150">
        <f t="array" ref="D150">C150:C203-VESS!E150:E203</f>
        <v>-3</v>
      </c>
      <c r="E150">
        <f t="array" ref="E150">D150:D349-VESS!F150:F203</f>
        <v>-10</v>
      </c>
      <c r="F150">
        <f t="array" ref="F150">E150:E349-VESS!G150:G349</f>
        <v>-25</v>
      </c>
      <c r="G150">
        <f t="array" ref="G150">IF(VESS!I150:I349&gt;0,VESS!I150:I349,"")</f>
        <v>1</v>
      </c>
      <c r="H150">
        <f t="array" ref="H150">IF(VESS!J150:J349&gt;0,VESS!J150:J349,"")</f>
        <v>2</v>
      </c>
      <c r="I150">
        <f t="array" ref="I150">IF(VESS!K150:K349&gt;0,VESS!K150:K349,"")</f>
        <v>2</v>
      </c>
      <c r="J150">
        <f>IF(VESS!L150:L349&gt;0,VESS!L150:L349,I150)</f>
        <v>4</v>
      </c>
    </row>
    <row r="151" spans="1:10" x14ac:dyDescent="0.35">
      <c r="A151" t="s">
        <v>312</v>
      </c>
      <c r="B151" t="s">
        <v>134</v>
      </c>
      <c r="C151">
        <v>0</v>
      </c>
      <c r="D151">
        <f t="array" ref="D151">C151:C204-VESS!E151:E204</f>
        <v>-7</v>
      </c>
      <c r="E151">
        <f t="array" ref="E151">D151:D350-VESS!F151:F204</f>
        <v>-23</v>
      </c>
      <c r="F151">
        <f t="array" ref="F151">E151:E350-VESS!G151:G350</f>
        <v>-29</v>
      </c>
      <c r="G151">
        <f t="array" ref="G151">IF(VESS!I151:I350&gt;0,VESS!I151:I350,"")</f>
        <v>1</v>
      </c>
      <c r="H151">
        <f t="array" ref="H151">IF(VESS!J151:J350&gt;0,VESS!J151:J350,"")</f>
        <v>2</v>
      </c>
      <c r="I151">
        <f t="array" ref="I151">IF(VESS!K151:K350&gt;0,VESS!K151:K350,"")</f>
        <v>4</v>
      </c>
      <c r="J151">
        <f>IF(VESS!L151:L350&gt;0,VESS!L151:L350,I151)</f>
        <v>4</v>
      </c>
    </row>
    <row r="152" spans="1:10" x14ac:dyDescent="0.35">
      <c r="A152" t="s">
        <v>313</v>
      </c>
      <c r="B152" t="s">
        <v>134</v>
      </c>
      <c r="C152">
        <v>0</v>
      </c>
      <c r="D152">
        <f t="array" ref="D152">C152:C205-VESS!E152:E205</f>
        <v>0</v>
      </c>
      <c r="E152">
        <f t="array" ref="E152">D152:D351-VESS!F152:F205</f>
        <v>0</v>
      </c>
      <c r="F152">
        <f t="array" ref="F152">E152:E351-VESS!G152:G351</f>
        <v>0</v>
      </c>
      <c r="G152" t="str">
        <f t="array" ref="G152">IF(VESS!I152:I351&gt;0,VESS!I152:I351,"")</f>
        <v/>
      </c>
      <c r="H152" t="str">
        <f t="array" ref="H152">IF(VESS!J152:J351&gt;0,VESS!J152:J351,"")</f>
        <v/>
      </c>
      <c r="I152" t="str">
        <f t="array" ref="I152">IF(VESS!K152:K351&gt;0,VESS!K152:K351,"")</f>
        <v/>
      </c>
      <c r="J152" t="str">
        <f>IF(VESS!L152:L351&gt;0,VESS!L152:L351,I152)</f>
        <v/>
      </c>
    </row>
    <row r="153" spans="1:10" x14ac:dyDescent="0.35">
      <c r="A153" t="s">
        <v>314</v>
      </c>
      <c r="B153" t="s">
        <v>134</v>
      </c>
      <c r="C153">
        <v>0</v>
      </c>
      <c r="D153">
        <f t="array" ref="D153">C153:C206-VESS!E153:E206</f>
        <v>0</v>
      </c>
      <c r="E153">
        <f t="array" ref="E153">D153:D352-VESS!F153:F206</f>
        <v>0</v>
      </c>
      <c r="F153">
        <f t="array" ref="F153">E153:E352-VESS!G153:G352</f>
        <v>0</v>
      </c>
      <c r="G153" t="str">
        <f t="array" ref="G153">IF(VESS!I153:I352&gt;0,VESS!I153:I352,"")</f>
        <v/>
      </c>
      <c r="H153" t="str">
        <f t="array" ref="H153">IF(VESS!J153:J352&gt;0,VESS!J153:J352,"")</f>
        <v/>
      </c>
      <c r="I153" t="str">
        <f t="array" ref="I153">IF(VESS!K153:K352&gt;0,VESS!K153:K352,"")</f>
        <v/>
      </c>
      <c r="J153" t="str">
        <f>IF(VESS!L153:L352&gt;0,VESS!L153:L352,I153)</f>
        <v/>
      </c>
    </row>
    <row r="154" spans="1:10" x14ac:dyDescent="0.35">
      <c r="A154" t="s">
        <v>315</v>
      </c>
      <c r="B154" t="s">
        <v>49</v>
      </c>
      <c r="C154">
        <v>0</v>
      </c>
      <c r="D154">
        <f t="array" ref="D154">C154:C207-VESS!E154:E207</f>
        <v>-6</v>
      </c>
      <c r="E154">
        <f t="array" ref="E154">D154:D353-VESS!F154:F207</f>
        <v>-21</v>
      </c>
      <c r="F154">
        <f t="array" ref="F154">E154:E353-VESS!G154:G353</f>
        <v>-30</v>
      </c>
      <c r="G154">
        <f t="array" ref="G154">IF(VESS!I154:I353&gt;0,VESS!I154:I353,"")</f>
        <v>2</v>
      </c>
      <c r="H154">
        <f t="array" ref="H154">IF(VESS!J154:J353&gt;0,VESS!J154:J353,"")</f>
        <v>3</v>
      </c>
      <c r="I154">
        <f t="array" ref="I154">IF(VESS!K154:K353&gt;0,VESS!K154:K353,"")</f>
        <v>5</v>
      </c>
      <c r="J154">
        <f>IF(VESS!L154:L353&gt;0,VESS!L154:L353,I154)</f>
        <v>5</v>
      </c>
    </row>
    <row r="155" spans="1:10" x14ac:dyDescent="0.35">
      <c r="A155" t="s">
        <v>316</v>
      </c>
      <c r="B155" t="s">
        <v>49</v>
      </c>
      <c r="C155">
        <v>0</v>
      </c>
      <c r="D155">
        <f t="array" ref="D155">C155:C208-VESS!E155:E208</f>
        <v>-8</v>
      </c>
      <c r="E155">
        <f t="array" ref="E155">D155:D354-VESS!F155:F208</f>
        <v>-23</v>
      </c>
      <c r="F155">
        <f t="array" ref="F155">E155:E354-VESS!G155:G354</f>
        <v>-29</v>
      </c>
      <c r="G155">
        <f t="array" ref="G155">IF(VESS!I155:I354&gt;0,VESS!I155:I354,"")</f>
        <v>1</v>
      </c>
      <c r="H155">
        <f t="array" ref="H155">IF(VESS!J155:J354&gt;0,VESS!J155:J354,"")</f>
        <v>2</v>
      </c>
      <c r="I155">
        <f t="array" ref="I155">IF(VESS!K155:K354&gt;0,VESS!K155:K354,"")</f>
        <v>5</v>
      </c>
      <c r="J155">
        <f>IF(VESS!L155:L354&gt;0,VESS!L155:L354,I155)</f>
        <v>5</v>
      </c>
    </row>
    <row r="156" spans="1:10" x14ac:dyDescent="0.35">
      <c r="A156" t="s">
        <v>317</v>
      </c>
      <c r="B156" t="s">
        <v>49</v>
      </c>
      <c r="C156">
        <v>0</v>
      </c>
      <c r="D156">
        <f t="array" ref="D156">C156:C209-VESS!E156:E209</f>
        <v>-12</v>
      </c>
      <c r="E156">
        <f t="array" ref="E156">D156:D355-VESS!F156:F209</f>
        <v>-26</v>
      </c>
      <c r="F156">
        <f t="array" ref="F156">E156:E355-VESS!G156:G355</f>
        <v>-34</v>
      </c>
      <c r="G156">
        <f t="array" ref="G156">IF(VESS!I156:I355&gt;0,VESS!I156:I355,"")</f>
        <v>1</v>
      </c>
      <c r="H156">
        <f t="array" ref="H156">IF(VESS!J156:J355&gt;0,VESS!J156:J355,"")</f>
        <v>2</v>
      </c>
      <c r="I156">
        <f t="array" ref="I156">IF(VESS!K156:K355&gt;0,VESS!K156:K355,"")</f>
        <v>4</v>
      </c>
      <c r="J156">
        <f>IF(VESS!L156:L355&gt;0,VESS!L156:L355,I156)</f>
        <v>4</v>
      </c>
    </row>
    <row r="157" spans="1:10" x14ac:dyDescent="0.35">
      <c r="A157" t="s">
        <v>318</v>
      </c>
      <c r="B157" t="s">
        <v>49</v>
      </c>
      <c r="C157">
        <v>0</v>
      </c>
      <c r="D157">
        <f t="array" ref="D157">C157:C210-VESS!E157:E210</f>
        <v>0</v>
      </c>
      <c r="E157">
        <f t="array" ref="E157">D157:D356-VESS!F157:F210</f>
        <v>0</v>
      </c>
      <c r="F157">
        <f t="array" ref="F157">E157:E356-VESS!G157:G356</f>
        <v>0</v>
      </c>
      <c r="G157" t="str">
        <f t="array" ref="G157">IF(VESS!I157:I356&gt;0,VESS!I157:I356,"")</f>
        <v/>
      </c>
      <c r="H157" t="str">
        <f t="array" ref="H157">IF(VESS!J157:J356&gt;0,VESS!J157:J356,"")</f>
        <v/>
      </c>
      <c r="I157" t="str">
        <f t="array" ref="I157">IF(VESS!K157:K356&gt;0,VESS!K157:K356,"")</f>
        <v/>
      </c>
      <c r="J157" t="str">
        <f>IF(VESS!L157:L356&gt;0,VESS!L157:L356,I157)</f>
        <v/>
      </c>
    </row>
    <row r="158" spans="1:10" x14ac:dyDescent="0.35">
      <c r="A158" t="s">
        <v>319</v>
      </c>
      <c r="B158" t="s">
        <v>49</v>
      </c>
      <c r="C158">
        <v>0</v>
      </c>
      <c r="D158">
        <f t="array" ref="D158">C158:C211-VESS!E158:E211</f>
        <v>0</v>
      </c>
      <c r="E158">
        <f t="array" ref="E158">D158:D357-VESS!F158:F211</f>
        <v>0</v>
      </c>
      <c r="F158">
        <f t="array" ref="F158">E158:E357-VESS!G158:G357</f>
        <v>0</v>
      </c>
      <c r="G158" t="str">
        <f t="array" ref="G158">IF(VESS!I158:I357&gt;0,VESS!I158:I357,"")</f>
        <v/>
      </c>
      <c r="H158" t="str">
        <f t="array" ref="H158">IF(VESS!J158:J357&gt;0,VESS!J158:J357,"")</f>
        <v/>
      </c>
      <c r="I158" t="str">
        <f t="array" ref="I158">IF(VESS!K158:K357&gt;0,VESS!K158:K357,"")</f>
        <v/>
      </c>
      <c r="J158" t="str">
        <f>IF(VESS!L158:L357&gt;0,VESS!L158:L357,I158)</f>
        <v/>
      </c>
    </row>
    <row r="159" spans="1:10" x14ac:dyDescent="0.35">
      <c r="A159" t="s">
        <v>320</v>
      </c>
      <c r="B159" t="s">
        <v>48</v>
      </c>
      <c r="C159">
        <v>0</v>
      </c>
      <c r="D159">
        <f t="array" ref="D159">C159:C212-VESS!E159:E212</f>
        <v>-8</v>
      </c>
      <c r="E159">
        <f t="array" ref="E159">D159:D358-VESS!F159:F212</f>
        <v>-23</v>
      </c>
      <c r="F159">
        <f t="array" ref="F159">E159:E358-VESS!G159:G358</f>
        <v>-31</v>
      </c>
      <c r="G159">
        <f t="array" ref="G159">IF(VESS!I159:I358&gt;0,VESS!I159:I358,"")</f>
        <v>1</v>
      </c>
      <c r="H159">
        <f t="array" ref="H159">IF(VESS!J159:J358&gt;0,VESS!J159:J358,"")</f>
        <v>1</v>
      </c>
      <c r="I159">
        <f t="array" ref="I159">IF(VESS!K159:K358&gt;0,VESS!K159:K358,"")</f>
        <v>5</v>
      </c>
      <c r="J159">
        <f>IF(VESS!L159:L358&gt;0,VESS!L159:L358,I159)</f>
        <v>5</v>
      </c>
    </row>
    <row r="160" spans="1:10" x14ac:dyDescent="0.35">
      <c r="A160" t="s">
        <v>321</v>
      </c>
      <c r="B160" t="s">
        <v>48</v>
      </c>
      <c r="C160">
        <v>0</v>
      </c>
      <c r="D160">
        <f t="array" ref="D160">C160:C213-VESS!E160:E213</f>
        <v>-8</v>
      </c>
      <c r="E160">
        <f t="array" ref="E160">D160:D359-VESS!F160:F213</f>
        <v>-25</v>
      </c>
      <c r="F160">
        <f t="array" ref="F160">E160:E359-VESS!G160:G359</f>
        <v>-33</v>
      </c>
      <c r="G160">
        <f t="array" ref="G160">IF(VESS!I160:I359&gt;0,VESS!I160:I359,"")</f>
        <v>1</v>
      </c>
      <c r="H160">
        <f t="array" ref="H160">IF(VESS!J160:J359&gt;0,VESS!J160:J359,"")</f>
        <v>2</v>
      </c>
      <c r="I160">
        <f t="array" ref="I160">IF(VESS!K160:K359&gt;0,VESS!K160:K359,"")</f>
        <v>4</v>
      </c>
      <c r="J160">
        <f>IF(VESS!L160:L359&gt;0,VESS!L160:L359,I160)</f>
        <v>4</v>
      </c>
    </row>
    <row r="161" spans="1:12" x14ac:dyDescent="0.35">
      <c r="A161" t="s">
        <v>322</v>
      </c>
      <c r="B161" t="s">
        <v>48</v>
      </c>
      <c r="C161">
        <v>0</v>
      </c>
      <c r="D161">
        <f t="array" ref="D161">C161:C214-VESS!E161:E214</f>
        <v>-5</v>
      </c>
      <c r="E161">
        <f t="array" ref="E161">D161:D360-VESS!F161:F214</f>
        <v>-22</v>
      </c>
      <c r="F161">
        <f t="array" ref="F161">E161:E360-VESS!G161:G360</f>
        <v>-28</v>
      </c>
      <c r="G161">
        <f t="array" ref="G161">IF(VESS!I161:I360&gt;0,VESS!I161:I360,"")</f>
        <v>1</v>
      </c>
      <c r="H161">
        <f t="array" ref="H161">IF(VESS!J161:J360&gt;0,VESS!J161:J360,"")</f>
        <v>2</v>
      </c>
      <c r="I161">
        <f t="array" ref="I161">IF(VESS!K161:K360&gt;0,VESS!K161:K360,"")</f>
        <v>4</v>
      </c>
      <c r="J161">
        <f>IF(VESS!L161:L360&gt;0,VESS!L161:L360,I161)</f>
        <v>4</v>
      </c>
    </row>
    <row r="162" spans="1:12" x14ac:dyDescent="0.35">
      <c r="A162" t="s">
        <v>323</v>
      </c>
      <c r="B162" t="s">
        <v>48</v>
      </c>
      <c r="C162">
        <v>0</v>
      </c>
      <c r="D162">
        <f t="array" ref="D162">C162:C215-VESS!E162:E215</f>
        <v>0</v>
      </c>
      <c r="E162">
        <f t="array" ref="E162">D162:D361-VESS!F162:F215</f>
        <v>0</v>
      </c>
      <c r="F162">
        <f t="array" ref="F162">E162:E361-VESS!G162:G361</f>
        <v>0</v>
      </c>
      <c r="G162" t="str">
        <f t="array" ref="G162">IF(VESS!I162:I361&gt;0,VESS!I162:I361,"")</f>
        <v/>
      </c>
      <c r="H162" t="str">
        <f t="array" ref="H162">IF(VESS!J162:J361&gt;0,VESS!J162:J361,"")</f>
        <v/>
      </c>
      <c r="I162" t="str">
        <f t="array" ref="I162">IF(VESS!K162:K361&gt;0,VESS!K162:K361,"")</f>
        <v/>
      </c>
      <c r="J162" t="str">
        <f>IF(VESS!L162:L361&gt;0,VESS!L162:L361,I162)</f>
        <v/>
      </c>
    </row>
    <row r="163" spans="1:12" x14ac:dyDescent="0.35">
      <c r="A163" t="s">
        <v>324</v>
      </c>
      <c r="B163" t="s">
        <v>48</v>
      </c>
      <c r="C163">
        <v>0</v>
      </c>
      <c r="D163">
        <f t="array" ref="D163">C163:C216-VESS!E163:E216</f>
        <v>0</v>
      </c>
      <c r="E163">
        <f t="array" ref="E163">D163:D362-VESS!F163:F216</f>
        <v>0</v>
      </c>
      <c r="F163">
        <f t="array" ref="F163">E163:E362-VESS!G163:G362</f>
        <v>0</v>
      </c>
      <c r="G163" t="str">
        <f t="array" ref="G163">IF(VESS!I163:I362&gt;0,VESS!I163:I362,"")</f>
        <v/>
      </c>
      <c r="H163" t="str">
        <f t="array" ref="H163">IF(VESS!J163:J362&gt;0,VESS!J163:J362,"")</f>
        <v/>
      </c>
      <c r="I163" t="str">
        <f t="array" ref="I163">IF(VESS!K163:K362&gt;0,VESS!K163:K362,"")</f>
        <v/>
      </c>
      <c r="J163" t="str">
        <f>IF(VESS!L163:L362&gt;0,VESS!L163:L362,I163)</f>
        <v/>
      </c>
    </row>
    <row r="164" spans="1:12" x14ac:dyDescent="0.35">
      <c r="A164" t="s">
        <v>325</v>
      </c>
      <c r="B164" t="s">
        <v>22</v>
      </c>
      <c r="C164">
        <v>0</v>
      </c>
      <c r="D164">
        <f t="array" ref="D164">C164:C217-VESS!E164:E217</f>
        <v>-5</v>
      </c>
      <c r="E164">
        <f t="array" ref="E164">D164:D363-VESS!F164:F217</f>
        <v>-16</v>
      </c>
      <c r="F164">
        <f t="array" ref="F164">E164:E363-VESS!G164:G363</f>
        <v>-27</v>
      </c>
      <c r="G164">
        <f t="array" ref="G164">IF(VESS!I164:I363&gt;0,VESS!I164:I363,"")</f>
        <v>2</v>
      </c>
      <c r="H164">
        <f t="array" ref="H164">IF(VESS!J164:J363&gt;0,VESS!J164:J363,"")</f>
        <v>4</v>
      </c>
      <c r="I164">
        <f t="array" ref="I164">IF(VESS!K164:K363&gt;0,VESS!K164:K363,"")</f>
        <v>4</v>
      </c>
      <c r="J164">
        <f>IF(VESS!L164:L363&gt;0,VESS!L164:L363,I164)</f>
        <v>4</v>
      </c>
      <c r="L164">
        <f>AVERAGE(G164:G166)</f>
        <v>1.3333333333333333</v>
      </c>
    </row>
    <row r="165" spans="1:12" x14ac:dyDescent="0.35">
      <c r="A165" t="s">
        <v>326</v>
      </c>
      <c r="B165" t="s">
        <v>22</v>
      </c>
      <c r="C165">
        <v>0</v>
      </c>
      <c r="D165">
        <f t="array" ref="D165">C165:C218-VESS!E165:E218</f>
        <v>-6</v>
      </c>
      <c r="E165">
        <f t="array" ref="E165">D165:D364-VESS!F165:F218</f>
        <v>-21</v>
      </c>
      <c r="F165">
        <f t="array" ref="F165">E165:E364-VESS!G165:G364</f>
        <v>-27</v>
      </c>
      <c r="G165">
        <f t="array" ref="G165">IF(VESS!I165:I364&gt;0,VESS!I165:I364,"")</f>
        <v>1</v>
      </c>
      <c r="H165">
        <f t="array" ref="H165">IF(VESS!J165:J364&gt;0,VESS!J165:J364,"")</f>
        <v>3</v>
      </c>
      <c r="I165">
        <f t="array" ref="I165">IF(VESS!K165:K364&gt;0,VESS!K165:K364,"")</f>
        <v>5</v>
      </c>
      <c r="J165">
        <f>IF(VESS!L165:L364&gt;0,VESS!L165:L364,I165)</f>
        <v>5</v>
      </c>
    </row>
    <row r="166" spans="1:12" x14ac:dyDescent="0.35">
      <c r="A166" t="s">
        <v>327</v>
      </c>
      <c r="B166" t="s">
        <v>22</v>
      </c>
      <c r="C166">
        <v>0</v>
      </c>
      <c r="D166">
        <f t="array" ref="D166">C166:C219-VESS!E166:E219</f>
        <v>-6</v>
      </c>
      <c r="E166">
        <f t="array" ref="E166">D166:D365-VESS!F166:F219</f>
        <v>-24</v>
      </c>
      <c r="F166">
        <f t="array" ref="F166">E166:E365-VESS!G166:G365</f>
        <v>-28</v>
      </c>
      <c r="G166">
        <f t="array" ref="G166">IF(VESS!I166:I365&gt;0,VESS!I166:I365,"")</f>
        <v>1</v>
      </c>
      <c r="H166">
        <f t="array" ref="H166">IF(VESS!J166:J365&gt;0,VESS!J166:J365,"")</f>
        <v>3</v>
      </c>
      <c r="I166">
        <f t="array" ref="I166">IF(VESS!K166:K365&gt;0,VESS!K166:K365,"")</f>
        <v>4</v>
      </c>
      <c r="J166">
        <f>IF(VESS!L166:L365&gt;0,VESS!L166:L365,I166)</f>
        <v>4</v>
      </c>
    </row>
    <row r="167" spans="1:12" x14ac:dyDescent="0.35">
      <c r="A167" t="s">
        <v>328</v>
      </c>
      <c r="B167" t="s">
        <v>22</v>
      </c>
      <c r="C167">
        <v>0</v>
      </c>
      <c r="D167">
        <f t="array" ref="D167">C167:C220-VESS!E167:E220</f>
        <v>0</v>
      </c>
      <c r="E167">
        <f t="array" ref="E167">D167:D366-VESS!F167:F220</f>
        <v>0</v>
      </c>
      <c r="F167">
        <f t="array" ref="F167">E167:E366-VESS!G167:G366</f>
        <v>0</v>
      </c>
      <c r="G167" t="str">
        <f t="array" ref="G167">IF(VESS!I167:I366&gt;0,VESS!I167:I366,"")</f>
        <v/>
      </c>
      <c r="H167" t="str">
        <f t="array" ref="H167">IF(VESS!J167:J366&gt;0,VESS!J167:J366,"")</f>
        <v/>
      </c>
      <c r="I167" t="str">
        <f t="array" ref="I167">IF(VESS!K167:K366&gt;0,VESS!K167:K366,"")</f>
        <v/>
      </c>
      <c r="J167" t="str">
        <f>IF(VESS!L167:L366&gt;0,VESS!L167:L366,I167)</f>
        <v/>
      </c>
    </row>
    <row r="168" spans="1:12" x14ac:dyDescent="0.35">
      <c r="A168" t="s">
        <v>329</v>
      </c>
      <c r="B168" t="s">
        <v>22</v>
      </c>
      <c r="C168">
        <v>0</v>
      </c>
      <c r="D168">
        <f t="array" ref="D168">C168:C221-VESS!E168:E221</f>
        <v>0</v>
      </c>
      <c r="E168">
        <f t="array" ref="E168">D168:D367-VESS!F168:F221</f>
        <v>0</v>
      </c>
      <c r="F168">
        <f t="array" ref="F168">E168:E367-VESS!G168:G367</f>
        <v>0</v>
      </c>
      <c r="G168" t="str">
        <f t="array" ref="G168">IF(VESS!I168:I367&gt;0,VESS!I168:I367,"")</f>
        <v/>
      </c>
      <c r="H168" t="str">
        <f t="array" ref="H168">IF(VESS!J168:J367&gt;0,VESS!J168:J367,"")</f>
        <v/>
      </c>
      <c r="I168" t="str">
        <f t="array" ref="I168">IF(VESS!K168:K367&gt;0,VESS!K168:K367,"")</f>
        <v/>
      </c>
      <c r="J168" t="str">
        <f>IF(VESS!L168:L367&gt;0,VESS!L168:L367,I168)</f>
        <v/>
      </c>
    </row>
    <row r="169" spans="1:12" x14ac:dyDescent="0.35">
      <c r="A169" t="s">
        <v>330</v>
      </c>
      <c r="B169" t="s">
        <v>23</v>
      </c>
      <c r="C169">
        <v>0</v>
      </c>
      <c r="D169">
        <f t="array" ref="D169">C169:C222-VESS!E169:E222</f>
        <v>-6</v>
      </c>
      <c r="E169">
        <f t="array" ref="E169">D169:D368-VESS!F169:F222</f>
        <v>-20</v>
      </c>
      <c r="F169">
        <f t="array" ref="F169">E169:E368-VESS!G169:G368</f>
        <v>-28</v>
      </c>
      <c r="G169">
        <f t="array" ref="G169">IF(VESS!I169:I368&gt;0,VESS!I169:I368,"")</f>
        <v>2</v>
      </c>
      <c r="H169">
        <f t="array" ref="H169">IF(VESS!J169:J368&gt;0,VESS!J169:J368,"")</f>
        <v>4</v>
      </c>
      <c r="I169">
        <f t="array" ref="I169">IF(VESS!K169:K368&gt;0,VESS!K169:K368,"")</f>
        <v>4</v>
      </c>
      <c r="J169">
        <f>IF(VESS!L169:L368&gt;0,VESS!L169:L368,I169)</f>
        <v>4</v>
      </c>
      <c r="L169">
        <f>AVERAGE(G169:G171)</f>
        <v>1.3333333333333333</v>
      </c>
    </row>
    <row r="170" spans="1:12" x14ac:dyDescent="0.35">
      <c r="A170" t="s">
        <v>331</v>
      </c>
      <c r="B170" t="s">
        <v>23</v>
      </c>
      <c r="C170">
        <v>0</v>
      </c>
      <c r="D170">
        <f t="array" ref="D170">C170:C223-VESS!E170:E223</f>
        <v>-5</v>
      </c>
      <c r="E170">
        <f t="array" ref="E170">D170:D369-VESS!F170:F223</f>
        <v>-20</v>
      </c>
      <c r="F170">
        <f t="array" ref="F170">E170:E369-VESS!G170:G369</f>
        <v>-28</v>
      </c>
      <c r="G170">
        <f t="array" ref="G170">IF(VESS!I170:I369&gt;0,VESS!I170:I369,"")</f>
        <v>1</v>
      </c>
      <c r="H170">
        <f t="array" ref="H170">IF(VESS!J170:J369&gt;0,VESS!J170:J369,"")</f>
        <v>3.5</v>
      </c>
      <c r="I170">
        <f t="array" ref="I170">IF(VESS!K170:K369&gt;0,VESS!K170:K369,"")</f>
        <v>4</v>
      </c>
      <c r="J170">
        <f>IF(VESS!L170:L369&gt;0,VESS!L170:L369,I170)</f>
        <v>4</v>
      </c>
    </row>
    <row r="171" spans="1:12" x14ac:dyDescent="0.35">
      <c r="A171" t="s">
        <v>332</v>
      </c>
      <c r="B171" t="s">
        <v>23</v>
      </c>
      <c r="C171">
        <v>0</v>
      </c>
      <c r="D171">
        <f t="array" ref="D171">C171:C224-VESS!E171:E224</f>
        <v>-6</v>
      </c>
      <c r="E171">
        <f t="array" ref="E171">D171:D370-VESS!F171:F224</f>
        <v>-24</v>
      </c>
      <c r="F171">
        <f t="array" ref="F171">E171:E370-VESS!G171:G370</f>
        <v>-32</v>
      </c>
      <c r="G171">
        <f t="array" ref="G171">IF(VESS!I171:I370&gt;0,VESS!I171:I370,"")</f>
        <v>1</v>
      </c>
      <c r="H171">
        <f t="array" ref="H171">IF(VESS!J171:J370&gt;0,VESS!J171:J370,"")</f>
        <v>4</v>
      </c>
      <c r="I171">
        <f t="array" ref="I171">IF(VESS!K171:K370&gt;0,VESS!K171:K370,"")</f>
        <v>5</v>
      </c>
      <c r="J171">
        <f>IF(VESS!L171:L370&gt;0,VESS!L171:L370,I171)</f>
        <v>5</v>
      </c>
    </row>
    <row r="172" spans="1:12" x14ac:dyDescent="0.35">
      <c r="A172" t="s">
        <v>333</v>
      </c>
      <c r="B172" t="s">
        <v>23</v>
      </c>
      <c r="C172">
        <v>0</v>
      </c>
      <c r="D172">
        <f t="array" ref="D172">C172:C225-VESS!E172:E225</f>
        <v>0</v>
      </c>
      <c r="E172">
        <f t="array" ref="E172">D172:D371-VESS!F172:F225</f>
        <v>0</v>
      </c>
      <c r="F172">
        <f t="array" ref="F172">E172:E371-VESS!G172:G371</f>
        <v>0</v>
      </c>
      <c r="G172" t="str">
        <f t="array" ref="G172">IF(VESS!I172:I371&gt;0,VESS!I172:I371,"")</f>
        <v/>
      </c>
      <c r="H172" t="str">
        <f t="array" ref="H172">IF(VESS!J172:J371&gt;0,VESS!J172:J371,"")</f>
        <v/>
      </c>
      <c r="I172" t="str">
        <f t="array" ref="I172">IF(VESS!K172:K371&gt;0,VESS!K172:K371,"")</f>
        <v/>
      </c>
      <c r="J172" t="str">
        <f>IF(VESS!L172:L371&gt;0,VESS!L172:L371,I172)</f>
        <v/>
      </c>
    </row>
    <row r="173" spans="1:12" x14ac:dyDescent="0.35">
      <c r="A173" t="s">
        <v>334</v>
      </c>
      <c r="B173" t="s">
        <v>23</v>
      </c>
      <c r="C173">
        <v>0</v>
      </c>
      <c r="D173">
        <f t="array" ref="D173">C173:C226-VESS!E173:E226</f>
        <v>0</v>
      </c>
      <c r="E173">
        <f t="array" ref="E173">D173:D372-VESS!F173:F226</f>
        <v>0</v>
      </c>
      <c r="F173">
        <f t="array" ref="F173">E173:E372-VESS!G173:G372</f>
        <v>0</v>
      </c>
      <c r="G173" t="str">
        <f t="array" ref="G173">IF(VESS!I173:I372&gt;0,VESS!I173:I372,"")</f>
        <v/>
      </c>
      <c r="H173" t="str">
        <f t="array" ref="H173">IF(VESS!J173:J372&gt;0,VESS!J173:J372,"")</f>
        <v/>
      </c>
      <c r="I173" t="str">
        <f t="array" ref="I173">IF(VESS!K173:K372&gt;0,VESS!K173:K372,"")</f>
        <v/>
      </c>
      <c r="J173" t="str">
        <f>IF(VESS!L173:L372&gt;0,VESS!L173:L372,I173)</f>
        <v/>
      </c>
    </row>
    <row r="174" spans="1:12" x14ac:dyDescent="0.35">
      <c r="A174" t="s">
        <v>335</v>
      </c>
      <c r="B174" t="s">
        <v>135</v>
      </c>
      <c r="C174">
        <v>0</v>
      </c>
      <c r="D174">
        <f t="array" ref="D174">C174:C227-VESS!E174:E227</f>
        <v>-5</v>
      </c>
      <c r="E174">
        <f t="array" ref="E174">D174:D373-VESS!F174:F227</f>
        <v>-10</v>
      </c>
      <c r="F174">
        <f t="array" ref="F174">E174:E373-VESS!G174:G373</f>
        <v>-28</v>
      </c>
      <c r="G174">
        <f t="array" ref="G174">IF(VESS!I174:I373&gt;0,VESS!I174:I373,"")</f>
        <v>1</v>
      </c>
      <c r="H174">
        <f t="array" ref="H174">IF(VESS!J174:J373&gt;0,VESS!J174:J373,"")</f>
        <v>2</v>
      </c>
      <c r="I174">
        <f t="array" ref="I174">IF(VESS!K174:K373&gt;0,VESS!K174:K373,"")</f>
        <v>3</v>
      </c>
      <c r="J174">
        <f>IF(VESS!L174:L373&gt;0,VESS!L174:L373,I174)</f>
        <v>5</v>
      </c>
    </row>
    <row r="175" spans="1:12" x14ac:dyDescent="0.35">
      <c r="A175" t="s">
        <v>336</v>
      </c>
      <c r="B175" t="s">
        <v>135</v>
      </c>
      <c r="C175">
        <v>0</v>
      </c>
      <c r="D175">
        <f t="array" ref="D175">C175:C228-VESS!E175:E228</f>
        <v>-6</v>
      </c>
      <c r="E175">
        <f t="array" ref="E175">D175:D374-VESS!F175:F228</f>
        <v>-19</v>
      </c>
      <c r="F175">
        <f t="array" ref="F175">E175:E374-VESS!G175:G374</f>
        <v>-25</v>
      </c>
      <c r="G175">
        <f t="array" ref="G175">IF(VESS!I175:I374&gt;0,VESS!I175:I374,"")</f>
        <v>1</v>
      </c>
      <c r="H175">
        <f t="array" ref="H175">IF(VESS!J175:J374&gt;0,VESS!J175:J374,"")</f>
        <v>4</v>
      </c>
      <c r="I175">
        <f t="array" ref="I175">IF(VESS!K175:K374&gt;0,VESS!K175:K374,"")</f>
        <v>3</v>
      </c>
      <c r="J175">
        <f>IF(VESS!L175:L374&gt;0,VESS!L175:L374,I175)</f>
        <v>3</v>
      </c>
    </row>
    <row r="176" spans="1:12" x14ac:dyDescent="0.35">
      <c r="A176" t="s">
        <v>337</v>
      </c>
      <c r="B176" t="s">
        <v>135</v>
      </c>
      <c r="C176">
        <v>0</v>
      </c>
      <c r="D176">
        <f t="array" ref="D176">C176:C229-VESS!E176:E229</f>
        <v>-6</v>
      </c>
      <c r="E176">
        <f t="array" ref="E176">D176:D375-VESS!F176:F229</f>
        <v>-19</v>
      </c>
      <c r="F176">
        <f t="array" ref="F176">E176:E375-VESS!G176:G375</f>
        <v>-27</v>
      </c>
      <c r="G176">
        <f t="array" ref="G176">IF(VESS!I176:I375&gt;0,VESS!I176:I375,"")</f>
        <v>1</v>
      </c>
      <c r="H176">
        <f t="array" ref="H176">IF(VESS!J176:J375&gt;0,VESS!J176:J375,"")</f>
        <v>3</v>
      </c>
      <c r="I176">
        <f t="array" ref="I176">IF(VESS!K176:K375&gt;0,VESS!K176:K375,"")</f>
        <v>4</v>
      </c>
      <c r="J176">
        <f>IF(VESS!L176:L375&gt;0,VESS!L176:L375,I176)</f>
        <v>4</v>
      </c>
    </row>
    <row r="177" spans="1:10" x14ac:dyDescent="0.35">
      <c r="A177" t="s">
        <v>338</v>
      </c>
      <c r="B177" t="s">
        <v>135</v>
      </c>
      <c r="C177">
        <v>0</v>
      </c>
      <c r="D177">
        <f t="array" ref="D177">C177:C230-VESS!E177:E230</f>
        <v>-5</v>
      </c>
      <c r="E177">
        <f t="array" ref="E177">D177:D376-VESS!F177:F230</f>
        <v>-16</v>
      </c>
      <c r="F177">
        <f t="array" ref="F177">E177:E376-VESS!G177:G376</f>
        <v>-24</v>
      </c>
      <c r="G177">
        <f t="array" ref="G177">IF(VESS!I177:I376&gt;0,VESS!I177:I376,"")</f>
        <v>1</v>
      </c>
      <c r="H177">
        <f t="array" ref="H177">IF(VESS!J177:J376&gt;0,VESS!J177:J376,"")</f>
        <v>3</v>
      </c>
      <c r="I177">
        <f t="array" ref="I177">IF(VESS!K177:K376&gt;0,VESS!K177:K376,"")</f>
        <v>3</v>
      </c>
      <c r="J177">
        <f>IF(VESS!L177:L376&gt;0,VESS!L177:L376,I177)</f>
        <v>3</v>
      </c>
    </row>
    <row r="178" spans="1:10" x14ac:dyDescent="0.35">
      <c r="A178" t="s">
        <v>339</v>
      </c>
      <c r="B178" t="s">
        <v>135</v>
      </c>
      <c r="C178">
        <v>0</v>
      </c>
      <c r="D178">
        <f t="array" ref="D178">C178:C231-VESS!E178:E231</f>
        <v>-3</v>
      </c>
      <c r="E178">
        <f t="array" ref="E178">D178:D377-VESS!F178:F231</f>
        <v>-13</v>
      </c>
      <c r="F178">
        <f t="array" ref="F178">E178:E377-VESS!G178:G377</f>
        <v>-23</v>
      </c>
      <c r="G178">
        <f t="array" ref="G178">IF(VESS!I178:I377&gt;0,VESS!I178:I377,"")</f>
        <v>1</v>
      </c>
      <c r="H178">
        <f t="array" ref="H178">IF(VESS!J178:J377&gt;0,VESS!J178:J377,"")</f>
        <v>3</v>
      </c>
      <c r="I178">
        <f t="array" ref="I178">IF(VESS!K178:K377&gt;0,VESS!K178:K377,"")</f>
        <v>4</v>
      </c>
      <c r="J178">
        <f>IF(VESS!L178:L377&gt;0,VESS!L178:L377,I178)</f>
        <v>5</v>
      </c>
    </row>
    <row r="179" spans="1:10" x14ac:dyDescent="0.35">
      <c r="A179" t="s">
        <v>340</v>
      </c>
      <c r="B179" t="s">
        <v>136</v>
      </c>
      <c r="C179">
        <v>0</v>
      </c>
      <c r="D179">
        <f t="array" ref="D179">C179:C232-VESS!E179:E232</f>
        <v>-3</v>
      </c>
      <c r="E179">
        <f t="array" ref="E179">D179:D378-VESS!F179:F232</f>
        <v>-8</v>
      </c>
      <c r="F179">
        <f t="array" ref="F179">E179:E378-VESS!G179:G378</f>
        <v>-23</v>
      </c>
      <c r="G179">
        <f t="array" ref="G179">IF(VESS!I179:I378&gt;0,VESS!I179:I378,"")</f>
        <v>1</v>
      </c>
      <c r="H179">
        <f t="array" ref="H179">IF(VESS!J179:J378&gt;0,VESS!J179:J378,"")</f>
        <v>2</v>
      </c>
      <c r="I179">
        <f t="array" ref="I179">IF(VESS!K179:K378&gt;0,VESS!K179:K378,"")</f>
        <v>3</v>
      </c>
      <c r="J179">
        <f>IF(VESS!L179:L378&gt;0,VESS!L179:L378,I179)</f>
        <v>4</v>
      </c>
    </row>
    <row r="180" spans="1:10" x14ac:dyDescent="0.35">
      <c r="A180" t="s">
        <v>341</v>
      </c>
      <c r="B180" t="s">
        <v>136</v>
      </c>
      <c r="C180">
        <v>0</v>
      </c>
      <c r="D180">
        <f t="array" ref="D180">C180:C233-VESS!E180:E233</f>
        <v>-4</v>
      </c>
      <c r="E180">
        <f t="array" ref="E180">D180:D379-VESS!F180:F233</f>
        <v>-21</v>
      </c>
      <c r="F180">
        <f t="array" ref="F180">E180:E379-VESS!G180:G379</f>
        <v>-25</v>
      </c>
      <c r="G180">
        <f t="array" ref="G180">IF(VESS!I180:I379&gt;0,VESS!I180:I379,"")</f>
        <v>1</v>
      </c>
      <c r="H180">
        <f t="array" ref="H180">IF(VESS!J180:J379&gt;0,VESS!J180:J379,"")</f>
        <v>2</v>
      </c>
      <c r="I180">
        <f t="array" ref="I180">IF(VESS!K180:K379&gt;0,VESS!K180:K379,"")</f>
        <v>5</v>
      </c>
      <c r="J180">
        <f>IF(VESS!L180:L379&gt;0,VESS!L180:L379,I180)</f>
        <v>5</v>
      </c>
    </row>
    <row r="181" spans="1:10" x14ac:dyDescent="0.35">
      <c r="A181" t="s">
        <v>342</v>
      </c>
      <c r="B181" t="s">
        <v>136</v>
      </c>
      <c r="C181">
        <v>0</v>
      </c>
      <c r="D181">
        <f t="array" ref="D181">C181:C234-VESS!E181:E234</f>
        <v>-8</v>
      </c>
      <c r="E181">
        <f t="array" ref="E181">D181:D380-VESS!F181:F234</f>
        <v>-23</v>
      </c>
      <c r="F181">
        <f t="array" ref="F181">E181:E380-VESS!G181:G380</f>
        <v>-28</v>
      </c>
      <c r="G181">
        <f t="array" ref="G181">IF(VESS!I181:I380&gt;0,VESS!I181:I380,"")</f>
        <v>2</v>
      </c>
      <c r="H181">
        <f t="array" ref="H181">IF(VESS!J181:J380&gt;0,VESS!J181:J380,"")</f>
        <v>2</v>
      </c>
      <c r="I181">
        <f t="array" ref="I181">IF(VESS!K181:K380&gt;0,VESS!K181:K380,"")</f>
        <v>4</v>
      </c>
      <c r="J181">
        <f>IF(VESS!L181:L380&gt;0,VESS!L181:L380,I181)</f>
        <v>4</v>
      </c>
    </row>
    <row r="182" spans="1:10" x14ac:dyDescent="0.35">
      <c r="A182" t="s">
        <v>343</v>
      </c>
      <c r="B182" t="s">
        <v>136</v>
      </c>
      <c r="C182">
        <v>0</v>
      </c>
      <c r="D182">
        <f t="array" ref="D182">C182:C235-VESS!E182:E235</f>
        <v>-5</v>
      </c>
      <c r="E182">
        <f t="array" ref="E182">D182:D381-VESS!F182:F235</f>
        <v>-10</v>
      </c>
      <c r="F182">
        <f t="array" ref="F182">E182:E381-VESS!G182:G381</f>
        <v>-20</v>
      </c>
      <c r="G182">
        <f t="array" ref="G182">IF(VESS!I182:I381&gt;0,VESS!I182:I381,"")</f>
        <v>1</v>
      </c>
      <c r="H182">
        <f t="array" ref="H182">IF(VESS!J182:J381&gt;0,VESS!J182:J381,"")</f>
        <v>2</v>
      </c>
      <c r="I182">
        <f t="array" ref="I182">IF(VESS!K182:K381&gt;0,VESS!K182:K381,"")</f>
        <v>4</v>
      </c>
      <c r="J182">
        <f>IF(VESS!L182:L381&gt;0,VESS!L182:L381,I182)</f>
        <v>5</v>
      </c>
    </row>
    <row r="183" spans="1:10" x14ac:dyDescent="0.35">
      <c r="A183" t="s">
        <v>344</v>
      </c>
      <c r="B183" t="s">
        <v>136</v>
      </c>
      <c r="C183">
        <v>0</v>
      </c>
      <c r="D183">
        <f t="array" ref="D183">C183:C236-VESS!E183:E236</f>
        <v>-8</v>
      </c>
      <c r="E183">
        <f t="array" ref="E183">D183:D382-VESS!F183:F236</f>
        <v>-25</v>
      </c>
      <c r="F183">
        <f t="array" ref="F183">E183:E382-VESS!G183:G382</f>
        <v>-29</v>
      </c>
      <c r="G183">
        <f t="array" ref="G183">IF(VESS!I183:I382&gt;0,VESS!I183:I382,"")</f>
        <v>1</v>
      </c>
      <c r="H183">
        <f t="array" ref="H183">IF(VESS!J183:J382&gt;0,VESS!J183:J382,"")</f>
        <v>3</v>
      </c>
      <c r="I183">
        <f t="array" ref="I183">IF(VESS!K183:K382&gt;0,VESS!K183:K382,"")</f>
        <v>4</v>
      </c>
      <c r="J183">
        <f>IF(VESS!L183:L382&gt;0,VESS!L183:L382,I183)</f>
        <v>4</v>
      </c>
    </row>
    <row r="184" spans="1:10" x14ac:dyDescent="0.35">
      <c r="A184" t="s">
        <v>345</v>
      </c>
      <c r="B184" t="s">
        <v>57</v>
      </c>
      <c r="C184">
        <v>0</v>
      </c>
      <c r="D184">
        <f t="array" ref="D184">C184:C237-VESS!E184:E237</f>
        <v>-5</v>
      </c>
      <c r="E184">
        <f t="array" ref="E184">D184:D383-VESS!F184:F237</f>
        <v>-17</v>
      </c>
      <c r="F184">
        <f t="array" ref="F184">E184:E383-VESS!G184:G383</f>
        <v>-24</v>
      </c>
      <c r="G184">
        <f t="array" ref="G184">IF(VESS!I184:I383&gt;0,VESS!I184:I383,"")</f>
        <v>1</v>
      </c>
      <c r="H184">
        <f t="array" ref="H184">IF(VESS!J184:J383&gt;0,VESS!J184:J383,"")</f>
        <v>2</v>
      </c>
      <c r="I184">
        <f t="array" ref="I184">IF(VESS!K184:K383&gt;0,VESS!K184:K383,"")</f>
        <v>3</v>
      </c>
      <c r="J184">
        <f>IF(VESS!L184:L383&gt;0,VESS!L184:L383,I184)</f>
        <v>5</v>
      </c>
    </row>
    <row r="185" spans="1:10" x14ac:dyDescent="0.35">
      <c r="A185" t="s">
        <v>346</v>
      </c>
      <c r="B185" t="s">
        <v>57</v>
      </c>
      <c r="C185">
        <v>0</v>
      </c>
      <c r="D185">
        <f t="array" ref="D185">C185:C238-VESS!E185:E238</f>
        <v>-5</v>
      </c>
      <c r="E185">
        <f t="array" ref="E185">D185:D384-VESS!F185:F238</f>
        <v>-15</v>
      </c>
      <c r="F185">
        <f t="array" ref="F185">E185:E384-VESS!G185:G384</f>
        <v>-20</v>
      </c>
      <c r="G185">
        <f t="array" ref="G185">IF(VESS!I185:I384&gt;0,VESS!I185:I384,"")</f>
        <v>1</v>
      </c>
      <c r="H185">
        <f t="array" ref="H185">IF(VESS!J185:J384&gt;0,VESS!J185:J384,"")</f>
        <v>3</v>
      </c>
      <c r="I185">
        <f t="array" ref="I185">IF(VESS!K185:K384&gt;0,VESS!K185:K384,"")</f>
        <v>4</v>
      </c>
      <c r="J185">
        <f>IF(VESS!L185:L384&gt;0,VESS!L185:L384,I185)</f>
        <v>5</v>
      </c>
    </row>
    <row r="186" spans="1:10" x14ac:dyDescent="0.35">
      <c r="A186" t="s">
        <v>347</v>
      </c>
      <c r="B186" t="s">
        <v>57</v>
      </c>
      <c r="C186">
        <v>0</v>
      </c>
      <c r="D186">
        <f t="array" ref="D186">C186:C239-VESS!E186:E239</f>
        <v>-6</v>
      </c>
      <c r="E186">
        <f t="array" ref="E186">D186:D385-VESS!F186:F239</f>
        <v>-13</v>
      </c>
      <c r="F186">
        <f t="array" ref="F186">E186:E385-VESS!G186:G385</f>
        <v>-19</v>
      </c>
      <c r="G186">
        <f t="array" ref="G186">IF(VESS!I186:I385&gt;0,VESS!I186:I385,"")</f>
        <v>2</v>
      </c>
      <c r="H186">
        <f t="array" ref="H186">IF(VESS!J186:J385&gt;0,VESS!J186:J385,"")</f>
        <v>4</v>
      </c>
      <c r="I186">
        <f t="array" ref="I186">IF(VESS!K186:K385&gt;0,VESS!K186:K385,"")</f>
        <v>5</v>
      </c>
      <c r="J186">
        <f>IF(VESS!L186:L385&gt;0,VESS!L186:L385,I186)</f>
        <v>4</v>
      </c>
    </row>
    <row r="187" spans="1:10" x14ac:dyDescent="0.35">
      <c r="A187" t="s">
        <v>348</v>
      </c>
      <c r="B187" t="s">
        <v>57</v>
      </c>
      <c r="C187">
        <v>0</v>
      </c>
      <c r="D187">
        <f t="array" ref="D187">C187:C240-VESS!E187:E240</f>
        <v>-6</v>
      </c>
      <c r="E187">
        <f t="array" ref="E187">D187:D386-VESS!F187:F240</f>
        <v>-19</v>
      </c>
      <c r="F187">
        <f t="array" ref="F187">E187:E386-VESS!G187:G386</f>
        <v>-26</v>
      </c>
      <c r="G187">
        <f t="array" ref="G187">IF(VESS!I187:I386&gt;0,VESS!I187:I386,"")</f>
        <v>1</v>
      </c>
      <c r="H187">
        <f t="array" ref="H187">IF(VESS!J187:J386&gt;0,VESS!J187:J386,"")</f>
        <v>4</v>
      </c>
      <c r="I187">
        <f t="array" ref="I187">IF(VESS!K187:K386&gt;0,VESS!K187:K386,"")</f>
        <v>5</v>
      </c>
      <c r="J187">
        <f>IF(VESS!L187:L386&gt;0,VESS!L187:L386,I187)</f>
        <v>3</v>
      </c>
    </row>
    <row r="188" spans="1:10" x14ac:dyDescent="0.35">
      <c r="A188" t="s">
        <v>349</v>
      </c>
      <c r="B188" t="s">
        <v>57</v>
      </c>
      <c r="C188">
        <v>0</v>
      </c>
      <c r="D188">
        <f t="array" ref="D188">C188:C241-VESS!E188:E241</f>
        <v>-4</v>
      </c>
      <c r="E188">
        <f t="array" ref="E188">D188:D387-VESS!F188:F241</f>
        <v>-15</v>
      </c>
      <c r="F188">
        <f t="array" ref="F188">E188:E387-VESS!G188:G387</f>
        <v>-20</v>
      </c>
      <c r="G188">
        <f t="array" ref="G188">IF(VESS!I188:I387&gt;0,VESS!I188:I387,"")</f>
        <v>1</v>
      </c>
      <c r="H188">
        <f t="array" ref="H188">IF(VESS!J188:J387&gt;0,VESS!J188:J387,"")</f>
        <v>3</v>
      </c>
      <c r="I188">
        <f t="array" ref="I188">IF(VESS!K188:K387&gt;0,VESS!K188:K387,"")</f>
        <v>4</v>
      </c>
      <c r="J188">
        <f>IF(VESS!L188:L387&gt;0,VESS!L188:L387,I188)</f>
        <v>4</v>
      </c>
    </row>
    <row r="189" spans="1:10" x14ac:dyDescent="0.35">
      <c r="A189" t="s">
        <v>350</v>
      </c>
      <c r="B189" t="s">
        <v>56</v>
      </c>
      <c r="C189">
        <v>0</v>
      </c>
      <c r="D189">
        <f t="array" ref="D189">C189:C242-VESS!E189:E242</f>
        <v>-8</v>
      </c>
      <c r="E189">
        <f t="array" ref="E189">D189:D388-VESS!F189:F242</f>
        <v>-19</v>
      </c>
      <c r="F189">
        <f t="array" ref="F189">E189:E388-VESS!G189:G388</f>
        <v>-24</v>
      </c>
      <c r="G189">
        <f t="array" ref="G189">IF(VESS!I189:I388&gt;0,VESS!I189:I388,"")</f>
        <v>2</v>
      </c>
      <c r="H189">
        <f t="array" ref="H189">IF(VESS!J189:J388&gt;0,VESS!J189:J388,"")</f>
        <v>3</v>
      </c>
      <c r="I189">
        <f t="array" ref="I189">IF(VESS!K189:K388&gt;0,VESS!K189:K388,"")</f>
        <v>5</v>
      </c>
      <c r="J189">
        <f>IF(VESS!L189:L388&gt;0,VESS!L189:L388,I189)</f>
        <v>4</v>
      </c>
    </row>
    <row r="190" spans="1:10" x14ac:dyDescent="0.35">
      <c r="A190" t="s">
        <v>351</v>
      </c>
      <c r="B190" t="s">
        <v>56</v>
      </c>
      <c r="C190">
        <v>0</v>
      </c>
      <c r="D190">
        <f t="array" ref="D190">C190:C243-VESS!E190:E243</f>
        <v>-6</v>
      </c>
      <c r="E190">
        <f t="array" ref="E190">D190:D389-VESS!F190:F243</f>
        <v>-16</v>
      </c>
      <c r="F190">
        <f t="array" ref="F190">E190:E389-VESS!G190:G389</f>
        <v>-29</v>
      </c>
      <c r="G190">
        <f t="array" ref="G190">IF(VESS!I190:I389&gt;0,VESS!I190:I389,"")</f>
        <v>2</v>
      </c>
      <c r="H190">
        <f t="array" ref="H190">IF(VESS!J190:J389&gt;0,VESS!J190:J389,"")</f>
        <v>4</v>
      </c>
      <c r="I190">
        <f t="array" ref="I190">IF(VESS!K190:K389&gt;0,VESS!K190:K389,"")</f>
        <v>5</v>
      </c>
      <c r="J190">
        <f>IF(VESS!L190:L389&gt;0,VESS!L190:L389,I190)</f>
        <v>5</v>
      </c>
    </row>
    <row r="191" spans="1:10" x14ac:dyDescent="0.35">
      <c r="A191" t="s">
        <v>352</v>
      </c>
      <c r="B191" t="s">
        <v>56</v>
      </c>
      <c r="C191">
        <v>0</v>
      </c>
      <c r="D191">
        <f t="array" ref="D191">C191:C244-VESS!E191:E244</f>
        <v>-6</v>
      </c>
      <c r="E191">
        <f t="array" ref="E191">D191:D390-VESS!F191:F244</f>
        <v>-13</v>
      </c>
      <c r="F191">
        <f t="array" ref="F191">E191:E390-VESS!G191:G390</f>
        <v>-25</v>
      </c>
      <c r="G191">
        <f t="array" ref="G191">IF(VESS!I191:I390&gt;0,VESS!I191:I390,"")</f>
        <v>1</v>
      </c>
      <c r="H191">
        <f t="array" ref="H191">IF(VESS!J191:J390&gt;0,VESS!J191:J390,"")</f>
        <v>3</v>
      </c>
      <c r="I191">
        <f t="array" ref="I191">IF(VESS!K191:K390&gt;0,VESS!K191:K390,"")</f>
        <v>5</v>
      </c>
      <c r="J191">
        <f>IF(VESS!L191:L390&gt;0,VESS!L191:L390,I191)</f>
        <v>3</v>
      </c>
    </row>
    <row r="192" spans="1:10" x14ac:dyDescent="0.35">
      <c r="A192" t="s">
        <v>353</v>
      </c>
      <c r="B192" t="s">
        <v>56</v>
      </c>
      <c r="C192">
        <v>0</v>
      </c>
      <c r="D192">
        <f t="array" ref="D192">C192:C245-VESS!E192:E245</f>
        <v>-5</v>
      </c>
      <c r="E192">
        <f t="array" ref="E192">D192:D391-VESS!F192:F245</f>
        <v>-15</v>
      </c>
      <c r="F192">
        <f t="array" ref="F192">E192:E391-VESS!G192:G391</f>
        <v>-25</v>
      </c>
      <c r="G192">
        <f t="array" ref="G192">IF(VESS!I192:I391&gt;0,VESS!I192:I391,"")</f>
        <v>2</v>
      </c>
      <c r="H192">
        <f t="array" ref="H192">IF(VESS!J192:J391&gt;0,VESS!J192:J391,"")</f>
        <v>2</v>
      </c>
      <c r="I192">
        <f t="array" ref="I192">IF(VESS!K192:K391&gt;0,VESS!K192:K391,"")</f>
        <v>4</v>
      </c>
      <c r="J192">
        <f>IF(VESS!L192:L391&gt;0,VESS!L192:L391,I192)</f>
        <v>4</v>
      </c>
    </row>
    <row r="193" spans="1:10" x14ac:dyDescent="0.35">
      <c r="A193" t="s">
        <v>354</v>
      </c>
      <c r="B193" t="s">
        <v>56</v>
      </c>
      <c r="C193">
        <v>0</v>
      </c>
      <c r="D193">
        <f t="array" ref="D193">C193:C246-VESS!E193:E246</f>
        <v>-5</v>
      </c>
      <c r="E193">
        <f t="array" ref="E193">D193:D392-VESS!F193:F246</f>
        <v>-18</v>
      </c>
      <c r="F193">
        <f t="array" ref="F193">E193:E392-VESS!G193:G392</f>
        <v>-26</v>
      </c>
      <c r="G193">
        <f t="array" ref="G193">IF(VESS!I193:I392&gt;0,VESS!I193:I392,"")</f>
        <v>1</v>
      </c>
      <c r="H193">
        <f t="array" ref="H193">IF(VESS!J193:J392&gt;0,VESS!J193:J392,"")</f>
        <v>4</v>
      </c>
      <c r="I193">
        <f t="array" ref="I193">IF(VESS!K193:K392&gt;0,VESS!K193:K392,"")</f>
        <v>4</v>
      </c>
      <c r="J193">
        <f>IF(VESS!L193:L392&gt;0,VESS!L193:L392,I193)</f>
        <v>4</v>
      </c>
    </row>
    <row r="194" spans="1:10" x14ac:dyDescent="0.35">
      <c r="A194" t="s">
        <v>355</v>
      </c>
      <c r="B194" t="s">
        <v>18</v>
      </c>
      <c r="C194">
        <v>0</v>
      </c>
      <c r="D194">
        <f t="array" ref="D194">C194:C247-VESS!E194:E247</f>
        <v>-5</v>
      </c>
      <c r="E194">
        <f t="array" ref="E194">D194:D393-VESS!F194:F247</f>
        <v>-18</v>
      </c>
      <c r="F194">
        <f t="array" ref="F194">E194:E393-VESS!G194:G393</f>
        <v>-23</v>
      </c>
      <c r="G194">
        <f t="array" ref="G194">IF(VESS!I194:I393&gt;0,VESS!I194:I393,"")</f>
        <v>1</v>
      </c>
      <c r="H194">
        <f t="array" ref="H194">IF(VESS!J194:J393&gt;0,VESS!J194:J393,"")</f>
        <v>4</v>
      </c>
      <c r="I194">
        <f t="array" ref="I194">IF(VESS!K194:K393&gt;0,VESS!K194:K393,"")</f>
        <v>5</v>
      </c>
      <c r="J194">
        <f>IF(VESS!L194:L393&gt;0,VESS!L194:L393,I194)</f>
        <v>5</v>
      </c>
    </row>
    <row r="195" spans="1:10" x14ac:dyDescent="0.35">
      <c r="A195" t="s">
        <v>356</v>
      </c>
      <c r="B195" t="s">
        <v>18</v>
      </c>
      <c r="C195">
        <v>0</v>
      </c>
      <c r="D195">
        <f t="array" ref="D195">C195:C248-VESS!E195:E248</f>
        <v>-5</v>
      </c>
      <c r="E195">
        <f t="array" ref="E195">D195:D394-VESS!F195:F248</f>
        <v>-18</v>
      </c>
      <c r="F195">
        <f t="array" ref="F195">E195:E394-VESS!G195:G394</f>
        <v>-28</v>
      </c>
      <c r="G195">
        <f t="array" ref="G195">IF(VESS!I195:I394&gt;0,VESS!I195:I394,"")</f>
        <v>1</v>
      </c>
      <c r="H195">
        <f t="array" ref="H195">IF(VESS!J195:J394&gt;0,VESS!J195:J394,"")</f>
        <v>4</v>
      </c>
      <c r="I195">
        <f t="array" ref="I195">IF(VESS!K195:K394&gt;0,VESS!K195:K394,"")</f>
        <v>5</v>
      </c>
      <c r="J195">
        <f>IF(VESS!L195:L394&gt;0,VESS!L195:L394,I195)</f>
        <v>5</v>
      </c>
    </row>
    <row r="196" spans="1:10" x14ac:dyDescent="0.35">
      <c r="A196" t="s">
        <v>357</v>
      </c>
      <c r="B196" t="s">
        <v>18</v>
      </c>
      <c r="C196">
        <v>0</v>
      </c>
      <c r="D196">
        <f t="array" ref="D196">C196:C249-VESS!E196:E249</f>
        <v>-4</v>
      </c>
      <c r="E196">
        <f t="array" ref="E196">D196:D395-VESS!F196:F249</f>
        <v>-19</v>
      </c>
      <c r="F196">
        <f t="array" ref="F196">E196:E395-VESS!G196:G395</f>
        <v>-26</v>
      </c>
      <c r="G196">
        <f t="array" ref="G196">IF(VESS!I196:I395&gt;0,VESS!I196:I395,"")</f>
        <v>1</v>
      </c>
      <c r="H196">
        <f t="array" ref="H196">IF(VESS!J196:J395&gt;0,VESS!J196:J395,"")</f>
        <v>4</v>
      </c>
      <c r="I196">
        <f t="array" ref="I196">IF(VESS!K196:K395&gt;0,VESS!K196:K395,"")</f>
        <v>5</v>
      </c>
      <c r="J196">
        <f>IF(VESS!L196:L395&gt;0,VESS!L196:L395,I196)</f>
        <v>5</v>
      </c>
    </row>
    <row r="197" spans="1:10" x14ac:dyDescent="0.35">
      <c r="A197" t="s">
        <v>358</v>
      </c>
      <c r="B197" t="s">
        <v>18</v>
      </c>
      <c r="C197">
        <v>0</v>
      </c>
      <c r="D197">
        <f t="array" ref="D197">C197:C250-VESS!E197:E250</f>
        <v>-3</v>
      </c>
      <c r="E197">
        <f t="array" ref="E197">D197:D396-VESS!F197:F250</f>
        <v>-15</v>
      </c>
      <c r="F197">
        <f t="array" ref="F197">E197:E396-VESS!G197:G396</f>
        <v>-23</v>
      </c>
      <c r="G197">
        <f t="array" ref="G197">IF(VESS!I197:I396&gt;0,VESS!I197:I396,"")</f>
        <v>1</v>
      </c>
      <c r="H197">
        <f t="array" ref="H197">IF(VESS!J197:J396&gt;0,VESS!J197:J396,"")</f>
        <v>5</v>
      </c>
      <c r="I197">
        <f t="array" ref="I197">IF(VESS!K197:K396&gt;0,VESS!K197:K396,"")</f>
        <v>3</v>
      </c>
      <c r="J197">
        <f>IF(VESS!L197:L396&gt;0,VESS!L197:L396,I197)</f>
        <v>3</v>
      </c>
    </row>
    <row r="198" spans="1:10" x14ac:dyDescent="0.35">
      <c r="A198" t="s">
        <v>359</v>
      </c>
      <c r="B198" t="s">
        <v>18</v>
      </c>
      <c r="C198">
        <v>0</v>
      </c>
      <c r="D198">
        <f t="array" ref="D198">C198:C251-VESS!E198:E251</f>
        <v>0</v>
      </c>
      <c r="E198">
        <f t="array" ref="E198">D198:D397-VESS!F198:F251</f>
        <v>0</v>
      </c>
      <c r="F198">
        <f t="array" ref="F198">E198:E397-VESS!G198:G397</f>
        <v>0</v>
      </c>
      <c r="G198" t="str">
        <f t="array" ref="G198">IF(VESS!I198:I397&gt;0,VESS!I198:I397,"")</f>
        <v/>
      </c>
      <c r="H198" t="str">
        <f t="array" ref="H198">IF(VESS!J198:J397&gt;0,VESS!J198:J397,"")</f>
        <v/>
      </c>
      <c r="I198" t="str">
        <f t="array" ref="I198">IF(VESS!K198:K397&gt;0,VESS!K198:K397,"")</f>
        <v/>
      </c>
      <c r="J198" t="str">
        <f>IF(VESS!L198:L397&gt;0,VESS!L198:L397,I198)</f>
        <v/>
      </c>
    </row>
    <row r="199" spans="1:10" x14ac:dyDescent="0.35">
      <c r="A199" t="s">
        <v>360</v>
      </c>
      <c r="B199" t="s">
        <v>19</v>
      </c>
      <c r="C199">
        <v>0</v>
      </c>
      <c r="D199">
        <f t="array" ref="D199">C199:C252-VESS!E199:E252</f>
        <v>-2</v>
      </c>
      <c r="E199">
        <f t="array" ref="E199">D199:D398-VESS!F199:F252</f>
        <v>-17</v>
      </c>
      <c r="F199">
        <f t="array" ref="F199">E199:E398-VESS!G199:G398</f>
        <v>-27</v>
      </c>
      <c r="G199">
        <f t="array" ref="G199">IF(VESS!I199:I398&gt;0,VESS!I199:I398,"")</f>
        <v>1</v>
      </c>
      <c r="H199">
        <f t="array" ref="H199">IF(VESS!J199:J398&gt;0,VESS!J199:J398,"")</f>
        <v>4</v>
      </c>
      <c r="I199">
        <f t="array" ref="I199">IF(VESS!K199:K398&gt;0,VESS!K199:K398,"")</f>
        <v>5</v>
      </c>
      <c r="J199">
        <f>IF(VESS!L199:L398&gt;0,VESS!L199:L398,I199)</f>
        <v>5</v>
      </c>
    </row>
    <row r="200" spans="1:10" x14ac:dyDescent="0.35">
      <c r="A200" t="s">
        <v>361</v>
      </c>
      <c r="B200" t="s">
        <v>19</v>
      </c>
      <c r="C200">
        <v>0</v>
      </c>
      <c r="D200">
        <f t="array" ref="D200">C200:C253-VESS!E200:E253</f>
        <v>-2</v>
      </c>
      <c r="E200">
        <f t="array" ref="E200">D200:D399-VESS!F200:F253</f>
        <v>-12</v>
      </c>
      <c r="F200">
        <f t="array" ref="F200">E200:E399-VESS!G200:G399</f>
        <v>-15</v>
      </c>
      <c r="G200">
        <f t="array" ref="G200">IF(VESS!I200:I399&gt;0,VESS!I200:I399,"")</f>
        <v>2</v>
      </c>
      <c r="H200">
        <f t="array" ref="H200">IF(VESS!J200:J399&gt;0,VESS!J200:J399,"")</f>
        <v>4</v>
      </c>
      <c r="I200">
        <f t="array" ref="I200">IF(VESS!K200:K399&gt;0,VESS!K200:K399,"")</f>
        <v>4</v>
      </c>
      <c r="J200">
        <f>IF(VESS!L200:L399&gt;0,VESS!L200:L399,I200)</f>
        <v>2</v>
      </c>
    </row>
    <row r="201" spans="1:10" x14ac:dyDescent="0.35">
      <c r="A201" t="s">
        <v>362</v>
      </c>
      <c r="B201" t="s">
        <v>19</v>
      </c>
      <c r="C201">
        <v>0</v>
      </c>
      <c r="D201">
        <f t="array" ref="D201">C201:C254-VESS!E201:E254</f>
        <v>-3</v>
      </c>
      <c r="E201">
        <f t="array" ref="E201">D201:D400-VESS!F201:F254</f>
        <v>-18</v>
      </c>
      <c r="F201">
        <f t="array" ref="F201">E201:E400-VESS!G201:G400</f>
        <v>-26</v>
      </c>
      <c r="G201">
        <f t="array" ref="G201">IF(VESS!I201:I400&gt;0,VESS!I201:I400,"")</f>
        <v>1</v>
      </c>
      <c r="H201">
        <f t="array" ref="H201">IF(VESS!J201:J400&gt;0,VESS!J201:J400,"")</f>
        <v>4</v>
      </c>
      <c r="I201">
        <f t="array" ref="I201">IF(VESS!K201:K400&gt;0,VESS!K201:K400,"")</f>
        <v>5</v>
      </c>
      <c r="J201">
        <f>IF(VESS!L201:L400&gt;0,VESS!L201:L400,I201)</f>
        <v>5</v>
      </c>
    </row>
    <row r="202" spans="1:10" x14ac:dyDescent="0.35">
      <c r="A202" t="s">
        <v>363</v>
      </c>
      <c r="B202" t="s">
        <v>19</v>
      </c>
      <c r="C202">
        <v>0</v>
      </c>
      <c r="D202">
        <f t="array" ref="D202">C202:C255-VESS!E202:E255</f>
        <v>-2</v>
      </c>
      <c r="E202">
        <f t="array" ref="E202">D202:D401-VESS!F202:F255</f>
        <v>-17</v>
      </c>
      <c r="F202">
        <f t="array" ref="F202">E202:E401-VESS!G202:G401</f>
        <v>-17</v>
      </c>
      <c r="G202">
        <f t="array" ref="G202">IF(VESS!I202:I401&gt;0,VESS!I202:I401,"")</f>
        <v>2</v>
      </c>
      <c r="H202">
        <f t="array" ref="H202">IF(VESS!J202:J401&gt;0,VESS!J202:J401,"")</f>
        <v>4</v>
      </c>
      <c r="I202" t="str">
        <f t="array" ref="I202">IF(VESS!K202:K401&gt;0,VESS!K202:K401,"")</f>
        <v/>
      </c>
      <c r="J202" t="str">
        <f>IF(VESS!L202:L401&gt;0,VESS!L202:L401,I202)</f>
        <v/>
      </c>
    </row>
    <row r="203" spans="1:10" x14ac:dyDescent="0.35">
      <c r="A203" t="s">
        <v>364</v>
      </c>
      <c r="B203" t="s">
        <v>19</v>
      </c>
      <c r="C203">
        <v>0</v>
      </c>
      <c r="D203">
        <f t="array" ref="D203">C203:C256-VESS!E203:E256</f>
        <v>0</v>
      </c>
      <c r="E203">
        <f t="array" ref="E203">D203:D402-VESS!F203:F256</f>
        <v>0</v>
      </c>
      <c r="F203">
        <f t="array" ref="F203">E203:E402-VESS!G203:G402</f>
        <v>0</v>
      </c>
      <c r="G203" t="str">
        <f t="array" ref="G203">IF(VESS!I203:I402&gt;0,VESS!I203:I402,"")</f>
        <v/>
      </c>
      <c r="H203" t="str">
        <f t="array" ref="H203">IF(VESS!J203:J402&gt;0,VESS!J203:J402,"")</f>
        <v/>
      </c>
      <c r="I203" t="str">
        <f t="array" ref="I203">IF(VESS!K203:K402&gt;0,VESS!K203:K402,"")</f>
        <v/>
      </c>
      <c r="J203" t="str">
        <f>IF(VESS!L203:L402&gt;0,VESS!L203:L402,I203)</f>
        <v/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EF094D7873FF64FB964C8DF54E18362" ma:contentTypeVersion="2" ma:contentTypeDescription="Create a new document." ma:contentTypeScope="" ma:versionID="4c16105d28f360f9a8696940fec634fb">
  <xsd:schema xmlns:xsd="http://www.w3.org/2001/XMLSchema" xmlns:xs="http://www.w3.org/2001/XMLSchema" xmlns:p="http://schemas.microsoft.com/office/2006/metadata/properties" xmlns:ns3="6b0bfa68-5189-42ec-896e-a5867b593c7d" targetNamespace="http://schemas.microsoft.com/office/2006/metadata/properties" ma:root="true" ma:fieldsID="8b9acd9f7f7084b21850b5a627847ff0" ns3:_="">
    <xsd:import namespace="6b0bfa68-5189-42ec-896e-a5867b593c7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b0bfa68-5189-42ec-896e-a5867b593c7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A4619DF-1F70-47FA-8458-3F2BD7AAD15E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F984054D-F508-4A8F-BF8F-2145F3D88B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b0bfa68-5189-42ec-896e-a5867b593c7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7E19ABE-FBD8-409C-A0EB-04593D105467}">
  <ds:schemaRefs>
    <ds:schemaRef ds:uri="6b0bfa68-5189-42ec-896e-a5867b593c7d"/>
    <ds:schemaRef ds:uri="http://schemas.microsoft.com/office/infopath/2007/PartnerControls"/>
    <ds:schemaRef ds:uri="http://www.w3.org/XML/1998/namespace"/>
    <ds:schemaRef ds:uri="http://purl.org/dc/terms/"/>
    <ds:schemaRef ds:uri="http://purl.org/dc/dcmitype/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schemas.microsoft.com/office/2006/metadata/properties"/>
  </ds:schemaRefs>
</ds:datastoreItem>
</file>

<file path=customXml/itemProps4.xml><?xml version="1.0" encoding="utf-8"?>
<ds:datastoreItem xmlns:ds="http://schemas.openxmlformats.org/officeDocument/2006/customXml" ds:itemID="{A806B30B-3BF8-4E90-B861-3C22F92DA19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Info</vt:lpstr>
      <vt:lpstr>Graphs</vt:lpstr>
      <vt:lpstr>ALL_2022</vt:lpstr>
      <vt:lpstr>VESS</vt:lpstr>
      <vt:lpstr>WormsCanopeoKhPlantChloro</vt:lpstr>
      <vt:lpstr>BD_biomass</vt:lpstr>
      <vt:lpstr>atLeaf</vt:lpstr>
      <vt:lpstr>ALL_2021</vt:lpstr>
      <vt:lpstr>ALL_2020</vt:lpstr>
      <vt:lpstr>2019</vt:lpstr>
      <vt:lpstr>VESS_profile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2024-04-08T07:56:21Z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0x010100CEF094D7873FF64FB964C8DF54E18362</vt:lpwstr>
  </property>
</Properties>
</file>