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drawings/drawing4.xml" ContentType="application/vnd.openxmlformats-officedocument.drawing+xml"/>
  <Override PartName="/xl/comments2.xml" ContentType="application/vnd.openxmlformats-officedocument.spreadsheetml.comments+xml"/>
  <Override PartName="/xl/threadedComments/threadedComment2.xml" ContentType="application/vnd.ms-excel.threadedcomments+xml"/>
  <Override PartName="/xl/comments3.xml" ContentType="application/vnd.openxmlformats-officedocument.spreadsheetml.comments+xml"/>
  <Override PartName="/xl/threadedComments/threadedComment3.xml" ContentType="application/vnd.ms-excel.threadedcomments+xml"/>
  <Override PartName="/xl/drawings/drawing5.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6.xml" ContentType="application/vnd.openxmlformats-officedocument.drawing+xml"/>
  <Override PartName="/xl/comments4.xml" ContentType="application/vnd.openxmlformats-officedocument.spreadsheetml.comments+xml"/>
  <Override PartName="/xl/threadedComments/threadedComment4.xml" ContentType="application/vnd.ms-excel.threadedcomments+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C:\Users\Nicolai\Documents\TUS\Master Thesis\Richter_Nikolai_MasterThesis\"/>
    </mc:Choice>
  </mc:AlternateContent>
  <xr:revisionPtr revIDLastSave="0" documentId="13_ncr:1_{8A24CBC9-E2DE-47DB-9B80-1F00ECCAAF62}" xr6:coauthVersionLast="47" xr6:coauthVersionMax="47" xr10:uidLastSave="{00000000-0000-0000-0000-000000000000}"/>
  <bookViews>
    <workbookView xWindow="-110" yWindow="-110" windowWidth="19420" windowHeight="11620" firstSheet="11" activeTab="15" xr2:uid="{AFFFA998-674F-4063-AC00-9790E3CA171D}"/>
  </bookViews>
  <sheets>
    <sheet name="disposal" sheetId="1" r:id="rId1"/>
    <sheet name="dmg_causes" sheetId="3" r:id="rId2"/>
    <sheet name="defects" sheetId="4" r:id="rId3"/>
    <sheet name="lifetime" sheetId="5" r:id="rId4"/>
    <sheet name="lifetime_months" sheetId="6" r:id="rId5"/>
    <sheet name="purchase_criteria" sheetId="2" r:id="rId6"/>
    <sheet name="repair" sheetId="7" r:id="rId7"/>
    <sheet name="transport" sheetId="26" r:id="rId8"/>
    <sheet name="designs" sheetId="9" r:id="rId9"/>
    <sheet name="defects_new" sheetId="22" r:id="rId10"/>
    <sheet name="product_calc" sheetId="25" r:id="rId11"/>
    <sheet name="product_data" sheetId="24" r:id="rId12"/>
    <sheet name="components_calc" sheetId="23" r:id="rId13"/>
    <sheet name="design_options" sheetId="21" r:id="rId14"/>
    <sheet name="conversion" sheetId="13" r:id="rId15"/>
    <sheet name="processes_data" sheetId="33" r:id="rId16"/>
    <sheet name="components_data" sheetId="14" r:id="rId17"/>
    <sheet name="material_elements" sheetId="28" r:id="rId18"/>
    <sheet name="recycling_routes" sheetId="19" r:id="rId19"/>
    <sheet name="routes_params" sheetId="20" r:id="rId20"/>
    <sheet name="BoM" sheetId="29" r:id="rId21"/>
    <sheet name="material_composition" sheetId="30" r:id="rId22"/>
    <sheet name="pcb" sheetId="32" r:id="rId23"/>
    <sheet name="amoled" sheetId="31" r:id="rId24"/>
  </sheets>
  <externalReferences>
    <externalReference r:id="rId25"/>
  </externalReferences>
  <definedNames>
    <definedName name="_xlnm._FilterDatabase" localSheetId="20" hidden="1">BoM!$A$3:$L$3</definedName>
    <definedName name="_xlnm._FilterDatabase" localSheetId="16" hidden="1">components_data!$A$1:$S$1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53" i="33" l="1"/>
  <c r="O6" i="28"/>
  <c r="O8" i="28"/>
  <c r="E5" i="33" s="1"/>
  <c r="O9" i="28"/>
  <c r="O10" i="28"/>
  <c r="O11" i="28"/>
  <c r="O12" i="28"/>
  <c r="O13" i="28"/>
  <c r="O14" i="28"/>
  <c r="O15" i="28"/>
  <c r="O16" i="28"/>
  <c r="O7" i="28"/>
  <c r="C101" i="33"/>
  <c r="C100" i="33"/>
  <c r="C99" i="33"/>
  <c r="C98" i="33"/>
  <c r="C97" i="33"/>
  <c r="C96" i="33"/>
  <c r="C95" i="33"/>
  <c r="C94" i="33"/>
  <c r="C93" i="33"/>
  <c r="C92" i="33"/>
  <c r="C91" i="33"/>
  <c r="C90" i="33"/>
  <c r="C89" i="33"/>
  <c r="C88" i="33"/>
  <c r="C87" i="33"/>
  <c r="C86" i="33"/>
  <c r="C85" i="33"/>
  <c r="C84" i="33"/>
  <c r="C83" i="33"/>
  <c r="C82" i="33"/>
  <c r="C81" i="33"/>
  <c r="C80" i="33"/>
  <c r="C79" i="33"/>
  <c r="C78" i="33"/>
  <c r="C77" i="33"/>
  <c r="C72" i="33"/>
  <c r="C71" i="33"/>
  <c r="C70" i="33"/>
  <c r="C69" i="33"/>
  <c r="C67" i="33"/>
  <c r="C66" i="33"/>
  <c r="C65" i="33"/>
  <c r="C64" i="33"/>
  <c r="C63" i="33"/>
  <c r="C62" i="33"/>
  <c r="C61" i="33"/>
  <c r="C60" i="33"/>
  <c r="C59" i="33"/>
  <c r="C57" i="33"/>
  <c r="C56" i="33"/>
  <c r="C55" i="33"/>
  <c r="C54" i="33"/>
  <c r="C52" i="33"/>
  <c r="C51" i="33"/>
  <c r="C50" i="33"/>
  <c r="C49" i="33"/>
  <c r="C48" i="33"/>
  <c r="C47" i="33"/>
  <c r="C46" i="33"/>
  <c r="C45" i="33"/>
  <c r="C44" i="33"/>
  <c r="C43" i="33"/>
  <c r="C42" i="33"/>
  <c r="C41" i="33"/>
  <c r="C36" i="33"/>
  <c r="C35" i="33"/>
  <c r="C34" i="33"/>
  <c r="C33" i="33"/>
  <c r="C32" i="33"/>
  <c r="C31" i="33"/>
  <c r="C30" i="33"/>
  <c r="C29" i="33"/>
  <c r="C28" i="33"/>
  <c r="C27" i="33"/>
  <c r="C26" i="33"/>
  <c r="C24" i="33"/>
  <c r="C23" i="33"/>
  <c r="C22" i="33"/>
  <c r="C21" i="33"/>
  <c r="C20" i="33"/>
  <c r="C19" i="33"/>
  <c r="C18" i="33"/>
  <c r="C16" i="33"/>
  <c r="C15" i="33"/>
  <c r="C14" i="33"/>
  <c r="C13" i="33"/>
  <c r="C12" i="33"/>
  <c r="C11" i="33"/>
  <c r="C10" i="33"/>
  <c r="C9" i="33"/>
  <c r="C8" i="33"/>
  <c r="C7" i="33"/>
  <c r="C6" i="33"/>
  <c r="C4" i="33"/>
  <c r="C3" i="33"/>
  <c r="C2" i="33"/>
  <c r="P17" i="28"/>
  <c r="V47" i="30" l="1"/>
  <c r="H6" i="30" l="1"/>
  <c r="D105" i="30"/>
  <c r="E105" i="30" s="1"/>
  <c r="D102" i="30"/>
  <c r="E102" i="30" s="1"/>
  <c r="B93" i="30"/>
  <c r="B96" i="30" s="1"/>
  <c r="B92" i="30"/>
  <c r="I82" i="30"/>
  <c r="I81" i="30"/>
  <c r="B80" i="30"/>
  <c r="I79" i="30"/>
  <c r="B79" i="30"/>
  <c r="B77" i="30"/>
  <c r="D72" i="30"/>
  <c r="C72" i="30"/>
  <c r="F62" i="30" s="1"/>
  <c r="B85" i="30" s="1"/>
  <c r="C71" i="30"/>
  <c r="E63" i="30" s="1"/>
  <c r="AR56" i="30"/>
  <c r="AQ56" i="30"/>
  <c r="AP56" i="30"/>
  <c r="AB56" i="30"/>
  <c r="H65" i="30" s="1"/>
  <c r="AR55" i="30"/>
  <c r="AQ55" i="30"/>
  <c r="M55" i="30"/>
  <c r="T55" i="30" s="1"/>
  <c r="Y55" i="30" s="1"/>
  <c r="L55" i="30"/>
  <c r="S55" i="30" s="1"/>
  <c r="X55" i="30" s="1"/>
  <c r="K55" i="30"/>
  <c r="J55" i="30"/>
  <c r="Q55" i="30" s="1"/>
  <c r="V55" i="30" s="1"/>
  <c r="D55" i="30"/>
  <c r="I55" i="30" s="1"/>
  <c r="AR54" i="30"/>
  <c r="AQ54" i="30"/>
  <c r="K54" i="30"/>
  <c r="J54" i="30"/>
  <c r="Q54" i="30" s="1"/>
  <c r="V54" i="30" s="1"/>
  <c r="H54" i="30"/>
  <c r="M54" i="30" s="1"/>
  <c r="T54" i="30" s="1"/>
  <c r="Y54" i="30" s="1"/>
  <c r="G54" i="30"/>
  <c r="L54" i="30" s="1"/>
  <c r="S54" i="30" s="1"/>
  <c r="X54" i="30" s="1"/>
  <c r="D54" i="30"/>
  <c r="I54" i="30" s="1"/>
  <c r="N54" i="30" s="1"/>
  <c r="C28" i="30" s="1"/>
  <c r="D28" i="30" s="1"/>
  <c r="AR53" i="30"/>
  <c r="AQ53" i="30"/>
  <c r="K53" i="30"/>
  <c r="J53" i="30"/>
  <c r="Q53" i="30" s="1"/>
  <c r="V53" i="30" s="1"/>
  <c r="H53" i="30"/>
  <c r="M53" i="30" s="1"/>
  <c r="T53" i="30" s="1"/>
  <c r="Y53" i="30" s="1"/>
  <c r="G53" i="30"/>
  <c r="L53" i="30" s="1"/>
  <c r="S53" i="30" s="1"/>
  <c r="X53" i="30" s="1"/>
  <c r="D53" i="30"/>
  <c r="I53" i="30" s="1"/>
  <c r="AR52" i="30"/>
  <c r="AQ52" i="30"/>
  <c r="K52" i="30"/>
  <c r="J52" i="30"/>
  <c r="Q52" i="30" s="1"/>
  <c r="V52" i="30" s="1"/>
  <c r="H52" i="30"/>
  <c r="M52" i="30" s="1"/>
  <c r="T52" i="30" s="1"/>
  <c r="Y52" i="30" s="1"/>
  <c r="G52" i="30"/>
  <c r="L52" i="30" s="1"/>
  <c r="S52" i="30" s="1"/>
  <c r="X52" i="30" s="1"/>
  <c r="D52" i="30"/>
  <c r="I52" i="30" s="1"/>
  <c r="AR51" i="30"/>
  <c r="AQ51" i="30"/>
  <c r="W51" i="30"/>
  <c r="M51" i="30"/>
  <c r="T51" i="30" s="1"/>
  <c r="Y51" i="30" s="1"/>
  <c r="L51" i="30"/>
  <c r="S51" i="30" s="1"/>
  <c r="X51" i="30" s="1"/>
  <c r="J51" i="30"/>
  <c r="Q51" i="30" s="1"/>
  <c r="V51" i="30" s="1"/>
  <c r="D51" i="30"/>
  <c r="I51" i="30" s="1"/>
  <c r="E45" i="30"/>
  <c r="E43" i="30"/>
  <c r="E36" i="30"/>
  <c r="E34" i="30"/>
  <c r="E29" i="30"/>
  <c r="A29" i="30"/>
  <c r="E28" i="30"/>
  <c r="A28" i="30"/>
  <c r="E27" i="30"/>
  <c r="A27" i="30"/>
  <c r="D26" i="30"/>
  <c r="F26" i="30" s="1"/>
  <c r="A26" i="30"/>
  <c r="L48" i="29"/>
  <c r="K48" i="29"/>
  <c r="J48" i="29"/>
  <c r="I48" i="29"/>
  <c r="H48" i="29"/>
  <c r="L47" i="29"/>
  <c r="K47" i="29"/>
  <c r="J47" i="29"/>
  <c r="I47" i="29"/>
  <c r="H47" i="29"/>
  <c r="L46" i="29"/>
  <c r="K46" i="29"/>
  <c r="J46" i="29"/>
  <c r="I46" i="29"/>
  <c r="H46" i="29"/>
  <c r="L45" i="29"/>
  <c r="K45" i="29"/>
  <c r="J45" i="29"/>
  <c r="I45" i="29"/>
  <c r="H45" i="29"/>
  <c r="L44" i="29"/>
  <c r="K44" i="29"/>
  <c r="J44" i="29"/>
  <c r="I44" i="29"/>
  <c r="H44" i="29"/>
  <c r="L43" i="29"/>
  <c r="K43" i="29"/>
  <c r="J43" i="29"/>
  <c r="I43" i="29"/>
  <c r="H43" i="29"/>
  <c r="L42" i="29"/>
  <c r="K42" i="29"/>
  <c r="J42" i="29"/>
  <c r="I42" i="29"/>
  <c r="H42" i="29"/>
  <c r="L41" i="29"/>
  <c r="K41" i="29"/>
  <c r="J41" i="29"/>
  <c r="I41" i="29"/>
  <c r="H41" i="29"/>
  <c r="L40" i="29"/>
  <c r="K40" i="29"/>
  <c r="J40" i="29"/>
  <c r="H40" i="29"/>
  <c r="D40" i="29"/>
  <c r="L39" i="29"/>
  <c r="K39" i="29"/>
  <c r="J39" i="29"/>
  <c r="I39" i="29"/>
  <c r="H39" i="29"/>
  <c r="L38" i="29"/>
  <c r="K38" i="29"/>
  <c r="J38" i="29"/>
  <c r="I38" i="29"/>
  <c r="H38" i="29"/>
  <c r="L37" i="29"/>
  <c r="K37" i="29"/>
  <c r="J37" i="29"/>
  <c r="I37" i="29"/>
  <c r="H37" i="29"/>
  <c r="L36" i="29"/>
  <c r="K36" i="29"/>
  <c r="J36" i="29"/>
  <c r="I36" i="29"/>
  <c r="H36" i="29"/>
  <c r="L35" i="29"/>
  <c r="K35" i="29"/>
  <c r="J35" i="29"/>
  <c r="I35" i="29"/>
  <c r="H35" i="29"/>
  <c r="L34" i="29"/>
  <c r="K34" i="29"/>
  <c r="J34" i="29"/>
  <c r="I34" i="29"/>
  <c r="H34" i="29"/>
  <c r="L33" i="29"/>
  <c r="K33" i="29"/>
  <c r="J33" i="29"/>
  <c r="H33" i="29"/>
  <c r="D33" i="29"/>
  <c r="L32" i="29"/>
  <c r="K32" i="29"/>
  <c r="J32" i="29"/>
  <c r="I32" i="29"/>
  <c r="H32" i="29"/>
  <c r="L31" i="29"/>
  <c r="K31" i="29"/>
  <c r="J31" i="29"/>
  <c r="I31" i="29"/>
  <c r="H31" i="29"/>
  <c r="L30" i="29"/>
  <c r="K30" i="29"/>
  <c r="J30" i="29"/>
  <c r="I30" i="29"/>
  <c r="H30" i="29"/>
  <c r="L29" i="29"/>
  <c r="K29" i="29"/>
  <c r="J29" i="29"/>
  <c r="I29" i="29"/>
  <c r="H29" i="29"/>
  <c r="L28" i="29"/>
  <c r="K28" i="29"/>
  <c r="J28" i="29"/>
  <c r="I28" i="29"/>
  <c r="H28" i="29"/>
  <c r="L27" i="29"/>
  <c r="K27" i="29"/>
  <c r="J27" i="29"/>
  <c r="I27" i="29"/>
  <c r="H27" i="29"/>
  <c r="L26" i="29"/>
  <c r="K26" i="29"/>
  <c r="J26" i="29"/>
  <c r="I26" i="29"/>
  <c r="H26" i="29"/>
  <c r="L25" i="29"/>
  <c r="K25" i="29"/>
  <c r="J25" i="29"/>
  <c r="I25" i="29"/>
  <c r="H25" i="29"/>
  <c r="L24" i="29"/>
  <c r="K24" i="29"/>
  <c r="J24" i="29"/>
  <c r="I24" i="29"/>
  <c r="H24" i="29"/>
  <c r="L23" i="29"/>
  <c r="K23" i="29"/>
  <c r="J23" i="29"/>
  <c r="I23" i="29"/>
  <c r="H23" i="29"/>
  <c r="L22" i="29"/>
  <c r="J22" i="29"/>
  <c r="I22" i="29"/>
  <c r="H22" i="29"/>
  <c r="F22" i="29"/>
  <c r="K22" i="29" s="1"/>
  <c r="L21" i="29"/>
  <c r="K21" i="29"/>
  <c r="J21" i="29"/>
  <c r="I21" i="29"/>
  <c r="H21" i="29"/>
  <c r="L20" i="29"/>
  <c r="K20" i="29"/>
  <c r="J20" i="29"/>
  <c r="H20" i="29"/>
  <c r="D20" i="29"/>
  <c r="L19" i="29"/>
  <c r="K19" i="29"/>
  <c r="J19" i="29"/>
  <c r="I19" i="29"/>
  <c r="H19" i="29"/>
  <c r="L18" i="29"/>
  <c r="K18" i="29"/>
  <c r="J18" i="29"/>
  <c r="I18" i="29"/>
  <c r="H18" i="29"/>
  <c r="L17" i="29"/>
  <c r="K17" i="29"/>
  <c r="J17" i="29"/>
  <c r="I17" i="29"/>
  <c r="H17" i="29"/>
  <c r="L16" i="29"/>
  <c r="K16" i="29"/>
  <c r="J16" i="29"/>
  <c r="I16" i="29"/>
  <c r="H16" i="29"/>
  <c r="L15" i="29"/>
  <c r="K15" i="29"/>
  <c r="J15" i="29"/>
  <c r="I15" i="29"/>
  <c r="H15" i="29"/>
  <c r="L14" i="29"/>
  <c r="K14" i="29"/>
  <c r="J14" i="29"/>
  <c r="H14" i="29"/>
  <c r="D14" i="29"/>
  <c r="L13" i="29"/>
  <c r="K13" i="29"/>
  <c r="J13" i="29"/>
  <c r="I13" i="29"/>
  <c r="H13" i="29"/>
  <c r="L12" i="29"/>
  <c r="K12" i="29"/>
  <c r="J12" i="29"/>
  <c r="I12" i="29"/>
  <c r="H12" i="29"/>
  <c r="L11" i="29"/>
  <c r="K11" i="29"/>
  <c r="J11" i="29"/>
  <c r="I11" i="29"/>
  <c r="H11" i="29"/>
  <c r="L10" i="29"/>
  <c r="K10" i="29"/>
  <c r="J10" i="29"/>
  <c r="I10" i="29"/>
  <c r="H10" i="29"/>
  <c r="L9" i="29"/>
  <c r="K9" i="29"/>
  <c r="J9" i="29"/>
  <c r="I9" i="29"/>
  <c r="H9" i="29"/>
  <c r="L8" i="29"/>
  <c r="K8" i="29"/>
  <c r="J8" i="29"/>
  <c r="I8" i="29"/>
  <c r="H8" i="29"/>
  <c r="L7" i="29"/>
  <c r="K7" i="29"/>
  <c r="J7" i="29"/>
  <c r="I7" i="29"/>
  <c r="H7" i="29"/>
  <c r="L6" i="29"/>
  <c r="K6" i="29"/>
  <c r="J6" i="29"/>
  <c r="I6" i="29"/>
  <c r="H6" i="29"/>
  <c r="L5" i="29"/>
  <c r="K5" i="29"/>
  <c r="J5" i="29"/>
  <c r="I5" i="29"/>
  <c r="H5" i="29"/>
  <c r="L4" i="29"/>
  <c r="K4" i="29"/>
  <c r="J4" i="29"/>
  <c r="I4" i="29"/>
  <c r="H4" i="29"/>
  <c r="L3" i="29"/>
  <c r="K3" i="29"/>
  <c r="J3" i="29"/>
  <c r="I3" i="29"/>
  <c r="H3" i="29"/>
  <c r="D2" i="29"/>
  <c r="N52" i="30" l="1"/>
  <c r="B41" i="29"/>
  <c r="B46" i="29"/>
  <c r="B25" i="29"/>
  <c r="F63" i="30"/>
  <c r="E72" i="30" s="1"/>
  <c r="B7" i="29"/>
  <c r="F28" i="30"/>
  <c r="B94" i="30"/>
  <c r="C98" i="30" s="1"/>
  <c r="G63" i="30"/>
  <c r="H67" i="30"/>
  <c r="B95" i="30"/>
  <c r="B97" i="30" s="1"/>
  <c r="F64" i="30"/>
  <c r="B86" i="30" s="1"/>
  <c r="E42" i="30"/>
  <c r="F44" i="30" s="1"/>
  <c r="H66" i="30"/>
  <c r="P54" i="30"/>
  <c r="U54" i="30" s="1"/>
  <c r="F61" i="30"/>
  <c r="G105" i="30"/>
  <c r="F43" i="30"/>
  <c r="F42" i="30"/>
  <c r="P55" i="30"/>
  <c r="U55" i="30" s="1"/>
  <c r="N55" i="30"/>
  <c r="C29" i="30" s="1"/>
  <c r="D29" i="30" s="1"/>
  <c r="F29" i="30" s="1"/>
  <c r="N51" i="30"/>
  <c r="C27" i="30" s="1"/>
  <c r="D27" i="30" s="1"/>
  <c r="F27" i="30" s="1"/>
  <c r="P51" i="30"/>
  <c r="U51" i="30" s="1"/>
  <c r="P53" i="30"/>
  <c r="N53" i="30"/>
  <c r="G102" i="30"/>
  <c r="E33" i="30"/>
  <c r="F34" i="30" s="1"/>
  <c r="B78" i="30"/>
  <c r="E62" i="30"/>
  <c r="E64" i="30"/>
  <c r="P52" i="30"/>
  <c r="E61" i="30"/>
  <c r="B9" i="29"/>
  <c r="B6" i="29"/>
  <c r="B8" i="29"/>
  <c r="B24" i="29"/>
  <c r="B13" i="29"/>
  <c r="B35" i="29"/>
  <c r="B16" i="29"/>
  <c r="B34" i="29"/>
  <c r="B5" i="29"/>
  <c r="B15" i="29"/>
  <c r="B26" i="29"/>
  <c r="B4" i="29"/>
  <c r="B17" i="29"/>
  <c r="B21" i="29"/>
  <c r="B22" i="29"/>
  <c r="B27" i="29"/>
  <c r="B36" i="29"/>
  <c r="B37" i="29"/>
  <c r="I40" i="29"/>
  <c r="B40" i="29" s="1"/>
  <c r="B44" i="29"/>
  <c r="B45" i="29"/>
  <c r="B11" i="29"/>
  <c r="B12" i="29"/>
  <c r="B32" i="29"/>
  <c r="B48" i="29"/>
  <c r="B18" i="29"/>
  <c r="B28" i="29"/>
  <c r="I20" i="29"/>
  <c r="B30" i="29"/>
  <c r="B31" i="29"/>
  <c r="B39" i="29"/>
  <c r="B23" i="29"/>
  <c r="B10" i="29"/>
  <c r="B47" i="29"/>
  <c r="B19" i="29"/>
  <c r="I14" i="29"/>
  <c r="B14" i="29" s="1"/>
  <c r="B29" i="29"/>
  <c r="I33" i="29"/>
  <c r="B33" i="29" s="1"/>
  <c r="B38" i="29"/>
  <c r="B43" i="29"/>
  <c r="B42" i="29"/>
  <c r="B20" i="29"/>
  <c r="H63" i="30" l="1"/>
  <c r="G64" i="30"/>
  <c r="F45" i="30"/>
  <c r="H64" i="30"/>
  <c r="R54" i="30"/>
  <c r="W54" i="30" s="1"/>
  <c r="Z54" i="30" s="1"/>
  <c r="AA54" i="30" s="1"/>
  <c r="F36" i="30"/>
  <c r="G38" i="30"/>
  <c r="U52" i="30"/>
  <c r="R52" i="30"/>
  <c r="W52" i="30" s="1"/>
  <c r="R53" i="30"/>
  <c r="W53" i="30" s="1"/>
  <c r="U53" i="30"/>
  <c r="G103" i="30"/>
  <c r="G104" i="30"/>
  <c r="B88" i="30"/>
  <c r="C78" i="30" s="1"/>
  <c r="Z51" i="30"/>
  <c r="G61" i="30"/>
  <c r="AD56" i="30"/>
  <c r="E71" i="30"/>
  <c r="AE56" i="30"/>
  <c r="G62" i="30"/>
  <c r="H62" i="30" s="1"/>
  <c r="G46" i="30"/>
  <c r="J33" i="30"/>
  <c r="I33" i="30"/>
  <c r="F33" i="30"/>
  <c r="F35" i="30"/>
  <c r="R55" i="30"/>
  <c r="W55" i="30" s="1"/>
  <c r="AU54" i="30" l="1"/>
  <c r="H106" i="30"/>
  <c r="AS56" i="30"/>
  <c r="AT56" i="30"/>
  <c r="C83" i="30"/>
  <c r="C88" i="30"/>
  <c r="C80" i="30"/>
  <c r="C84" i="30"/>
  <c r="C82" i="30"/>
  <c r="C81" i="30"/>
  <c r="C79" i="30"/>
  <c r="C77" i="30"/>
  <c r="C89" i="30" s="1"/>
  <c r="C86" i="30"/>
  <c r="C85" i="30"/>
  <c r="AA51" i="30"/>
  <c r="AU51" i="30"/>
  <c r="Z53" i="30"/>
  <c r="Z52" i="30"/>
  <c r="E73" i="30"/>
  <c r="H61" i="30"/>
  <c r="AP54" i="30"/>
  <c r="AC54" i="30"/>
  <c r="AM54" i="30"/>
  <c r="AB54" i="30"/>
  <c r="AM51" i="30" l="1"/>
  <c r="AB51" i="30"/>
  <c r="AP51" i="30"/>
  <c r="AC51" i="30"/>
  <c r="AU53" i="30"/>
  <c r="AA53" i="30"/>
  <c r="AG54" i="30"/>
  <c r="AF54" i="30"/>
  <c r="AE54" i="30"/>
  <c r="AJ54" i="30"/>
  <c r="AD54" i="30"/>
  <c r="AI54" i="30"/>
  <c r="AH54" i="30"/>
  <c r="AU52" i="30"/>
  <c r="AA52" i="30"/>
  <c r="AT54" i="30" l="1"/>
  <c r="AS54" i="30"/>
  <c r="AM52" i="30"/>
  <c r="AP52" i="30"/>
  <c r="AB52" i="30"/>
  <c r="AC52" i="30"/>
  <c r="AP53" i="30"/>
  <c r="AM53" i="30"/>
  <c r="AC53" i="30"/>
  <c r="AB53" i="30"/>
  <c r="AF51" i="30"/>
  <c r="AD51" i="30"/>
  <c r="AJ51" i="30"/>
  <c r="AI51" i="30"/>
  <c r="AH51" i="30"/>
  <c r="AG51" i="30"/>
  <c r="AE51" i="30"/>
  <c r="AT51" i="30" l="1"/>
  <c r="AS51" i="30"/>
  <c r="AD53" i="30"/>
  <c r="AJ53" i="30"/>
  <c r="AH53" i="30"/>
  <c r="AG53" i="30"/>
  <c r="AI53" i="30"/>
  <c r="AF53" i="30"/>
  <c r="AE53" i="30"/>
  <c r="AI52" i="30"/>
  <c r="AG52" i="30"/>
  <c r="AE52" i="30"/>
  <c r="AD52" i="30"/>
  <c r="AF52" i="30"/>
  <c r="AH52" i="30"/>
  <c r="AJ52" i="30"/>
  <c r="AT52" i="30" l="1"/>
  <c r="AT53" i="30"/>
  <c r="AS52" i="30"/>
  <c r="AS53" i="30"/>
  <c r="I2" i="14" l="1"/>
  <c r="F2" i="14" s="1"/>
  <c r="I15" i="14"/>
  <c r="F15" i="14" s="1"/>
  <c r="I9" i="14"/>
  <c r="F9" i="14" s="1"/>
  <c r="K14" i="22"/>
  <c r="K15" i="22"/>
  <c r="K11" i="22"/>
  <c r="H15" i="22"/>
  <c r="J14" i="22"/>
  <c r="I14" i="22"/>
  <c r="J13" i="22"/>
  <c r="J17" i="22" s="1"/>
  <c r="K17" i="22" s="1"/>
  <c r="H13" i="22"/>
  <c r="H3" i="14" s="1"/>
  <c r="I12" i="22"/>
  <c r="I16" i="22" s="1"/>
  <c r="K16" i="22" s="1"/>
  <c r="H12" i="22"/>
  <c r="L6" i="14"/>
  <c r="L7" i="14"/>
  <c r="L8" i="14"/>
  <c r="M3" i="14"/>
  <c r="M4" i="14"/>
  <c r="M5" i="14"/>
  <c r="M6" i="14"/>
  <c r="M7" i="14"/>
  <c r="M8" i="14"/>
  <c r="M9" i="14"/>
  <c r="N9" i="14" s="1"/>
  <c r="M10" i="14"/>
  <c r="N10" i="14" s="1"/>
  <c r="M11" i="14"/>
  <c r="N11" i="14" s="1"/>
  <c r="M12" i="14"/>
  <c r="N12" i="14" s="1"/>
  <c r="M13" i="14"/>
  <c r="M14" i="14"/>
  <c r="M15" i="14"/>
  <c r="F13" i="21"/>
  <c r="L14" i="14" s="1"/>
  <c r="F11" i="21"/>
  <c r="F10" i="21"/>
  <c r="F9" i="21"/>
  <c r="K2" i="14"/>
  <c r="M2" i="14" s="1"/>
  <c r="N2" i="14" s="1"/>
  <c r="J2" i="14"/>
  <c r="I11" i="14"/>
  <c r="F11" i="14" s="1"/>
  <c r="I10" i="14"/>
  <c r="F10" i="14" s="1"/>
  <c r="A2" i="24"/>
  <c r="J5" i="14"/>
  <c r="F8" i="14"/>
  <c r="F7" i="14"/>
  <c r="F14" i="14"/>
  <c r="F13" i="14"/>
  <c r="F12" i="14"/>
  <c r="F6" i="14"/>
  <c r="F5" i="14"/>
  <c r="F4" i="14"/>
  <c r="F3" i="14"/>
  <c r="E5" i="14"/>
  <c r="E13" i="14"/>
  <c r="E7" i="14"/>
  <c r="E2" i="14"/>
  <c r="J15" i="14"/>
  <c r="J7" i="14"/>
  <c r="J13" i="14"/>
  <c r="J9" i="14"/>
  <c r="N13" i="14" l="1"/>
  <c r="L3" i="14"/>
  <c r="L4" i="14"/>
  <c r="L5" i="14"/>
  <c r="K13" i="22"/>
  <c r="K12" i="22"/>
  <c r="N8" i="14"/>
  <c r="L9" i="14"/>
  <c r="N7" i="14"/>
  <c r="L15" i="14"/>
  <c r="N6" i="14"/>
  <c r="L13" i="14"/>
  <c r="N3" i="14"/>
  <c r="N5" i="14"/>
  <c r="L12" i="14"/>
  <c r="N4" i="14"/>
  <c r="L10" i="14"/>
  <c r="N15" i="14"/>
  <c r="L11" i="14"/>
  <c r="N14" i="14"/>
  <c r="L2" i="14"/>
  <c r="E3" i="14"/>
  <c r="J8" i="14"/>
  <c r="J6" i="14"/>
  <c r="D11" i="23"/>
  <c r="D14" i="23"/>
  <c r="D2" i="23"/>
  <c r="D5" i="23"/>
  <c r="P19" i="28" l="1"/>
  <c r="P18" i="28"/>
  <c r="C10" i="28" l="1"/>
  <c r="C11" i="28"/>
  <c r="C12" i="28"/>
  <c r="M11" i="28"/>
  <c r="M8" i="28"/>
  <c r="M7" i="28"/>
  <c r="L14" i="28"/>
  <c r="L11" i="28"/>
  <c r="L6" i="28" s="1"/>
  <c r="K16" i="28"/>
  <c r="K13" i="28"/>
  <c r="J14" i="28"/>
  <c r="J11" i="28"/>
  <c r="J9" i="28"/>
  <c r="J8" i="28"/>
  <c r="J7" i="28"/>
  <c r="I9" i="28"/>
  <c r="I8" i="28"/>
  <c r="I7" i="28"/>
  <c r="H15" i="28"/>
  <c r="H9" i="28"/>
  <c r="H8" i="28"/>
  <c r="H7" i="28"/>
  <c r="G15" i="28"/>
  <c r="G14" i="28"/>
  <c r="G11" i="28"/>
  <c r="G9" i="28"/>
  <c r="G8" i="28"/>
  <c r="G7" i="28"/>
  <c r="F9" i="28"/>
  <c r="F8" i="28"/>
  <c r="F7" i="28"/>
  <c r="E9" i="28"/>
  <c r="E7" i="28"/>
  <c r="E8" i="28"/>
  <c r="D13" i="28"/>
  <c r="D6" i="28" s="1"/>
  <c r="M3" i="28"/>
  <c r="M2" i="28" s="1"/>
  <c r="L3" i="28"/>
  <c r="L2" i="28" s="1"/>
  <c r="K3" i="28"/>
  <c r="K2" i="28" s="1"/>
  <c r="J3" i="28"/>
  <c r="J2" i="28" s="1"/>
  <c r="I3" i="28"/>
  <c r="I2" i="28" s="1"/>
  <c r="H3" i="28"/>
  <c r="H2" i="28" s="1"/>
  <c r="G3" i="28"/>
  <c r="G2" i="28" s="1"/>
  <c r="F3" i="28"/>
  <c r="F2" i="28" s="1"/>
  <c r="E3" i="28"/>
  <c r="E2" i="28" s="1"/>
  <c r="D3" i="28"/>
  <c r="D2" i="28" s="1"/>
  <c r="C3" i="28"/>
  <c r="C2" i="28" s="1"/>
  <c r="N2" i="28" l="1"/>
  <c r="O2" i="28" s="1"/>
  <c r="B10" i="13" s="1"/>
  <c r="N8" i="28"/>
  <c r="N16" i="28"/>
  <c r="N11" i="28"/>
  <c r="N9" i="28"/>
  <c r="N6" i="28"/>
  <c r="N10" i="28"/>
  <c r="E6" i="28"/>
  <c r="I6" i="28"/>
  <c r="K6" i="28"/>
  <c r="G6" i="28"/>
  <c r="F6" i="28"/>
  <c r="H6" i="28"/>
  <c r="C6" i="28"/>
  <c r="N12" i="28" s="1"/>
  <c r="M6" i="28"/>
  <c r="J6" i="28"/>
  <c r="N15" i="28" l="1"/>
  <c r="N14" i="28"/>
  <c r="N7" i="28"/>
  <c r="N13" i="28"/>
  <c r="G2" i="26" l="1"/>
  <c r="D469" i="19"/>
  <c r="D468" i="19"/>
  <c r="D467" i="19"/>
  <c r="D466" i="19"/>
  <c r="D465" i="19"/>
  <c r="D464" i="19"/>
  <c r="D463" i="19"/>
  <c r="D462" i="19"/>
  <c r="D461" i="19"/>
  <c r="D16" i="23"/>
  <c r="G16" i="23" s="1"/>
  <c r="D15" i="23"/>
  <c r="G15" i="23" s="1"/>
  <c r="G14" i="23"/>
  <c r="D13" i="23"/>
  <c r="G13" i="23" s="1"/>
  <c r="D12" i="23"/>
  <c r="G12" i="23" s="1"/>
  <c r="G11" i="23"/>
  <c r="D10" i="23"/>
  <c r="G10" i="23" s="1"/>
  <c r="D9" i="23"/>
  <c r="G9" i="23" s="1"/>
  <c r="D8" i="23"/>
  <c r="G8" i="23" s="1"/>
  <c r="D7" i="23"/>
  <c r="G7" i="23" s="1"/>
  <c r="D6" i="23"/>
  <c r="G6" i="23" s="1"/>
  <c r="G5" i="23"/>
  <c r="D4" i="23"/>
  <c r="G4" i="23" s="1"/>
  <c r="D3" i="23"/>
  <c r="G3" i="23" s="1"/>
  <c r="G2" i="23"/>
  <c r="P8" i="14"/>
  <c r="P6" i="14"/>
  <c r="A7" i="25"/>
  <c r="C7" i="25" s="1"/>
  <c r="E7" i="25" s="1"/>
  <c r="F7" i="25" s="1"/>
  <c r="G7" i="25" s="1"/>
  <c r="B4" i="25"/>
  <c r="B3" i="25"/>
  <c r="G2" i="24"/>
  <c r="F2" i="24"/>
  <c r="D2" i="24"/>
  <c r="O10" i="22"/>
  <c r="C10" i="22"/>
  <c r="B10" i="22"/>
  <c r="O9" i="22"/>
  <c r="G9" i="22"/>
  <c r="E9" i="22"/>
  <c r="H9" i="22" s="1"/>
  <c r="D9" i="22"/>
  <c r="C9" i="22"/>
  <c r="F9" i="22" s="1"/>
  <c r="J9" i="22" s="1"/>
  <c r="B9" i="22"/>
  <c r="O8" i="22"/>
  <c r="J8" i="22"/>
  <c r="E8" i="22"/>
  <c r="D8" i="22"/>
  <c r="C8" i="22"/>
  <c r="B8" i="22"/>
  <c r="O7" i="22"/>
  <c r="J7" i="22"/>
  <c r="D7" i="22"/>
  <c r="C7" i="22"/>
  <c r="B7" i="22"/>
  <c r="E7" i="22" s="1"/>
  <c r="O6" i="22"/>
  <c r="F6" i="22"/>
  <c r="G12" i="14" s="1"/>
  <c r="J12" i="14" s="1"/>
  <c r="D6" i="22"/>
  <c r="G6" i="22" s="1"/>
  <c r="C6" i="22"/>
  <c r="B6" i="22"/>
  <c r="E6" i="22" s="1"/>
  <c r="O5" i="22"/>
  <c r="G5" i="22"/>
  <c r="E5" i="22"/>
  <c r="H5" i="22" s="1"/>
  <c r="D5" i="22"/>
  <c r="G7" i="22" s="1"/>
  <c r="C5" i="22"/>
  <c r="F5" i="22" s="1"/>
  <c r="B5" i="22"/>
  <c r="G13" i="21"/>
  <c r="G11" i="21"/>
  <c r="G10" i="21"/>
  <c r="G9" i="21"/>
  <c r="J2" i="26"/>
  <c r="I2" i="26"/>
  <c r="H2" i="26"/>
  <c r="D2" i="26"/>
  <c r="D89" i="7"/>
  <c r="C89" i="7"/>
  <c r="G88" i="7"/>
  <c r="G89" i="7" s="1"/>
  <c r="F88" i="7"/>
  <c r="F89" i="7" s="1"/>
  <c r="E88" i="7"/>
  <c r="I88" i="7" s="1"/>
  <c r="B88" i="7"/>
  <c r="B79" i="7"/>
  <c r="B80" i="7" s="1"/>
  <c r="E89" i="7" s="1"/>
  <c r="B51" i="7"/>
  <c r="E28" i="7"/>
  <c r="E27" i="7"/>
  <c r="E26" i="7"/>
  <c r="J24" i="7"/>
  <c r="J23" i="7"/>
  <c r="I14" i="7"/>
  <c r="I13" i="7"/>
  <c r="A184" i="5"/>
  <c r="A183" i="5"/>
  <c r="A182" i="5"/>
  <c r="A181" i="5"/>
  <c r="A180" i="5"/>
  <c r="A179" i="5"/>
  <c r="A178" i="5"/>
  <c r="A177" i="5"/>
  <c r="A176" i="5"/>
  <c r="A175" i="5"/>
  <c r="A174" i="5"/>
  <c r="A173" i="5"/>
  <c r="A172" i="5"/>
  <c r="A171" i="5"/>
  <c r="A170" i="5"/>
  <c r="A169" i="5"/>
  <c r="A168" i="5"/>
  <c r="A167" i="5"/>
  <c r="A166" i="5"/>
  <c r="A165" i="5"/>
  <c r="A164" i="5"/>
  <c r="A163" i="5"/>
  <c r="A162" i="5"/>
  <c r="A161" i="5"/>
  <c r="A160" i="5"/>
  <c r="A159" i="5"/>
  <c r="A158" i="5"/>
  <c r="A157" i="5"/>
  <c r="A156" i="5"/>
  <c r="A155" i="5"/>
  <c r="A154" i="5"/>
  <c r="A153" i="5"/>
  <c r="A152" i="5"/>
  <c r="A151" i="5"/>
  <c r="A150" i="5"/>
  <c r="A149" i="5"/>
  <c r="A148" i="5"/>
  <c r="A147" i="5"/>
  <c r="A146" i="5"/>
  <c r="A145" i="5"/>
  <c r="A144" i="5"/>
  <c r="A143" i="5"/>
  <c r="A142" i="5"/>
  <c r="A141" i="5"/>
  <c r="A140" i="5"/>
  <c r="A139" i="5"/>
  <c r="A138" i="5"/>
  <c r="A137" i="5"/>
  <c r="A136" i="5"/>
  <c r="A135" i="5"/>
  <c r="A134" i="5"/>
  <c r="A133" i="5"/>
  <c r="A132" i="5"/>
  <c r="A131" i="5"/>
  <c r="A130" i="5"/>
  <c r="A129" i="5"/>
  <c r="A128" i="5"/>
  <c r="A127" i="5"/>
  <c r="A126" i="5"/>
  <c r="A125" i="5"/>
  <c r="A124" i="5"/>
  <c r="A123" i="5"/>
  <c r="A122" i="5"/>
  <c r="A121" i="5"/>
  <c r="A120" i="5"/>
  <c r="A119" i="5"/>
  <c r="A118" i="5"/>
  <c r="A117" i="5"/>
  <c r="A116" i="5"/>
  <c r="A115" i="5"/>
  <c r="A114" i="5"/>
  <c r="A113" i="5"/>
  <c r="A112" i="5"/>
  <c r="A111" i="5"/>
  <c r="A110" i="5"/>
  <c r="A109" i="5"/>
  <c r="A108" i="5"/>
  <c r="A107" i="5"/>
  <c r="A106" i="5"/>
  <c r="A105" i="5"/>
  <c r="A104" i="5"/>
  <c r="A103" i="5"/>
  <c r="A102" i="5"/>
  <c r="A101" i="5"/>
  <c r="A100" i="5"/>
  <c r="A99" i="5"/>
  <c r="A98" i="5"/>
  <c r="A97" i="5"/>
  <c r="A96" i="5"/>
  <c r="A95" i="5"/>
  <c r="A94" i="5"/>
  <c r="A93" i="5"/>
  <c r="A92" i="5"/>
  <c r="A91" i="5"/>
  <c r="A90" i="5"/>
  <c r="A89" i="5"/>
  <c r="A88" i="5"/>
  <c r="A87" i="5"/>
  <c r="A86" i="5"/>
  <c r="A85" i="5"/>
  <c r="A84" i="5"/>
  <c r="A83" i="5"/>
  <c r="A82" i="5"/>
  <c r="A81" i="5"/>
  <c r="A80" i="5"/>
  <c r="A79" i="5"/>
  <c r="A78" i="5"/>
  <c r="A77" i="5"/>
  <c r="A76" i="5"/>
  <c r="A75" i="5"/>
  <c r="A74" i="5"/>
  <c r="A73" i="5"/>
  <c r="A72" i="5"/>
  <c r="A71" i="5"/>
  <c r="A70" i="5"/>
  <c r="A69" i="5"/>
  <c r="A68" i="5"/>
  <c r="A67" i="5"/>
  <c r="A66" i="5"/>
  <c r="A65" i="5"/>
  <c r="A64" i="5"/>
  <c r="E63" i="5"/>
  <c r="D63" i="5"/>
  <c r="C63" i="5"/>
  <c r="G51" i="5"/>
  <c r="G50" i="5" s="1"/>
  <c r="G49" i="5" s="1"/>
  <c r="F51" i="5"/>
  <c r="F50" i="5" s="1"/>
  <c r="F49" i="5" s="1"/>
  <c r="E51" i="5"/>
  <c r="D51" i="5"/>
  <c r="D50" i="5" s="1"/>
  <c r="D49" i="5" s="1"/>
  <c r="C51" i="5"/>
  <c r="C50" i="5" s="1"/>
  <c r="C49" i="5" s="1"/>
  <c r="E50" i="5"/>
  <c r="E49" i="5" s="1"/>
  <c r="G37" i="5"/>
  <c r="G36" i="5"/>
  <c r="D7" i="5"/>
  <c r="C7" i="5"/>
  <c r="D6" i="5"/>
  <c r="D5" i="5"/>
  <c r="D4" i="5"/>
  <c r="C4" i="5"/>
  <c r="D3" i="5"/>
  <c r="D2" i="5"/>
  <c r="O90" i="4"/>
  <c r="N90" i="4"/>
  <c r="N91" i="4" s="1"/>
  <c r="N89" i="4"/>
  <c r="L84" i="4"/>
  <c r="L83" i="4"/>
  <c r="G83" i="4"/>
  <c r="F83" i="4"/>
  <c r="L82" i="4"/>
  <c r="G82" i="4"/>
  <c r="F82" i="4"/>
  <c r="L81" i="4"/>
  <c r="G81" i="4"/>
  <c r="F81" i="4"/>
  <c r="L80" i="4"/>
  <c r="L85" i="4" s="1"/>
  <c r="G80" i="4"/>
  <c r="F80" i="4"/>
  <c r="L79" i="4"/>
  <c r="G79" i="4"/>
  <c r="F79" i="4"/>
  <c r="L78" i="4"/>
  <c r="G78" i="4"/>
  <c r="F78" i="4"/>
  <c r="L77" i="4"/>
  <c r="G77" i="4"/>
  <c r="F77" i="4"/>
  <c r="H84" i="4" s="1"/>
  <c r="E57" i="4"/>
  <c r="E55" i="4"/>
  <c r="E54" i="4"/>
  <c r="G53" i="4"/>
  <c r="G56" i="4" s="1"/>
  <c r="G58" i="4" s="1"/>
  <c r="L51" i="4"/>
  <c r="I54" i="4" s="1"/>
  <c r="G51" i="4"/>
  <c r="J54" i="4" s="1"/>
  <c r="J57" i="4" s="1"/>
  <c r="J59" i="4" s="1"/>
  <c r="F51" i="4"/>
  <c r="F54" i="4" s="1"/>
  <c r="E51" i="4"/>
  <c r="M50" i="4"/>
  <c r="M53" i="4" s="1"/>
  <c r="M56" i="4" s="1"/>
  <c r="M58" i="4" s="1"/>
  <c r="L50" i="4"/>
  <c r="L53" i="4" s="1"/>
  <c r="L56" i="4" s="1"/>
  <c r="L58" i="4" s="1"/>
  <c r="J50" i="4"/>
  <c r="J53" i="4" s="1"/>
  <c r="J56" i="4" s="1"/>
  <c r="J58" i="4" s="1"/>
  <c r="G50" i="4"/>
  <c r="F50" i="4"/>
  <c r="H53" i="4" s="1"/>
  <c r="E50" i="4"/>
  <c r="E53" i="4" s="1"/>
  <c r="E56" i="4" s="1"/>
  <c r="O49" i="4"/>
  <c r="K49" i="4"/>
  <c r="E48" i="4"/>
  <c r="E47" i="4"/>
  <c r="E46" i="4"/>
  <c r="E45" i="4"/>
  <c r="M44" i="4"/>
  <c r="L44" i="4"/>
  <c r="J44" i="4"/>
  <c r="J49" i="4" s="1"/>
  <c r="G44" i="4"/>
  <c r="F44" i="4"/>
  <c r="F49" i="4" s="1"/>
  <c r="E44" i="4"/>
  <c r="E43" i="4"/>
  <c r="N42" i="4"/>
  <c r="N49" i="4" s="1"/>
  <c r="L42" i="4"/>
  <c r="L49" i="4" s="1"/>
  <c r="H42" i="4"/>
  <c r="E42" i="4"/>
  <c r="I33" i="4"/>
  <c r="N27" i="4"/>
  <c r="G43" i="4" s="1"/>
  <c r="G49" i="4" s="1"/>
  <c r="G52" i="4" s="1"/>
  <c r="G55" i="4" s="1"/>
  <c r="M27" i="4"/>
  <c r="N26" i="4"/>
  <c r="M43" i="4" s="1"/>
  <c r="M49" i="4" s="1"/>
  <c r="M26" i="4"/>
  <c r="J26" i="4"/>
  <c r="G26" i="4"/>
  <c r="H26" i="4" s="1"/>
  <c r="L35" i="4" s="1"/>
  <c r="N25" i="4"/>
  <c r="I43" i="4" s="1"/>
  <c r="I49" i="4" s="1"/>
  <c r="M25" i="4"/>
  <c r="K25" i="4"/>
  <c r="J25" i="4"/>
  <c r="K26" i="4" s="1"/>
  <c r="G25" i="4"/>
  <c r="N24" i="4"/>
  <c r="H43" i="4" s="1"/>
  <c r="H49" i="4" s="1"/>
  <c r="M24" i="4"/>
  <c r="J24" i="4"/>
  <c r="G24" i="4"/>
  <c r="H24" i="4" s="1"/>
  <c r="J35" i="4" s="1"/>
  <c r="D18" i="4"/>
  <c r="D17" i="4"/>
  <c r="D16" i="4"/>
  <c r="D15" i="4"/>
  <c r="H14" i="4"/>
  <c r="L33" i="4" s="1"/>
  <c r="L37" i="4" s="1"/>
  <c r="D14" i="4"/>
  <c r="H13" i="4"/>
  <c r="K33" i="4" s="1"/>
  <c r="D13" i="4"/>
  <c r="H12" i="4"/>
  <c r="J33" i="4" s="1"/>
  <c r="J34" i="4" s="1"/>
  <c r="D12" i="4"/>
  <c r="E5" i="4"/>
  <c r="F5" i="4" s="1"/>
  <c r="K32" i="4" s="1"/>
  <c r="E4" i="4"/>
  <c r="F5" i="3"/>
  <c r="E5" i="3"/>
  <c r="F4" i="3"/>
  <c r="E4" i="3"/>
  <c r="B19" i="1"/>
  <c r="B18" i="1"/>
  <c r="B16" i="1"/>
  <c r="B15" i="1"/>
  <c r="B13" i="1"/>
  <c r="B12" i="1"/>
  <c r="B9" i="1"/>
  <c r="A9" i="1"/>
  <c r="B8" i="1"/>
  <c r="A8" i="1"/>
  <c r="B5" i="1"/>
  <c r="A5" i="1"/>
  <c r="B4" i="1"/>
  <c r="B3" i="1"/>
  <c r="H12" i="14" l="1"/>
  <c r="E12" i="14" s="1"/>
  <c r="H6" i="22"/>
  <c r="H52" i="4"/>
  <c r="K34" i="4"/>
  <c r="H9" i="14"/>
  <c r="E9" i="14" s="1"/>
  <c r="H15" i="14"/>
  <c r="E15" i="14" s="1"/>
  <c r="H7" i="22"/>
  <c r="J89" i="7"/>
  <c r="L52" i="4"/>
  <c r="L55" i="4" s="1"/>
  <c r="N52" i="4"/>
  <c r="N55" i="4" s="1"/>
  <c r="I52" i="4"/>
  <c r="I89" i="7"/>
  <c r="N85" i="4"/>
  <c r="O85" i="4" s="1"/>
  <c r="G3" i="14"/>
  <c r="J5" i="22"/>
  <c r="F52" i="4"/>
  <c r="K52" i="4"/>
  <c r="K55" i="4" s="1"/>
  <c r="M52" i="4"/>
  <c r="M55" i="4" s="1"/>
  <c r="J52" i="4"/>
  <c r="J55" i="4" s="1"/>
  <c r="H25" i="4"/>
  <c r="K35" i="4" s="1"/>
  <c r="K36" i="4" s="1"/>
  <c r="K37" i="4" s="1"/>
  <c r="I53" i="4"/>
  <c r="K54" i="4"/>
  <c r="K57" i="4" s="1"/>
  <c r="K59" i="4" s="1"/>
  <c r="H88" i="7"/>
  <c r="H11" i="14"/>
  <c r="E11" i="14" s="1"/>
  <c r="H10" i="14"/>
  <c r="L54" i="4"/>
  <c r="L57" i="4" s="1"/>
  <c r="L59" i="4" s="1"/>
  <c r="G8" i="22"/>
  <c r="K53" i="4"/>
  <c r="K56" i="4" s="1"/>
  <c r="K58" i="4" s="1"/>
  <c r="H8" i="22"/>
  <c r="M54" i="4"/>
  <c r="M57" i="4" s="1"/>
  <c r="M59" i="4" s="1"/>
  <c r="J88" i="7"/>
  <c r="K88" i="7" s="1"/>
  <c r="E2" i="24" s="1"/>
  <c r="N54" i="4"/>
  <c r="N57" i="4" s="1"/>
  <c r="N59" i="4" s="1"/>
  <c r="F4" i="4"/>
  <c r="J32" i="4" s="1"/>
  <c r="K24" i="4"/>
  <c r="G54" i="4"/>
  <c r="G57" i="4" s="1"/>
  <c r="G59" i="4" s="1"/>
  <c r="H89" i="7"/>
  <c r="N53" i="4"/>
  <c r="N56" i="4" s="1"/>
  <c r="N58" i="4" s="1"/>
  <c r="F53" i="4"/>
  <c r="H54" i="4"/>
  <c r="J6" i="22"/>
  <c r="D2" i="14"/>
  <c r="D3" i="14" s="1"/>
  <c r="D4" i="14" s="1"/>
  <c r="D5" i="14" s="1"/>
  <c r="D6" i="14" s="1"/>
  <c r="D9" i="14" s="1"/>
  <c r="D10" i="14" s="1"/>
  <c r="D11" i="14" s="1"/>
  <c r="D12" i="14" s="1"/>
  <c r="D13" i="14" s="1"/>
  <c r="D14" i="14" s="1"/>
  <c r="D7" i="14" s="1"/>
  <c r="D8" i="14" s="1"/>
  <c r="D15" i="14" s="1"/>
  <c r="H14" i="14"/>
  <c r="E14" i="14" s="1"/>
  <c r="H4" i="14"/>
  <c r="E4" i="14" s="1"/>
  <c r="Z55" i="30"/>
  <c r="AA55" i="30" s="1"/>
  <c r="I55" i="4" l="1"/>
  <c r="I56" i="4"/>
  <c r="I58" i="4" s="1"/>
  <c r="I57" i="4"/>
  <c r="I59" i="4" s="1"/>
  <c r="G14" i="14"/>
  <c r="J14" i="14" s="1"/>
  <c r="J3" i="14"/>
  <c r="G4" i="14"/>
  <c r="J4" i="14" s="1"/>
  <c r="H55" i="4"/>
  <c r="H56" i="4"/>
  <c r="H58" i="4" s="1"/>
  <c r="H57" i="4"/>
  <c r="H59" i="4" s="1"/>
  <c r="J36" i="4"/>
  <c r="J37" i="4" s="1"/>
  <c r="E10" i="14"/>
  <c r="G10" i="14"/>
  <c r="AM55" i="30"/>
  <c r="AP55" i="30"/>
  <c r="AC55" i="30"/>
  <c r="AB55" i="30"/>
  <c r="AU55" i="30"/>
  <c r="J38" i="4" l="1"/>
  <c r="L38" i="4"/>
  <c r="K38" i="4"/>
  <c r="J10" i="14"/>
  <c r="G11" i="14"/>
  <c r="J11" i="14" s="1"/>
  <c r="AG55" i="30"/>
  <c r="AF55" i="30"/>
  <c r="AJ55" i="30"/>
  <c r="AI55" i="30"/>
  <c r="AD55" i="30"/>
  <c r="AH55" i="30"/>
  <c r="AE55" i="30"/>
  <c r="AT55" i="30" l="1"/>
  <c r="AS55" i="3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tc={4C16D386-4F9D-4491-B68D-F97BCE1D281E}</author>
  </authors>
  <commentList>
    <comment ref="C33" authorId="0" shapeId="0" xr:uid="{4C16D386-4F9D-4491-B68D-F97BCE1D281E}">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not comparable due to change in methodology</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tc={06702727-E6A5-4093-8284-9E269B1C7EAA}</author>
    <author>tc={47B046D1-0C7A-4C27-B2C5-5896A5741B80}</author>
    <author>tc={E1A26C15-2D71-47B7-8191-CD4DD8E49F3D}</author>
    <author>tc={020A82DA-A846-4972-8273-7ED1562185DC}</author>
    <author>tc={53DC021E-2665-4E7E-B8A1-0F5118C7A155}</author>
    <author>tc={EEB783B9-F5AC-4795-AF2C-B696D0F12679}</author>
    <author>tc={02B71106-B10C-4DA0-BE3F-BF4E34FE6E24}</author>
    <author>tc={74E23F44-FC96-4F66-9D26-EAE10D612D2D}</author>
  </authors>
  <commentList>
    <comment ref="G1" authorId="0" shapeId="0" xr:uid="{06702727-E6A5-4093-8284-9E269B1C7EAA}">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Precalculated GWP results from Sphera and ecoinvent datasets for the processes had to be removed before publication due to licensing agreements. Please add your own process GWPs before running the simulation (see accompanying Python script).</t>
      </text>
    </comment>
    <comment ref="H1" authorId="1" shapeId="0" xr:uid="{47B046D1-0C7A-4C27-B2C5-5896A5741B80}">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Precalculated GWP results from Sphera and ecoinvent datasets for the processes had to be removed before publication due to licensing agreements. Please add your own process GWPs before running the simulation (see accompanying Python script).</t>
      </text>
    </comment>
    <comment ref="I1" authorId="2" shapeId="0" xr:uid="{E1A26C15-2D71-47B7-8191-CD4DD8E49F3D}">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Precalculated GWP results from Sphera and ecoinvent datasets for the processes had to be removed before publication due to licensing agreements. Please add your own process GWPs before running the simulation (see accompanying Python script).</t>
      </text>
    </comment>
    <comment ref="J1" authorId="3" shapeId="0" xr:uid="{020A82DA-A846-4972-8273-7ED1562185DC}">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Precalculated GWP results from Sphera and ecoinvent datasets for the processes had to be removed before publication due to licensing agreements. Please add your own process GWPs before running the simulation (see accompanying Python script).</t>
      </text>
    </comment>
    <comment ref="Q1" authorId="4" shapeId="0" xr:uid="{53DC021E-2665-4E7E-B8A1-0F5118C7A155}">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Precalculated GWP results from Sphera and ecoinvent datasets for the processes had to be removed before publication due to licensing agreements. Please add your own process GWPs before running the simulation (see accompanying Python script).</t>
      </text>
    </comment>
    <comment ref="R1" authorId="5" shapeId="0" xr:uid="{EEB783B9-F5AC-4795-AF2C-B696D0F12679}">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Precalculated GWP results from Sphera and ecoinvent datasets for the processes had to be removed before publication due to licensing agreements. Please add your own process GWPs before running the simulation (see accompanying Python script).</t>
      </text>
    </comment>
    <comment ref="S1" authorId="6" shapeId="0" xr:uid="{02B71106-B10C-4DA0-BE3F-BF4E34FE6E24}">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Precalculated GWP results from Sphera and ecoinvent datasets for the processes had to be removed before publication due to licensing agreements. Please add your own process GWPs before running the simulation (see accompanying Python script).</t>
      </text>
    </comment>
    <comment ref="T1" authorId="7" shapeId="0" xr:uid="{74E23F44-FC96-4F66-9D26-EAE10D612D2D}">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Precalculated GWP results from Sphera and ecoinvent datasets for the processes had to be removed before publication due to licensing agreements. Please add your own process GWPs before running the simulation (see accompanying Python script).</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tc={A1959DB5-2813-4807-B534-1989B47461E8}</author>
    <author>tc={02C1F389-A898-4A74-B27E-D2E507B0D061}</author>
    <author>tc={FCD1AB96-59A3-44CD-95D9-CDA4376B6F0E}</author>
    <author>tc={77B99496-5489-4B74-8F82-801B31DE49A3}</author>
  </authors>
  <commentList>
    <comment ref="K1" authorId="0" shapeId="0" xr:uid="{A1959DB5-2813-4807-B534-1989B47461E8}">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Table 127 PS</t>
      </text>
    </comment>
    <comment ref="J4" authorId="1" shapeId="0" xr:uid="{02C1F389-A898-4A74-B27E-D2E507B0D061}">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assumption: 50 % of glass's wear resistance</t>
      </text>
    </comment>
    <comment ref="G10" authorId="2" shapeId="0" xr:uid="{FCD1AB96-59A3-44CD-95D9-CDA4376B6F0E}">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55% over 80 % SOH @ 1000 cycles Clemm 2016 a PS</t>
      </text>
    </comment>
    <comment ref="J12" authorId="3" shapeId="0" xr:uid="{77B99496-5489-4B74-8F82-801B31DE49A3}">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assumption: 50% stronger than plastic</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tc={9570CE0B-EA72-4A53-91AF-111F992A9167}</author>
    <author>tc={49443140-F470-42C2-A75C-568A366BB944}</author>
    <author>tc={DD462C36-2E34-4ECC-94EC-2A4A0B7091CD}</author>
    <author>tc={019FAC20-2F7E-4DD3-BC55-FDDBE1F58D6A}</author>
    <author>tc={34E38C20-D717-4986-9B6F-B02241FEB883}</author>
  </authors>
  <commentList>
    <comment ref="E26" authorId="0" shapeId="0" xr:uid="{9570CE0B-EA72-4A53-91AF-111F992A9167}">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density for silicon</t>
      </text>
    </comment>
    <comment ref="G33" authorId="1" shapeId="0" xr:uid="{49443140-F470-42C2-A75C-568A366BB944}">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Green Cloud Computing</t>
      </text>
    </comment>
    <comment ref="H33" authorId="2" shapeId="0" xr:uid="{DD462C36-2E34-4ECC-94EC-2A4A0B7091CD}">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Boyd</t>
      </text>
    </comment>
    <comment ref="G51" authorId="3" shapeId="0" xr:uid="{019FAC20-2F7E-4DD3-BC55-FDDBE1F58D6A}">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https://www.nexpcb.com/blog/pcb-surface-finish</t>
      </text>
    </comment>
    <comment ref="AI56" authorId="4" shapeId="0" xr:uid="{34E38C20-D717-4986-9B6F-B02241FEB883}">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not anymore</t>
      </text>
    </comment>
  </commentList>
</comments>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949BA532-4E67-4758-9A7B-1045735C6D92}" keepAlive="1" name="Abfrage - Element masses for the product configuration with maximum GWP" description="Verbindung mit der Abfrage 'Element masses for the product configuration with maximum GWP' in der Arbeitsmappe." type="5" refreshedVersion="8" background="1" saveData="1">
    <dbPr connection="Provider=Microsoft.Mashup.OleDb.1;Data Source=$Workbook$;Location=&quot;Element masses for the product configuration with maximum GWP&quot;;Extended Properties=&quot;&quot;" command="SELECT * FROM [Element masses for the product configuration with maximum GWP]"/>
  </connection>
  <connection id="2" xr16:uid="{5C88C7A5-D749-4648-8314-3FFC063A8F85}" keepAlive="1" name="Abfrage - Element masses for the product configuration with minimum GWP" description="Verbindung mit der Abfrage 'Element masses for the product configuration with minimum GWP' in der Arbeitsmappe." type="5" refreshedVersion="8" background="1" saveData="1">
    <dbPr connection="Provider=Microsoft.Mashup.OleDb.1;Data Source=$Workbook$;Location=&quot;Element masses for the product configuration with minimum GWP&quot;;Extended Properties=&quot;&quot;" command="SELECT * FROM [Element masses for the product configuration with minimum GWP]"/>
  </connection>
</connections>
</file>

<file path=xl/sharedStrings.xml><?xml version="1.0" encoding="utf-8"?>
<sst xmlns="http://schemas.openxmlformats.org/spreadsheetml/2006/main" count="3674" uniqueCount="1070">
  <si>
    <t>Bitkom e.V. 2020</t>
  </si>
  <si>
    <t>Smartphone-Entsorger</t>
  </si>
  <si>
    <t>ehemalige Smartphone-Besitzer</t>
  </si>
  <si>
    <t>Bundesbürger</t>
  </si>
  <si>
    <t>lifetime = replacement cycle</t>
  </si>
  <si>
    <t>a</t>
  </si>
  <si>
    <t>min</t>
  </si>
  <si>
    <t>max</t>
  </si>
  <si>
    <t>newest model, newest technology</t>
  </si>
  <si>
    <t>statista (paywall)/PS (176) 2015</t>
  </si>
  <si>
    <t>statista (paywall)/PS (176) 2014</t>
  </si>
  <si>
    <t>good design</t>
  </si>
  <si>
    <t>high-quality finish</t>
  </si>
  <si>
    <t>category</t>
  </si>
  <si>
    <t>lifetime</t>
  </si>
  <si>
    <t>design</t>
  </si>
  <si>
    <t>Watson et al. 2017</t>
  </si>
  <si>
    <t>existing phone not functioning</t>
  </si>
  <si>
    <t>want latest phone model</t>
  </si>
  <si>
    <t>want latest software</t>
  </si>
  <si>
    <t>https://www.statista.com/statistics/959492/us-top-common-smartphone-damage-cause/</t>
  </si>
  <si>
    <t>dropped on the ground</t>
  </si>
  <si>
    <t>falling out of a pocket</t>
  </si>
  <si>
    <t>dropped in water</t>
  </si>
  <si>
    <t>knocked off a table or counter</t>
  </si>
  <si>
    <t>dropped in the toilet</t>
  </si>
  <si>
    <t>falling out of a bag</t>
  </si>
  <si>
    <t>impact</t>
  </si>
  <si>
    <t>water</t>
  </si>
  <si>
    <t>https://www.statista.com/statistics/959513/us-common-smartphone-damages/</t>
  </si>
  <si>
    <t>cracked screen</t>
  </si>
  <si>
    <t>scratched screen</t>
  </si>
  <si>
    <t>nonworking batteries</t>
  </si>
  <si>
    <t>touchscreen issues</t>
  </si>
  <si>
    <t>chipped corners/side</t>
  </si>
  <si>
    <t>wear</t>
  </si>
  <si>
    <t>impact/wear</t>
  </si>
  <si>
    <t>display</t>
  </si>
  <si>
    <t>battery</t>
  </si>
  <si>
    <t>housing</t>
  </si>
  <si>
    <t>display glass</t>
  </si>
  <si>
    <t>display unit</t>
  </si>
  <si>
    <t>clickrepair 2019</t>
  </si>
  <si>
    <t>Defects</t>
  </si>
  <si>
    <t>Share</t>
  </si>
  <si>
    <t>Display</t>
  </si>
  <si>
    <t>Casing</t>
  </si>
  <si>
    <t>Battery</t>
  </si>
  <si>
    <t>Connectors</t>
  </si>
  <si>
    <t>Camera</t>
  </si>
  <si>
    <t>Handyreparaturvergleich 03/19</t>
  </si>
  <si>
    <t>Repair requests</t>
  </si>
  <si>
    <t>iPhone6</t>
  </si>
  <si>
    <t>iPhoneX</t>
  </si>
  <si>
    <t>Back cover</t>
  </si>
  <si>
    <t>Display glass / Touchscreen</t>
  </si>
  <si>
    <t>LCD Display</t>
  </si>
  <si>
    <t xml:space="preserve">Others </t>
  </si>
  <si>
    <t>S6</t>
  </si>
  <si>
    <t>S9</t>
  </si>
  <si>
    <t>Display glass/ Touchscreen</t>
  </si>
  <si>
    <t>Buttons</t>
  </si>
  <si>
    <t>Ports/connectors</t>
  </si>
  <si>
    <t>Others</t>
  </si>
  <si>
    <t>Relevance value</t>
  </si>
  <si>
    <t>Failure Likelihood</t>
  </si>
  <si>
    <t>Low</t>
  </si>
  <si>
    <t>Medium</t>
  </si>
  <si>
    <t>High</t>
  </si>
  <si>
    <t>Functional relevance</t>
  </si>
  <si>
    <t>Front-facing camera</t>
  </si>
  <si>
    <t>Rear-facing camera</t>
  </si>
  <si>
    <t>Back cover (assembly)</t>
  </si>
  <si>
    <t>External connectors</t>
  </si>
  <si>
    <t>Microphone</t>
  </si>
  <si>
    <t>Speaker</t>
  </si>
  <si>
    <t>Hinge assembly or mechanical display folding mechanism</t>
  </si>
  <si>
    <t>mechanical display rolling mechanism</t>
  </si>
  <si>
    <t>Display assembly</t>
  </si>
  <si>
    <t>https://susproc.jrc.ec.europa.eu/product-bureau/sites/default/files/2021-12/JRC_Report_Repair_Score_Smartphone_Tablets_v2.pdf</t>
  </si>
  <si>
    <t>Sony</t>
  </si>
  <si>
    <t>Apple</t>
  </si>
  <si>
    <t>Samsung</t>
  </si>
  <si>
    <t>Huawei</t>
  </si>
  <si>
    <t>LG</t>
  </si>
  <si>
    <t>Nokia</t>
  </si>
  <si>
    <t>Xiaomi</t>
  </si>
  <si>
    <t>with screen protector/protective case</t>
  </si>
  <si>
    <t>without screen protector/protective case</t>
  </si>
  <si>
    <t>reduction through screen protector/protective case</t>
  </si>
  <si>
    <t>YouGov Research, 2020</t>
  </si>
  <si>
    <t>On average, how long do you tend to own the following devices before buying a new one?</t>
  </si>
  <si>
    <t>less than 1 year</t>
  </si>
  <si>
    <t>1-2 years</t>
  </si>
  <si>
    <t>3-4 years</t>
  </si>
  <si>
    <t>5-6 years</t>
  </si>
  <si>
    <t>7-8 years</t>
  </si>
  <si>
    <t>9-10 years</t>
  </si>
  <si>
    <t>more than 10 years</t>
  </si>
  <si>
    <t>less often than every five years</t>
  </si>
  <si>
    <t>every five years</t>
  </si>
  <si>
    <t>every four years</t>
  </si>
  <si>
    <t>every three years</t>
  </si>
  <si>
    <t>every two years</t>
  </si>
  <si>
    <t>every year</t>
  </si>
  <si>
    <t>more often than every year</t>
  </si>
  <si>
    <t>(Kantar Worldpanel 2017) and (Ng 2019a)</t>
  </si>
  <si>
    <t>active use in months</t>
  </si>
  <si>
    <t>USA</t>
  </si>
  <si>
    <t>China</t>
  </si>
  <si>
    <t>EU5</t>
  </si>
  <si>
    <t>France</t>
  </si>
  <si>
    <t>Germany</t>
  </si>
  <si>
    <t>Great Britain</t>
  </si>
  <si>
    <t>Italy</t>
  </si>
  <si>
    <t>Spain</t>
  </si>
  <si>
    <t>(Ametsreiter 2016, 2017, 2019, 2020; Haas 2018)</t>
  </si>
  <si>
    <t>When was the currently used smartphone bought</t>
  </si>
  <si>
    <t>&gt; 24 months</t>
  </si>
  <si>
    <t>13-34 months</t>
  </si>
  <si>
    <t>7-12 months</t>
  </si>
  <si>
    <t>1-6 months</t>
  </si>
  <si>
    <t>https://www.bitkom.org/sites/main/files/2022-02/Bitkom-Pressekonferenz%20Smartphone-Markt%2017%2002%202022%20Pr%C3%A4sentation_final.pdf</t>
  </si>
  <si>
    <t>Wie lange haben Sie das Smartphone, das Sie derzeit</t>
  </si>
  <si>
    <t>privat nutzen und selbst gekauft haben?</t>
  </si>
  <si>
    <t>0-6 months</t>
  </si>
  <si>
    <t>13-24 months</t>
  </si>
  <si>
    <t>more than 2 or 3 years</t>
  </si>
  <si>
    <t>more than 3 years</t>
  </si>
  <si>
    <t>months</t>
  </si>
  <si>
    <t>Ipsos, Trinomics, Fraunhofer FOKUS, Economisti Associati 2019</t>
  </si>
  <si>
    <t>(YouGov, 2020)</t>
  </si>
  <si>
    <t>In the past 5 years, how often have you acquired a new mobile phone for personal use?</t>
  </si>
  <si>
    <t>Benton et al., 2015</t>
  </si>
  <si>
    <t>https://www.squaretrade.com/press/Mobile-myths-cost-consumers-dearly-Americans-report-spending-3.4-billion-replacing-millions</t>
  </si>
  <si>
    <t>of smartphone owners damaged their phones in the past year</t>
  </si>
  <si>
    <t>65% of smartphone owners have avoided fixing a broken phone because of high costs</t>
  </si>
  <si>
    <t>67% admit they would not repair a damaged smartphone that still worked</t>
  </si>
  <si>
    <t>59% have chosen to upgrade to a new device rather than repair a broken phone</t>
  </si>
  <si>
    <t>of smartphone owners with a cracked screen don’t get them fixed</t>
  </si>
  <si>
    <t>34% of that group say repairing them was too costly</t>
  </si>
  <si>
    <t>Stiftung Warentest/Prakash (2015)/Cordella (2020)</t>
  </si>
  <si>
    <t>3 years</t>
  </si>
  <si>
    <t>4 years</t>
  </si>
  <si>
    <t>&gt; 5 years</t>
  </si>
  <si>
    <t>&lt; 2 years</t>
  </si>
  <si>
    <t>(Prakash et al., 2015)</t>
  </si>
  <si>
    <t>LCD</t>
  </si>
  <si>
    <t>frame</t>
  </si>
  <si>
    <t>audio</t>
  </si>
  <si>
    <t>mainboard</t>
  </si>
  <si>
    <t>protective case</t>
  </si>
  <si>
    <t>Ipsos</t>
  </si>
  <si>
    <t>YouGov</t>
  </si>
  <si>
    <t>Ng</t>
  </si>
  <si>
    <t>Wieser</t>
  </si>
  <si>
    <t>Counterpoint</t>
  </si>
  <si>
    <t>average</t>
  </si>
  <si>
    <t>ingress</t>
  </si>
  <si>
    <t>mainboard R</t>
  </si>
  <si>
    <t>protective case n.a.</t>
  </si>
  <si>
    <t>OHA</t>
  </si>
  <si>
    <t>TU Berlin / Fraunhofer IZM young researchers group “Obsolescence as a challenge for sustainability!”</t>
  </si>
  <si>
    <t>broken screen</t>
  </si>
  <si>
    <t>water-caused damage</t>
  </si>
  <si>
    <t>charging connector</t>
  </si>
  <si>
    <t>phone locked</t>
  </si>
  <si>
    <t>connectivity</t>
  </si>
  <si>
    <t>phone crush</t>
  </si>
  <si>
    <t>battery not mentioned</t>
  </si>
  <si>
    <t>mix</t>
  </si>
  <si>
    <t>YouGov (PS)</t>
  </si>
  <si>
    <t>smartphone repair motivation</t>
  </si>
  <si>
    <t>buy new one</t>
  </si>
  <si>
    <t>get repaired</t>
  </si>
  <si>
    <t>reasons for not repairing</t>
  </si>
  <si>
    <t>I like upgrading frequently</t>
  </si>
  <si>
    <t>The cost of repair</t>
  </si>
  <si>
    <t>The general inconvenience of repair</t>
  </si>
  <si>
    <t>Not having a device during repair</t>
  </si>
  <si>
    <t>The time of repair</t>
  </si>
  <si>
    <t>Bad experiences with certified repair shops</t>
  </si>
  <si>
    <t>Bad experiences with uncertified repair shops</t>
  </si>
  <si>
    <t>None of the above</t>
  </si>
  <si>
    <t>Don't know</t>
  </si>
  <si>
    <t>My device is old anyway</t>
  </si>
  <si>
    <t>OHA - Obsoleszenz als Herausforderung für Nachhaltigkeit 2019</t>
  </si>
  <si>
    <t>Prompt purchase of new device</t>
  </si>
  <si>
    <t>Repair</t>
  </si>
  <si>
    <t>Go without</t>
  </si>
  <si>
    <t>Others (e.g. buy second-hand, borrow, etc.)</t>
  </si>
  <si>
    <t>Fitzpatrick and Makov, 2020</t>
  </si>
  <si>
    <t>Wieser and Tröger, 2018</t>
  </si>
  <si>
    <t>attempt to repair</t>
  </si>
  <si>
    <t>no attempt to repair</t>
  </si>
  <si>
    <t>repairable</t>
  </si>
  <si>
    <t>not repairable</t>
  </si>
  <si>
    <t>Squaretrade</t>
  </si>
  <si>
    <t>repair</t>
  </si>
  <si>
    <t>no repair</t>
  </si>
  <si>
    <t>Berwald et al., 2020</t>
  </si>
  <si>
    <t>While this design trend can have negative implications for repair and recycling of smartphones, it may have positive effects on the robustness of the devices (e.g. through better ingress protection).</t>
  </si>
  <si>
    <t>Proske et al., 2020</t>
  </si>
  <si>
    <t>market share not taken into account!</t>
  </si>
  <si>
    <t>wireless charging does not work with metal backside</t>
  </si>
  <si>
    <t>high</t>
  </si>
  <si>
    <t>low</t>
  </si>
  <si>
    <t>avg</t>
  </si>
  <si>
    <t>impact/ingress/wear</t>
  </si>
  <si>
    <t>of devices have a defect in their lifetime</t>
  </si>
  <si>
    <t>of defect devices are repaired</t>
  </si>
  <si>
    <t>MoDeSt</t>
  </si>
  <si>
    <t>https://reparatur-marktplatz.wertgarantie.de/images/presse/downloads/pdf/clickrepair-smartphone-reparatur-studie-2019.pdf</t>
  </si>
  <si>
    <t>would repair</t>
  </si>
  <si>
    <t>have repaired</t>
  </si>
  <si>
    <t>HTC</t>
  </si>
  <si>
    <t>repair is cheaper than buying new device</t>
  </si>
  <si>
    <t>repair is more sustainable</t>
  </si>
  <si>
    <t>repaired device as back-up</t>
  </si>
  <si>
    <t>at impact</t>
  </si>
  <si>
    <t>from wear</t>
  </si>
  <si>
    <t>defect frequency</t>
  </si>
  <si>
    <t>camera</t>
  </si>
  <si>
    <t>connector</t>
  </si>
  <si>
    <t>name</t>
  </si>
  <si>
    <t>repair request frequency</t>
  </si>
  <si>
    <t>w/o display unit</t>
  </si>
  <si>
    <t>w/o others</t>
  </si>
  <si>
    <t>random</t>
  </si>
  <si>
    <t>Audio</t>
  </si>
  <si>
    <t>factor</t>
  </si>
  <si>
    <t>ABS,100</t>
  </si>
  <si>
    <t>Al,100</t>
  </si>
  <si>
    <t>Sb,100</t>
  </si>
  <si>
    <t>As,100</t>
  </si>
  <si>
    <t>Ba,100</t>
  </si>
  <si>
    <t>Be,100</t>
  </si>
  <si>
    <t>Bi,100</t>
  </si>
  <si>
    <t>B,100</t>
  </si>
  <si>
    <t>Cd,100</t>
  </si>
  <si>
    <t>Cr,100</t>
  </si>
  <si>
    <t>Co,100</t>
  </si>
  <si>
    <t>Cu,100</t>
  </si>
  <si>
    <t>Dy,100</t>
  </si>
  <si>
    <t>Epoxy,100</t>
  </si>
  <si>
    <t>Ga,100</t>
  </si>
  <si>
    <t>Ge,100</t>
  </si>
  <si>
    <t>Glass,80,Sb,12.987,In,6.494,Sn,0.519</t>
  </si>
  <si>
    <t>Glass,100</t>
  </si>
  <si>
    <t>GFRPA,100</t>
  </si>
  <si>
    <t>GFRPE,100</t>
  </si>
  <si>
    <t>Au,100</t>
  </si>
  <si>
    <t>C,100</t>
  </si>
  <si>
    <t>Hf,100</t>
  </si>
  <si>
    <t>In,100</t>
  </si>
  <si>
    <t>Si,42.134,Silicone,57.866</t>
  </si>
  <si>
    <t>Si,19.405,Epoxy,80.595</t>
  </si>
  <si>
    <t>Li,100</t>
  </si>
  <si>
    <t>Fe,9.618,C,19.416,Al,37.623,Cu,15.485,Li,1.091,Ni,3.381,Co,3.381,Mn,3.053,O,6.147,H,0.805</t>
  </si>
  <si>
    <t>Mg,100</t>
  </si>
  <si>
    <t>Mn,100</t>
  </si>
  <si>
    <t>short</t>
  </si>
  <si>
    <t>type</t>
  </si>
  <si>
    <t>composition</t>
  </si>
  <si>
    <t>unit_ref</t>
  </si>
  <si>
    <t>gwp_pri</t>
  </si>
  <si>
    <t>gwp_sec</t>
  </si>
  <si>
    <t>gwp_rec</t>
  </si>
  <si>
    <t>comment</t>
  </si>
  <si>
    <t>crm</t>
  </si>
  <si>
    <t>process_pri</t>
  </si>
  <si>
    <t>process_sec</t>
  </si>
  <si>
    <t>process_rec</t>
  </si>
  <si>
    <t>Acrylonitrile Butadiene Styrene</t>
  </si>
  <si>
    <t>ABS</t>
  </si>
  <si>
    <t>plastic</t>
  </si>
  <si>
    <t>kg</t>
  </si>
  <si>
    <t>DE: Acrylonitrile-Butadiene-Styrene Granulate (ABS) Sphera</t>
  </si>
  <si>
    <t>Aluminum</t>
  </si>
  <si>
    <t>Al</t>
  </si>
  <si>
    <t>element</t>
  </si>
  <si>
    <t>RNA: Recycled aluminum ingot (100% recycled content) AA &lt;t-agg&gt;</t>
  </si>
  <si>
    <t>RNA: Primary Aluminum Ingot AA/Sphera</t>
  </si>
  <si>
    <t>Antimony</t>
  </si>
  <si>
    <t>Sb</t>
  </si>
  <si>
    <t>CN: Antimony Sphera</t>
  </si>
  <si>
    <t>Arsenic</t>
  </si>
  <si>
    <t>As</t>
  </si>
  <si>
    <t>Barium</t>
  </si>
  <si>
    <t>Ba</t>
  </si>
  <si>
    <t>hydroxide has highest GWP</t>
  </si>
  <si>
    <t>GLO: barium hydroxide production ecoinvent 3.8</t>
  </si>
  <si>
    <t>Beryllium</t>
  </si>
  <si>
    <t>Be</t>
  </si>
  <si>
    <t>hydroxide</t>
  </si>
  <si>
    <t>RoW: beryllium hydroxide production ecoinvent 3.8</t>
  </si>
  <si>
    <t>Bismuth</t>
  </si>
  <si>
    <t>Bi</t>
  </si>
  <si>
    <t>Boron</t>
  </si>
  <si>
    <t>B</t>
  </si>
  <si>
    <t>carbide</t>
  </si>
  <si>
    <t>GLO: boron carbide production ecoinvent 3.8</t>
  </si>
  <si>
    <t>Cadmium</t>
  </si>
  <si>
    <t>Cd</t>
  </si>
  <si>
    <t>GLO: Cadmium Sphera</t>
  </si>
  <si>
    <t>Capacitor (Aluminum)</t>
  </si>
  <si>
    <t>Cap_Al</t>
  </si>
  <si>
    <t>blend</t>
  </si>
  <si>
    <t>GLO: Capacitor Al-capacitor SMD (80mg) D3x5.4 Sphera</t>
  </si>
  <si>
    <t>Capacitor (Ceramic)</t>
  </si>
  <si>
    <t>Cap_Cer</t>
  </si>
  <si>
    <t>GLO: Capacitor ceramic MLCC 0603 (6mg) D 1.6x0.8x0.8 Sphera</t>
  </si>
  <si>
    <t>Capacitor (Tantalum)</t>
  </si>
  <si>
    <t>Cap_Ta</t>
  </si>
  <si>
    <t>GLO: Capacitor tantal SMD Y (25mg) 3.2x1.6x1.6 Sphera</t>
  </si>
  <si>
    <t>Car</t>
  </si>
  <si>
    <t>transport</t>
  </si>
  <si>
    <t>kgkm</t>
  </si>
  <si>
    <t>RER: transport, passenger car, EURO 5 ecoinvent 3.5</t>
  </si>
  <si>
    <t>Chromium</t>
  </si>
  <si>
    <t>Cr</t>
  </si>
  <si>
    <t>RoW: chromium production ecoinvent 3.8</t>
  </si>
  <si>
    <t>Cobalt</t>
  </si>
  <si>
    <t>Co</t>
  </si>
  <si>
    <t>GLO: Cobalt, refined (metal) CDI</t>
  </si>
  <si>
    <t>Copper</t>
  </si>
  <si>
    <t>Cu</t>
  </si>
  <si>
    <t>GLO: Copper mix (99,999% from electrolysis) Sphera</t>
  </si>
  <si>
    <t>Diode (mMELF)</t>
  </si>
  <si>
    <t>Diode_mMELF</t>
  </si>
  <si>
    <t>GLO: Diode mMELF (40mg) D1.6x3.8 Sphera</t>
  </si>
  <si>
    <t>Diode (Power)</t>
  </si>
  <si>
    <t>Diode_Power</t>
  </si>
  <si>
    <t>GLO: Diode power THT DO35 (150mg) D1.76x3.77 Sphera</t>
  </si>
  <si>
    <t>Diode (Signal)</t>
  </si>
  <si>
    <t>Diode_Signal</t>
  </si>
  <si>
    <t>GLO: Diode signal SOD123/323/523 (9.26mg) 2.4x1.6x1 with Au-Bondwire Sphera</t>
  </si>
  <si>
    <t>Dysprosium</t>
  </si>
  <si>
    <t>Dy</t>
  </si>
  <si>
    <t>oxide</t>
  </si>
  <si>
    <t>GLO: dysprosium oxide to generic market for mischmetal ecoinvent 3.8</t>
  </si>
  <si>
    <t>Epoxy Resin</t>
  </si>
  <si>
    <t>Epoxy</t>
  </si>
  <si>
    <t>DE: Epoxy Resin (EP) Mix Sphera</t>
  </si>
  <si>
    <t>Filter</t>
  </si>
  <si>
    <t>GLO: Filter SAW (25mg) 3x7x1 Sphera</t>
  </si>
  <si>
    <t>Gallium</t>
  </si>
  <si>
    <t>Ga</t>
  </si>
  <si>
    <t>GLO: gallium production, semiconductor-grade ecoinvent 3.8</t>
  </si>
  <si>
    <t>Germanium</t>
  </si>
  <si>
    <t>Ge</t>
  </si>
  <si>
    <t>Glass (LCD)</t>
  </si>
  <si>
    <t>Glass</t>
  </si>
  <si>
    <t>GLO: glass production, for liquid crystal display ecoinvent 3.8</t>
  </si>
  <si>
    <t>Glass Fibre</t>
  </si>
  <si>
    <t>GF</t>
  </si>
  <si>
    <t>glass</t>
  </si>
  <si>
    <t>DE: Glass fibres Sphera</t>
  </si>
  <si>
    <t>Glass Fibre Reinforced Polyamide</t>
  </si>
  <si>
    <t>GFRPA</t>
  </si>
  <si>
    <t>RER: glass fibre reinforced plastic production, polyamide, injection moulded ecoinvent 3.8</t>
  </si>
  <si>
    <t>Glass Fibre Reinforced Polyester</t>
  </si>
  <si>
    <t>GFRPE</t>
  </si>
  <si>
    <t>RoW: glass fibre reinforced plastic production, polyester resin, hand lay-up ecoinvent 3.8</t>
  </si>
  <si>
    <t>Gold</t>
  </si>
  <si>
    <t>Au</t>
  </si>
  <si>
    <t>GLO: Gold (primary) Sphera</t>
  </si>
  <si>
    <t>Graphite</t>
  </si>
  <si>
    <t>C</t>
  </si>
  <si>
    <t>RoW: graphite production, battery grade ecoinvent 3.8</t>
  </si>
  <si>
    <t>Hafnium</t>
  </si>
  <si>
    <t>Hf</t>
  </si>
  <si>
    <t>Indium</t>
  </si>
  <si>
    <t>In</t>
  </si>
  <si>
    <t>RoW: indium production ecoinvent 3.8</t>
  </si>
  <si>
    <t>Integrated Circuit (Boyd)</t>
  </si>
  <si>
    <t>IC_Boyd</t>
  </si>
  <si>
    <t>IC - Front- &amp; Back-End - FP2</t>
  </si>
  <si>
    <t>Integrated Circuit (CMOS, WLP 14 nm)</t>
  </si>
  <si>
    <t>IC_CMOS</t>
  </si>
  <si>
    <t>GLO: IC WLP CSP 196 (209mg) 12x12x1.41mm CMOS logic (14 nm node) Sphera</t>
  </si>
  <si>
    <t>Integrated Circuit (DRAM)</t>
  </si>
  <si>
    <t>IC_DRAM</t>
  </si>
  <si>
    <t>DRAM - Wafer &amp; Front-End</t>
  </si>
  <si>
    <t>Integrated Circuit (MPU, BGA 14 nm)</t>
  </si>
  <si>
    <t>IC_MPU</t>
  </si>
  <si>
    <t>GLO: IC BGA 48 (72mg) 8x6 mm MPU generic (14 nm node) Sphera</t>
  </si>
  <si>
    <t>Liquid Crystal Display</t>
  </si>
  <si>
    <t>LCD display - FP4 &lt;LZ&gt;</t>
  </si>
  <si>
    <t>Lithium</t>
  </si>
  <si>
    <t>Li</t>
  </si>
  <si>
    <t>GLO: lithium hydroxide production ecoinvent 3.8</t>
  </si>
  <si>
    <t>Lithium-Ion Battery</t>
  </si>
  <si>
    <t>Battery - FP4 &lt;LZ&gt;</t>
  </si>
  <si>
    <t>FP4 - Battery recycling &lt;LZ&gt;</t>
  </si>
  <si>
    <t>Magnesium</t>
  </si>
  <si>
    <t>Mg</t>
  </si>
  <si>
    <t>CN: Magnesium Sphera</t>
  </si>
  <si>
    <t>Manganese</t>
  </si>
  <si>
    <t>Mn</t>
  </si>
  <si>
    <t>GLO: Manganese Sphera</t>
  </si>
  <si>
    <t>Molybdenum</t>
  </si>
  <si>
    <t>Mo</t>
  </si>
  <si>
    <t>Mo,100</t>
  </si>
  <si>
    <t>RoW: molybdenum production ecoinvent 3.8</t>
  </si>
  <si>
    <t>Neodymium</t>
  </si>
  <si>
    <t>Nd</t>
  </si>
  <si>
    <t>Nd,100</t>
  </si>
  <si>
    <t>GLO: neodymium oxide to generic market for mischmetal ecoinvent 3.8</t>
  </si>
  <si>
    <t>Nickel</t>
  </si>
  <si>
    <t>Ni</t>
  </si>
  <si>
    <t>Ni,100</t>
  </si>
  <si>
    <t>GLO: Nickel (Class 1, &gt;99.8% Nickel) Nickel Institute</t>
  </si>
  <si>
    <t>Niobium</t>
  </si>
  <si>
    <t>Nb</t>
  </si>
  <si>
    <t>Nb,100</t>
  </si>
  <si>
    <t>scaled up from ferroniobium (66 % Nb)</t>
  </si>
  <si>
    <t>RoW: ferroniobium production, from pyrochlore concentrate, 66% Nb ecoinvent 3.8</t>
  </si>
  <si>
    <t>Palladium</t>
  </si>
  <si>
    <t>Pd</t>
  </si>
  <si>
    <t>Pd,100</t>
  </si>
  <si>
    <t>GLO: Palladium, primary route IPA</t>
  </si>
  <si>
    <t>GLO: Palladium, secondary route IPA</t>
  </si>
  <si>
    <t>Passive Components (Unspecified)</t>
  </si>
  <si>
    <t>Passive</t>
  </si>
  <si>
    <t>GLO: electronic component production, passive, unspecified ecoinvent 3.8</t>
  </si>
  <si>
    <t>Plane</t>
  </si>
  <si>
    <t>RER: transport, freight, aircraft, intercontinental ecoinvent 3.5</t>
  </si>
  <si>
    <t>Platinum</t>
  </si>
  <si>
    <t>Pt</t>
  </si>
  <si>
    <t>Pt,100</t>
  </si>
  <si>
    <t>GLO: Platinum, primary route IPA</t>
  </si>
  <si>
    <t>GLO: Platinum, secondary route IPA</t>
  </si>
  <si>
    <t>Polyamide</t>
  </si>
  <si>
    <t>PA</t>
  </si>
  <si>
    <t>PA,100</t>
  </si>
  <si>
    <t>DE: Polyamide 6 Granulate (PA 6) Mix Sphera</t>
  </si>
  <si>
    <t>Polycarbonate</t>
  </si>
  <si>
    <t>PC</t>
  </si>
  <si>
    <t>PC,100</t>
  </si>
  <si>
    <t>DE: Polycarbonate Granulate (PC) Sphera</t>
  </si>
  <si>
    <t>Polyethylene (Biobased)</t>
  </si>
  <si>
    <t>PE_bio</t>
  </si>
  <si>
    <t>PE_bio,100</t>
  </si>
  <si>
    <t>EU-28: Polyethylene Low Density Granulate (LDPE/PE-LD) (biobased from sugar cane) Sphera</t>
  </si>
  <si>
    <t>Polyethylene High-Density</t>
  </si>
  <si>
    <t>PE-HD</t>
  </si>
  <si>
    <t>PE-HD,100</t>
  </si>
  <si>
    <t>DE: Polyethylene High Density Granulate (HDPE/PE-HD) Sphera</t>
  </si>
  <si>
    <t>Polyethylene Low-Density</t>
  </si>
  <si>
    <t>PE-LD</t>
  </si>
  <si>
    <t>PE-LD,100</t>
  </si>
  <si>
    <t>Polyethylene Terephthalate</t>
  </si>
  <si>
    <t>PET</t>
  </si>
  <si>
    <t>PET,100</t>
  </si>
  <si>
    <t>DE: Polyethylene terephthalate granulate (PET via DMT) Sphera</t>
  </si>
  <si>
    <t>Polypropylene</t>
  </si>
  <si>
    <t>PP</t>
  </si>
  <si>
    <t>PP,100</t>
  </si>
  <si>
    <t>DE: Polypropylene granulate (PP) Sphera</t>
  </si>
  <si>
    <t>Praseodymium</t>
  </si>
  <si>
    <t>Pr</t>
  </si>
  <si>
    <t>Pr,100</t>
  </si>
  <si>
    <t>CN: Praseodymium Sphera</t>
  </si>
  <si>
    <t>Printed Circuit Board (12-layer)</t>
  </si>
  <si>
    <t>PCB12</t>
  </si>
  <si>
    <t>GLO: Printed Wiring Board 12-layer rigid FR4 with chem-elec AuNi finish (Subtractive method) Sphera</t>
  </si>
  <si>
    <t>Printed Circuit Board (1-layer)</t>
  </si>
  <si>
    <t>PCB1</t>
  </si>
  <si>
    <t>GLO: Printed Wiring Board 1-layer rigid FR4 with chem-elec AuNi finish (Subtractive method) Sphera</t>
  </si>
  <si>
    <t>Printed Circuit Board (8-layer)</t>
  </si>
  <si>
    <t>PCB8</t>
  </si>
  <si>
    <t>GLO: Printed Wiring Board 8-layer rigid FR4 with chemSn elecAuNi finish (Subtractive method) Sphera</t>
  </si>
  <si>
    <t>REE</t>
  </si>
  <si>
    <t>REE,100</t>
  </si>
  <si>
    <t>CN: rare earth oxides production from bastnäsite concentrate ecoinvent 3.6</t>
  </si>
  <si>
    <t>Resistor (Flat Chip)</t>
  </si>
  <si>
    <t>Res_Flat</t>
  </si>
  <si>
    <t>GLO: Resistor flat chip 0603 (1.9mg) Sphera</t>
  </si>
  <si>
    <t>Resistor (MELF)</t>
  </si>
  <si>
    <t>Res_MELF</t>
  </si>
  <si>
    <t>GLO: Resistor MELF MMA 0204 (19mg) D1.4x3.6 Sphera</t>
  </si>
  <si>
    <t>Resistor (Thick Film Flat Chip)</t>
  </si>
  <si>
    <t>Res_Thick</t>
  </si>
  <si>
    <t>GLO: Resistor thick film flat chip 0603 (2.1mg) Sphera</t>
  </si>
  <si>
    <t>Resistor (THT)</t>
  </si>
  <si>
    <t>Res_THT</t>
  </si>
  <si>
    <t>GLO: Resistor THT MBA 0204 (125mg) D1.6x3.6 Sphera</t>
  </si>
  <si>
    <t>Rhenium</t>
  </si>
  <si>
    <t>Re</t>
  </si>
  <si>
    <t>Re,100</t>
  </si>
  <si>
    <t>Rhodium</t>
  </si>
  <si>
    <t>Rh</t>
  </si>
  <si>
    <t>Rh,100</t>
  </si>
  <si>
    <t>GLO: Rhodium, primary route IPA</t>
  </si>
  <si>
    <t>GLO: Rhodium, secondary route IPA</t>
  </si>
  <si>
    <t>Ship</t>
  </si>
  <si>
    <t>GLO: transport, freight, sea, transoceanic ship ecoinvent 3.5</t>
  </si>
  <si>
    <t>Silicon</t>
  </si>
  <si>
    <t>Si</t>
  </si>
  <si>
    <t>Si,100</t>
  </si>
  <si>
    <t>RoW: silicon production, electronics grade ecoinvent 3.8</t>
  </si>
  <si>
    <t>Silicone Rubber</t>
  </si>
  <si>
    <t>Silicone</t>
  </si>
  <si>
    <t>Silicone,100</t>
  </si>
  <si>
    <t>DE: Silicone rubber (RTV-2, condensation) Sphera</t>
  </si>
  <si>
    <t>Silver</t>
  </si>
  <si>
    <t>Ag</t>
  </si>
  <si>
    <t>Ag,100</t>
  </si>
  <si>
    <t>GLO: Silver mix Sphera</t>
  </si>
  <si>
    <t>Solder Paste</t>
  </si>
  <si>
    <t>Solder</t>
  </si>
  <si>
    <t>Sn,96.5,Ag,3.5</t>
  </si>
  <si>
    <t>SnAg3.5</t>
  </si>
  <si>
    <t>GLO: Solder paste SnAg3.5 Sphera</t>
  </si>
  <si>
    <t>Steel</t>
  </si>
  <si>
    <t>Fe</t>
  </si>
  <si>
    <t>Fe,95.65,C,1.952,Zn,1.952</t>
  </si>
  <si>
    <t>DE: Steel sheet 0.75mm EG (0.01mm Zn; 2sides) Sphera &lt;t-agg&gt;</t>
  </si>
  <si>
    <t>Strontium</t>
  </si>
  <si>
    <t>Sr</t>
  </si>
  <si>
    <t>Sr,100</t>
  </si>
  <si>
    <t>carbonate</t>
  </si>
  <si>
    <t>GLO: strontium carbonate production ecoinvent 3.8</t>
  </si>
  <si>
    <t>Tantalum</t>
  </si>
  <si>
    <t>Ta</t>
  </si>
  <si>
    <t>Ta,100</t>
  </si>
  <si>
    <t>GLO: tantalum production, powder, capacitor-grade ecoinvent 3.7.1</t>
  </si>
  <si>
    <t>Tin</t>
  </si>
  <si>
    <t>Sn</t>
  </si>
  <si>
    <t>Sn,100</t>
  </si>
  <si>
    <t>GLO: Tin Sphera</t>
  </si>
  <si>
    <t>Titanium</t>
  </si>
  <si>
    <t>Ti</t>
  </si>
  <si>
    <t>Ti,100</t>
  </si>
  <si>
    <t>GLO: Titanium Sphera</t>
  </si>
  <si>
    <t>Train</t>
  </si>
  <si>
    <t>EU-28: Transportation by rail (EN15804 A4) Sphera</t>
  </si>
  <si>
    <t>Truck</t>
  </si>
  <si>
    <t>EU-28: Transport, truck (26 t total cap., 17.3t payload) (A4) Sphera</t>
  </si>
  <si>
    <t>Tungsten</t>
  </si>
  <si>
    <t>W</t>
  </si>
  <si>
    <t>W,100</t>
  </si>
  <si>
    <t>Tungsten (ProBas) &lt;e-ep&gt;</t>
  </si>
  <si>
    <t>Vanadium</t>
  </si>
  <si>
    <t>V</t>
  </si>
  <si>
    <t>V,100</t>
  </si>
  <si>
    <t>Yttrium</t>
  </si>
  <si>
    <t>Y</t>
  </si>
  <si>
    <t>Y,100</t>
  </si>
  <si>
    <t>CN: Yttrium Sphera</t>
  </si>
  <si>
    <t>Zinc</t>
  </si>
  <si>
    <t>Zn</t>
  </si>
  <si>
    <t>Zn,100</t>
  </si>
  <si>
    <t>GLO: Special high grade zinc IZA &lt;t-agg&gt;</t>
  </si>
  <si>
    <t>Zirconium</t>
  </si>
  <si>
    <t>Zr</t>
  </si>
  <si>
    <t>Zr,100</t>
  </si>
  <si>
    <t>RoW: zirconium oxide production ecoinvent 3.8</t>
  </si>
  <si>
    <t>FP4</t>
  </si>
  <si>
    <t>model</t>
  </si>
  <si>
    <t>IC small</t>
  </si>
  <si>
    <t>IC</t>
  </si>
  <si>
    <t>source</t>
  </si>
  <si>
    <t>kg/m²</t>
  </si>
  <si>
    <t>conversion</t>
  </si>
  <si>
    <t>Glass,0.02</t>
  </si>
  <si>
    <t>screen protector n.a.</t>
  </si>
  <si>
    <t>screen protector plastic</t>
  </si>
  <si>
    <t>screen protector</t>
  </si>
  <si>
    <t>Energy Mix</t>
  </si>
  <si>
    <t>energy</t>
  </si>
  <si>
    <t>kWh</t>
  </si>
  <si>
    <t>CO2-eq. emission factor incl. upstream [g/kWh] - 2021 for Germany, estimated (Umweltbundesamt, 2022)</t>
  </si>
  <si>
    <t>Cu,19.291,Glass,36.403,C,28.985,H,2.27,N,0.273,Sb,0.136,Fe,4.8,Sn,4.1,Ni,2.354,Zn,1.3,Au,0.027,Ag,0.05,Pd,0.012</t>
  </si>
  <si>
    <t>Cu,19.629,Glass,36.393,C,28.977,H,2.27,N,0.273,Sb,0.136,Fe,4.8,Sn,4.1,Ni,2.032,Zn,1.3,Au,0.028,Ag,0.05,Pd,0.012</t>
  </si>
  <si>
    <t>carrier</t>
  </si>
  <si>
    <t>phase</t>
  </si>
  <si>
    <t>recovery</t>
  </si>
  <si>
    <t>recovered</t>
  </si>
  <si>
    <t>metal phase</t>
  </si>
  <si>
    <t>lost</t>
  </si>
  <si>
    <t>separately recovered</t>
  </si>
  <si>
    <t>mainly recovered compound</t>
  </si>
  <si>
    <t>Pb</t>
  </si>
  <si>
    <t>Hg</t>
  </si>
  <si>
    <t>F</t>
  </si>
  <si>
    <t>P</t>
  </si>
  <si>
    <t>K</t>
  </si>
  <si>
    <t>Na</t>
  </si>
  <si>
    <t>not recovered compound</t>
  </si>
  <si>
    <t>Ca</t>
  </si>
  <si>
    <t>Sc</t>
  </si>
  <si>
    <t>La</t>
  </si>
  <si>
    <t>Ce</t>
  </si>
  <si>
    <t>Pm</t>
  </si>
  <si>
    <t>Sm</t>
  </si>
  <si>
    <t>Eu</t>
  </si>
  <si>
    <t>Gd</t>
  </si>
  <si>
    <t>Tb</t>
  </si>
  <si>
    <t>Ho</t>
  </si>
  <si>
    <t>Er</t>
  </si>
  <si>
    <t>Tm</t>
  </si>
  <si>
    <t>Yb</t>
  </si>
  <si>
    <t>Lu</t>
  </si>
  <si>
    <t>as KCl</t>
  </si>
  <si>
    <t>Cl</t>
  </si>
  <si>
    <t>Th</t>
  </si>
  <si>
    <t>Br</t>
  </si>
  <si>
    <t>RE</t>
  </si>
  <si>
    <t>maybe as oxide</t>
  </si>
  <si>
    <t>as AlXy</t>
  </si>
  <si>
    <t>as CaXy</t>
  </si>
  <si>
    <t>as SiXy</t>
  </si>
  <si>
    <t>RE_Bat</t>
  </si>
  <si>
    <t>Cu/Ni</t>
  </si>
  <si>
    <t>Se</t>
  </si>
  <si>
    <t>Te</t>
  </si>
  <si>
    <t>Ni/Cr</t>
  </si>
  <si>
    <t>as CaF2</t>
  </si>
  <si>
    <t>RIC 1</t>
  </si>
  <si>
    <t>RIC 2</t>
  </si>
  <si>
    <t>PVC</t>
  </si>
  <si>
    <t>RIC 3</t>
  </si>
  <si>
    <t>RIC 4</t>
  </si>
  <si>
    <t>RIC 5</t>
  </si>
  <si>
    <t>PS</t>
  </si>
  <si>
    <t>RIC 6</t>
  </si>
  <si>
    <t>rees</t>
  </si>
  <si>
    <t>Energy_Mix</t>
  </si>
  <si>
    <t>original_gwp_pri</t>
  </si>
  <si>
    <t>original_gwp_sec</t>
  </si>
  <si>
    <t>original_gwp_rec</t>
  </si>
  <si>
    <t>process_inc_disp</t>
  </si>
  <si>
    <t>original_gwp_inc_disp</t>
  </si>
  <si>
    <t>gwp_inc_disp</t>
  </si>
  <si>
    <t>Paper</t>
  </si>
  <si>
    <t>Cardboard</t>
  </si>
  <si>
    <t>material</t>
  </si>
  <si>
    <t>Paper,100</t>
  </si>
  <si>
    <t>Magnet</t>
  </si>
  <si>
    <t>NdFeB Magnet</t>
  </si>
  <si>
    <t>design_option</t>
  </si>
  <si>
    <t>components</t>
  </si>
  <si>
    <t>parameter</t>
  </si>
  <si>
    <t>description</t>
  </si>
  <si>
    <t>value</t>
  </si>
  <si>
    <t>display robustness</t>
  </si>
  <si>
    <t>10 % increase fracture toughness (currently use typical glass)</t>
  </si>
  <si>
    <t>impact resistance</t>
  </si>
  <si>
    <t>display scratch-resistance</t>
  </si>
  <si>
    <t>wear resistance</t>
  </si>
  <si>
    <t>assumption: same as DO1</t>
  </si>
  <si>
    <t>Wertgarantie 2020</t>
  </si>
  <si>
    <t>Wertgarantie 2019</t>
  </si>
  <si>
    <t>htc</t>
  </si>
  <si>
    <t>covers would reduce the probability of damages by 50%</t>
  </si>
  <si>
    <t>provision of additional glass back-cover protection</t>
  </si>
  <si>
    <t>provision of additional screen protection</t>
  </si>
  <si>
    <t>corrected value based on original data</t>
  </si>
  <si>
    <t>back-cover</t>
  </si>
  <si>
    <t>all</t>
  </si>
  <si>
    <t>water and dust resistance</t>
  </si>
  <si>
    <t>50 % decreased failure from ingress</t>
  </si>
  <si>
    <t>ingress resistance</t>
  </si>
  <si>
    <t>3.1.1.</t>
  </si>
  <si>
    <t>3.1.2</t>
  </si>
  <si>
    <t>3.2.1</t>
  </si>
  <si>
    <t>3.2.2.</t>
  </si>
  <si>
    <t>battery endurance</t>
  </si>
  <si>
    <t>5,7-9</t>
  </si>
  <si>
    <t>longer battery life (various reasons)</t>
  </si>
  <si>
    <t>effect * share for all DOs</t>
  </si>
  <si>
    <t>repair rate</t>
  </si>
  <si>
    <t>17</t>
  </si>
  <si>
    <t>battery removable without tools</t>
  </si>
  <si>
    <t>effective increase of 25.4 % for 95 % of devices; overrides DO15</t>
  </si>
  <si>
    <t>additional costs</t>
  </si>
  <si>
    <t>additional material</t>
  </si>
  <si>
    <t>x</t>
  </si>
  <si>
    <t>18</t>
  </si>
  <si>
    <t>glass back cover removability/replacement</t>
  </si>
  <si>
    <t>40 % more repaired</t>
  </si>
  <si>
    <t>back-cover glass</t>
  </si>
  <si>
    <t>40 % for 50 % of devices</t>
  </si>
  <si>
    <t>19</t>
  </si>
  <si>
    <t>display replacement</t>
  </si>
  <si>
    <t>15 % more display defects repaired</t>
  </si>
  <si>
    <t>no value for BC2, avg. between BC1 (10%) and BC3 (20%)</t>
  </si>
  <si>
    <t>general repairability improvements</t>
  </si>
  <si>
    <t>repair rate for defect battery is increased from 33 % to 50 %</t>
  </si>
  <si>
    <t>better repairability for various reasons</t>
  </si>
  <si>
    <t>20,21a,21b,23</t>
  </si>
  <si>
    <t>DORep-a, DORep-b Combined Reparability Option</t>
  </si>
  <si>
    <t>25</t>
  </si>
  <si>
    <t>post-consumer recycled plastics</t>
  </si>
  <si>
    <t>An LCA performed under the H2020 PolyCE project indicates that the potential environmental impact of a plastic component produced by injection moulding with recycled feedstock can be reduced by 24 %, compared to the use of virgin plastics.</t>
  </si>
  <si>
    <t>housing, back-cover</t>
  </si>
  <si>
    <t>GWP</t>
  </si>
  <si>
    <t>26</t>
  </si>
  <si>
    <t>bio-based plastics</t>
  </si>
  <si>
    <t>use of bio-based plastics</t>
  </si>
  <si>
    <t>depends on dataset</t>
  </si>
  <si>
    <t>(Wertgarantie, 2020)</t>
  </si>
  <si>
    <t>body</t>
  </si>
  <si>
    <t>camera (breakage)</t>
  </si>
  <si>
    <t>battery (e.g. bracket)</t>
  </si>
  <si>
    <t>connections, ports</t>
  </si>
  <si>
    <t>drop damage</t>
  </si>
  <si>
    <t>technical problems</t>
  </si>
  <si>
    <t>daily use</t>
  </si>
  <si>
    <t>high temperature</t>
  </si>
  <si>
    <t>relative</t>
  </si>
  <si>
    <t>(Wertgarantie, 2019)</t>
  </si>
  <si>
    <t>trend</t>
  </si>
  <si>
    <t>overall</t>
  </si>
  <si>
    <t>impact_res</t>
  </si>
  <si>
    <t>ingress_res</t>
  </si>
  <si>
    <t>wear_res</t>
  </si>
  <si>
    <t>display glass (robust)</t>
  </si>
  <si>
    <t>AMOLED</t>
  </si>
  <si>
    <t>change_component</t>
  </si>
  <si>
    <t>change_impact_res</t>
  </si>
  <si>
    <t>change_ingress_res</t>
  </si>
  <si>
    <t>change_wear_res</t>
  </si>
  <si>
    <t>back-cover integrated</t>
  </si>
  <si>
    <t>BC2</t>
  </si>
  <si>
    <t>Battery PCB</t>
  </si>
  <si>
    <t>cm²</t>
  </si>
  <si>
    <t>Display LCD</t>
  </si>
  <si>
    <t>Display OLED</t>
  </si>
  <si>
    <t>Display PCB</t>
  </si>
  <si>
    <t>Mainboard</t>
  </si>
  <si>
    <t>CPU SoC</t>
  </si>
  <si>
    <t>RAM</t>
  </si>
  <si>
    <t>NAND</t>
  </si>
  <si>
    <t>other ICs</t>
  </si>
  <si>
    <t>sub-board</t>
  </si>
  <si>
    <t>6-layer</t>
  </si>
  <si>
    <t>4-layer</t>
  </si>
  <si>
    <t>flex boards</t>
  </si>
  <si>
    <t>front camera IC</t>
  </si>
  <si>
    <t>generic IC</t>
  </si>
  <si>
    <t>front camera PCB</t>
  </si>
  <si>
    <t>rear camera IC</t>
  </si>
  <si>
    <t>LCD conversion factor</t>
  </si>
  <si>
    <t>connectors</t>
  </si>
  <si>
    <t>g</t>
  </si>
  <si>
    <t>assumption: 1 % Gold</t>
  </si>
  <si>
    <t>PET,0.005</t>
  </si>
  <si>
    <t>waste</t>
  </si>
  <si>
    <t>Polymethylmethacrylate</t>
  </si>
  <si>
    <t>DE: Polymethylmethacrylate (PMMA) in waste incineration plant Sphera &lt;t-agg&gt;</t>
  </si>
  <si>
    <t>DE: Polymethylmethacrylate granulate (PMMA) Sphera</t>
  </si>
  <si>
    <t>EU-25: Graphic Paper Euro-graph/ELCD</t>
  </si>
  <si>
    <t>EU-28: Corrugated board excl. paper production (2018), open paper input, average composition  Sphera/FEFCO &lt;t-agg&gt;</t>
  </si>
  <si>
    <t>PMMA</t>
  </si>
  <si>
    <t>PMMA,100</t>
  </si>
  <si>
    <t>NdFeB magnet - (Schischke et al., 2016)</t>
  </si>
  <si>
    <r>
      <t>AMOLED panel per cm</t>
    </r>
    <r>
      <rPr>
        <b/>
        <sz val="11"/>
        <color theme="1"/>
        <rFont val="Calibri"/>
        <family val="2"/>
        <scheme val="minor"/>
      </rPr>
      <t>²</t>
    </r>
    <r>
      <rPr>
        <sz val="11"/>
        <color theme="1"/>
        <rFont val="Calibri"/>
        <family val="2"/>
        <scheme val="minor"/>
      </rPr>
      <t xml:space="preserve"> - (Schischke et al., 2016)</t>
    </r>
  </si>
  <si>
    <t>original: 1000 cm²</t>
  </si>
  <si>
    <t>Incineration/Disposal</t>
  </si>
  <si>
    <t>Liquid Crystal Display (FP4)</t>
  </si>
  <si>
    <t>LCD_FP4</t>
  </si>
  <si>
    <t>ingress resistance low</t>
  </si>
  <si>
    <t>ingress resistance high</t>
  </si>
  <si>
    <t>ingress_resistances</t>
  </si>
  <si>
    <t>num_devices</t>
  </si>
  <si>
    <t>maximum_lifetime_months</t>
  </si>
  <si>
    <t>repair_motivations</t>
  </si>
  <si>
    <t>motivation_drop</t>
  </si>
  <si>
    <t>modularity_overhead_per_module</t>
  </si>
  <si>
    <t>energy_annual_kWh_a</t>
  </si>
  <si>
    <t xml:space="preserve">battery (endurance) </t>
  </si>
  <si>
    <t>ip_low,0,ip_high,0.5</t>
  </si>
  <si>
    <t>Silicone,0.024</t>
  </si>
  <si>
    <t>packaging_overhead</t>
  </si>
  <si>
    <t>Fairphone 4 (current case)</t>
  </si>
  <si>
    <t>plane [tkm]</t>
  </si>
  <si>
    <t>ship [tkm]</t>
  </si>
  <si>
    <t>weight [g]</t>
  </si>
  <si>
    <t>total_weight [g]</t>
  </si>
  <si>
    <t>IC SoC (Schischke et al., 2021)</t>
  </si>
  <si>
    <t>IC_SoC</t>
  </si>
  <si>
    <t>IC, SoC per cm² die area (Schischke et al., 2021)</t>
  </si>
  <si>
    <t>IC, DRAM (50% of SoC) per 1cm² die area (Schischke et al., 2021)</t>
  </si>
  <si>
    <t>Generic IC per 1cm² die area (Schischke et al., 2021)</t>
  </si>
  <si>
    <t>IC, NAND (60% of SoC) per 1cm² die area (Schischke et al., 2021)</t>
  </si>
  <si>
    <t>IC_NAND</t>
  </si>
  <si>
    <t>IC_generic</t>
  </si>
  <si>
    <t>IC DRAM (Schischke et al., 2021)</t>
  </si>
  <si>
    <t>IC NAND (Schischke et al., 2021)</t>
  </si>
  <si>
    <t>IC generic (Schischke et al., 2021)</t>
  </si>
  <si>
    <t>PCB_4</t>
  </si>
  <si>
    <t>PCB_12_GaBi</t>
  </si>
  <si>
    <t>PCB_1_GaBi</t>
  </si>
  <si>
    <t>PCB_8_GaBi</t>
  </si>
  <si>
    <t>Al2O3</t>
  </si>
  <si>
    <t>d1</t>
  </si>
  <si>
    <t>d2</t>
  </si>
  <si>
    <t>d3</t>
  </si>
  <si>
    <t>d4</t>
  </si>
  <si>
    <t>d5</t>
  </si>
  <si>
    <t>d6</t>
  </si>
  <si>
    <t>d7</t>
  </si>
  <si>
    <t>d8</t>
  </si>
  <si>
    <t>d9</t>
  </si>
  <si>
    <t>d10</t>
  </si>
  <si>
    <t>d11</t>
  </si>
  <si>
    <t>nm</t>
  </si>
  <si>
    <t>(Tan et al., 2017)</t>
  </si>
  <si>
    <t>NPB</t>
  </si>
  <si>
    <t>ITO</t>
  </si>
  <si>
    <t>2T-NATA</t>
  </si>
  <si>
    <t>Alq3</t>
  </si>
  <si>
    <t>Mg:Ag</t>
  </si>
  <si>
    <t>4,4',4”-Tris(N-(naphthalen-2-yl)-N-phenyl-amino)triphenylamin</t>
  </si>
  <si>
    <t>C66H48N4</t>
  </si>
  <si>
    <t>density [g/cm³]</t>
  </si>
  <si>
    <t>https://www.chemsrc.com/en/cas/185690-41-9_165484.html</t>
  </si>
  <si>
    <t>atomic mass [u]</t>
  </si>
  <si>
    <t>H</t>
  </si>
  <si>
    <t>N</t>
  </si>
  <si>
    <t>Indium-Tin-Oxide</t>
  </si>
  <si>
    <t>(In2O3)*0.9*(SnO2)*0.1</t>
  </si>
  <si>
    <t>O</t>
  </si>
  <si>
    <t>OLED</t>
  </si>
  <si>
    <t>N,N′-Bis(naphthalen-1-yl)-N,N′-bis(phenyl)benzidine</t>
  </si>
  <si>
    <t>C44H32N2</t>
  </si>
  <si>
    <t>https://www.scbt.com/p/n-nprime-bisnaphthalen-1-yl-n-nprime-bisphenylbenzidine-123847-85-8</t>
  </si>
  <si>
    <t>EML red</t>
  </si>
  <si>
    <t>EML green</t>
  </si>
  <si>
    <t>EML blue</t>
  </si>
  <si>
    <t>Mg10Ag</t>
  </si>
  <si>
    <t>https://www.chemsrc.com/en/baike/1028635.html</t>
  </si>
  <si>
    <t>Balq*0.9, Ir(piq)2(acac))*0.1</t>
  </si>
  <si>
    <t>https://www.ossila.com/en-eu/products/irpiq2acac</t>
  </si>
  <si>
    <t>(C32H25AlN2O3)*0.9*(C35H27IrN2O2)*0.1</t>
  </si>
  <si>
    <t>Ir</t>
  </si>
  <si>
    <t>https://pubchem.ncbi.nlm.nih.gov/compound/Ir_ppy_3</t>
  </si>
  <si>
    <t>https://www.sigmaaldrich.com/DE/de/product/aldrich/699195</t>
  </si>
  <si>
    <t>CBP*0.92,Ir(ppy)3*0.08</t>
  </si>
  <si>
    <t>(DSA-Ph)*0.95*(MADN)*0.05</t>
  </si>
  <si>
    <t>https://pubchem.ncbi.nlm.nih.gov/compound/DSA-Ph</t>
  </si>
  <si>
    <t>https://www.sigmaaldrich.com/DE/de/product/aldrich/804827</t>
  </si>
  <si>
    <t>https://www.ossila.com/en-eu/products/alq3</t>
  </si>
  <si>
    <t>Polyacrylate</t>
  </si>
  <si>
    <t>https://pubchem.ncbi.nlm.nih.gov/compound/Acrylic-acid</t>
  </si>
  <si>
    <t>total</t>
  </si>
  <si>
    <t>thickness [nm]</t>
  </si>
  <si>
    <t>mass [g]</t>
  </si>
  <si>
    <t>NdFeB</t>
  </si>
  <si>
    <t>Printed Circuit Board (4-layer) (Schischke et al., 2021)</t>
  </si>
  <si>
    <t>FR4 PCB Ni/Au-Finish 4-layers per cm² (Schischke et al., 2021)</t>
  </si>
  <si>
    <t>LCD display, smartphone, per cm² - (Schischke et al., 2021)</t>
  </si>
  <si>
    <t>PCB_1</t>
  </si>
  <si>
    <t>PCB_6</t>
  </si>
  <si>
    <t>Printed Circuit Board (1-layer) (Schischke et al., 2021)</t>
  </si>
  <si>
    <t>Printed Circuit Board (6-layer) (Schischke et al., 2021)</t>
  </si>
  <si>
    <t>Flex PCB Ni/Au-Finish 1-layer per cm² (Schischke et al., 2021)</t>
  </si>
  <si>
    <t>FR4 PCB Ni/Au-Finish 6-layers per cm² (Schischke et al., 2021)</t>
  </si>
  <si>
    <t>PCB4</t>
  </si>
  <si>
    <t>PCB6</t>
  </si>
  <si>
    <t>Cu,4.231,Glass,43.042,C,34.271,H,2.684,N,0.323,Sb,0.161,Fe,4.8,Sn,4.1,Ni,4.818,Zn,1.3,Au,0.209,Ag,0.05,Pd,0.012</t>
  </si>
  <si>
    <t>AMOLED,0.012555,PMMA,0.002,PCB_4,0.000313,Diode_mMELF,0.0005</t>
  </si>
  <si>
    <t>Battery,0.052,PCB_8,0.000167</t>
  </si>
  <si>
    <t>Si,41,Silicone,56,P,0.5,Sb,0.5,As,0.5,B,0.5,In,0.5,Ga,0.5</t>
  </si>
  <si>
    <t>Si,41,Silicone,56,P,0.5,Sb,0.5,As,0.5,B,0.5,In,0.5,Ga,0.6</t>
  </si>
  <si>
    <t>Si,41,Silicone,56,P,0.5,Sb,0.5,As,0.5,B,0.5,In,0.5,Ga,0.7</t>
  </si>
  <si>
    <t>Si,41,Silicone,56,P,0.5,Sb,0.5,As,0.5,B,0.5,In,0.5,Ga,0.8</t>
  </si>
  <si>
    <t>Ba,5,Ti,5,Zr,5,Sr,5,Ca,5,Mg,5,Zn,5,Al,5,Nb,5,Li,5,Si,5,Ta,5,O,10,Be,5,Cu,5,W,5,Au,5,Ag,5,Sb,5</t>
  </si>
  <si>
    <t>Printed Circuit Board (8-layer) (Schischke et al., 2021)</t>
  </si>
  <si>
    <t>PCB_8</t>
  </si>
  <si>
    <t>FR4 PCB Ni/Au-Finish 8-layers per cm² (Schischke et al., 2021)</t>
  </si>
  <si>
    <t>Cu,10.738,Glass,39.77,C,31.665,H,2.48,N,0.298,Sb,0.149,Fe,4.8,Sn,4.1,Ni,4.586,Zn,1.3,Au,0.052,Ag,0.05,Pd,0.012</t>
  </si>
  <si>
    <t>Cu,15.378,Glass,37.401,C,29.779,H,2.332,N,0.28,Sb,0.14,Fe,4.8,Sn,4.1,Ni,4.378,Zn,1.3,Au,0.049,Ag,0.05,Pd,0.012</t>
  </si>
  <si>
    <t>Cu,27.25,Glass,31.621,C,25.177,H,1.972,N,0.237,Sb,0.119,Fe,4.8,Sn,4.1,Ni,3.325,Zn,1.3,Au,0.038,Ag,0.05,Pd,0.012</t>
  </si>
  <si>
    <t>PCB_8,0.010219,IC_SoC,0.000431,IC_DRAM,0.000431,IC_NAND,0.001292,IC_generic,0.002792,Au,0.0000009,Diode_mMELF,0.00005,Passive,0.0007,Au,0.000020,Fe,0.004,Solder,0.0004,PCB_1,0.004622,Solder,0.0005,Passive,0.00005,IC_generic,0.000372,Au,0.000001,PCB_6,0.000033,Al,0.0006,Fe,0.0002,Ni,0.00001,Cu,0.00001,Magnet,0.0001,PMMA,0.0002,Glass,0.0001,Diode_mMELF,0.0001,IC_generic,0.000279,Au,0.00000075,Al,0.0003,Fe,0.0001,Ni,0.000005,Cu,0.00005,PMMA,0.0001</t>
  </si>
  <si>
    <t>electromechanics</t>
  </si>
  <si>
    <t>PCB_6,0.000889,Fe,0.001,Ni,0.00001,PC,0.0008,PET,0.00001,Cu,0.00004,Magnet,0.0012,Silicone,0.00002,Magnet,0.0002,W,0.0006,Cu,0.0006</t>
  </si>
  <si>
    <t>wear_failures</t>
  </si>
  <si>
    <t>impact_failures</t>
  </si>
  <si>
    <t>ingress_failures</t>
  </si>
  <si>
    <t>Mg,0.015,Al,0.02,Al,0.08,PC,0.015,Fe,0.01,Ni,0.00005,Cu,0.003,Silicone,0.0005,Fe,0.0005</t>
  </si>
  <si>
    <t>PS Design Options</t>
  </si>
  <si>
    <t>display glass,display glass (robust),AMOLED</t>
  </si>
  <si>
    <t>mic/speaker/vibration</t>
  </si>
  <si>
    <t>frame,back-cover glass,display glass,display glass (robust),AMOLED,mic/speaker/vibration</t>
  </si>
  <si>
    <t>cost</t>
  </si>
  <si>
    <t>rep_low</t>
  </si>
  <si>
    <t>rep_high</t>
  </si>
  <si>
    <t>rep_low_perc</t>
  </si>
  <si>
    <t>rep_high_perc</t>
  </si>
  <si>
    <t>iPhone 4</t>
  </si>
  <si>
    <t>estimated average (Richter)</t>
  </si>
  <si>
    <t>iPhone 6</t>
  </si>
  <si>
    <t>avg. of representative 3 smartphones (2012-2017)</t>
  </si>
  <si>
    <t>(University of Plymouth, 2019)</t>
  </si>
  <si>
    <t>(US EPA, 2015)</t>
  </si>
  <si>
    <t>(Merchant, 2017)</t>
  </si>
  <si>
    <t>(Bookhagen et al., 2020)</t>
  </si>
  <si>
    <t>(Manhart et al., 2016)</t>
  </si>
  <si>
    <t>aluminum</t>
  </si>
  <si>
    <t>antimony</t>
  </si>
  <si>
    <t>arsenic</t>
  </si>
  <si>
    <t>bismuth</t>
  </si>
  <si>
    <t>calcium</t>
  </si>
  <si>
    <t>carbon</t>
  </si>
  <si>
    <t>cerium</t>
  </si>
  <si>
    <t>chlorine</t>
  </si>
  <si>
    <t>chromium</t>
  </si>
  <si>
    <t>cobalt</t>
  </si>
  <si>
    <t>copper</t>
  </si>
  <si>
    <t>dysprosium</t>
  </si>
  <si>
    <t>europium</t>
  </si>
  <si>
    <t>gadolinium</t>
  </si>
  <si>
    <t>gallium</t>
  </si>
  <si>
    <t>germanium</t>
  </si>
  <si>
    <t>gold</t>
  </si>
  <si>
    <t>hydrogen</t>
  </si>
  <si>
    <t>indium</t>
  </si>
  <si>
    <t>iron</t>
  </si>
  <si>
    <t>lead</t>
  </si>
  <si>
    <t>lithium</t>
  </si>
  <si>
    <t>magnesium</t>
  </si>
  <si>
    <t>manganese</t>
  </si>
  <si>
    <t>molybdenum</t>
  </si>
  <si>
    <t>neodymium</t>
  </si>
  <si>
    <t>nickel</t>
  </si>
  <si>
    <t>niobium</t>
  </si>
  <si>
    <t>oxygen</t>
  </si>
  <si>
    <t>palladium</t>
  </si>
  <si>
    <t>phosphorous</t>
  </si>
  <si>
    <t>plastics</t>
  </si>
  <si>
    <t>platinum</t>
  </si>
  <si>
    <t>potassium</t>
  </si>
  <si>
    <t>praseodymium</t>
  </si>
  <si>
    <t>silicon</t>
  </si>
  <si>
    <t>silver</t>
  </si>
  <si>
    <t>sulfur</t>
  </si>
  <si>
    <t>tantalum</t>
  </si>
  <si>
    <t>tin</t>
  </si>
  <si>
    <t>titanium</t>
  </si>
  <si>
    <t>tungsten</t>
  </si>
  <si>
    <t>vanadium</t>
  </si>
  <si>
    <t>yttrium</t>
  </si>
  <si>
    <t>zinc</t>
  </si>
  <si>
    <t>area</t>
  </si>
  <si>
    <t>thickness</t>
  </si>
  <si>
    <t>volume</t>
  </si>
  <si>
    <t>density</t>
  </si>
  <si>
    <t>mass per m²</t>
  </si>
  <si>
    <t>min GWP per m²</t>
  </si>
  <si>
    <t>max GWP per m²</t>
  </si>
  <si>
    <t>min GWP per kg</t>
  </si>
  <si>
    <t>max GWP per kg</t>
  </si>
  <si>
    <t>pound</t>
  </si>
  <si>
    <t>gram</t>
  </si>
  <si>
    <t>m²</t>
  </si>
  <si>
    <t>m</t>
  </si>
  <si>
    <t>m³</t>
  </si>
  <si>
    <t>kg/m³</t>
  </si>
  <si>
    <t>kg CO2e/m²</t>
  </si>
  <si>
    <t>kg CO2e/kg</t>
  </si>
  <si>
    <t>area percentage</t>
  </si>
  <si>
    <t>mass</t>
  </si>
  <si>
    <t>mass percentage</t>
  </si>
  <si>
    <t>%</t>
  </si>
  <si>
    <t>PCB</t>
  </si>
  <si>
    <t>layers</t>
  </si>
  <si>
    <t>copper thickness (internal)</t>
  </si>
  <si>
    <t>copper thickness (external)</t>
  </si>
  <si>
    <t>FR4 thickness</t>
  </si>
  <si>
    <t>prepreg thickness</t>
  </si>
  <si>
    <t>gold thickness</t>
  </si>
  <si>
    <t>nickel thickness</t>
  </si>
  <si>
    <t>copper thickness (total)</t>
  </si>
  <si>
    <t>FR4 thickness (total)</t>
  </si>
  <si>
    <t>prepreg thickness (total)</t>
  </si>
  <si>
    <t>gold thickness (total)</t>
  </si>
  <si>
    <t>nickel thickness (total)</t>
  </si>
  <si>
    <t>total board thickness</t>
  </si>
  <si>
    <t>copper volume percentage</t>
  </si>
  <si>
    <t>copper volume per m²</t>
  </si>
  <si>
    <t>FR4 volume per m²</t>
  </si>
  <si>
    <t>prepreg volume per m²</t>
  </si>
  <si>
    <t>gold volume per m²</t>
  </si>
  <si>
    <t>nickel volume per m²</t>
  </si>
  <si>
    <t>copper mass per m²</t>
  </si>
  <si>
    <t>FR4 mass per m²</t>
  </si>
  <si>
    <t>prepreg mass per m²</t>
  </si>
  <si>
    <t>gold mass per m²</t>
  </si>
  <si>
    <t>nickel mass per m²</t>
  </si>
  <si>
    <t>total mass per m² excl. rest</t>
  </si>
  <si>
    <t>total mass per m²</t>
  </si>
  <si>
    <t>FR4 mass percentage</t>
  </si>
  <si>
    <t>copper mass percentage</t>
  </si>
  <si>
    <t>silicon mass percentage</t>
  </si>
  <si>
    <t>oxygen mass percentage</t>
  </si>
  <si>
    <t>carbon mass percentage</t>
  </si>
  <si>
    <t>hydrogen mass percentage</t>
  </si>
  <si>
    <t>nitrogen mass percentage</t>
  </si>
  <si>
    <t>bromium mass percentage</t>
  </si>
  <si>
    <t>antimony mass percentage</t>
  </si>
  <si>
    <t>iron mass percentage</t>
  </si>
  <si>
    <t>tin mass percentage</t>
  </si>
  <si>
    <t>nickel mass percentage</t>
  </si>
  <si>
    <t>zinc mass percentage</t>
  </si>
  <si>
    <t>lead mass percentage</t>
  </si>
  <si>
    <t>gold mass percentage</t>
  </si>
  <si>
    <t>silver mass percentage</t>
  </si>
  <si>
    <t>palladium mass percentage</t>
  </si>
  <si>
    <t>sum</t>
  </si>
  <si>
    <t>µm</t>
  </si>
  <si>
    <t>mm</t>
  </si>
  <si>
    <t>Bilesan.2021</t>
  </si>
  <si>
    <t>https://www.translatorscafe.com/unit-converter/en-US/molar-mass/?q=SiO2</t>
  </si>
  <si>
    <t>atomic mass</t>
  </si>
  <si>
    <t>atoms in glass fiber</t>
  </si>
  <si>
    <t>atoms in epoxy</t>
  </si>
  <si>
    <t>percentage in glass fiber</t>
  </si>
  <si>
    <t>percentage in epoxy</t>
  </si>
  <si>
    <t>percentage in GFRP</t>
  </si>
  <si>
    <t>percentage in FR4</t>
  </si>
  <si>
    <t>molar mass</t>
  </si>
  <si>
    <t>glass fiber</t>
  </si>
  <si>
    <t>SiO2</t>
  </si>
  <si>
    <t>epoxy</t>
  </si>
  <si>
    <t>(O-C6H4-CH3-C-CH3-C6H4)n</t>
  </si>
  <si>
    <t>GFRP</t>
  </si>
  <si>
    <t>https://www.researchgate.net/figure/Material-composition-of-a-generic-Li-ion-traction-battery-with-an-NCM-cathode_fig7_323727659</t>
  </si>
  <si>
    <t>Li-Ion Battery</t>
  </si>
  <si>
    <t>FP3</t>
  </si>
  <si>
    <t>kg CO2e/mAh</t>
  </si>
  <si>
    <t>capacity</t>
  </si>
  <si>
    <t>mAh</t>
  </si>
  <si>
    <t>mass per capacity</t>
  </si>
  <si>
    <t>kg/mAh</t>
  </si>
  <si>
    <t>gwp</t>
  </si>
  <si>
    <t>kg CO2e</t>
  </si>
  <si>
    <t>gwp (cap.)</t>
  </si>
  <si>
    <t>gwp (mass)</t>
  </si>
  <si>
    <t>volatile comp.</t>
  </si>
  <si>
    <t>Steel sheet Zn on 2 sides</t>
  </si>
  <si>
    <t>mass percentage steel</t>
  </si>
  <si>
    <t>Tris(8-hydroxyquinoline)aluminum(III)</t>
  </si>
  <si>
    <t>C27H18AlN3O3</t>
  </si>
  <si>
    <t>abbr.</t>
  </si>
  <si>
    <t>https://www.chemsrc.com/en/baike/1028635.html \newline https://www.ossila.com/en-eu/products/irpiq2acac</t>
  </si>
  <si>
    <t>https://www.sigmaaldrich.com/DE/de/product/aldrich/699195 \newline https://pubchem.ncbi.nlm.nih.gov/compound/Ir_ppy_</t>
  </si>
  <si>
    <t>Magnesium-Silver Alloy</t>
  </si>
  <si>
    <t>Aluminum Oxide</t>
  </si>
  <si>
    <t>C3H4O2</t>
  </si>
  <si>
    <t>density:</t>
  </si>
  <si>
    <t>copper (internal) [µm]</t>
  </si>
  <si>
    <t>copper (external) [µm]</t>
  </si>
  <si>
    <t>FR4 [µm]</t>
  </si>
  <si>
    <t>prepreg [µm]</t>
  </si>
  <si>
    <t>gold [µm]</t>
  </si>
  <si>
    <t>2,0 %</t>
  </si>
  <si>
    <t>nickel [µm]</t>
  </si>
  <si>
    <t>(EC et al., 2019)</t>
  </si>
  <si>
    <t>connections</t>
  </si>
  <si>
    <t>(Statista, 2018)</t>
  </si>
  <si>
    <t>(Agrawal, 2017)</t>
  </si>
  <si>
    <t>(Agrawal, 2017), impact &amp; ingress</t>
  </si>
  <si>
    <t>(Statista, 2017)</t>
  </si>
  <si>
    <t>(Statista, 2017), impact &amp; ingress</t>
  </si>
  <si>
    <t>average impact &amp; ingress; wear</t>
  </si>
  <si>
    <t>others divided by number of occurences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</si>
</sst>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0.0%"/>
    <numFmt numFmtId="165" formatCode="0.0000%"/>
    <numFmt numFmtId="166" formatCode="#,##0.000"/>
    <numFmt numFmtId="167" formatCode="#,##0.000000"/>
    <numFmt numFmtId="168" formatCode="0.000000"/>
    <numFmt numFmtId="169" formatCode="0.000"/>
    <numFmt numFmtId="170" formatCode="0.000%"/>
  </numFmts>
  <fonts count="12">
    <font>
      <sz val="11"/>
      <color theme="1"/>
      <name val="Calibri"/>
      <family val="2"/>
      <scheme val="minor"/>
    </font>
    <font>
      <sz val="11"/>
      <color theme="1"/>
      <name val="Calibri"/>
      <family val="2"/>
      <scheme val="minor"/>
    </font>
    <font>
      <sz val="12"/>
      <color rgb="FF000000"/>
      <name val="Arial"/>
      <family val="2"/>
    </font>
    <font>
      <b/>
      <sz val="11"/>
      <color theme="1"/>
      <name val="Calibri"/>
      <family val="2"/>
      <scheme val="minor"/>
    </font>
    <font>
      <sz val="11"/>
      <color rgb="FFFF0000"/>
      <name val="Calibri"/>
      <family val="2"/>
      <scheme val="minor"/>
    </font>
    <font>
      <sz val="11"/>
      <color theme="1" tint="0.499984740745262"/>
      <name val="Calibri"/>
      <family val="2"/>
      <scheme val="minor"/>
    </font>
    <font>
      <sz val="11"/>
      <color theme="7"/>
      <name val="Calibri"/>
      <family val="2"/>
      <scheme val="minor"/>
    </font>
    <font>
      <sz val="11"/>
      <name val="Calibri"/>
      <family val="2"/>
      <scheme val="minor"/>
    </font>
    <font>
      <sz val="8"/>
      <name val="Calibri"/>
      <family val="2"/>
      <scheme val="minor"/>
    </font>
    <font>
      <sz val="11"/>
      <color theme="0" tint="-0.499984740745262"/>
      <name val="Calibri"/>
      <family val="2"/>
      <scheme val="minor"/>
    </font>
    <font>
      <sz val="10"/>
      <color theme="1"/>
      <name val="Arial Unicode MS"/>
    </font>
    <font>
      <u/>
      <sz val="11"/>
      <color theme="10"/>
      <name val="Calibri"/>
      <family val="2"/>
      <scheme val="minor"/>
    </font>
  </fonts>
  <fills count="9">
    <fill>
      <patternFill patternType="none"/>
    </fill>
    <fill>
      <patternFill patternType="gray125"/>
    </fill>
    <fill>
      <patternFill patternType="solid">
        <fgColor rgb="FFD9D9D9"/>
        <bgColor indexed="64"/>
      </patternFill>
    </fill>
    <fill>
      <patternFill patternType="solid">
        <fgColor rgb="FFBDD6EE"/>
        <bgColor indexed="64"/>
      </patternFill>
    </fill>
    <fill>
      <patternFill patternType="solid">
        <fgColor rgb="FFF7CAAC"/>
        <bgColor indexed="64"/>
      </patternFill>
    </fill>
    <fill>
      <patternFill patternType="solid">
        <fgColor rgb="FFFFE599"/>
        <bgColor indexed="64"/>
      </patternFill>
    </fill>
    <fill>
      <patternFill patternType="solid">
        <fgColor rgb="FFC5E0B3"/>
        <bgColor indexed="64"/>
      </patternFill>
    </fill>
    <fill>
      <patternFill patternType="solid">
        <fgColor rgb="FFFFFF00"/>
        <bgColor indexed="64"/>
      </patternFill>
    </fill>
    <fill>
      <patternFill patternType="solid">
        <fgColor rgb="FFFF9F9F"/>
        <bgColor indexed="64"/>
      </patternFill>
    </fill>
  </fills>
  <borders count="12">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top/>
      <bottom style="medium">
        <color rgb="FF000000"/>
      </bottom>
      <diagonal/>
    </border>
    <border>
      <left/>
      <right style="medium">
        <color rgb="FF000000"/>
      </right>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s>
  <cellStyleXfs count="3">
    <xf numFmtId="0" fontId="0" fillId="0" borderId="0"/>
    <xf numFmtId="9" fontId="1" fillId="0" borderId="0" applyFont="0" applyFill="0" applyBorder="0" applyAlignment="0" applyProtection="0"/>
    <xf numFmtId="0" fontId="11" fillId="0" borderId="0" applyNumberFormat="0" applyFill="0" applyBorder="0" applyAlignment="0" applyProtection="0"/>
  </cellStyleXfs>
  <cellXfs count="103">
    <xf numFmtId="0" fontId="0" fillId="0" borderId="0" xfId="0"/>
    <xf numFmtId="9" fontId="0" fillId="0" borderId="0" xfId="0" applyNumberFormat="1"/>
    <xf numFmtId="9" fontId="0" fillId="0" borderId="0" xfId="1" applyFont="1"/>
    <xf numFmtId="10" fontId="0" fillId="0" borderId="0" xfId="0" applyNumberFormat="1"/>
    <xf numFmtId="164" fontId="0" fillId="0" borderId="0" xfId="1" applyNumberFormat="1" applyFont="1"/>
    <xf numFmtId="0" fontId="2" fillId="2" borderId="1" xfId="0" applyFont="1" applyFill="1" applyBorder="1" applyAlignment="1">
      <alignment horizontal="center" vertical="center" wrapText="1" readingOrder="1"/>
    </xf>
    <xf numFmtId="0" fontId="2" fillId="2" borderId="1" xfId="0" applyFont="1" applyFill="1" applyBorder="1" applyAlignment="1">
      <alignment horizontal="justify" vertical="center" wrapText="1" readingOrder="1"/>
    </xf>
    <xf numFmtId="0" fontId="2" fillId="0" borderId="1" xfId="0" applyFont="1" applyBorder="1" applyAlignment="1">
      <alignment horizontal="justify" vertical="center" wrapText="1" readingOrder="1"/>
    </xf>
    <xf numFmtId="0" fontId="2" fillId="3" borderId="1" xfId="0" applyFont="1" applyFill="1" applyBorder="1" applyAlignment="1">
      <alignment horizontal="justify" vertical="center" wrapText="1" readingOrder="1"/>
    </xf>
    <xf numFmtId="0" fontId="2" fillId="3" borderId="9" xfId="0" applyFont="1" applyFill="1" applyBorder="1" applyAlignment="1">
      <alignment horizontal="left" vertical="center" wrapText="1" readingOrder="1"/>
    </xf>
    <xf numFmtId="0" fontId="2" fillId="3" borderId="11" xfId="0" applyFont="1" applyFill="1" applyBorder="1" applyAlignment="1">
      <alignment horizontal="left" vertical="center" wrapText="1" readingOrder="1"/>
    </xf>
    <xf numFmtId="0" fontId="2" fillId="3" borderId="10" xfId="0" applyFont="1" applyFill="1" applyBorder="1" applyAlignment="1">
      <alignment horizontal="left" vertical="center" wrapText="1" readingOrder="1"/>
    </xf>
    <xf numFmtId="0" fontId="2" fillId="5" borderId="9" xfId="0" applyFont="1" applyFill="1" applyBorder="1" applyAlignment="1">
      <alignment horizontal="left" vertical="center" wrapText="1" readingOrder="1"/>
    </xf>
    <xf numFmtId="0" fontId="2" fillId="5" borderId="10" xfId="0" applyFont="1" applyFill="1" applyBorder="1" applyAlignment="1">
      <alignment horizontal="left" vertical="center" wrapText="1" readingOrder="1"/>
    </xf>
    <xf numFmtId="0" fontId="0" fillId="5" borderId="10" xfId="0" applyFill="1" applyBorder="1" applyAlignment="1">
      <alignment vertical="center" wrapText="1"/>
    </xf>
    <xf numFmtId="0" fontId="0" fillId="5" borderId="11" xfId="0" applyFill="1" applyBorder="1" applyAlignment="1">
      <alignment vertical="center" wrapText="1"/>
    </xf>
    <xf numFmtId="0" fontId="2" fillId="6" borderId="9" xfId="0" applyFont="1" applyFill="1" applyBorder="1" applyAlignment="1">
      <alignment horizontal="left" vertical="center" wrapText="1" readingOrder="1"/>
    </xf>
    <xf numFmtId="0" fontId="2" fillId="6" borderId="10" xfId="0" applyFont="1" applyFill="1" applyBorder="1" applyAlignment="1">
      <alignment horizontal="left" vertical="center" wrapText="1" readingOrder="1"/>
    </xf>
    <xf numFmtId="0" fontId="0" fillId="6" borderId="10" xfId="0" applyFill="1" applyBorder="1" applyAlignment="1">
      <alignment vertical="center" wrapText="1"/>
    </xf>
    <xf numFmtId="0" fontId="0" fillId="6" borderId="11" xfId="0" applyFill="1" applyBorder="1" applyAlignment="1">
      <alignment vertical="center" wrapText="1"/>
    </xf>
    <xf numFmtId="164" fontId="0" fillId="0" borderId="0" xfId="0" applyNumberFormat="1"/>
    <xf numFmtId="164" fontId="3" fillId="0" borderId="0" xfId="0" applyNumberFormat="1" applyFont="1"/>
    <xf numFmtId="0" fontId="4" fillId="0" borderId="0" xfId="0" applyFont="1"/>
    <xf numFmtId="0" fontId="5" fillId="0" borderId="0" xfId="0" applyFont="1"/>
    <xf numFmtId="9" fontId="5" fillId="0" borderId="0" xfId="1" applyFont="1"/>
    <xf numFmtId="16" fontId="5" fillId="0" borderId="0" xfId="0" applyNumberFormat="1" applyFont="1"/>
    <xf numFmtId="0" fontId="0" fillId="0" borderId="0" xfId="1" applyNumberFormat="1" applyFont="1"/>
    <xf numFmtId="2" fontId="0" fillId="0" borderId="0" xfId="1" applyNumberFormat="1" applyFont="1"/>
    <xf numFmtId="2" fontId="0" fillId="0" borderId="0" xfId="0" applyNumberFormat="1"/>
    <xf numFmtId="165" fontId="0" fillId="0" borderId="0" xfId="0" applyNumberFormat="1"/>
    <xf numFmtId="0" fontId="3" fillId="0" borderId="0" xfId="0" applyFont="1"/>
    <xf numFmtId="9" fontId="3" fillId="0" borderId="0" xfId="1" applyFont="1"/>
    <xf numFmtId="10" fontId="3" fillId="0" borderId="0" xfId="0" applyNumberFormat="1" applyFont="1"/>
    <xf numFmtId="10" fontId="3" fillId="0" borderId="0" xfId="1" applyNumberFormat="1" applyFont="1"/>
    <xf numFmtId="10" fontId="1" fillId="0" borderId="0" xfId="1" applyNumberFormat="1" applyFont="1"/>
    <xf numFmtId="49" fontId="0" fillId="0" borderId="0" xfId="0" applyNumberFormat="1"/>
    <xf numFmtId="49" fontId="4" fillId="0" borderId="0" xfId="0" applyNumberFormat="1" applyFont="1"/>
    <xf numFmtId="166" fontId="0" fillId="0" borderId="0" xfId="0" applyNumberFormat="1"/>
    <xf numFmtId="0" fontId="7" fillId="0" borderId="0" xfId="0" applyFont="1"/>
    <xf numFmtId="4" fontId="0" fillId="0" borderId="0" xfId="0" applyNumberFormat="1"/>
    <xf numFmtId="11" fontId="0" fillId="0" borderId="0" xfId="0" applyNumberFormat="1"/>
    <xf numFmtId="167" fontId="0" fillId="0" borderId="0" xfId="0" applyNumberFormat="1"/>
    <xf numFmtId="1" fontId="0" fillId="0" borderId="0" xfId="0" applyNumberFormat="1"/>
    <xf numFmtId="0" fontId="0" fillId="0" borderId="0" xfId="0" applyAlignment="1">
      <alignment vertical="center" wrapText="1"/>
    </xf>
    <xf numFmtId="9" fontId="4" fillId="0" borderId="0" xfId="0" applyNumberFormat="1" applyFont="1"/>
    <xf numFmtId="10" fontId="0" fillId="0" borderId="0" xfId="1" applyNumberFormat="1" applyFont="1"/>
    <xf numFmtId="9" fontId="0" fillId="7" borderId="0" xfId="1" applyFont="1" applyFill="1"/>
    <xf numFmtId="164" fontId="1" fillId="0" borderId="0" xfId="1" applyNumberFormat="1" applyFont="1"/>
    <xf numFmtId="164" fontId="3" fillId="0" borderId="0" xfId="1" applyNumberFormat="1" applyFont="1"/>
    <xf numFmtId="0" fontId="0" fillId="0" borderId="0" xfId="0" applyAlignment="1">
      <alignment horizontal="center"/>
    </xf>
    <xf numFmtId="0" fontId="9" fillId="0" borderId="0" xfId="0" applyFont="1" applyAlignment="1">
      <alignment horizontal="center"/>
    </xf>
    <xf numFmtId="0" fontId="9" fillId="0" borderId="0" xfId="0" applyFont="1"/>
    <xf numFmtId="164" fontId="9" fillId="0" borderId="0" xfId="1" applyNumberFormat="1" applyFont="1"/>
    <xf numFmtId="168" fontId="0" fillId="0" borderId="0" xfId="0" applyNumberFormat="1"/>
    <xf numFmtId="1" fontId="0" fillId="0" borderId="0" xfId="1" applyNumberFormat="1" applyFont="1"/>
    <xf numFmtId="1" fontId="4" fillId="0" borderId="0" xfId="1" applyNumberFormat="1" applyFont="1"/>
    <xf numFmtId="4" fontId="10" fillId="0" borderId="0" xfId="0" applyNumberFormat="1" applyFont="1"/>
    <xf numFmtId="4" fontId="0" fillId="0" borderId="0" xfId="1" applyNumberFormat="1" applyFont="1"/>
    <xf numFmtId="169" fontId="0" fillId="0" borderId="0" xfId="0" applyNumberFormat="1"/>
    <xf numFmtId="10" fontId="7" fillId="0" borderId="0" xfId="1" applyNumberFormat="1" applyFont="1"/>
    <xf numFmtId="49" fontId="6" fillId="7" borderId="0" xfId="0" applyNumberFormat="1" applyFont="1" applyFill="1"/>
    <xf numFmtId="1" fontId="7" fillId="0" borderId="0" xfId="1" applyNumberFormat="1" applyFont="1"/>
    <xf numFmtId="9" fontId="7" fillId="0" borderId="0" xfId="1" applyFont="1"/>
    <xf numFmtId="9" fontId="4" fillId="0" borderId="0" xfId="1" applyFont="1"/>
    <xf numFmtId="170" fontId="0" fillId="0" borderId="0" xfId="1" applyNumberFormat="1" applyFont="1"/>
    <xf numFmtId="11" fontId="4" fillId="0" borderId="0" xfId="0" applyNumberFormat="1" applyFont="1"/>
    <xf numFmtId="11" fontId="7" fillId="0" borderId="0" xfId="0" applyNumberFormat="1" applyFont="1"/>
    <xf numFmtId="11" fontId="0" fillId="0" borderId="0" xfId="0" applyNumberFormat="1" applyAlignment="1">
      <alignment wrapText="1"/>
    </xf>
    <xf numFmtId="2" fontId="0" fillId="0" borderId="0" xfId="0" applyNumberFormat="1" applyAlignment="1">
      <alignment wrapText="1"/>
    </xf>
    <xf numFmtId="9" fontId="0" fillId="0" borderId="0" xfId="1" applyFont="1" applyAlignment="1">
      <alignment wrapText="1"/>
    </xf>
    <xf numFmtId="2" fontId="7" fillId="0" borderId="0" xfId="0" applyNumberFormat="1" applyFont="1"/>
    <xf numFmtId="9" fontId="7" fillId="0" borderId="0" xfId="0" applyNumberFormat="1" applyFont="1"/>
    <xf numFmtId="164" fontId="4" fillId="0" borderId="0" xfId="1" applyNumberFormat="1" applyFont="1"/>
    <xf numFmtId="164" fontId="7" fillId="0" borderId="0" xfId="1" applyNumberFormat="1" applyFont="1"/>
    <xf numFmtId="2" fontId="4" fillId="0" borderId="0" xfId="0" applyNumberFormat="1" applyFont="1"/>
    <xf numFmtId="0" fontId="11" fillId="0" borderId="0" xfId="2"/>
    <xf numFmtId="167" fontId="0" fillId="8" borderId="0" xfId="0" applyNumberFormat="1" applyFill="1"/>
    <xf numFmtId="166" fontId="0" fillId="8" borderId="0" xfId="0" applyNumberFormat="1" applyFill="1"/>
    <xf numFmtId="167" fontId="7" fillId="8" borderId="0" xfId="0" applyNumberFormat="1" applyFont="1" applyFill="1"/>
    <xf numFmtId="166" fontId="7" fillId="8" borderId="0" xfId="0" applyNumberFormat="1" applyFont="1" applyFill="1"/>
    <xf numFmtId="0" fontId="0" fillId="8" borderId="0" xfId="0" applyFill="1"/>
    <xf numFmtId="4" fontId="0" fillId="8" borderId="0" xfId="0" applyNumberFormat="1" applyFill="1"/>
    <xf numFmtId="0" fontId="4" fillId="8" borderId="0" xfId="0" applyFont="1" applyFill="1"/>
    <xf numFmtId="11" fontId="0" fillId="8" borderId="0" xfId="0" applyNumberFormat="1" applyFill="1"/>
    <xf numFmtId="0" fontId="2" fillId="2" borderId="2" xfId="0" applyFont="1" applyFill="1" applyBorder="1" applyAlignment="1">
      <alignment horizontal="center" vertical="center" wrapText="1" readingOrder="1"/>
    </xf>
    <xf numFmtId="0" fontId="2" fillId="2" borderId="3" xfId="0" applyFont="1" applyFill="1" applyBorder="1" applyAlignment="1">
      <alignment horizontal="center" vertical="center" wrapText="1" readingOrder="1"/>
    </xf>
    <xf numFmtId="0" fontId="2" fillId="2" borderId="4" xfId="0" applyFont="1" applyFill="1" applyBorder="1" applyAlignment="1">
      <alignment horizontal="center" vertical="center" wrapText="1" readingOrder="1"/>
    </xf>
    <xf numFmtId="0" fontId="2" fillId="2" borderId="5" xfId="0" applyFont="1" applyFill="1" applyBorder="1" applyAlignment="1">
      <alignment horizontal="center" vertical="center" wrapText="1" readingOrder="1"/>
    </xf>
    <xf numFmtId="0" fontId="2" fillId="2" borderId="6" xfId="0" applyFont="1" applyFill="1" applyBorder="1" applyAlignment="1">
      <alignment horizontal="center" vertical="center" wrapText="1" readingOrder="1"/>
    </xf>
    <xf numFmtId="0" fontId="2" fillId="2" borderId="7" xfId="0" applyFont="1" applyFill="1" applyBorder="1" applyAlignment="1">
      <alignment horizontal="center" vertical="center" wrapText="1" readingOrder="1"/>
    </xf>
    <xf numFmtId="0" fontId="2" fillId="2" borderId="8" xfId="0" applyFont="1" applyFill="1" applyBorder="1" applyAlignment="1">
      <alignment horizontal="center" vertical="center" wrapText="1" readingOrder="1"/>
    </xf>
    <xf numFmtId="0" fontId="2" fillId="2" borderId="9" xfId="0" applyFont="1" applyFill="1" applyBorder="1" applyAlignment="1">
      <alignment horizontal="justify" vertical="center" wrapText="1" readingOrder="1"/>
    </xf>
    <xf numFmtId="0" fontId="2" fillId="2" borderId="10" xfId="0" applyFont="1" applyFill="1" applyBorder="1" applyAlignment="1">
      <alignment horizontal="justify" vertical="center" wrapText="1" readingOrder="1"/>
    </xf>
    <xf numFmtId="0" fontId="2" fillId="2" borderId="11" xfId="0" applyFont="1" applyFill="1" applyBorder="1" applyAlignment="1">
      <alignment horizontal="justify" vertical="center" wrapText="1" readingOrder="1"/>
    </xf>
    <xf numFmtId="0" fontId="2" fillId="0" borderId="9" xfId="0" applyFont="1" applyBorder="1" applyAlignment="1">
      <alignment horizontal="left" vertical="center" wrapText="1" readingOrder="1"/>
    </xf>
    <xf numFmtId="0" fontId="2" fillId="0" borderId="11" xfId="0" applyFont="1" applyBorder="1" applyAlignment="1">
      <alignment horizontal="left" vertical="center" wrapText="1" readingOrder="1"/>
    </xf>
    <xf numFmtId="0" fontId="2" fillId="4" borderId="9" xfId="0" applyFont="1" applyFill="1" applyBorder="1" applyAlignment="1">
      <alignment horizontal="left" vertical="center" wrapText="1" readingOrder="1"/>
    </xf>
    <xf numFmtId="0" fontId="2" fillId="4" borderId="11" xfId="0" applyFont="1" applyFill="1" applyBorder="1" applyAlignment="1">
      <alignment horizontal="left" vertical="center" wrapText="1" readingOrder="1"/>
    </xf>
    <xf numFmtId="0" fontId="0" fillId="0" borderId="0" xfId="0" applyAlignment="1">
      <alignment horizontal="center"/>
    </xf>
    <xf numFmtId="0" fontId="9" fillId="0" borderId="0" xfId="0" applyFont="1" applyAlignment="1">
      <alignment horizontal="center"/>
    </xf>
    <xf numFmtId="0" fontId="0" fillId="0" borderId="0" xfId="0" applyAlignment="1">
      <alignment horizontal="left" vertical="center" wrapText="1"/>
    </xf>
    <xf numFmtId="0" fontId="0" fillId="0" borderId="0" xfId="0" applyAlignment="1">
      <alignment vertical="center" wrapText="1"/>
    </xf>
    <xf numFmtId="10" fontId="0" fillId="0" borderId="0" xfId="0" applyNumberFormat="1" applyAlignment="1">
      <alignment vertical="center" wrapText="1"/>
    </xf>
  </cellXfs>
  <cellStyles count="3">
    <cellStyle name="Link" xfId="2" builtinId="8"/>
    <cellStyle name="Prozent" xfId="1" builtinId="5"/>
    <cellStyle name="Standard" xfId="0" builtinId="0"/>
  </cellStyles>
  <dxfs count="14">
    <dxf>
      <fill>
        <patternFill>
          <bgColor theme="7" tint="0.79998168889431442"/>
        </patternFill>
      </fill>
    </dxf>
    <dxf>
      <font>
        <color theme="1"/>
      </font>
      <fill>
        <patternFill>
          <bgColor theme="9"/>
        </patternFill>
      </fill>
    </dxf>
    <dxf>
      <font>
        <color theme="1"/>
      </font>
      <fill>
        <patternFill>
          <bgColor theme="7"/>
        </patternFill>
      </fill>
    </dxf>
    <dxf>
      <font>
        <color theme="1"/>
      </font>
      <fill>
        <patternFill>
          <bgColor rgb="FFFF0000"/>
        </patternFill>
      </fill>
    </dxf>
    <dxf>
      <font>
        <color theme="1"/>
      </font>
      <fill>
        <patternFill>
          <bgColor theme="9"/>
        </patternFill>
      </fill>
    </dxf>
    <dxf>
      <font>
        <color theme="1"/>
      </font>
      <fill>
        <patternFill>
          <bgColor theme="7"/>
        </patternFill>
      </fill>
    </dxf>
    <dxf>
      <font>
        <color theme="1"/>
      </font>
      <fill>
        <patternFill>
          <bgColor rgb="FFFF0000"/>
        </patternFill>
      </fill>
    </dxf>
    <dxf>
      <font>
        <color theme="1"/>
      </font>
      <fill>
        <patternFill>
          <bgColor theme="9"/>
        </patternFill>
      </fill>
    </dxf>
    <dxf>
      <font>
        <color theme="1"/>
      </font>
      <fill>
        <patternFill>
          <bgColor theme="7"/>
        </patternFill>
      </fill>
    </dxf>
    <dxf>
      <font>
        <color theme="1"/>
      </font>
      <fill>
        <patternFill>
          <bgColor rgb="FFFF0000"/>
        </patternFill>
      </fill>
    </dxf>
    <dxf>
      <font>
        <color theme="0"/>
      </font>
      <fill>
        <patternFill>
          <bgColor theme="4" tint="0.39994506668294322"/>
        </patternFill>
      </fill>
    </dxf>
    <dxf>
      <font>
        <color theme="1"/>
      </font>
      <fill>
        <patternFill>
          <bgColor theme="4" tint="0.79998168889431442"/>
        </patternFill>
      </fill>
    </dxf>
    <dxf>
      <font>
        <color theme="1"/>
      </font>
      <fill>
        <patternFill>
          <bgColor theme="0"/>
        </patternFill>
      </fill>
    </dxf>
    <dxf>
      <font>
        <color theme="1"/>
      </font>
      <fill>
        <patternFill>
          <bgColor theme="9" tint="0.59996337778862885"/>
        </patternFill>
      </fill>
    </dxf>
  </dxfs>
  <tableStyles count="0" defaultTableStyle="TableStyleMedium2" defaultPivotStyle="PivotStyleLight16"/>
  <colors>
    <mruColors>
      <color rgb="FFFF9F9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onnections" Target="connections.xml"/><Relationship Id="rId30" Type="http://schemas.microsoft.com/office/2017/10/relationships/person" Target="persons/perso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spPr>
            <a:ln w="19050" cap="rnd">
              <a:solidFill>
                <a:schemeClr val="accent1"/>
              </a:solid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log"/>
            <c:dispRSqr val="1"/>
            <c:dispEq val="1"/>
            <c:trendlineLbl>
              <c:layout>
                <c:manualLayout>
                  <c:x val="3.6205161854768152E-2"/>
                  <c:y val="-0.39029673374161561"/>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xVal>
            <c:numRef>
              <c:f>defects!$W$32:$W$53</c:f>
              <c:numCache>
                <c:formatCode>0%</c:formatCode>
                <c:ptCount val="22"/>
                <c:pt idx="0">
                  <c:v>0</c:v>
                </c:pt>
                <c:pt idx="1">
                  <c:v>0.05</c:v>
                </c:pt>
                <c:pt idx="2">
                  <c:v>0.1</c:v>
                </c:pt>
                <c:pt idx="3">
                  <c:v>0.15</c:v>
                </c:pt>
                <c:pt idx="4">
                  <c:v>0.2</c:v>
                </c:pt>
                <c:pt idx="5">
                  <c:v>0.25</c:v>
                </c:pt>
                <c:pt idx="7">
                  <c:v>0.3</c:v>
                </c:pt>
                <c:pt idx="8">
                  <c:v>0.35</c:v>
                </c:pt>
                <c:pt idx="9">
                  <c:v>0.4</c:v>
                </c:pt>
                <c:pt idx="10">
                  <c:v>0.45</c:v>
                </c:pt>
                <c:pt idx="11">
                  <c:v>0.5</c:v>
                </c:pt>
                <c:pt idx="12">
                  <c:v>0.55000000000000004</c:v>
                </c:pt>
                <c:pt idx="13">
                  <c:v>0.6</c:v>
                </c:pt>
                <c:pt idx="14">
                  <c:v>0.65</c:v>
                </c:pt>
                <c:pt idx="15">
                  <c:v>0.7</c:v>
                </c:pt>
                <c:pt idx="16">
                  <c:v>0.75</c:v>
                </c:pt>
                <c:pt idx="17">
                  <c:v>0.8</c:v>
                </c:pt>
                <c:pt idx="18">
                  <c:v>0.85</c:v>
                </c:pt>
                <c:pt idx="19">
                  <c:v>0.9</c:v>
                </c:pt>
                <c:pt idx="20">
                  <c:v>0.95</c:v>
                </c:pt>
                <c:pt idx="21">
                  <c:v>1</c:v>
                </c:pt>
              </c:numCache>
            </c:numRef>
          </c:xVal>
          <c:yVal>
            <c:numRef>
              <c:f>defects!$X$32:$X$53</c:f>
              <c:numCache>
                <c:formatCode>General</c:formatCode>
                <c:ptCount val="22"/>
                <c:pt idx="1">
                  <c:v>50</c:v>
                </c:pt>
                <c:pt idx="2">
                  <c:v>15</c:v>
                </c:pt>
                <c:pt idx="3">
                  <c:v>9</c:v>
                </c:pt>
                <c:pt idx="4">
                  <c:v>7</c:v>
                </c:pt>
                <c:pt idx="5">
                  <c:v>6</c:v>
                </c:pt>
                <c:pt idx="7">
                  <c:v>5</c:v>
                </c:pt>
                <c:pt idx="8">
                  <c:v>4.5</c:v>
                </c:pt>
                <c:pt idx="9">
                  <c:v>4</c:v>
                </c:pt>
                <c:pt idx="10">
                  <c:v>3.5</c:v>
                </c:pt>
                <c:pt idx="11">
                  <c:v>3</c:v>
                </c:pt>
                <c:pt idx="12">
                  <c:v>2</c:v>
                </c:pt>
                <c:pt idx="13">
                  <c:v>1</c:v>
                </c:pt>
                <c:pt idx="17">
                  <c:v>0.5</c:v>
                </c:pt>
                <c:pt idx="21">
                  <c:v>0</c:v>
                </c:pt>
              </c:numCache>
            </c:numRef>
          </c:yVal>
          <c:smooth val="0"/>
          <c:extLst>
            <c:ext xmlns:c16="http://schemas.microsoft.com/office/drawing/2014/chart" uri="{C3380CC4-5D6E-409C-BE32-E72D297353CC}">
              <c16:uniqueId val="{00000000-FDA5-4667-BEAE-93125135A09A}"/>
            </c:ext>
          </c:extLst>
        </c:ser>
        <c:dLbls>
          <c:showLegendKey val="0"/>
          <c:showVal val="0"/>
          <c:showCatName val="0"/>
          <c:showSerName val="0"/>
          <c:showPercent val="0"/>
          <c:showBubbleSize val="0"/>
        </c:dLbls>
        <c:axId val="1344617055"/>
        <c:axId val="1344615391"/>
      </c:scatterChart>
      <c:valAx>
        <c:axId val="1344617055"/>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44615391"/>
        <c:crosses val="autoZero"/>
        <c:crossBetween val="midCat"/>
      </c:valAx>
      <c:valAx>
        <c:axId val="1344615391"/>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44617055"/>
        <c:crosses val="autoZero"/>
        <c:crossBetween val="midCat"/>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8740157499999996" l="0.7" r="0.7" t="0.78740157499999996"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spPr>
            <a:ln w="28575" cap="rnd">
              <a:solidFill>
                <a:schemeClr val="accent1"/>
              </a:solidFill>
              <a:round/>
            </a:ln>
            <a:effectLst/>
          </c:spPr>
          <c:marker>
            <c:symbol val="none"/>
          </c:marker>
          <c:cat>
            <c:numRef>
              <c:f>lifetime!$B$64:$B$184</c:f>
              <c:numCache>
                <c:formatCode>0.00</c:formatCode>
                <c:ptCount val="12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pt idx="41">
                  <c:v>41</c:v>
                </c:pt>
                <c:pt idx="42">
                  <c:v>42</c:v>
                </c:pt>
                <c:pt idx="43">
                  <c:v>43</c:v>
                </c:pt>
                <c:pt idx="44">
                  <c:v>44</c:v>
                </c:pt>
                <c:pt idx="45">
                  <c:v>45</c:v>
                </c:pt>
                <c:pt idx="46">
                  <c:v>46</c:v>
                </c:pt>
                <c:pt idx="47">
                  <c:v>47</c:v>
                </c:pt>
                <c:pt idx="48">
                  <c:v>48</c:v>
                </c:pt>
                <c:pt idx="49">
                  <c:v>49</c:v>
                </c:pt>
                <c:pt idx="50">
                  <c:v>50</c:v>
                </c:pt>
                <c:pt idx="51">
                  <c:v>51</c:v>
                </c:pt>
                <c:pt idx="52">
                  <c:v>52</c:v>
                </c:pt>
                <c:pt idx="53">
                  <c:v>53</c:v>
                </c:pt>
                <c:pt idx="54">
                  <c:v>54</c:v>
                </c:pt>
                <c:pt idx="55">
                  <c:v>55</c:v>
                </c:pt>
                <c:pt idx="56">
                  <c:v>56</c:v>
                </c:pt>
                <c:pt idx="57">
                  <c:v>57</c:v>
                </c:pt>
                <c:pt idx="58">
                  <c:v>58</c:v>
                </c:pt>
                <c:pt idx="59">
                  <c:v>59</c:v>
                </c:pt>
                <c:pt idx="60">
                  <c:v>60</c:v>
                </c:pt>
                <c:pt idx="61">
                  <c:v>61</c:v>
                </c:pt>
                <c:pt idx="62">
                  <c:v>62</c:v>
                </c:pt>
                <c:pt idx="63">
                  <c:v>63</c:v>
                </c:pt>
                <c:pt idx="64">
                  <c:v>64</c:v>
                </c:pt>
                <c:pt idx="65">
                  <c:v>65</c:v>
                </c:pt>
                <c:pt idx="66">
                  <c:v>66</c:v>
                </c:pt>
                <c:pt idx="67">
                  <c:v>67</c:v>
                </c:pt>
                <c:pt idx="68">
                  <c:v>68</c:v>
                </c:pt>
                <c:pt idx="69">
                  <c:v>69</c:v>
                </c:pt>
                <c:pt idx="70">
                  <c:v>70</c:v>
                </c:pt>
                <c:pt idx="71">
                  <c:v>71</c:v>
                </c:pt>
                <c:pt idx="72">
                  <c:v>72</c:v>
                </c:pt>
                <c:pt idx="73">
                  <c:v>73</c:v>
                </c:pt>
                <c:pt idx="74">
                  <c:v>74</c:v>
                </c:pt>
                <c:pt idx="75">
                  <c:v>75</c:v>
                </c:pt>
                <c:pt idx="76">
                  <c:v>76</c:v>
                </c:pt>
                <c:pt idx="77">
                  <c:v>77</c:v>
                </c:pt>
                <c:pt idx="78">
                  <c:v>78</c:v>
                </c:pt>
                <c:pt idx="79">
                  <c:v>79</c:v>
                </c:pt>
                <c:pt idx="80">
                  <c:v>80</c:v>
                </c:pt>
                <c:pt idx="81">
                  <c:v>81</c:v>
                </c:pt>
                <c:pt idx="82">
                  <c:v>82</c:v>
                </c:pt>
                <c:pt idx="83">
                  <c:v>83</c:v>
                </c:pt>
                <c:pt idx="84">
                  <c:v>84</c:v>
                </c:pt>
                <c:pt idx="85">
                  <c:v>85</c:v>
                </c:pt>
                <c:pt idx="86">
                  <c:v>86</c:v>
                </c:pt>
                <c:pt idx="87">
                  <c:v>87</c:v>
                </c:pt>
                <c:pt idx="88">
                  <c:v>88</c:v>
                </c:pt>
                <c:pt idx="89">
                  <c:v>89</c:v>
                </c:pt>
                <c:pt idx="90">
                  <c:v>90</c:v>
                </c:pt>
                <c:pt idx="91">
                  <c:v>91</c:v>
                </c:pt>
                <c:pt idx="92">
                  <c:v>92</c:v>
                </c:pt>
                <c:pt idx="93">
                  <c:v>93</c:v>
                </c:pt>
                <c:pt idx="94">
                  <c:v>94</c:v>
                </c:pt>
                <c:pt idx="95">
                  <c:v>95</c:v>
                </c:pt>
                <c:pt idx="96">
                  <c:v>96</c:v>
                </c:pt>
                <c:pt idx="97">
                  <c:v>97</c:v>
                </c:pt>
                <c:pt idx="98">
                  <c:v>98</c:v>
                </c:pt>
                <c:pt idx="99">
                  <c:v>99</c:v>
                </c:pt>
                <c:pt idx="100">
                  <c:v>100</c:v>
                </c:pt>
                <c:pt idx="101">
                  <c:v>101</c:v>
                </c:pt>
                <c:pt idx="102">
                  <c:v>102</c:v>
                </c:pt>
                <c:pt idx="103">
                  <c:v>103</c:v>
                </c:pt>
                <c:pt idx="104">
                  <c:v>104</c:v>
                </c:pt>
                <c:pt idx="105">
                  <c:v>105</c:v>
                </c:pt>
                <c:pt idx="106">
                  <c:v>106</c:v>
                </c:pt>
                <c:pt idx="107">
                  <c:v>107</c:v>
                </c:pt>
                <c:pt idx="108">
                  <c:v>108</c:v>
                </c:pt>
                <c:pt idx="109">
                  <c:v>109</c:v>
                </c:pt>
                <c:pt idx="110">
                  <c:v>110</c:v>
                </c:pt>
                <c:pt idx="111">
                  <c:v>111</c:v>
                </c:pt>
                <c:pt idx="112">
                  <c:v>112</c:v>
                </c:pt>
                <c:pt idx="113">
                  <c:v>113</c:v>
                </c:pt>
                <c:pt idx="114">
                  <c:v>114</c:v>
                </c:pt>
                <c:pt idx="115">
                  <c:v>115</c:v>
                </c:pt>
                <c:pt idx="116">
                  <c:v>116</c:v>
                </c:pt>
                <c:pt idx="117">
                  <c:v>117</c:v>
                </c:pt>
                <c:pt idx="118">
                  <c:v>118</c:v>
                </c:pt>
                <c:pt idx="119">
                  <c:v>119</c:v>
                </c:pt>
                <c:pt idx="120">
                  <c:v>120</c:v>
                </c:pt>
              </c:numCache>
            </c:numRef>
          </c:cat>
          <c:val>
            <c:numRef>
              <c:f>lifetime!$C$64:$C$184</c:f>
              <c:numCache>
                <c:formatCode>0.00</c:formatCode>
                <c:ptCount val="121"/>
                <c:pt idx="0">
                  <c:v>0.01</c:v>
                </c:pt>
                <c:pt idx="1">
                  <c:v>0.01</c:v>
                </c:pt>
                <c:pt idx="2">
                  <c:v>0.01</c:v>
                </c:pt>
                <c:pt idx="3">
                  <c:v>0.01</c:v>
                </c:pt>
                <c:pt idx="4">
                  <c:v>0.01</c:v>
                </c:pt>
                <c:pt idx="5">
                  <c:v>0.01</c:v>
                </c:pt>
                <c:pt idx="6">
                  <c:v>0.01</c:v>
                </c:pt>
                <c:pt idx="7">
                  <c:v>0.01</c:v>
                </c:pt>
                <c:pt idx="8">
                  <c:v>0.01</c:v>
                </c:pt>
                <c:pt idx="9">
                  <c:v>0.01</c:v>
                </c:pt>
                <c:pt idx="10">
                  <c:v>0.01</c:v>
                </c:pt>
                <c:pt idx="11">
                  <c:v>0.01</c:v>
                </c:pt>
                <c:pt idx="12">
                  <c:v>0.28000000000000003</c:v>
                </c:pt>
                <c:pt idx="13">
                  <c:v>0.28000000000000003</c:v>
                </c:pt>
                <c:pt idx="14">
                  <c:v>0.28000000000000003</c:v>
                </c:pt>
                <c:pt idx="15">
                  <c:v>0.28000000000000003</c:v>
                </c:pt>
                <c:pt idx="16">
                  <c:v>0.28000000000000003</c:v>
                </c:pt>
                <c:pt idx="17">
                  <c:v>0.28000000000000003</c:v>
                </c:pt>
                <c:pt idx="18">
                  <c:v>0.28000000000000003</c:v>
                </c:pt>
                <c:pt idx="19">
                  <c:v>0.28000000000000003</c:v>
                </c:pt>
                <c:pt idx="20">
                  <c:v>0.28000000000000003</c:v>
                </c:pt>
                <c:pt idx="21">
                  <c:v>0.28000000000000003</c:v>
                </c:pt>
                <c:pt idx="22">
                  <c:v>0.28000000000000003</c:v>
                </c:pt>
                <c:pt idx="23">
                  <c:v>0.28000000000000003</c:v>
                </c:pt>
                <c:pt idx="24">
                  <c:v>0.28000000000000003</c:v>
                </c:pt>
                <c:pt idx="25">
                  <c:v>0.28000000000000003</c:v>
                </c:pt>
                <c:pt idx="26">
                  <c:v>0.28000000000000003</c:v>
                </c:pt>
                <c:pt idx="27">
                  <c:v>0.28000000000000003</c:v>
                </c:pt>
                <c:pt idx="28">
                  <c:v>0.28000000000000003</c:v>
                </c:pt>
                <c:pt idx="29">
                  <c:v>0.28000000000000003</c:v>
                </c:pt>
                <c:pt idx="30">
                  <c:v>0.28000000000000003</c:v>
                </c:pt>
                <c:pt idx="31">
                  <c:v>0.28000000000000003</c:v>
                </c:pt>
                <c:pt idx="32">
                  <c:v>0.28000000000000003</c:v>
                </c:pt>
                <c:pt idx="33">
                  <c:v>0.28000000000000003</c:v>
                </c:pt>
                <c:pt idx="34">
                  <c:v>0.28000000000000003</c:v>
                </c:pt>
                <c:pt idx="35">
                  <c:v>0.28000000000000003</c:v>
                </c:pt>
                <c:pt idx="36">
                  <c:v>0.41</c:v>
                </c:pt>
                <c:pt idx="37">
                  <c:v>0.41</c:v>
                </c:pt>
                <c:pt idx="38">
                  <c:v>0.41</c:v>
                </c:pt>
                <c:pt idx="39">
                  <c:v>0.41</c:v>
                </c:pt>
                <c:pt idx="40">
                  <c:v>0.41</c:v>
                </c:pt>
                <c:pt idx="41">
                  <c:v>0.41</c:v>
                </c:pt>
                <c:pt idx="42">
                  <c:v>0.41</c:v>
                </c:pt>
                <c:pt idx="43">
                  <c:v>0.41</c:v>
                </c:pt>
                <c:pt idx="44">
                  <c:v>0.41</c:v>
                </c:pt>
                <c:pt idx="45">
                  <c:v>0.41</c:v>
                </c:pt>
                <c:pt idx="46">
                  <c:v>0.41</c:v>
                </c:pt>
                <c:pt idx="47">
                  <c:v>0.41</c:v>
                </c:pt>
                <c:pt idx="48">
                  <c:v>0.41</c:v>
                </c:pt>
                <c:pt idx="49">
                  <c:v>0.41</c:v>
                </c:pt>
                <c:pt idx="50">
                  <c:v>0.41</c:v>
                </c:pt>
                <c:pt idx="51">
                  <c:v>0.41</c:v>
                </c:pt>
                <c:pt idx="52">
                  <c:v>0.41</c:v>
                </c:pt>
                <c:pt idx="53">
                  <c:v>0.41</c:v>
                </c:pt>
                <c:pt idx="54">
                  <c:v>0.41</c:v>
                </c:pt>
                <c:pt idx="55">
                  <c:v>0.41</c:v>
                </c:pt>
                <c:pt idx="56">
                  <c:v>0.41</c:v>
                </c:pt>
                <c:pt idx="57">
                  <c:v>0.41</c:v>
                </c:pt>
                <c:pt idx="58">
                  <c:v>0.41</c:v>
                </c:pt>
                <c:pt idx="59">
                  <c:v>0.41</c:v>
                </c:pt>
                <c:pt idx="60">
                  <c:v>0.15</c:v>
                </c:pt>
                <c:pt idx="61">
                  <c:v>0.15</c:v>
                </c:pt>
                <c:pt idx="62">
                  <c:v>0.15</c:v>
                </c:pt>
                <c:pt idx="63">
                  <c:v>0.15</c:v>
                </c:pt>
                <c:pt idx="64">
                  <c:v>0.15</c:v>
                </c:pt>
                <c:pt idx="65">
                  <c:v>0.15</c:v>
                </c:pt>
                <c:pt idx="66">
                  <c:v>0.15</c:v>
                </c:pt>
                <c:pt idx="67">
                  <c:v>0.15</c:v>
                </c:pt>
                <c:pt idx="68">
                  <c:v>0.15</c:v>
                </c:pt>
                <c:pt idx="69">
                  <c:v>0.15</c:v>
                </c:pt>
                <c:pt idx="70">
                  <c:v>0.15</c:v>
                </c:pt>
                <c:pt idx="71">
                  <c:v>0.15</c:v>
                </c:pt>
                <c:pt idx="72">
                  <c:v>0.15</c:v>
                </c:pt>
                <c:pt idx="73">
                  <c:v>0.15</c:v>
                </c:pt>
                <c:pt idx="74">
                  <c:v>0.15</c:v>
                </c:pt>
                <c:pt idx="75">
                  <c:v>0.15</c:v>
                </c:pt>
                <c:pt idx="76">
                  <c:v>0.15</c:v>
                </c:pt>
                <c:pt idx="77">
                  <c:v>0.15</c:v>
                </c:pt>
                <c:pt idx="78">
                  <c:v>0.15</c:v>
                </c:pt>
                <c:pt idx="79">
                  <c:v>0.15</c:v>
                </c:pt>
                <c:pt idx="80">
                  <c:v>0.15</c:v>
                </c:pt>
                <c:pt idx="81">
                  <c:v>0.15</c:v>
                </c:pt>
                <c:pt idx="82">
                  <c:v>0.15</c:v>
                </c:pt>
                <c:pt idx="83">
                  <c:v>0.15</c:v>
                </c:pt>
                <c:pt idx="84">
                  <c:v>0.03</c:v>
                </c:pt>
                <c:pt idx="85">
                  <c:v>0.03</c:v>
                </c:pt>
                <c:pt idx="86">
                  <c:v>0.03</c:v>
                </c:pt>
                <c:pt idx="87">
                  <c:v>0.03</c:v>
                </c:pt>
                <c:pt idx="88">
                  <c:v>0.03</c:v>
                </c:pt>
                <c:pt idx="89">
                  <c:v>0.03</c:v>
                </c:pt>
                <c:pt idx="90">
                  <c:v>0.03</c:v>
                </c:pt>
                <c:pt idx="91">
                  <c:v>0.03</c:v>
                </c:pt>
                <c:pt idx="92">
                  <c:v>0.03</c:v>
                </c:pt>
                <c:pt idx="93">
                  <c:v>0.03</c:v>
                </c:pt>
                <c:pt idx="94">
                  <c:v>0.03</c:v>
                </c:pt>
                <c:pt idx="95">
                  <c:v>0.03</c:v>
                </c:pt>
                <c:pt idx="96">
                  <c:v>0.03</c:v>
                </c:pt>
                <c:pt idx="97">
                  <c:v>0.03</c:v>
                </c:pt>
                <c:pt idx="98">
                  <c:v>0.03</c:v>
                </c:pt>
                <c:pt idx="99">
                  <c:v>0.03</c:v>
                </c:pt>
                <c:pt idx="100">
                  <c:v>0.03</c:v>
                </c:pt>
                <c:pt idx="101">
                  <c:v>0.03</c:v>
                </c:pt>
                <c:pt idx="102">
                  <c:v>0.03</c:v>
                </c:pt>
                <c:pt idx="103">
                  <c:v>0.03</c:v>
                </c:pt>
                <c:pt idx="104">
                  <c:v>0.03</c:v>
                </c:pt>
                <c:pt idx="105">
                  <c:v>0.03</c:v>
                </c:pt>
                <c:pt idx="106">
                  <c:v>0.03</c:v>
                </c:pt>
                <c:pt idx="107">
                  <c:v>0.03</c:v>
                </c:pt>
                <c:pt idx="108">
                  <c:v>0.01</c:v>
                </c:pt>
                <c:pt idx="109">
                  <c:v>0.01</c:v>
                </c:pt>
                <c:pt idx="110">
                  <c:v>0.01</c:v>
                </c:pt>
                <c:pt idx="111">
                  <c:v>0.01</c:v>
                </c:pt>
                <c:pt idx="112">
                  <c:v>0.01</c:v>
                </c:pt>
                <c:pt idx="113">
                  <c:v>0.01</c:v>
                </c:pt>
                <c:pt idx="114">
                  <c:v>0.01</c:v>
                </c:pt>
                <c:pt idx="115">
                  <c:v>0.01</c:v>
                </c:pt>
                <c:pt idx="116">
                  <c:v>0.01</c:v>
                </c:pt>
                <c:pt idx="117">
                  <c:v>0.01</c:v>
                </c:pt>
                <c:pt idx="118">
                  <c:v>0.01</c:v>
                </c:pt>
                <c:pt idx="119">
                  <c:v>0.01</c:v>
                </c:pt>
                <c:pt idx="120">
                  <c:v>0.02</c:v>
                </c:pt>
              </c:numCache>
            </c:numRef>
          </c:val>
          <c:smooth val="0"/>
          <c:extLst>
            <c:ext xmlns:c16="http://schemas.microsoft.com/office/drawing/2014/chart" uri="{C3380CC4-5D6E-409C-BE32-E72D297353CC}">
              <c16:uniqueId val="{00000000-7BDD-4286-9455-B15DE220295A}"/>
            </c:ext>
          </c:extLst>
        </c:ser>
        <c:ser>
          <c:idx val="1"/>
          <c:order val="1"/>
          <c:spPr>
            <a:ln w="28575" cap="rnd">
              <a:solidFill>
                <a:schemeClr val="accent2"/>
              </a:solidFill>
              <a:round/>
            </a:ln>
            <a:effectLst/>
          </c:spPr>
          <c:marker>
            <c:symbol val="none"/>
          </c:marker>
          <c:cat>
            <c:numRef>
              <c:f>lifetime!$B$64:$B$184</c:f>
              <c:numCache>
                <c:formatCode>0.00</c:formatCode>
                <c:ptCount val="12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pt idx="41">
                  <c:v>41</c:v>
                </c:pt>
                <c:pt idx="42">
                  <c:v>42</c:v>
                </c:pt>
                <c:pt idx="43">
                  <c:v>43</c:v>
                </c:pt>
                <c:pt idx="44">
                  <c:v>44</c:v>
                </c:pt>
                <c:pt idx="45">
                  <c:v>45</c:v>
                </c:pt>
                <c:pt idx="46">
                  <c:v>46</c:v>
                </c:pt>
                <c:pt idx="47">
                  <c:v>47</c:v>
                </c:pt>
                <c:pt idx="48">
                  <c:v>48</c:v>
                </c:pt>
                <c:pt idx="49">
                  <c:v>49</c:v>
                </c:pt>
                <c:pt idx="50">
                  <c:v>50</c:v>
                </c:pt>
                <c:pt idx="51">
                  <c:v>51</c:v>
                </c:pt>
                <c:pt idx="52">
                  <c:v>52</c:v>
                </c:pt>
                <c:pt idx="53">
                  <c:v>53</c:v>
                </c:pt>
                <c:pt idx="54">
                  <c:v>54</c:v>
                </c:pt>
                <c:pt idx="55">
                  <c:v>55</c:v>
                </c:pt>
                <c:pt idx="56">
                  <c:v>56</c:v>
                </c:pt>
                <c:pt idx="57">
                  <c:v>57</c:v>
                </c:pt>
                <c:pt idx="58">
                  <c:v>58</c:v>
                </c:pt>
                <c:pt idx="59">
                  <c:v>59</c:v>
                </c:pt>
                <c:pt idx="60">
                  <c:v>60</c:v>
                </c:pt>
                <c:pt idx="61">
                  <c:v>61</c:v>
                </c:pt>
                <c:pt idx="62">
                  <c:v>62</c:v>
                </c:pt>
                <c:pt idx="63">
                  <c:v>63</c:v>
                </c:pt>
                <c:pt idx="64">
                  <c:v>64</c:v>
                </c:pt>
                <c:pt idx="65">
                  <c:v>65</c:v>
                </c:pt>
                <c:pt idx="66">
                  <c:v>66</c:v>
                </c:pt>
                <c:pt idx="67">
                  <c:v>67</c:v>
                </c:pt>
                <c:pt idx="68">
                  <c:v>68</c:v>
                </c:pt>
                <c:pt idx="69">
                  <c:v>69</c:v>
                </c:pt>
                <c:pt idx="70">
                  <c:v>70</c:v>
                </c:pt>
                <c:pt idx="71">
                  <c:v>71</c:v>
                </c:pt>
                <c:pt idx="72">
                  <c:v>72</c:v>
                </c:pt>
                <c:pt idx="73">
                  <c:v>73</c:v>
                </c:pt>
                <c:pt idx="74">
                  <c:v>74</c:v>
                </c:pt>
                <c:pt idx="75">
                  <c:v>75</c:v>
                </c:pt>
                <c:pt idx="76">
                  <c:v>76</c:v>
                </c:pt>
                <c:pt idx="77">
                  <c:v>77</c:v>
                </c:pt>
                <c:pt idx="78">
                  <c:v>78</c:v>
                </c:pt>
                <c:pt idx="79">
                  <c:v>79</c:v>
                </c:pt>
                <c:pt idx="80">
                  <c:v>80</c:v>
                </c:pt>
                <c:pt idx="81">
                  <c:v>81</c:v>
                </c:pt>
                <c:pt idx="82">
                  <c:v>82</c:v>
                </c:pt>
                <c:pt idx="83">
                  <c:v>83</c:v>
                </c:pt>
                <c:pt idx="84">
                  <c:v>84</c:v>
                </c:pt>
                <c:pt idx="85">
                  <c:v>85</c:v>
                </c:pt>
                <c:pt idx="86">
                  <c:v>86</c:v>
                </c:pt>
                <c:pt idx="87">
                  <c:v>87</c:v>
                </c:pt>
                <c:pt idx="88">
                  <c:v>88</c:v>
                </c:pt>
                <c:pt idx="89">
                  <c:v>89</c:v>
                </c:pt>
                <c:pt idx="90">
                  <c:v>90</c:v>
                </c:pt>
                <c:pt idx="91">
                  <c:v>91</c:v>
                </c:pt>
                <c:pt idx="92">
                  <c:v>92</c:v>
                </c:pt>
                <c:pt idx="93">
                  <c:v>93</c:v>
                </c:pt>
                <c:pt idx="94">
                  <c:v>94</c:v>
                </c:pt>
                <c:pt idx="95">
                  <c:v>95</c:v>
                </c:pt>
                <c:pt idx="96">
                  <c:v>96</c:v>
                </c:pt>
                <c:pt idx="97">
                  <c:v>97</c:v>
                </c:pt>
                <c:pt idx="98">
                  <c:v>98</c:v>
                </c:pt>
                <c:pt idx="99">
                  <c:v>99</c:v>
                </c:pt>
                <c:pt idx="100">
                  <c:v>100</c:v>
                </c:pt>
                <c:pt idx="101">
                  <c:v>101</c:v>
                </c:pt>
                <c:pt idx="102">
                  <c:v>102</c:v>
                </c:pt>
                <c:pt idx="103">
                  <c:v>103</c:v>
                </c:pt>
                <c:pt idx="104">
                  <c:v>104</c:v>
                </c:pt>
                <c:pt idx="105">
                  <c:v>105</c:v>
                </c:pt>
                <c:pt idx="106">
                  <c:v>106</c:v>
                </c:pt>
                <c:pt idx="107">
                  <c:v>107</c:v>
                </c:pt>
                <c:pt idx="108">
                  <c:v>108</c:v>
                </c:pt>
                <c:pt idx="109">
                  <c:v>109</c:v>
                </c:pt>
                <c:pt idx="110">
                  <c:v>110</c:v>
                </c:pt>
                <c:pt idx="111">
                  <c:v>111</c:v>
                </c:pt>
                <c:pt idx="112">
                  <c:v>112</c:v>
                </c:pt>
                <c:pt idx="113">
                  <c:v>113</c:v>
                </c:pt>
                <c:pt idx="114">
                  <c:v>114</c:v>
                </c:pt>
                <c:pt idx="115">
                  <c:v>115</c:v>
                </c:pt>
                <c:pt idx="116">
                  <c:v>116</c:v>
                </c:pt>
                <c:pt idx="117">
                  <c:v>117</c:v>
                </c:pt>
                <c:pt idx="118">
                  <c:v>118</c:v>
                </c:pt>
                <c:pt idx="119">
                  <c:v>119</c:v>
                </c:pt>
                <c:pt idx="120">
                  <c:v>120</c:v>
                </c:pt>
              </c:numCache>
            </c:numRef>
          </c:cat>
          <c:val>
            <c:numRef>
              <c:f>lifetime!$D$64:$D$184</c:f>
              <c:numCache>
                <c:formatCode>0.00</c:formatCode>
                <c:ptCount val="121"/>
                <c:pt idx="0">
                  <c:v>0.02</c:v>
                </c:pt>
                <c:pt idx="1">
                  <c:v>0.02</c:v>
                </c:pt>
                <c:pt idx="2">
                  <c:v>0.02</c:v>
                </c:pt>
                <c:pt idx="3">
                  <c:v>0.02</c:v>
                </c:pt>
                <c:pt idx="4">
                  <c:v>0.02</c:v>
                </c:pt>
                <c:pt idx="5">
                  <c:v>0.02</c:v>
                </c:pt>
                <c:pt idx="6">
                  <c:v>0.02</c:v>
                </c:pt>
                <c:pt idx="7">
                  <c:v>0.02</c:v>
                </c:pt>
                <c:pt idx="8">
                  <c:v>0.02</c:v>
                </c:pt>
                <c:pt idx="9">
                  <c:v>0.02</c:v>
                </c:pt>
                <c:pt idx="10">
                  <c:v>0.02</c:v>
                </c:pt>
                <c:pt idx="11">
                  <c:v>0.02</c:v>
                </c:pt>
                <c:pt idx="12">
                  <c:v>0.06</c:v>
                </c:pt>
                <c:pt idx="13">
                  <c:v>0.06</c:v>
                </c:pt>
                <c:pt idx="14">
                  <c:v>0.06</c:v>
                </c:pt>
                <c:pt idx="15">
                  <c:v>0.06</c:v>
                </c:pt>
                <c:pt idx="16">
                  <c:v>0.06</c:v>
                </c:pt>
                <c:pt idx="17">
                  <c:v>0.06</c:v>
                </c:pt>
                <c:pt idx="18">
                  <c:v>0.06</c:v>
                </c:pt>
                <c:pt idx="19">
                  <c:v>0.06</c:v>
                </c:pt>
                <c:pt idx="20">
                  <c:v>0.06</c:v>
                </c:pt>
                <c:pt idx="21">
                  <c:v>0.06</c:v>
                </c:pt>
                <c:pt idx="22">
                  <c:v>0.06</c:v>
                </c:pt>
                <c:pt idx="23">
                  <c:v>0.06</c:v>
                </c:pt>
                <c:pt idx="24">
                  <c:v>0.33</c:v>
                </c:pt>
                <c:pt idx="25">
                  <c:v>0.33</c:v>
                </c:pt>
                <c:pt idx="26">
                  <c:v>0.33</c:v>
                </c:pt>
                <c:pt idx="27">
                  <c:v>0.33</c:v>
                </c:pt>
                <c:pt idx="28">
                  <c:v>0.33</c:v>
                </c:pt>
                <c:pt idx="29">
                  <c:v>0.33</c:v>
                </c:pt>
                <c:pt idx="30">
                  <c:v>0.33</c:v>
                </c:pt>
                <c:pt idx="31">
                  <c:v>0.33</c:v>
                </c:pt>
                <c:pt idx="32">
                  <c:v>0.33</c:v>
                </c:pt>
                <c:pt idx="33">
                  <c:v>0.33</c:v>
                </c:pt>
                <c:pt idx="34">
                  <c:v>0.33</c:v>
                </c:pt>
                <c:pt idx="35">
                  <c:v>0.33</c:v>
                </c:pt>
                <c:pt idx="36">
                  <c:v>0.25</c:v>
                </c:pt>
                <c:pt idx="37">
                  <c:v>0.25</c:v>
                </c:pt>
                <c:pt idx="38">
                  <c:v>0.25</c:v>
                </c:pt>
                <c:pt idx="39">
                  <c:v>0.25</c:v>
                </c:pt>
                <c:pt idx="40">
                  <c:v>0.25</c:v>
                </c:pt>
                <c:pt idx="41">
                  <c:v>0.25</c:v>
                </c:pt>
                <c:pt idx="42">
                  <c:v>0.25</c:v>
                </c:pt>
                <c:pt idx="43">
                  <c:v>0.25</c:v>
                </c:pt>
                <c:pt idx="44">
                  <c:v>0.25</c:v>
                </c:pt>
                <c:pt idx="45">
                  <c:v>0.25</c:v>
                </c:pt>
                <c:pt idx="46">
                  <c:v>0.25</c:v>
                </c:pt>
                <c:pt idx="47">
                  <c:v>0.25</c:v>
                </c:pt>
                <c:pt idx="48">
                  <c:v>0.11</c:v>
                </c:pt>
                <c:pt idx="49">
                  <c:v>0.11</c:v>
                </c:pt>
                <c:pt idx="50">
                  <c:v>0.11</c:v>
                </c:pt>
                <c:pt idx="51">
                  <c:v>0.11</c:v>
                </c:pt>
                <c:pt idx="52">
                  <c:v>0.11</c:v>
                </c:pt>
                <c:pt idx="53">
                  <c:v>0.11</c:v>
                </c:pt>
                <c:pt idx="54">
                  <c:v>0.11</c:v>
                </c:pt>
                <c:pt idx="55">
                  <c:v>0.11</c:v>
                </c:pt>
                <c:pt idx="56">
                  <c:v>0.11</c:v>
                </c:pt>
                <c:pt idx="57">
                  <c:v>0.11</c:v>
                </c:pt>
                <c:pt idx="58">
                  <c:v>0.11</c:v>
                </c:pt>
                <c:pt idx="59">
                  <c:v>0.11</c:v>
                </c:pt>
                <c:pt idx="60">
                  <c:v>0.09</c:v>
                </c:pt>
                <c:pt idx="61">
                  <c:v>0.09</c:v>
                </c:pt>
                <c:pt idx="62">
                  <c:v>0.09</c:v>
                </c:pt>
                <c:pt idx="63">
                  <c:v>0.09</c:v>
                </c:pt>
                <c:pt idx="64">
                  <c:v>0.09</c:v>
                </c:pt>
                <c:pt idx="65">
                  <c:v>0.09</c:v>
                </c:pt>
                <c:pt idx="66">
                  <c:v>0.09</c:v>
                </c:pt>
                <c:pt idx="67">
                  <c:v>0.09</c:v>
                </c:pt>
                <c:pt idx="68">
                  <c:v>0.09</c:v>
                </c:pt>
                <c:pt idx="69">
                  <c:v>0.09</c:v>
                </c:pt>
                <c:pt idx="70">
                  <c:v>0.09</c:v>
                </c:pt>
                <c:pt idx="71">
                  <c:v>0.09</c:v>
                </c:pt>
              </c:numCache>
            </c:numRef>
          </c:val>
          <c:smooth val="0"/>
          <c:extLst>
            <c:ext xmlns:c16="http://schemas.microsoft.com/office/drawing/2014/chart" uri="{C3380CC4-5D6E-409C-BE32-E72D297353CC}">
              <c16:uniqueId val="{00000001-7BDD-4286-9455-B15DE220295A}"/>
            </c:ext>
          </c:extLst>
        </c:ser>
        <c:ser>
          <c:idx val="2"/>
          <c:order val="2"/>
          <c:spPr>
            <a:ln w="28575" cap="rnd">
              <a:solidFill>
                <a:schemeClr val="accent3"/>
              </a:solidFill>
              <a:prstDash val="sysDash"/>
              <a:round/>
            </a:ln>
            <a:effectLst/>
          </c:spPr>
          <c:marker>
            <c:symbol val="none"/>
          </c:marker>
          <c:cat>
            <c:numRef>
              <c:f>lifetime!$B$64:$B$184</c:f>
              <c:numCache>
                <c:formatCode>0.00</c:formatCode>
                <c:ptCount val="12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pt idx="41">
                  <c:v>41</c:v>
                </c:pt>
                <c:pt idx="42">
                  <c:v>42</c:v>
                </c:pt>
                <c:pt idx="43">
                  <c:v>43</c:v>
                </c:pt>
                <c:pt idx="44">
                  <c:v>44</c:v>
                </c:pt>
                <c:pt idx="45">
                  <c:v>45</c:v>
                </c:pt>
                <c:pt idx="46">
                  <c:v>46</c:v>
                </c:pt>
                <c:pt idx="47">
                  <c:v>47</c:v>
                </c:pt>
                <c:pt idx="48">
                  <c:v>48</c:v>
                </c:pt>
                <c:pt idx="49">
                  <c:v>49</c:v>
                </c:pt>
                <c:pt idx="50">
                  <c:v>50</c:v>
                </c:pt>
                <c:pt idx="51">
                  <c:v>51</c:v>
                </c:pt>
                <c:pt idx="52">
                  <c:v>52</c:v>
                </c:pt>
                <c:pt idx="53">
                  <c:v>53</c:v>
                </c:pt>
                <c:pt idx="54">
                  <c:v>54</c:v>
                </c:pt>
                <c:pt idx="55">
                  <c:v>55</c:v>
                </c:pt>
                <c:pt idx="56">
                  <c:v>56</c:v>
                </c:pt>
                <c:pt idx="57">
                  <c:v>57</c:v>
                </c:pt>
                <c:pt idx="58">
                  <c:v>58</c:v>
                </c:pt>
                <c:pt idx="59">
                  <c:v>59</c:v>
                </c:pt>
                <c:pt idx="60">
                  <c:v>60</c:v>
                </c:pt>
                <c:pt idx="61">
                  <c:v>61</c:v>
                </c:pt>
                <c:pt idx="62">
                  <c:v>62</c:v>
                </c:pt>
                <c:pt idx="63">
                  <c:v>63</c:v>
                </c:pt>
                <c:pt idx="64">
                  <c:v>64</c:v>
                </c:pt>
                <c:pt idx="65">
                  <c:v>65</c:v>
                </c:pt>
                <c:pt idx="66">
                  <c:v>66</c:v>
                </c:pt>
                <c:pt idx="67">
                  <c:v>67</c:v>
                </c:pt>
                <c:pt idx="68">
                  <c:v>68</c:v>
                </c:pt>
                <c:pt idx="69">
                  <c:v>69</c:v>
                </c:pt>
                <c:pt idx="70">
                  <c:v>70</c:v>
                </c:pt>
                <c:pt idx="71">
                  <c:v>71</c:v>
                </c:pt>
                <c:pt idx="72">
                  <c:v>72</c:v>
                </c:pt>
                <c:pt idx="73">
                  <c:v>73</c:v>
                </c:pt>
                <c:pt idx="74">
                  <c:v>74</c:v>
                </c:pt>
                <c:pt idx="75">
                  <c:v>75</c:v>
                </c:pt>
                <c:pt idx="76">
                  <c:v>76</c:v>
                </c:pt>
                <c:pt idx="77">
                  <c:v>77</c:v>
                </c:pt>
                <c:pt idx="78">
                  <c:v>78</c:v>
                </c:pt>
                <c:pt idx="79">
                  <c:v>79</c:v>
                </c:pt>
                <c:pt idx="80">
                  <c:v>80</c:v>
                </c:pt>
                <c:pt idx="81">
                  <c:v>81</c:v>
                </c:pt>
                <c:pt idx="82">
                  <c:v>82</c:v>
                </c:pt>
                <c:pt idx="83">
                  <c:v>83</c:v>
                </c:pt>
                <c:pt idx="84">
                  <c:v>84</c:v>
                </c:pt>
                <c:pt idx="85">
                  <c:v>85</c:v>
                </c:pt>
                <c:pt idx="86">
                  <c:v>86</c:v>
                </c:pt>
                <c:pt idx="87">
                  <c:v>87</c:v>
                </c:pt>
                <c:pt idx="88">
                  <c:v>88</c:v>
                </c:pt>
                <c:pt idx="89">
                  <c:v>89</c:v>
                </c:pt>
                <c:pt idx="90">
                  <c:v>90</c:v>
                </c:pt>
                <c:pt idx="91">
                  <c:v>91</c:v>
                </c:pt>
                <c:pt idx="92">
                  <c:v>92</c:v>
                </c:pt>
                <c:pt idx="93">
                  <c:v>93</c:v>
                </c:pt>
                <c:pt idx="94">
                  <c:v>94</c:v>
                </c:pt>
                <c:pt idx="95">
                  <c:v>95</c:v>
                </c:pt>
                <c:pt idx="96">
                  <c:v>96</c:v>
                </c:pt>
                <c:pt idx="97">
                  <c:v>97</c:v>
                </c:pt>
                <c:pt idx="98">
                  <c:v>98</c:v>
                </c:pt>
                <c:pt idx="99">
                  <c:v>99</c:v>
                </c:pt>
                <c:pt idx="100">
                  <c:v>100</c:v>
                </c:pt>
                <c:pt idx="101">
                  <c:v>101</c:v>
                </c:pt>
                <c:pt idx="102">
                  <c:v>102</c:v>
                </c:pt>
                <c:pt idx="103">
                  <c:v>103</c:v>
                </c:pt>
                <c:pt idx="104">
                  <c:v>104</c:v>
                </c:pt>
                <c:pt idx="105">
                  <c:v>105</c:v>
                </c:pt>
                <c:pt idx="106">
                  <c:v>106</c:v>
                </c:pt>
                <c:pt idx="107">
                  <c:v>107</c:v>
                </c:pt>
                <c:pt idx="108">
                  <c:v>108</c:v>
                </c:pt>
                <c:pt idx="109">
                  <c:v>109</c:v>
                </c:pt>
                <c:pt idx="110">
                  <c:v>110</c:v>
                </c:pt>
                <c:pt idx="111">
                  <c:v>111</c:v>
                </c:pt>
                <c:pt idx="112">
                  <c:v>112</c:v>
                </c:pt>
                <c:pt idx="113">
                  <c:v>113</c:v>
                </c:pt>
                <c:pt idx="114">
                  <c:v>114</c:v>
                </c:pt>
                <c:pt idx="115">
                  <c:v>115</c:v>
                </c:pt>
                <c:pt idx="116">
                  <c:v>116</c:v>
                </c:pt>
                <c:pt idx="117">
                  <c:v>117</c:v>
                </c:pt>
                <c:pt idx="118">
                  <c:v>118</c:v>
                </c:pt>
                <c:pt idx="119">
                  <c:v>119</c:v>
                </c:pt>
                <c:pt idx="120">
                  <c:v>120</c:v>
                </c:pt>
              </c:numCache>
            </c:numRef>
          </c:cat>
          <c:val>
            <c:numRef>
              <c:f>lifetime!$E$64:$E$184</c:f>
              <c:numCache>
                <c:formatCode>0.00</c:formatCode>
                <c:ptCount val="121"/>
                <c:pt idx="24">
                  <c:v>0.42</c:v>
                </c:pt>
                <c:pt idx="25">
                  <c:v>0.42</c:v>
                </c:pt>
                <c:pt idx="26">
                  <c:v>0.42</c:v>
                </c:pt>
                <c:pt idx="27">
                  <c:v>0.42</c:v>
                </c:pt>
                <c:pt idx="28">
                  <c:v>0.42</c:v>
                </c:pt>
                <c:pt idx="29">
                  <c:v>0.42</c:v>
                </c:pt>
                <c:pt idx="30">
                  <c:v>0.42</c:v>
                </c:pt>
                <c:pt idx="31">
                  <c:v>0.42</c:v>
                </c:pt>
                <c:pt idx="32">
                  <c:v>0.42</c:v>
                </c:pt>
                <c:pt idx="33">
                  <c:v>0.42</c:v>
                </c:pt>
                <c:pt idx="34">
                  <c:v>0.42</c:v>
                </c:pt>
                <c:pt idx="35">
                  <c:v>0.42</c:v>
                </c:pt>
                <c:pt idx="36">
                  <c:v>0.16</c:v>
                </c:pt>
                <c:pt idx="37">
                  <c:v>0.16</c:v>
                </c:pt>
                <c:pt idx="38">
                  <c:v>0.16</c:v>
                </c:pt>
                <c:pt idx="39">
                  <c:v>0.16</c:v>
                </c:pt>
                <c:pt idx="40">
                  <c:v>0.16</c:v>
                </c:pt>
                <c:pt idx="41">
                  <c:v>0.16</c:v>
                </c:pt>
                <c:pt idx="42">
                  <c:v>0.16</c:v>
                </c:pt>
                <c:pt idx="43">
                  <c:v>0.16</c:v>
                </c:pt>
                <c:pt idx="44">
                  <c:v>0.16</c:v>
                </c:pt>
                <c:pt idx="45">
                  <c:v>0.16</c:v>
                </c:pt>
                <c:pt idx="46">
                  <c:v>0.16</c:v>
                </c:pt>
                <c:pt idx="47">
                  <c:v>0.16</c:v>
                </c:pt>
                <c:pt idx="48">
                  <c:v>0.12</c:v>
                </c:pt>
                <c:pt idx="49">
                  <c:v>0.12</c:v>
                </c:pt>
                <c:pt idx="50">
                  <c:v>0.12</c:v>
                </c:pt>
                <c:pt idx="51">
                  <c:v>0.12</c:v>
                </c:pt>
                <c:pt idx="52">
                  <c:v>0.12</c:v>
                </c:pt>
                <c:pt idx="53">
                  <c:v>0.12</c:v>
                </c:pt>
                <c:pt idx="54">
                  <c:v>0.12</c:v>
                </c:pt>
                <c:pt idx="55">
                  <c:v>0.12</c:v>
                </c:pt>
                <c:pt idx="56">
                  <c:v>0.12</c:v>
                </c:pt>
                <c:pt idx="57">
                  <c:v>0.12</c:v>
                </c:pt>
                <c:pt idx="58">
                  <c:v>0.12</c:v>
                </c:pt>
                <c:pt idx="59">
                  <c:v>0.12</c:v>
                </c:pt>
              </c:numCache>
            </c:numRef>
          </c:val>
          <c:smooth val="0"/>
          <c:extLst>
            <c:ext xmlns:c16="http://schemas.microsoft.com/office/drawing/2014/chart" uri="{C3380CC4-5D6E-409C-BE32-E72D297353CC}">
              <c16:uniqueId val="{00000004-7BDD-4286-9455-B15DE220295A}"/>
            </c:ext>
          </c:extLst>
        </c:ser>
        <c:dLbls>
          <c:showLegendKey val="0"/>
          <c:showVal val="0"/>
          <c:showCatName val="0"/>
          <c:showSerName val="0"/>
          <c:showPercent val="0"/>
          <c:showBubbleSize val="0"/>
        </c:dLbls>
        <c:smooth val="0"/>
        <c:axId val="1004440000"/>
        <c:axId val="1004439168"/>
      </c:lineChart>
      <c:catAx>
        <c:axId val="1004440000"/>
        <c:scaling>
          <c:orientation val="minMax"/>
        </c:scaling>
        <c:delete val="0"/>
        <c:axPos val="b"/>
        <c:numFmt formatCode="0.00"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04439168"/>
        <c:crosses val="autoZero"/>
        <c:auto val="1"/>
        <c:lblAlgn val="ctr"/>
        <c:lblOffset val="100"/>
        <c:noMultiLvlLbl val="0"/>
      </c:catAx>
      <c:valAx>
        <c:axId val="100443916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0444000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8740157499999996" l="0.7" r="0.7" t="0.78740157499999996"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de-DE" baseline="0"/>
              <a:t>Elemental composition of smartphones (for elements &gt; 1 wt-%)</a:t>
            </a:r>
            <a:endParaRPr lang="de-DE"/>
          </a:p>
        </c:rich>
      </c:tx>
      <c:layout>
        <c:manualLayout>
          <c:xMode val="edge"/>
          <c:yMode val="edge"/>
          <c:x val="0.16355029788933934"/>
          <c:y val="6.990434142752023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6.4217545042303717E-2"/>
          <c:y val="0.1011498148824112"/>
          <c:w val="0.91794654532630504"/>
          <c:h val="0.67030586408487014"/>
        </c:manualLayout>
      </c:layout>
      <c:bar3DChart>
        <c:barDir val="col"/>
        <c:grouping val="standard"/>
        <c:varyColors val="0"/>
        <c:ser>
          <c:idx val="0"/>
          <c:order val="0"/>
          <c:tx>
            <c:strRef>
              <c:f>BoM!$C$3</c:f>
              <c:strCache>
                <c:ptCount val="1"/>
                <c:pt idx="0">
                  <c:v>(University of Plymouth, 2019)</c:v>
                </c:pt>
              </c:strCache>
            </c:strRef>
          </c:tx>
          <c:spPr>
            <a:solidFill>
              <a:schemeClr val="accent1"/>
            </a:solidFill>
            <a:ln>
              <a:noFill/>
            </a:ln>
            <a:effectLst/>
            <a:sp3d/>
          </c:spPr>
          <c:invertIfNegative val="0"/>
          <c:cat>
            <c:strRef>
              <c:f>(BoM!$A$4,BoM!$A$8:$A$9,BoM!$A$12:$A$14,BoM!$A$21,BoM!$A$23,BoM!$A$26,BoM!$A$30,BoM!$A$32,BoM!$A$35,BoM!$A$39)</c:f>
              <c:strCache>
                <c:ptCount val="13"/>
                <c:pt idx="0">
                  <c:v>aluminum</c:v>
                </c:pt>
                <c:pt idx="1">
                  <c:v>calcium</c:v>
                </c:pt>
                <c:pt idx="2">
                  <c:v>carbon</c:v>
                </c:pt>
                <c:pt idx="3">
                  <c:v>chromium</c:v>
                </c:pt>
                <c:pt idx="4">
                  <c:v>cobalt</c:v>
                </c:pt>
                <c:pt idx="5">
                  <c:v>copper</c:v>
                </c:pt>
                <c:pt idx="6">
                  <c:v>hydrogen</c:v>
                </c:pt>
                <c:pt idx="7">
                  <c:v>iron</c:v>
                </c:pt>
                <c:pt idx="8">
                  <c:v>magnesium</c:v>
                </c:pt>
                <c:pt idx="9">
                  <c:v>nickel</c:v>
                </c:pt>
                <c:pt idx="10">
                  <c:v>oxygen</c:v>
                </c:pt>
                <c:pt idx="11">
                  <c:v>plastics</c:v>
                </c:pt>
                <c:pt idx="12">
                  <c:v>silicon</c:v>
                </c:pt>
              </c:strCache>
              <c:extLst/>
            </c:strRef>
          </c:cat>
          <c:val>
            <c:numRef>
              <c:f>(BoM!$H$4,BoM!$H$8:$H$9,BoM!$H$12:$H$14,BoM!$H$21,BoM!$H$23,BoM!$H$26,BoM!$H$30,BoM!$H$32,BoM!$H$35,BoM!$H$39)</c:f>
              <c:numCache>
                <c:formatCode>0.000%</c:formatCode>
                <c:ptCount val="13"/>
                <c:pt idx="0">
                  <c:v>1.824817518248175E-2</c:v>
                </c:pt>
                <c:pt idx="1">
                  <c:v>1.1678832116788322E-2</c:v>
                </c:pt>
                <c:pt idx="2">
                  <c:v>2.9197080291970802E-2</c:v>
                </c:pt>
                <c:pt idx="3">
                  <c:v>5.1094890510948905E-2</c:v>
                </c:pt>
                <c:pt idx="4">
                  <c:v>5.1094890510948909E-4</c:v>
                </c:pt>
                <c:pt idx="5">
                  <c:v>4.3795620437956206E-2</c:v>
                </c:pt>
                <c:pt idx="6">
                  <c:v>0</c:v>
                </c:pt>
                <c:pt idx="7">
                  <c:v>0.24087591240875914</c:v>
                </c:pt>
                <c:pt idx="8">
                  <c:v>0</c:v>
                </c:pt>
                <c:pt idx="9">
                  <c:v>1.9708029197080295E-2</c:v>
                </c:pt>
                <c:pt idx="10">
                  <c:v>0</c:v>
                </c:pt>
                <c:pt idx="11">
                  <c:v>0</c:v>
                </c:pt>
                <c:pt idx="12">
                  <c:v>9.4890510948905105E-2</c:v>
                </c:pt>
              </c:numCache>
              <c:extLst/>
            </c:numRef>
          </c:val>
          <c:extLst>
            <c:ext xmlns:c16="http://schemas.microsoft.com/office/drawing/2014/chart" uri="{C3380CC4-5D6E-409C-BE32-E72D297353CC}">
              <c16:uniqueId val="{00000000-CA81-4000-9819-F5F48C162021}"/>
            </c:ext>
          </c:extLst>
        </c:ser>
        <c:ser>
          <c:idx val="1"/>
          <c:order val="1"/>
          <c:tx>
            <c:strRef>
              <c:f>BoM!$D$3</c:f>
              <c:strCache>
                <c:ptCount val="1"/>
                <c:pt idx="0">
                  <c:v>(US EPA, 2015)</c:v>
                </c:pt>
              </c:strCache>
            </c:strRef>
          </c:tx>
          <c:spPr>
            <a:solidFill>
              <a:schemeClr val="accent2"/>
            </a:solidFill>
            <a:ln>
              <a:noFill/>
            </a:ln>
            <a:effectLst/>
            <a:sp3d/>
          </c:spPr>
          <c:invertIfNegative val="0"/>
          <c:cat>
            <c:strRef>
              <c:f>(BoM!$A$4,BoM!$A$8:$A$9,BoM!$A$12:$A$14,BoM!$A$21,BoM!$A$23,BoM!$A$26,BoM!$A$30,BoM!$A$32,BoM!$A$35,BoM!$A$39)</c:f>
              <c:strCache>
                <c:ptCount val="13"/>
                <c:pt idx="0">
                  <c:v>aluminum</c:v>
                </c:pt>
                <c:pt idx="1">
                  <c:v>calcium</c:v>
                </c:pt>
                <c:pt idx="2">
                  <c:v>carbon</c:v>
                </c:pt>
                <c:pt idx="3">
                  <c:v>chromium</c:v>
                </c:pt>
                <c:pt idx="4">
                  <c:v>cobalt</c:v>
                </c:pt>
                <c:pt idx="5">
                  <c:v>copper</c:v>
                </c:pt>
                <c:pt idx="6">
                  <c:v>hydrogen</c:v>
                </c:pt>
                <c:pt idx="7">
                  <c:v>iron</c:v>
                </c:pt>
                <c:pt idx="8">
                  <c:v>magnesium</c:v>
                </c:pt>
                <c:pt idx="9">
                  <c:v>nickel</c:v>
                </c:pt>
                <c:pt idx="10">
                  <c:v>oxygen</c:v>
                </c:pt>
                <c:pt idx="11">
                  <c:v>plastics</c:v>
                </c:pt>
                <c:pt idx="12">
                  <c:v>silicon</c:v>
                </c:pt>
              </c:strCache>
              <c:extLst/>
            </c:strRef>
          </c:cat>
          <c:val>
            <c:numRef>
              <c:f>(BoM!$I$4,BoM!$I$8:$I$9,BoM!$I$12:$I$14,BoM!$I$21,BoM!$I$23,BoM!$I$26,BoM!$I$30,BoM!$I$32,BoM!$I$35,BoM!$I$39)</c:f>
              <c:numCache>
                <c:formatCode>0.000%</c:formatCode>
                <c:ptCount val="13"/>
                <c:pt idx="0">
                  <c:v>0</c:v>
                </c:pt>
                <c:pt idx="1">
                  <c:v>0</c:v>
                </c:pt>
                <c:pt idx="2">
                  <c:v>0</c:v>
                </c:pt>
                <c:pt idx="3">
                  <c:v>0</c:v>
                </c:pt>
                <c:pt idx="4">
                  <c:v>0</c:v>
                </c:pt>
                <c:pt idx="5">
                  <c:v>0.14545470235800001</c:v>
                </c:pt>
                <c:pt idx="6">
                  <c:v>0</c:v>
                </c:pt>
                <c:pt idx="7">
                  <c:v>0</c:v>
                </c:pt>
                <c:pt idx="8">
                  <c:v>0</c:v>
                </c:pt>
                <c:pt idx="9">
                  <c:v>0</c:v>
                </c:pt>
                <c:pt idx="10">
                  <c:v>0</c:v>
                </c:pt>
                <c:pt idx="11">
                  <c:v>0</c:v>
                </c:pt>
                <c:pt idx="12">
                  <c:v>0</c:v>
                </c:pt>
              </c:numCache>
              <c:extLst/>
            </c:numRef>
          </c:val>
          <c:extLst>
            <c:ext xmlns:c16="http://schemas.microsoft.com/office/drawing/2014/chart" uri="{C3380CC4-5D6E-409C-BE32-E72D297353CC}">
              <c16:uniqueId val="{00000001-CA81-4000-9819-F5F48C162021}"/>
            </c:ext>
          </c:extLst>
        </c:ser>
        <c:ser>
          <c:idx val="2"/>
          <c:order val="2"/>
          <c:tx>
            <c:strRef>
              <c:f>BoM!$E$3</c:f>
              <c:strCache>
                <c:ptCount val="1"/>
                <c:pt idx="0">
                  <c:v>(Merchant, 2017)</c:v>
                </c:pt>
              </c:strCache>
            </c:strRef>
          </c:tx>
          <c:spPr>
            <a:solidFill>
              <a:schemeClr val="accent3"/>
            </a:solidFill>
            <a:ln>
              <a:noFill/>
            </a:ln>
            <a:effectLst/>
            <a:sp3d/>
          </c:spPr>
          <c:invertIfNegative val="0"/>
          <c:cat>
            <c:strRef>
              <c:f>(BoM!$A$4,BoM!$A$8:$A$9,BoM!$A$12:$A$14,BoM!$A$21,BoM!$A$23,BoM!$A$26,BoM!$A$30,BoM!$A$32,BoM!$A$35,BoM!$A$39)</c:f>
              <c:strCache>
                <c:ptCount val="13"/>
                <c:pt idx="0">
                  <c:v>aluminum</c:v>
                </c:pt>
                <c:pt idx="1">
                  <c:v>calcium</c:v>
                </c:pt>
                <c:pt idx="2">
                  <c:v>carbon</c:v>
                </c:pt>
                <c:pt idx="3">
                  <c:v>chromium</c:v>
                </c:pt>
                <c:pt idx="4">
                  <c:v>cobalt</c:v>
                </c:pt>
                <c:pt idx="5">
                  <c:v>copper</c:v>
                </c:pt>
                <c:pt idx="6">
                  <c:v>hydrogen</c:v>
                </c:pt>
                <c:pt idx="7">
                  <c:v>iron</c:v>
                </c:pt>
                <c:pt idx="8">
                  <c:v>magnesium</c:v>
                </c:pt>
                <c:pt idx="9">
                  <c:v>nickel</c:v>
                </c:pt>
                <c:pt idx="10">
                  <c:v>oxygen</c:v>
                </c:pt>
                <c:pt idx="11">
                  <c:v>plastics</c:v>
                </c:pt>
                <c:pt idx="12">
                  <c:v>silicon</c:v>
                </c:pt>
              </c:strCache>
              <c:extLst/>
            </c:strRef>
          </c:cat>
          <c:val>
            <c:numRef>
              <c:f>(BoM!$J$4,BoM!$J$8:$J$9,BoM!$J$12:$J$14,BoM!$J$21,BoM!$J$23,BoM!$J$26,BoM!$J$30,BoM!$J$32,BoM!$J$35,BoM!$J$39)</c:f>
              <c:numCache>
                <c:formatCode>0.000%</c:formatCode>
                <c:ptCount val="13"/>
                <c:pt idx="0">
                  <c:v>0.24139534883720931</c:v>
                </c:pt>
                <c:pt idx="1">
                  <c:v>3.4108527131782944E-3</c:v>
                </c:pt>
                <c:pt idx="2">
                  <c:v>0.15387596899224806</c:v>
                </c:pt>
                <c:pt idx="3">
                  <c:v>3.8294573643410858E-2</c:v>
                </c:pt>
                <c:pt idx="4">
                  <c:v>5.1085271317829459E-2</c:v>
                </c:pt>
                <c:pt idx="5">
                  <c:v>6.077519379844961E-2</c:v>
                </c:pt>
                <c:pt idx="6">
                  <c:v>4.27906976744186E-2</c:v>
                </c:pt>
                <c:pt idx="7">
                  <c:v>0.1444186046511628</c:v>
                </c:pt>
                <c:pt idx="8">
                  <c:v>5.0387596899224806E-3</c:v>
                </c:pt>
                <c:pt idx="9">
                  <c:v>2.108527131782946E-2</c:v>
                </c:pt>
                <c:pt idx="10">
                  <c:v>0.1450387596899225</c:v>
                </c:pt>
                <c:pt idx="11">
                  <c:v>0</c:v>
                </c:pt>
                <c:pt idx="12">
                  <c:v>6.3100775193798447E-2</c:v>
                </c:pt>
              </c:numCache>
              <c:extLst/>
            </c:numRef>
          </c:val>
          <c:extLst>
            <c:ext xmlns:c16="http://schemas.microsoft.com/office/drawing/2014/chart" uri="{C3380CC4-5D6E-409C-BE32-E72D297353CC}">
              <c16:uniqueId val="{00000002-CA81-4000-9819-F5F48C162021}"/>
            </c:ext>
          </c:extLst>
        </c:ser>
        <c:ser>
          <c:idx val="3"/>
          <c:order val="3"/>
          <c:tx>
            <c:strRef>
              <c:f>BoM!$F$3</c:f>
              <c:strCache>
                <c:ptCount val="1"/>
                <c:pt idx="0">
                  <c:v>(Bookhagen et al., 2020)</c:v>
                </c:pt>
              </c:strCache>
            </c:strRef>
          </c:tx>
          <c:spPr>
            <a:solidFill>
              <a:schemeClr val="accent4"/>
            </a:solidFill>
            <a:ln>
              <a:noFill/>
            </a:ln>
            <a:effectLst/>
            <a:sp3d/>
          </c:spPr>
          <c:invertIfNegative val="0"/>
          <c:cat>
            <c:strRef>
              <c:f>(BoM!$A$4,BoM!$A$8:$A$9,BoM!$A$12:$A$14,BoM!$A$21,BoM!$A$23,BoM!$A$26,BoM!$A$30,BoM!$A$32,BoM!$A$35,BoM!$A$39)</c:f>
              <c:strCache>
                <c:ptCount val="13"/>
                <c:pt idx="0">
                  <c:v>aluminum</c:v>
                </c:pt>
                <c:pt idx="1">
                  <c:v>calcium</c:v>
                </c:pt>
                <c:pt idx="2">
                  <c:v>carbon</c:v>
                </c:pt>
                <c:pt idx="3">
                  <c:v>chromium</c:v>
                </c:pt>
                <c:pt idx="4">
                  <c:v>cobalt</c:v>
                </c:pt>
                <c:pt idx="5">
                  <c:v>copper</c:v>
                </c:pt>
                <c:pt idx="6">
                  <c:v>hydrogen</c:v>
                </c:pt>
                <c:pt idx="7">
                  <c:v>iron</c:v>
                </c:pt>
                <c:pt idx="8">
                  <c:v>magnesium</c:v>
                </c:pt>
                <c:pt idx="9">
                  <c:v>nickel</c:v>
                </c:pt>
                <c:pt idx="10">
                  <c:v>oxygen</c:v>
                </c:pt>
                <c:pt idx="11">
                  <c:v>plastics</c:v>
                </c:pt>
                <c:pt idx="12">
                  <c:v>silicon</c:v>
                </c:pt>
              </c:strCache>
              <c:extLst/>
            </c:strRef>
          </c:cat>
          <c:val>
            <c:numRef>
              <c:f>(BoM!$K$4,BoM!$K$8:$K$9,BoM!$K$12:$K$14,BoM!$K$21,BoM!$K$23,BoM!$K$26,BoM!$K$30,BoM!$K$32,BoM!$K$35,BoM!$K$39)</c:f>
              <c:numCache>
                <c:formatCode>0.000%</c:formatCode>
                <c:ptCount val="13"/>
                <c:pt idx="0">
                  <c:v>6.0727272727272727E-2</c:v>
                </c:pt>
                <c:pt idx="1">
                  <c:v>0</c:v>
                </c:pt>
                <c:pt idx="2">
                  <c:v>0</c:v>
                </c:pt>
                <c:pt idx="3">
                  <c:v>0</c:v>
                </c:pt>
                <c:pt idx="4">
                  <c:v>0</c:v>
                </c:pt>
                <c:pt idx="5">
                  <c:v>6.0090909090909091E-2</c:v>
                </c:pt>
                <c:pt idx="6">
                  <c:v>0</c:v>
                </c:pt>
                <c:pt idx="7">
                  <c:v>0.14527272727272728</c:v>
                </c:pt>
                <c:pt idx="8">
                  <c:v>6.5818181818181817E-2</c:v>
                </c:pt>
                <c:pt idx="9">
                  <c:v>2.3636363636363636E-2</c:v>
                </c:pt>
                <c:pt idx="10">
                  <c:v>0</c:v>
                </c:pt>
                <c:pt idx="11">
                  <c:v>0</c:v>
                </c:pt>
                <c:pt idx="12">
                  <c:v>8.4272727272727263E-2</c:v>
                </c:pt>
              </c:numCache>
              <c:extLst/>
            </c:numRef>
          </c:val>
          <c:extLst>
            <c:ext xmlns:c16="http://schemas.microsoft.com/office/drawing/2014/chart" uri="{C3380CC4-5D6E-409C-BE32-E72D297353CC}">
              <c16:uniqueId val="{00000003-CA81-4000-9819-F5F48C162021}"/>
            </c:ext>
          </c:extLst>
        </c:ser>
        <c:ser>
          <c:idx val="4"/>
          <c:order val="4"/>
          <c:tx>
            <c:strRef>
              <c:f>BoM!$G$3</c:f>
              <c:strCache>
                <c:ptCount val="1"/>
                <c:pt idx="0">
                  <c:v>(Manhart et al., 2016)</c:v>
                </c:pt>
              </c:strCache>
            </c:strRef>
          </c:tx>
          <c:spPr>
            <a:solidFill>
              <a:schemeClr val="accent5"/>
            </a:solidFill>
            <a:ln>
              <a:noFill/>
            </a:ln>
            <a:effectLst/>
            <a:sp3d/>
          </c:spPr>
          <c:invertIfNegative val="0"/>
          <c:cat>
            <c:strRef>
              <c:f>(BoM!$A$4,BoM!$A$8:$A$9,BoM!$A$12:$A$14,BoM!$A$21,BoM!$A$23,BoM!$A$26,BoM!$A$30,BoM!$A$32,BoM!$A$35,BoM!$A$39)</c:f>
              <c:strCache>
                <c:ptCount val="13"/>
                <c:pt idx="0">
                  <c:v>aluminum</c:v>
                </c:pt>
                <c:pt idx="1">
                  <c:v>calcium</c:v>
                </c:pt>
                <c:pt idx="2">
                  <c:v>carbon</c:v>
                </c:pt>
                <c:pt idx="3">
                  <c:v>chromium</c:v>
                </c:pt>
                <c:pt idx="4">
                  <c:v>cobalt</c:v>
                </c:pt>
                <c:pt idx="5">
                  <c:v>copper</c:v>
                </c:pt>
                <c:pt idx="6">
                  <c:v>hydrogen</c:v>
                </c:pt>
                <c:pt idx="7">
                  <c:v>iron</c:v>
                </c:pt>
                <c:pt idx="8">
                  <c:v>magnesium</c:v>
                </c:pt>
                <c:pt idx="9">
                  <c:v>nickel</c:v>
                </c:pt>
                <c:pt idx="10">
                  <c:v>oxygen</c:v>
                </c:pt>
                <c:pt idx="11">
                  <c:v>plastics</c:v>
                </c:pt>
                <c:pt idx="12">
                  <c:v>silicon</c:v>
                </c:pt>
              </c:strCache>
              <c:extLst/>
            </c:strRef>
          </c:cat>
          <c:val>
            <c:numRef>
              <c:f>(BoM!$L$4,BoM!$L$8:$L$9,BoM!$L$12:$L$14,BoM!$L$21,BoM!$L$23,BoM!$L$26,BoM!$L$30,BoM!$L$32,BoM!$L$35,BoM!$L$39)</c:f>
              <c:numCache>
                <c:formatCode>0.000%</c:formatCode>
                <c:ptCount val="13"/>
                <c:pt idx="0">
                  <c:v>0.138625</c:v>
                </c:pt>
                <c:pt idx="1">
                  <c:v>0</c:v>
                </c:pt>
                <c:pt idx="2">
                  <c:v>0</c:v>
                </c:pt>
                <c:pt idx="3">
                  <c:v>0</c:v>
                </c:pt>
                <c:pt idx="4">
                  <c:v>3.3625000000000002E-2</c:v>
                </c:pt>
                <c:pt idx="5">
                  <c:v>9.4500000000000001E-2</c:v>
                </c:pt>
                <c:pt idx="6">
                  <c:v>0</c:v>
                </c:pt>
                <c:pt idx="7">
                  <c:v>5.4999999999999997E-3</c:v>
                </c:pt>
                <c:pt idx="8">
                  <c:v>3.4625000000000003E-2</c:v>
                </c:pt>
                <c:pt idx="9">
                  <c:v>0</c:v>
                </c:pt>
                <c:pt idx="10">
                  <c:v>0</c:v>
                </c:pt>
                <c:pt idx="11">
                  <c:v>5.9562499999999997E-2</c:v>
                </c:pt>
                <c:pt idx="12">
                  <c:v>0</c:v>
                </c:pt>
              </c:numCache>
              <c:extLst/>
            </c:numRef>
          </c:val>
          <c:extLst>
            <c:ext xmlns:c16="http://schemas.microsoft.com/office/drawing/2014/chart" uri="{C3380CC4-5D6E-409C-BE32-E72D297353CC}">
              <c16:uniqueId val="{00000004-CA81-4000-9819-F5F48C162021}"/>
            </c:ext>
          </c:extLst>
        </c:ser>
        <c:ser>
          <c:idx val="5"/>
          <c:order val="5"/>
          <c:tx>
            <c:strRef>
              <c:f>BoM!#REF!</c:f>
              <c:strCache>
                <c:ptCount val="1"/>
                <c:pt idx="0">
                  <c:v>#REF!</c:v>
                </c:pt>
              </c:strCache>
            </c:strRef>
          </c:tx>
          <c:spPr>
            <a:solidFill>
              <a:schemeClr val="accent6"/>
            </a:solidFill>
            <a:ln>
              <a:noFill/>
            </a:ln>
            <a:effectLst/>
            <a:sp3d/>
          </c:spPr>
          <c:invertIfNegative val="0"/>
          <c:cat>
            <c:strRef>
              <c:f>(BoM!$A$4,BoM!$A$8:$A$9,BoM!$A$12:$A$14,BoM!$A$21,BoM!$A$23,BoM!$A$26,BoM!$A$30,BoM!$A$32,BoM!$A$35,BoM!$A$39)</c:f>
              <c:strCache>
                <c:ptCount val="13"/>
                <c:pt idx="0">
                  <c:v>aluminum</c:v>
                </c:pt>
                <c:pt idx="1">
                  <c:v>calcium</c:v>
                </c:pt>
                <c:pt idx="2">
                  <c:v>carbon</c:v>
                </c:pt>
                <c:pt idx="3">
                  <c:v>chromium</c:v>
                </c:pt>
                <c:pt idx="4">
                  <c:v>cobalt</c:v>
                </c:pt>
                <c:pt idx="5">
                  <c:v>copper</c:v>
                </c:pt>
                <c:pt idx="6">
                  <c:v>hydrogen</c:v>
                </c:pt>
                <c:pt idx="7">
                  <c:v>iron</c:v>
                </c:pt>
                <c:pt idx="8">
                  <c:v>magnesium</c:v>
                </c:pt>
                <c:pt idx="9">
                  <c:v>nickel</c:v>
                </c:pt>
                <c:pt idx="10">
                  <c:v>oxygen</c:v>
                </c:pt>
                <c:pt idx="11">
                  <c:v>plastics</c:v>
                </c:pt>
                <c:pt idx="12">
                  <c:v>silicon</c:v>
                </c:pt>
              </c:strCache>
              <c:extLst/>
            </c:strRef>
          </c:cat>
          <c:val>
            <c:numRef>
              <c:f>BoM!#REF!</c:f>
              <c:numCache>
                <c:formatCode>General</c:formatCode>
                <c:ptCount val="1"/>
                <c:pt idx="0">
                  <c:v>1</c:v>
                </c:pt>
              </c:numCache>
              <c:extLst/>
            </c:numRef>
          </c:val>
          <c:extLst xmlns:c15="http://schemas.microsoft.com/office/drawing/2012/chart">
            <c:ext xmlns:c16="http://schemas.microsoft.com/office/drawing/2014/chart" uri="{C3380CC4-5D6E-409C-BE32-E72D297353CC}">
              <c16:uniqueId val="{00000005-CA81-4000-9819-F5F48C162021}"/>
            </c:ext>
          </c:extLst>
        </c:ser>
        <c:dLbls>
          <c:showLegendKey val="0"/>
          <c:showVal val="0"/>
          <c:showCatName val="0"/>
          <c:showSerName val="0"/>
          <c:showPercent val="0"/>
          <c:showBubbleSize val="0"/>
        </c:dLbls>
        <c:gapWidth val="150"/>
        <c:shape val="box"/>
        <c:axId val="1138870767"/>
        <c:axId val="1138867023"/>
        <c:axId val="1215648047"/>
        <c:extLst/>
      </c:bar3DChart>
      <c:catAx>
        <c:axId val="1138870767"/>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38867023"/>
        <c:crosses val="autoZero"/>
        <c:auto val="1"/>
        <c:lblAlgn val="ctr"/>
        <c:lblOffset val="100"/>
        <c:tickLblSkip val="1"/>
        <c:noMultiLvlLbl val="0"/>
      </c:catAx>
      <c:valAx>
        <c:axId val="1138867023"/>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38870767"/>
        <c:crosses val="autoZero"/>
        <c:crossBetween val="between"/>
      </c:valAx>
      <c:serAx>
        <c:axId val="1215648047"/>
        <c:scaling>
          <c:orientation val="minMax"/>
        </c:scaling>
        <c:delete val="1"/>
        <c:axPos val="b"/>
        <c:majorTickMark val="none"/>
        <c:minorTickMark val="none"/>
        <c:tickLblPos val="nextTo"/>
        <c:crossAx val="1138867023"/>
        <c:crosses val="autoZero"/>
      </c:serAx>
      <c:spPr>
        <a:noFill/>
        <a:ln>
          <a:noFill/>
        </a:ln>
        <a:effectLst/>
      </c:spPr>
    </c:plotArea>
    <c:legend>
      <c:legendPos val="b"/>
      <c:layout>
        <c:manualLayout>
          <c:xMode val="edge"/>
          <c:yMode val="edge"/>
          <c:x val="4.4905099198844688E-2"/>
          <c:y val="0.8864050106319491"/>
          <c:w val="0.91990538573508007"/>
          <c:h val="0.11359507609319536"/>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8740157499999996" l="0.7" r="0.7" t="0.78740157499999996"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de-DE" baseline="0"/>
              <a:t>Elemental composition of smartphones (for elements &lt; 1 wt-%)</a:t>
            </a:r>
            <a:endParaRPr lang="de-DE"/>
          </a:p>
        </c:rich>
      </c:tx>
      <c:layout>
        <c:manualLayout>
          <c:xMode val="edge"/>
          <c:yMode val="edge"/>
          <c:x val="0.16355029788933934"/>
          <c:y val="6.990434142752023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6.4217545042303717E-2"/>
          <c:y val="0.1011498148824112"/>
          <c:w val="0.91794654532630504"/>
          <c:h val="0.67030586408487014"/>
        </c:manualLayout>
      </c:layout>
      <c:bar3DChart>
        <c:barDir val="col"/>
        <c:grouping val="standard"/>
        <c:varyColors val="0"/>
        <c:ser>
          <c:idx val="0"/>
          <c:order val="0"/>
          <c:tx>
            <c:strRef>
              <c:f>BoM!$C$3</c:f>
              <c:strCache>
                <c:ptCount val="1"/>
                <c:pt idx="0">
                  <c:v>(University of Plymouth, 2019)</c:v>
                </c:pt>
              </c:strCache>
            </c:strRef>
          </c:tx>
          <c:spPr>
            <a:solidFill>
              <a:schemeClr val="accent1"/>
            </a:solidFill>
            <a:ln>
              <a:noFill/>
            </a:ln>
            <a:effectLst/>
            <a:sp3d/>
          </c:spPr>
          <c:invertIfNegative val="0"/>
          <c:cat>
            <c:strRef>
              <c:f>(BoM!$A$5:$A$7,BoM!$A$10:$A$11,BoM!$A$15:$A$20,BoM!$A$22,BoM!$A$24:$A$25,BoM!$A$27:$A$29,BoM!$A$31,BoM!$A$33:$A$34,BoM!$A$36:$A$38,BoM!$A$40:$A$48)</c:f>
              <c:strCache>
                <c:ptCount val="32"/>
                <c:pt idx="0">
                  <c:v>antimony</c:v>
                </c:pt>
                <c:pt idx="1">
                  <c:v>arsenic</c:v>
                </c:pt>
                <c:pt idx="2">
                  <c:v>bismuth</c:v>
                </c:pt>
                <c:pt idx="3">
                  <c:v>cerium</c:v>
                </c:pt>
                <c:pt idx="4">
                  <c:v>chlorine</c:v>
                </c:pt>
                <c:pt idx="5">
                  <c:v>dysprosium</c:v>
                </c:pt>
                <c:pt idx="6">
                  <c:v>europium</c:v>
                </c:pt>
                <c:pt idx="7">
                  <c:v>gadolinium</c:v>
                </c:pt>
                <c:pt idx="8">
                  <c:v>gallium</c:v>
                </c:pt>
                <c:pt idx="9">
                  <c:v>germanium</c:v>
                </c:pt>
                <c:pt idx="10">
                  <c:v>gold</c:v>
                </c:pt>
                <c:pt idx="11">
                  <c:v>indium</c:v>
                </c:pt>
                <c:pt idx="12">
                  <c:v>lead</c:v>
                </c:pt>
                <c:pt idx="13">
                  <c:v>lithium</c:v>
                </c:pt>
                <c:pt idx="14">
                  <c:v>manganese</c:v>
                </c:pt>
                <c:pt idx="15">
                  <c:v>molybdenum</c:v>
                </c:pt>
                <c:pt idx="16">
                  <c:v>neodymium</c:v>
                </c:pt>
                <c:pt idx="17">
                  <c:v>niobium</c:v>
                </c:pt>
                <c:pt idx="18">
                  <c:v>palladium</c:v>
                </c:pt>
                <c:pt idx="19">
                  <c:v>phosphorous</c:v>
                </c:pt>
                <c:pt idx="20">
                  <c:v>platinum</c:v>
                </c:pt>
                <c:pt idx="21">
                  <c:v>potassium</c:v>
                </c:pt>
                <c:pt idx="22">
                  <c:v>praseodymium</c:v>
                </c:pt>
                <c:pt idx="23">
                  <c:v>silver</c:v>
                </c:pt>
                <c:pt idx="24">
                  <c:v>sulfur</c:v>
                </c:pt>
                <c:pt idx="25">
                  <c:v>tantalum</c:v>
                </c:pt>
                <c:pt idx="26">
                  <c:v>tin</c:v>
                </c:pt>
                <c:pt idx="27">
                  <c:v>titanium</c:v>
                </c:pt>
                <c:pt idx="28">
                  <c:v>tungsten</c:v>
                </c:pt>
                <c:pt idx="29">
                  <c:v>vanadium</c:v>
                </c:pt>
                <c:pt idx="30">
                  <c:v>yttrium</c:v>
                </c:pt>
                <c:pt idx="31">
                  <c:v>zinc</c:v>
                </c:pt>
              </c:strCache>
              <c:extLst/>
            </c:strRef>
          </c:cat>
          <c:val>
            <c:numRef>
              <c:f>(BoM!$H$5:$H$7,BoM!$H$10:$H$11,BoM!$H$15:$H$20,BoM!$H$22,BoM!$H$24:$H$25,BoM!$H$27:$H$29,BoM!$H$31,BoM!$H$33:$H$34,BoM!$H$36:$H$38,BoM!$H$40:$H$48)</c:f>
              <c:numCache>
                <c:formatCode>0.000%</c:formatCode>
                <c:ptCount val="32"/>
                <c:pt idx="0">
                  <c:v>5.1094890510948905E-5</c:v>
                </c:pt>
                <c:pt idx="1">
                  <c:v>0</c:v>
                </c:pt>
                <c:pt idx="2">
                  <c:v>0</c:v>
                </c:pt>
                <c:pt idx="3">
                  <c:v>0</c:v>
                </c:pt>
                <c:pt idx="4">
                  <c:v>0</c:v>
                </c:pt>
                <c:pt idx="5">
                  <c:v>1.4598540145985402E-5</c:v>
                </c:pt>
                <c:pt idx="6">
                  <c:v>0</c:v>
                </c:pt>
                <c:pt idx="7">
                  <c:v>3.6496350364963507E-5</c:v>
                </c:pt>
                <c:pt idx="8">
                  <c:v>0</c:v>
                </c:pt>
                <c:pt idx="9">
                  <c:v>1.4598540145985402E-5</c:v>
                </c:pt>
                <c:pt idx="10">
                  <c:v>2.6277372262773722E-4</c:v>
                </c:pt>
                <c:pt idx="11">
                  <c:v>1.4598540145985402E-5</c:v>
                </c:pt>
                <c:pt idx="12">
                  <c:v>0</c:v>
                </c:pt>
                <c:pt idx="13">
                  <c:v>0</c:v>
                </c:pt>
                <c:pt idx="14">
                  <c:v>0</c:v>
                </c:pt>
                <c:pt idx="15">
                  <c:v>5.1094890510948909E-4</c:v>
                </c:pt>
                <c:pt idx="16">
                  <c:v>1.1678832116788322E-3</c:v>
                </c:pt>
                <c:pt idx="17">
                  <c:v>7.2992700729927014E-5</c:v>
                </c:pt>
                <c:pt idx="18">
                  <c:v>0</c:v>
                </c:pt>
                <c:pt idx="19">
                  <c:v>0</c:v>
                </c:pt>
                <c:pt idx="20">
                  <c:v>0</c:v>
                </c:pt>
                <c:pt idx="21">
                  <c:v>0</c:v>
                </c:pt>
                <c:pt idx="22">
                  <c:v>2.1897810218978101E-4</c:v>
                </c:pt>
                <c:pt idx="23">
                  <c:v>6.5693430656934301E-4</c:v>
                </c:pt>
                <c:pt idx="24">
                  <c:v>0</c:v>
                </c:pt>
                <c:pt idx="25">
                  <c:v>1.4598540145985403E-4</c:v>
                </c:pt>
                <c:pt idx="26">
                  <c:v>5.1094890510948905E-3</c:v>
                </c:pt>
                <c:pt idx="27">
                  <c:v>0</c:v>
                </c:pt>
                <c:pt idx="28">
                  <c:v>6.5693430656934308E-3</c:v>
                </c:pt>
                <c:pt idx="29">
                  <c:v>0</c:v>
                </c:pt>
                <c:pt idx="30">
                  <c:v>0</c:v>
                </c:pt>
                <c:pt idx="31">
                  <c:v>0</c:v>
                </c:pt>
              </c:numCache>
              <c:extLst/>
            </c:numRef>
          </c:val>
          <c:extLst>
            <c:ext xmlns:c16="http://schemas.microsoft.com/office/drawing/2014/chart" uri="{C3380CC4-5D6E-409C-BE32-E72D297353CC}">
              <c16:uniqueId val="{00000000-8BFF-422D-A019-0F97EF893205}"/>
            </c:ext>
          </c:extLst>
        </c:ser>
        <c:ser>
          <c:idx val="1"/>
          <c:order val="1"/>
          <c:tx>
            <c:strRef>
              <c:f>BoM!$D$3</c:f>
              <c:strCache>
                <c:ptCount val="1"/>
                <c:pt idx="0">
                  <c:v>(US EPA, 2015)</c:v>
                </c:pt>
              </c:strCache>
            </c:strRef>
          </c:tx>
          <c:spPr>
            <a:solidFill>
              <a:schemeClr val="accent2"/>
            </a:solidFill>
            <a:ln>
              <a:noFill/>
            </a:ln>
            <a:effectLst/>
            <a:sp3d/>
          </c:spPr>
          <c:invertIfNegative val="0"/>
          <c:cat>
            <c:strRef>
              <c:f>(BoM!$A$5:$A$7,BoM!$A$10:$A$11,BoM!$A$15:$A$20,BoM!$A$22,BoM!$A$24:$A$25,BoM!$A$27:$A$29,BoM!$A$31,BoM!$A$33:$A$34,BoM!$A$36:$A$38,BoM!$A$40:$A$48)</c:f>
              <c:strCache>
                <c:ptCount val="32"/>
                <c:pt idx="0">
                  <c:v>antimony</c:v>
                </c:pt>
                <c:pt idx="1">
                  <c:v>arsenic</c:v>
                </c:pt>
                <c:pt idx="2">
                  <c:v>bismuth</c:v>
                </c:pt>
                <c:pt idx="3">
                  <c:v>cerium</c:v>
                </c:pt>
                <c:pt idx="4">
                  <c:v>chlorine</c:v>
                </c:pt>
                <c:pt idx="5">
                  <c:v>dysprosium</c:v>
                </c:pt>
                <c:pt idx="6">
                  <c:v>europium</c:v>
                </c:pt>
                <c:pt idx="7">
                  <c:v>gadolinium</c:v>
                </c:pt>
                <c:pt idx="8">
                  <c:v>gallium</c:v>
                </c:pt>
                <c:pt idx="9">
                  <c:v>germanium</c:v>
                </c:pt>
                <c:pt idx="10">
                  <c:v>gold</c:v>
                </c:pt>
                <c:pt idx="11">
                  <c:v>indium</c:v>
                </c:pt>
                <c:pt idx="12">
                  <c:v>lead</c:v>
                </c:pt>
                <c:pt idx="13">
                  <c:v>lithium</c:v>
                </c:pt>
                <c:pt idx="14">
                  <c:v>manganese</c:v>
                </c:pt>
                <c:pt idx="15">
                  <c:v>molybdenum</c:v>
                </c:pt>
                <c:pt idx="16">
                  <c:v>neodymium</c:v>
                </c:pt>
                <c:pt idx="17">
                  <c:v>niobium</c:v>
                </c:pt>
                <c:pt idx="18">
                  <c:v>palladium</c:v>
                </c:pt>
                <c:pt idx="19">
                  <c:v>phosphorous</c:v>
                </c:pt>
                <c:pt idx="20">
                  <c:v>platinum</c:v>
                </c:pt>
                <c:pt idx="21">
                  <c:v>potassium</c:v>
                </c:pt>
                <c:pt idx="22">
                  <c:v>praseodymium</c:v>
                </c:pt>
                <c:pt idx="23">
                  <c:v>silver</c:v>
                </c:pt>
                <c:pt idx="24">
                  <c:v>sulfur</c:v>
                </c:pt>
                <c:pt idx="25">
                  <c:v>tantalum</c:v>
                </c:pt>
                <c:pt idx="26">
                  <c:v>tin</c:v>
                </c:pt>
                <c:pt idx="27">
                  <c:v>titanium</c:v>
                </c:pt>
                <c:pt idx="28">
                  <c:v>tungsten</c:v>
                </c:pt>
                <c:pt idx="29">
                  <c:v>vanadium</c:v>
                </c:pt>
                <c:pt idx="30">
                  <c:v>yttrium</c:v>
                </c:pt>
                <c:pt idx="31">
                  <c:v>zinc</c:v>
                </c:pt>
              </c:strCache>
              <c:extLst/>
            </c:strRef>
          </c:cat>
          <c:val>
            <c:numRef>
              <c:f>(BoM!$I$5:$I$7,BoM!$I$10:$I$11,BoM!$I$15:$I$20,BoM!$I$22,BoM!$I$24:$I$25,BoM!$I$27:$I$29,BoM!$I$31,BoM!$I$33:$I$34,BoM!$I$36:$I$38,BoM!$I$40:$I$48)</c:f>
              <c:numCache>
                <c:formatCode>0.000%</c:formatCode>
                <c:ptCount val="32"/>
                <c:pt idx="0">
                  <c:v>0</c:v>
                </c:pt>
                <c:pt idx="1">
                  <c:v>0</c:v>
                </c:pt>
                <c:pt idx="2">
                  <c:v>0</c:v>
                </c:pt>
                <c:pt idx="3">
                  <c:v>0</c:v>
                </c:pt>
                <c:pt idx="4">
                  <c:v>0</c:v>
                </c:pt>
                <c:pt idx="5">
                  <c:v>0</c:v>
                </c:pt>
                <c:pt idx="6">
                  <c:v>0</c:v>
                </c:pt>
                <c:pt idx="7">
                  <c:v>0</c:v>
                </c:pt>
                <c:pt idx="8">
                  <c:v>0</c:v>
                </c:pt>
                <c:pt idx="9">
                  <c:v>0</c:v>
                </c:pt>
                <c:pt idx="10">
                  <c:v>3.0926752499999997E-4</c:v>
                </c:pt>
                <c:pt idx="11">
                  <c:v>0</c:v>
                </c:pt>
                <c:pt idx="12">
                  <c:v>0</c:v>
                </c:pt>
                <c:pt idx="13">
                  <c:v>0</c:v>
                </c:pt>
                <c:pt idx="14">
                  <c:v>0</c:v>
                </c:pt>
                <c:pt idx="15">
                  <c:v>0</c:v>
                </c:pt>
                <c:pt idx="16">
                  <c:v>0</c:v>
                </c:pt>
                <c:pt idx="17">
                  <c:v>0</c:v>
                </c:pt>
                <c:pt idx="18">
                  <c:v>1.3607771100000002E-4</c:v>
                </c:pt>
                <c:pt idx="19">
                  <c:v>0</c:v>
                </c:pt>
                <c:pt idx="20">
                  <c:v>0</c:v>
                </c:pt>
                <c:pt idx="21">
                  <c:v>0</c:v>
                </c:pt>
                <c:pt idx="22">
                  <c:v>0</c:v>
                </c:pt>
                <c:pt idx="23">
                  <c:v>3.1833937240000002E-3</c:v>
                </c:pt>
                <c:pt idx="24">
                  <c:v>0</c:v>
                </c:pt>
                <c:pt idx="25">
                  <c:v>0</c:v>
                </c:pt>
                <c:pt idx="26">
                  <c:v>0</c:v>
                </c:pt>
                <c:pt idx="27">
                  <c:v>0</c:v>
                </c:pt>
                <c:pt idx="28">
                  <c:v>0</c:v>
                </c:pt>
                <c:pt idx="29">
                  <c:v>0</c:v>
                </c:pt>
                <c:pt idx="30">
                  <c:v>0</c:v>
                </c:pt>
                <c:pt idx="31">
                  <c:v>0</c:v>
                </c:pt>
              </c:numCache>
              <c:extLst/>
            </c:numRef>
          </c:val>
          <c:extLst>
            <c:ext xmlns:c16="http://schemas.microsoft.com/office/drawing/2014/chart" uri="{C3380CC4-5D6E-409C-BE32-E72D297353CC}">
              <c16:uniqueId val="{00000001-8BFF-422D-A019-0F97EF893205}"/>
            </c:ext>
          </c:extLst>
        </c:ser>
        <c:ser>
          <c:idx val="2"/>
          <c:order val="2"/>
          <c:tx>
            <c:strRef>
              <c:f>BoM!$E$3</c:f>
              <c:strCache>
                <c:ptCount val="1"/>
                <c:pt idx="0">
                  <c:v>(Merchant, 2017)</c:v>
                </c:pt>
              </c:strCache>
            </c:strRef>
          </c:tx>
          <c:spPr>
            <a:solidFill>
              <a:schemeClr val="accent3"/>
            </a:solidFill>
            <a:ln>
              <a:noFill/>
            </a:ln>
            <a:effectLst/>
            <a:sp3d/>
          </c:spPr>
          <c:invertIfNegative val="0"/>
          <c:cat>
            <c:strRef>
              <c:f>(BoM!$A$5:$A$7,BoM!$A$10:$A$11,BoM!$A$15:$A$20,BoM!$A$22,BoM!$A$24:$A$25,BoM!$A$27:$A$29,BoM!$A$31,BoM!$A$33:$A$34,BoM!$A$36:$A$38,BoM!$A$40:$A$48)</c:f>
              <c:strCache>
                <c:ptCount val="32"/>
                <c:pt idx="0">
                  <c:v>antimony</c:v>
                </c:pt>
                <c:pt idx="1">
                  <c:v>arsenic</c:v>
                </c:pt>
                <c:pt idx="2">
                  <c:v>bismuth</c:v>
                </c:pt>
                <c:pt idx="3">
                  <c:v>cerium</c:v>
                </c:pt>
                <c:pt idx="4">
                  <c:v>chlorine</c:v>
                </c:pt>
                <c:pt idx="5">
                  <c:v>dysprosium</c:v>
                </c:pt>
                <c:pt idx="6">
                  <c:v>europium</c:v>
                </c:pt>
                <c:pt idx="7">
                  <c:v>gadolinium</c:v>
                </c:pt>
                <c:pt idx="8">
                  <c:v>gallium</c:v>
                </c:pt>
                <c:pt idx="9">
                  <c:v>germanium</c:v>
                </c:pt>
                <c:pt idx="10">
                  <c:v>gold</c:v>
                </c:pt>
                <c:pt idx="11">
                  <c:v>indium</c:v>
                </c:pt>
                <c:pt idx="12">
                  <c:v>lead</c:v>
                </c:pt>
                <c:pt idx="13">
                  <c:v>lithium</c:v>
                </c:pt>
                <c:pt idx="14">
                  <c:v>manganese</c:v>
                </c:pt>
                <c:pt idx="15">
                  <c:v>molybdenum</c:v>
                </c:pt>
                <c:pt idx="16">
                  <c:v>neodymium</c:v>
                </c:pt>
                <c:pt idx="17">
                  <c:v>niobium</c:v>
                </c:pt>
                <c:pt idx="18">
                  <c:v>palladium</c:v>
                </c:pt>
                <c:pt idx="19">
                  <c:v>phosphorous</c:v>
                </c:pt>
                <c:pt idx="20">
                  <c:v>platinum</c:v>
                </c:pt>
                <c:pt idx="21">
                  <c:v>potassium</c:v>
                </c:pt>
                <c:pt idx="22">
                  <c:v>praseodymium</c:v>
                </c:pt>
                <c:pt idx="23">
                  <c:v>silver</c:v>
                </c:pt>
                <c:pt idx="24">
                  <c:v>sulfur</c:v>
                </c:pt>
                <c:pt idx="25">
                  <c:v>tantalum</c:v>
                </c:pt>
                <c:pt idx="26">
                  <c:v>tin</c:v>
                </c:pt>
                <c:pt idx="27">
                  <c:v>titanium</c:v>
                </c:pt>
                <c:pt idx="28">
                  <c:v>tungsten</c:v>
                </c:pt>
                <c:pt idx="29">
                  <c:v>vanadium</c:v>
                </c:pt>
                <c:pt idx="30">
                  <c:v>yttrium</c:v>
                </c:pt>
                <c:pt idx="31">
                  <c:v>zinc</c:v>
                </c:pt>
              </c:strCache>
              <c:extLst/>
            </c:strRef>
          </c:cat>
          <c:val>
            <c:numRef>
              <c:f>(BoM!$J$5:$J$7,BoM!$J$10:$J$11,BoM!$J$15:$J$20,BoM!$J$22,BoM!$J$24:$J$25,BoM!$J$27:$J$29,BoM!$J$31,BoM!$J$33:$J$34,BoM!$J$36:$J$38,BoM!$J$40:$J$48)</c:f>
              <c:numCache>
                <c:formatCode>0.000%</c:formatCode>
                <c:ptCount val="32"/>
                <c:pt idx="0">
                  <c:v>0</c:v>
                </c:pt>
                <c:pt idx="1">
                  <c:v>7.7519379844961245E-5</c:v>
                </c:pt>
                <c:pt idx="2">
                  <c:v>1.5503875968992249E-4</c:v>
                </c:pt>
                <c:pt idx="3">
                  <c:v>0</c:v>
                </c:pt>
                <c:pt idx="4">
                  <c:v>7.7519379844961245E-5</c:v>
                </c:pt>
                <c:pt idx="5">
                  <c:v>0</c:v>
                </c:pt>
                <c:pt idx="6">
                  <c:v>0</c:v>
                </c:pt>
                <c:pt idx="7">
                  <c:v>0</c:v>
                </c:pt>
                <c:pt idx="8">
                  <c:v>7.7519379844961245E-5</c:v>
                </c:pt>
                <c:pt idx="9">
                  <c:v>0</c:v>
                </c:pt>
                <c:pt idx="10">
                  <c:v>1.0852713178294573E-4</c:v>
                </c:pt>
                <c:pt idx="11">
                  <c:v>0</c:v>
                </c:pt>
                <c:pt idx="12">
                  <c:v>3.1007751937984498E-4</c:v>
                </c:pt>
                <c:pt idx="13">
                  <c:v>6.744186046511628E-3</c:v>
                </c:pt>
                <c:pt idx="14">
                  <c:v>2.2480620155038759E-3</c:v>
                </c:pt>
                <c:pt idx="15">
                  <c:v>1.5503875968992249E-4</c:v>
                </c:pt>
                <c:pt idx="16">
                  <c:v>0</c:v>
                </c:pt>
                <c:pt idx="17">
                  <c:v>0</c:v>
                </c:pt>
                <c:pt idx="18">
                  <c:v>0</c:v>
                </c:pt>
                <c:pt idx="19">
                  <c:v>2.3255813953488371E-4</c:v>
                </c:pt>
                <c:pt idx="20">
                  <c:v>0</c:v>
                </c:pt>
                <c:pt idx="21">
                  <c:v>2.5581395348837212E-3</c:v>
                </c:pt>
                <c:pt idx="22">
                  <c:v>0</c:v>
                </c:pt>
                <c:pt idx="23">
                  <c:v>0</c:v>
                </c:pt>
                <c:pt idx="24">
                  <c:v>3.4108527131782944E-3</c:v>
                </c:pt>
                <c:pt idx="25">
                  <c:v>1.937984496124031E-4</c:v>
                </c:pt>
                <c:pt idx="26">
                  <c:v>5.1162790697674423E-3</c:v>
                </c:pt>
                <c:pt idx="27">
                  <c:v>2.3255813953488372E-3</c:v>
                </c:pt>
                <c:pt idx="28">
                  <c:v>1.5503875968992249E-4</c:v>
                </c:pt>
                <c:pt idx="29">
                  <c:v>3.1007751937984498E-4</c:v>
                </c:pt>
                <c:pt idx="30">
                  <c:v>0</c:v>
                </c:pt>
                <c:pt idx="31">
                  <c:v>5.348837209302325E-3</c:v>
                </c:pt>
              </c:numCache>
              <c:extLst/>
            </c:numRef>
          </c:val>
          <c:extLst>
            <c:ext xmlns:c16="http://schemas.microsoft.com/office/drawing/2014/chart" uri="{C3380CC4-5D6E-409C-BE32-E72D297353CC}">
              <c16:uniqueId val="{00000002-8BFF-422D-A019-0F97EF893205}"/>
            </c:ext>
          </c:extLst>
        </c:ser>
        <c:ser>
          <c:idx val="3"/>
          <c:order val="3"/>
          <c:tx>
            <c:strRef>
              <c:f>BoM!$F$3</c:f>
              <c:strCache>
                <c:ptCount val="1"/>
                <c:pt idx="0">
                  <c:v>(Bookhagen et al., 2020)</c:v>
                </c:pt>
              </c:strCache>
            </c:strRef>
          </c:tx>
          <c:spPr>
            <a:solidFill>
              <a:schemeClr val="accent4"/>
            </a:solidFill>
            <a:ln>
              <a:noFill/>
            </a:ln>
            <a:effectLst/>
            <a:sp3d/>
          </c:spPr>
          <c:invertIfNegative val="0"/>
          <c:cat>
            <c:strRef>
              <c:f>(BoM!$A$5:$A$7,BoM!$A$10:$A$11,BoM!$A$15:$A$20,BoM!$A$22,BoM!$A$24:$A$25,BoM!$A$27:$A$29,BoM!$A$31,BoM!$A$33:$A$34,BoM!$A$36:$A$38,BoM!$A$40:$A$48)</c:f>
              <c:strCache>
                <c:ptCount val="32"/>
                <c:pt idx="0">
                  <c:v>antimony</c:v>
                </c:pt>
                <c:pt idx="1">
                  <c:v>arsenic</c:v>
                </c:pt>
                <c:pt idx="2">
                  <c:v>bismuth</c:v>
                </c:pt>
                <c:pt idx="3">
                  <c:v>cerium</c:v>
                </c:pt>
                <c:pt idx="4">
                  <c:v>chlorine</c:v>
                </c:pt>
                <c:pt idx="5">
                  <c:v>dysprosium</c:v>
                </c:pt>
                <c:pt idx="6">
                  <c:v>europium</c:v>
                </c:pt>
                <c:pt idx="7">
                  <c:v>gadolinium</c:v>
                </c:pt>
                <c:pt idx="8">
                  <c:v>gallium</c:v>
                </c:pt>
                <c:pt idx="9">
                  <c:v>germanium</c:v>
                </c:pt>
                <c:pt idx="10">
                  <c:v>gold</c:v>
                </c:pt>
                <c:pt idx="11">
                  <c:v>indium</c:v>
                </c:pt>
                <c:pt idx="12">
                  <c:v>lead</c:v>
                </c:pt>
                <c:pt idx="13">
                  <c:v>lithium</c:v>
                </c:pt>
                <c:pt idx="14">
                  <c:v>manganese</c:v>
                </c:pt>
                <c:pt idx="15">
                  <c:v>molybdenum</c:v>
                </c:pt>
                <c:pt idx="16">
                  <c:v>neodymium</c:v>
                </c:pt>
                <c:pt idx="17">
                  <c:v>niobium</c:v>
                </c:pt>
                <c:pt idx="18">
                  <c:v>palladium</c:v>
                </c:pt>
                <c:pt idx="19">
                  <c:v>phosphorous</c:v>
                </c:pt>
                <c:pt idx="20">
                  <c:v>platinum</c:v>
                </c:pt>
                <c:pt idx="21">
                  <c:v>potassium</c:v>
                </c:pt>
                <c:pt idx="22">
                  <c:v>praseodymium</c:v>
                </c:pt>
                <c:pt idx="23">
                  <c:v>silver</c:v>
                </c:pt>
                <c:pt idx="24">
                  <c:v>sulfur</c:v>
                </c:pt>
                <c:pt idx="25">
                  <c:v>tantalum</c:v>
                </c:pt>
                <c:pt idx="26">
                  <c:v>tin</c:v>
                </c:pt>
                <c:pt idx="27">
                  <c:v>titanium</c:v>
                </c:pt>
                <c:pt idx="28">
                  <c:v>tungsten</c:v>
                </c:pt>
                <c:pt idx="29">
                  <c:v>vanadium</c:v>
                </c:pt>
                <c:pt idx="30">
                  <c:v>yttrium</c:v>
                </c:pt>
                <c:pt idx="31">
                  <c:v>zinc</c:v>
                </c:pt>
              </c:strCache>
              <c:extLst/>
            </c:strRef>
          </c:cat>
          <c:val>
            <c:numRef>
              <c:f>(BoM!$K$5:$K$7,BoM!$K$10:$K$11,BoM!$K$15:$K$20,BoM!$K$22,BoM!$K$24:$K$25,BoM!$K$27:$K$29,BoM!$K$31,BoM!$K$33:$K$34,BoM!$K$36:$K$38,BoM!$K$40:$K$48)</c:f>
              <c:numCache>
                <c:formatCode>0.000%</c:formatCode>
                <c:ptCount val="32"/>
                <c:pt idx="0">
                  <c:v>0</c:v>
                </c:pt>
                <c:pt idx="1">
                  <c:v>0</c:v>
                </c:pt>
                <c:pt idx="2">
                  <c:v>0</c:v>
                </c:pt>
                <c:pt idx="3">
                  <c:v>0</c:v>
                </c:pt>
                <c:pt idx="4">
                  <c:v>0</c:v>
                </c:pt>
                <c:pt idx="5">
                  <c:v>0</c:v>
                </c:pt>
                <c:pt idx="6">
                  <c:v>0</c:v>
                </c:pt>
                <c:pt idx="7">
                  <c:v>0</c:v>
                </c:pt>
                <c:pt idx="8">
                  <c:v>0</c:v>
                </c:pt>
                <c:pt idx="9">
                  <c:v>0</c:v>
                </c:pt>
                <c:pt idx="10">
                  <c:v>1.5454545454545454E-4</c:v>
                </c:pt>
                <c:pt idx="11">
                  <c:v>2.3636363636363641E-5</c:v>
                </c:pt>
                <c:pt idx="12">
                  <c:v>0</c:v>
                </c:pt>
                <c:pt idx="13">
                  <c:v>0</c:v>
                </c:pt>
                <c:pt idx="14">
                  <c:v>0</c:v>
                </c:pt>
                <c:pt idx="15">
                  <c:v>0</c:v>
                </c:pt>
                <c:pt idx="16">
                  <c:v>1.9090909090909091E-3</c:v>
                </c:pt>
                <c:pt idx="17">
                  <c:v>0</c:v>
                </c:pt>
                <c:pt idx="18">
                  <c:v>1.7272727272727274E-5</c:v>
                </c:pt>
                <c:pt idx="19">
                  <c:v>0</c:v>
                </c:pt>
                <c:pt idx="20">
                  <c:v>4.5454545454545455E-6</c:v>
                </c:pt>
                <c:pt idx="21">
                  <c:v>0</c:v>
                </c:pt>
                <c:pt idx="22">
                  <c:v>0</c:v>
                </c:pt>
                <c:pt idx="23">
                  <c:v>0</c:v>
                </c:pt>
                <c:pt idx="24">
                  <c:v>0</c:v>
                </c:pt>
                <c:pt idx="25">
                  <c:v>3.6363636363636367E-4</c:v>
                </c:pt>
                <c:pt idx="26">
                  <c:v>5.8181818181818187E-3</c:v>
                </c:pt>
                <c:pt idx="27">
                  <c:v>0</c:v>
                </c:pt>
                <c:pt idx="28">
                  <c:v>0</c:v>
                </c:pt>
                <c:pt idx="29">
                  <c:v>0</c:v>
                </c:pt>
                <c:pt idx="30">
                  <c:v>0</c:v>
                </c:pt>
                <c:pt idx="31">
                  <c:v>0</c:v>
                </c:pt>
              </c:numCache>
              <c:extLst/>
            </c:numRef>
          </c:val>
          <c:extLst>
            <c:ext xmlns:c16="http://schemas.microsoft.com/office/drawing/2014/chart" uri="{C3380CC4-5D6E-409C-BE32-E72D297353CC}">
              <c16:uniqueId val="{00000003-8BFF-422D-A019-0F97EF893205}"/>
            </c:ext>
          </c:extLst>
        </c:ser>
        <c:ser>
          <c:idx val="4"/>
          <c:order val="4"/>
          <c:tx>
            <c:strRef>
              <c:f>BoM!$G$3</c:f>
              <c:strCache>
                <c:ptCount val="1"/>
                <c:pt idx="0">
                  <c:v>(Manhart et al., 2016)</c:v>
                </c:pt>
              </c:strCache>
            </c:strRef>
          </c:tx>
          <c:spPr>
            <a:solidFill>
              <a:schemeClr val="accent5"/>
            </a:solidFill>
            <a:ln>
              <a:noFill/>
            </a:ln>
            <a:effectLst/>
            <a:sp3d/>
          </c:spPr>
          <c:invertIfNegative val="0"/>
          <c:cat>
            <c:strRef>
              <c:f>(BoM!$A$5:$A$7,BoM!$A$10:$A$11,BoM!$A$15:$A$20,BoM!$A$22,BoM!$A$24:$A$25,BoM!$A$27:$A$29,BoM!$A$31,BoM!$A$33:$A$34,BoM!$A$36:$A$38,BoM!$A$40:$A$48)</c:f>
              <c:strCache>
                <c:ptCount val="32"/>
                <c:pt idx="0">
                  <c:v>antimony</c:v>
                </c:pt>
                <c:pt idx="1">
                  <c:v>arsenic</c:v>
                </c:pt>
                <c:pt idx="2">
                  <c:v>bismuth</c:v>
                </c:pt>
                <c:pt idx="3">
                  <c:v>cerium</c:v>
                </c:pt>
                <c:pt idx="4">
                  <c:v>chlorine</c:v>
                </c:pt>
                <c:pt idx="5">
                  <c:v>dysprosium</c:v>
                </c:pt>
                <c:pt idx="6">
                  <c:v>europium</c:v>
                </c:pt>
                <c:pt idx="7">
                  <c:v>gadolinium</c:v>
                </c:pt>
                <c:pt idx="8">
                  <c:v>gallium</c:v>
                </c:pt>
                <c:pt idx="9">
                  <c:v>germanium</c:v>
                </c:pt>
                <c:pt idx="10">
                  <c:v>gold</c:v>
                </c:pt>
                <c:pt idx="11">
                  <c:v>indium</c:v>
                </c:pt>
                <c:pt idx="12">
                  <c:v>lead</c:v>
                </c:pt>
                <c:pt idx="13">
                  <c:v>lithium</c:v>
                </c:pt>
                <c:pt idx="14">
                  <c:v>manganese</c:v>
                </c:pt>
                <c:pt idx="15">
                  <c:v>molybdenum</c:v>
                </c:pt>
                <c:pt idx="16">
                  <c:v>neodymium</c:v>
                </c:pt>
                <c:pt idx="17">
                  <c:v>niobium</c:v>
                </c:pt>
                <c:pt idx="18">
                  <c:v>palladium</c:v>
                </c:pt>
                <c:pt idx="19">
                  <c:v>phosphorous</c:v>
                </c:pt>
                <c:pt idx="20">
                  <c:v>platinum</c:v>
                </c:pt>
                <c:pt idx="21">
                  <c:v>potassium</c:v>
                </c:pt>
                <c:pt idx="22">
                  <c:v>praseodymium</c:v>
                </c:pt>
                <c:pt idx="23">
                  <c:v>silver</c:v>
                </c:pt>
                <c:pt idx="24">
                  <c:v>sulfur</c:v>
                </c:pt>
                <c:pt idx="25">
                  <c:v>tantalum</c:v>
                </c:pt>
                <c:pt idx="26">
                  <c:v>tin</c:v>
                </c:pt>
                <c:pt idx="27">
                  <c:v>titanium</c:v>
                </c:pt>
                <c:pt idx="28">
                  <c:v>tungsten</c:v>
                </c:pt>
                <c:pt idx="29">
                  <c:v>vanadium</c:v>
                </c:pt>
                <c:pt idx="30">
                  <c:v>yttrium</c:v>
                </c:pt>
                <c:pt idx="31">
                  <c:v>zinc</c:v>
                </c:pt>
              </c:strCache>
              <c:extLst/>
            </c:strRef>
          </c:cat>
          <c:val>
            <c:numRef>
              <c:f>(BoM!$L$5:$L$7,BoM!$L$10:$L$11,BoM!$L$15:$L$20,BoM!$L$22,BoM!$L$24:$L$25,BoM!$L$27:$L$29,BoM!$L$31,BoM!$L$33:$L$34,BoM!$L$36:$L$38,BoM!$L$40:$L$48)</c:f>
              <c:numCache>
                <c:formatCode>0.000%</c:formatCode>
                <c:ptCount val="32"/>
                <c:pt idx="0">
                  <c:v>0</c:v>
                </c:pt>
                <c:pt idx="1">
                  <c:v>0</c:v>
                </c:pt>
                <c:pt idx="2">
                  <c:v>0</c:v>
                </c:pt>
                <c:pt idx="3">
                  <c:v>1.875E-7</c:v>
                </c:pt>
                <c:pt idx="4">
                  <c:v>0</c:v>
                </c:pt>
                <c:pt idx="5">
                  <c:v>0</c:v>
                </c:pt>
                <c:pt idx="6">
                  <c:v>6.2500000000000005E-7</c:v>
                </c:pt>
                <c:pt idx="7">
                  <c:v>1.2500000000000001E-6</c:v>
                </c:pt>
                <c:pt idx="8">
                  <c:v>2.5000000000000002E-6</c:v>
                </c:pt>
                <c:pt idx="9">
                  <c:v>0</c:v>
                </c:pt>
                <c:pt idx="10">
                  <c:v>1.875E-4</c:v>
                </c:pt>
                <c:pt idx="11">
                  <c:v>6.2500000000000001E-5</c:v>
                </c:pt>
                <c:pt idx="12">
                  <c:v>0</c:v>
                </c:pt>
                <c:pt idx="13">
                  <c:v>0</c:v>
                </c:pt>
                <c:pt idx="14">
                  <c:v>0</c:v>
                </c:pt>
                <c:pt idx="15">
                  <c:v>0</c:v>
                </c:pt>
                <c:pt idx="16">
                  <c:v>3.1250000000000001E-4</c:v>
                </c:pt>
                <c:pt idx="17">
                  <c:v>0</c:v>
                </c:pt>
                <c:pt idx="18">
                  <c:v>6.2500000000000001E-5</c:v>
                </c:pt>
                <c:pt idx="19">
                  <c:v>0</c:v>
                </c:pt>
                <c:pt idx="20">
                  <c:v>0</c:v>
                </c:pt>
                <c:pt idx="21">
                  <c:v>0</c:v>
                </c:pt>
                <c:pt idx="22">
                  <c:v>6.2500000000000001E-5</c:v>
                </c:pt>
                <c:pt idx="23">
                  <c:v>1.9375E-3</c:v>
                </c:pt>
                <c:pt idx="24">
                  <c:v>0</c:v>
                </c:pt>
                <c:pt idx="25">
                  <c:v>1.25E-4</c:v>
                </c:pt>
                <c:pt idx="26">
                  <c:v>7.5624999999999998E-3</c:v>
                </c:pt>
                <c:pt idx="27">
                  <c:v>0</c:v>
                </c:pt>
                <c:pt idx="28">
                  <c:v>0</c:v>
                </c:pt>
                <c:pt idx="29">
                  <c:v>0</c:v>
                </c:pt>
                <c:pt idx="30">
                  <c:v>2.5000000000000002E-6</c:v>
                </c:pt>
                <c:pt idx="31">
                  <c:v>0</c:v>
                </c:pt>
              </c:numCache>
              <c:extLst/>
            </c:numRef>
          </c:val>
          <c:extLst>
            <c:ext xmlns:c16="http://schemas.microsoft.com/office/drawing/2014/chart" uri="{C3380CC4-5D6E-409C-BE32-E72D297353CC}">
              <c16:uniqueId val="{00000004-8BFF-422D-A019-0F97EF893205}"/>
            </c:ext>
          </c:extLst>
        </c:ser>
        <c:ser>
          <c:idx val="5"/>
          <c:order val="5"/>
          <c:tx>
            <c:strRef>
              <c:f>BoM!#REF!</c:f>
              <c:strCache>
                <c:ptCount val="1"/>
                <c:pt idx="0">
                  <c:v>#REF!</c:v>
                </c:pt>
              </c:strCache>
              <c:extLst xmlns:c15="http://schemas.microsoft.com/office/drawing/2012/chart"/>
            </c:strRef>
          </c:tx>
          <c:spPr>
            <a:solidFill>
              <a:schemeClr val="accent6"/>
            </a:solidFill>
            <a:ln>
              <a:noFill/>
            </a:ln>
            <a:effectLst/>
            <a:sp3d/>
          </c:spPr>
          <c:invertIfNegative val="0"/>
          <c:cat>
            <c:strRef>
              <c:f>(BoM!$A$5:$A$7,BoM!$A$10:$A$11,BoM!$A$15:$A$20,BoM!$A$22,BoM!$A$24:$A$25,BoM!$A$27:$A$29,BoM!$A$31,BoM!$A$33:$A$34,BoM!$A$36:$A$38,BoM!$A$40:$A$48)</c:f>
              <c:strCache>
                <c:ptCount val="32"/>
                <c:pt idx="0">
                  <c:v>antimony</c:v>
                </c:pt>
                <c:pt idx="1">
                  <c:v>arsenic</c:v>
                </c:pt>
                <c:pt idx="2">
                  <c:v>bismuth</c:v>
                </c:pt>
                <c:pt idx="3">
                  <c:v>cerium</c:v>
                </c:pt>
                <c:pt idx="4">
                  <c:v>chlorine</c:v>
                </c:pt>
                <c:pt idx="5">
                  <c:v>dysprosium</c:v>
                </c:pt>
                <c:pt idx="6">
                  <c:v>europium</c:v>
                </c:pt>
                <c:pt idx="7">
                  <c:v>gadolinium</c:v>
                </c:pt>
                <c:pt idx="8">
                  <c:v>gallium</c:v>
                </c:pt>
                <c:pt idx="9">
                  <c:v>germanium</c:v>
                </c:pt>
                <c:pt idx="10">
                  <c:v>gold</c:v>
                </c:pt>
                <c:pt idx="11">
                  <c:v>indium</c:v>
                </c:pt>
                <c:pt idx="12">
                  <c:v>lead</c:v>
                </c:pt>
                <c:pt idx="13">
                  <c:v>lithium</c:v>
                </c:pt>
                <c:pt idx="14">
                  <c:v>manganese</c:v>
                </c:pt>
                <c:pt idx="15">
                  <c:v>molybdenum</c:v>
                </c:pt>
                <c:pt idx="16">
                  <c:v>neodymium</c:v>
                </c:pt>
                <c:pt idx="17">
                  <c:v>niobium</c:v>
                </c:pt>
                <c:pt idx="18">
                  <c:v>palladium</c:v>
                </c:pt>
                <c:pt idx="19">
                  <c:v>phosphorous</c:v>
                </c:pt>
                <c:pt idx="20">
                  <c:v>platinum</c:v>
                </c:pt>
                <c:pt idx="21">
                  <c:v>potassium</c:v>
                </c:pt>
                <c:pt idx="22">
                  <c:v>praseodymium</c:v>
                </c:pt>
                <c:pt idx="23">
                  <c:v>silver</c:v>
                </c:pt>
                <c:pt idx="24">
                  <c:v>sulfur</c:v>
                </c:pt>
                <c:pt idx="25">
                  <c:v>tantalum</c:v>
                </c:pt>
                <c:pt idx="26">
                  <c:v>tin</c:v>
                </c:pt>
                <c:pt idx="27">
                  <c:v>titanium</c:v>
                </c:pt>
                <c:pt idx="28">
                  <c:v>tungsten</c:v>
                </c:pt>
                <c:pt idx="29">
                  <c:v>vanadium</c:v>
                </c:pt>
                <c:pt idx="30">
                  <c:v>yttrium</c:v>
                </c:pt>
                <c:pt idx="31">
                  <c:v>zinc</c:v>
                </c:pt>
              </c:strCache>
              <c:extLst/>
            </c:strRef>
          </c:cat>
          <c:val>
            <c:numRef>
              <c:f>BoM!#REF!</c:f>
              <c:extLst xmlns:c15="http://schemas.microsoft.com/office/drawing/2012/chart"/>
            </c:numRef>
          </c:val>
          <c:extLst xmlns:c15="http://schemas.microsoft.com/office/drawing/2012/chart">
            <c:ext xmlns:c16="http://schemas.microsoft.com/office/drawing/2014/chart" uri="{C3380CC4-5D6E-409C-BE32-E72D297353CC}">
              <c16:uniqueId val="{00000005-8BFF-422D-A019-0F97EF893205}"/>
            </c:ext>
          </c:extLst>
        </c:ser>
        <c:dLbls>
          <c:showLegendKey val="0"/>
          <c:showVal val="0"/>
          <c:showCatName val="0"/>
          <c:showSerName val="0"/>
          <c:showPercent val="0"/>
          <c:showBubbleSize val="0"/>
        </c:dLbls>
        <c:gapWidth val="150"/>
        <c:shape val="box"/>
        <c:axId val="1138870767"/>
        <c:axId val="1138867023"/>
        <c:axId val="1215648047"/>
        <c:extLst/>
      </c:bar3DChart>
      <c:catAx>
        <c:axId val="1138870767"/>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38867023"/>
        <c:crosses val="autoZero"/>
        <c:auto val="1"/>
        <c:lblAlgn val="ctr"/>
        <c:lblOffset val="100"/>
        <c:tickLblSkip val="1"/>
        <c:noMultiLvlLbl val="0"/>
      </c:catAx>
      <c:valAx>
        <c:axId val="1138867023"/>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38870767"/>
        <c:crosses val="autoZero"/>
        <c:crossBetween val="between"/>
      </c:valAx>
      <c:serAx>
        <c:axId val="1215648047"/>
        <c:scaling>
          <c:orientation val="minMax"/>
        </c:scaling>
        <c:delete val="1"/>
        <c:axPos val="b"/>
        <c:majorTickMark val="none"/>
        <c:minorTickMark val="none"/>
        <c:tickLblPos val="nextTo"/>
        <c:crossAx val="1138867023"/>
        <c:crosses val="autoZero"/>
      </c:serAx>
      <c:spPr>
        <a:noFill/>
        <a:ln>
          <a:noFill/>
        </a:ln>
        <a:effectLst/>
      </c:spPr>
    </c:plotArea>
    <c:legend>
      <c:legendPos val="b"/>
      <c:layout>
        <c:manualLayout>
          <c:xMode val="edge"/>
          <c:yMode val="edge"/>
          <c:x val="4.6724604293458941E-2"/>
          <c:y val="0.8864050106319491"/>
          <c:w val="0.92900291120815137"/>
          <c:h val="0.11359507609319536"/>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8740157499999996" l="0.7" r="0.7" t="0.78740157499999996"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r>
              <a:rPr lang="de-DE"/>
              <a:t>Elemental</a:t>
            </a:r>
            <a:r>
              <a:rPr lang="de-DE" baseline="0"/>
              <a:t> composition of a</a:t>
            </a:r>
            <a:r>
              <a:rPr lang="de-DE"/>
              <a:t> 12-layer</a:t>
            </a:r>
            <a:r>
              <a:rPr lang="de-DE" baseline="0"/>
              <a:t> PCB</a:t>
            </a:r>
            <a:endParaRPr lang="de-DE"/>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30248392257740686"/>
          <c:y val="0.31798473466678734"/>
          <c:w val="0.39454527559055119"/>
          <c:h val="0.65757545931758532"/>
        </c:manualLayout>
      </c:layout>
      <c:pie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1-CC97-48C9-99C6-16E14D143391}"/>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3-CC97-48C9-99C6-16E14D143391}"/>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5-CC97-48C9-99C6-16E14D143391}"/>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7-CC97-48C9-99C6-16E14D143391}"/>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9-CC97-48C9-99C6-16E14D143391}"/>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B-CC97-48C9-99C6-16E14D143391}"/>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D-CC97-48C9-99C6-16E14D143391}"/>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F-CC97-48C9-99C6-16E14D143391}"/>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1-CC97-48C9-99C6-16E14D143391}"/>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3-CC97-48C9-99C6-16E14D143391}"/>
              </c:ext>
            </c:extLst>
          </c:dPt>
          <c:dPt>
            <c:idx val="10"/>
            <c:bubble3D val="0"/>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5-CC97-48C9-99C6-16E14D143391}"/>
              </c:ext>
            </c:extLst>
          </c:dPt>
          <c:dPt>
            <c:idx val="11"/>
            <c:bubble3D val="0"/>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7-CC97-48C9-99C6-16E14D143391}"/>
              </c:ext>
            </c:extLst>
          </c:dPt>
          <c:dPt>
            <c:idx val="12"/>
            <c:bubble3D val="0"/>
            <c:spPr>
              <a:gradFill rotWithShape="1">
                <a:gsLst>
                  <a:gs pos="0">
                    <a:schemeClr val="accent1">
                      <a:lumMod val="80000"/>
                      <a:lumOff val="20000"/>
                      <a:satMod val="103000"/>
                      <a:lumMod val="102000"/>
                      <a:tint val="94000"/>
                    </a:schemeClr>
                  </a:gs>
                  <a:gs pos="50000">
                    <a:schemeClr val="accent1">
                      <a:lumMod val="80000"/>
                      <a:lumOff val="20000"/>
                      <a:satMod val="110000"/>
                      <a:lumMod val="100000"/>
                      <a:shade val="100000"/>
                    </a:schemeClr>
                  </a:gs>
                  <a:gs pos="100000">
                    <a:schemeClr val="accent1">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9-CC97-48C9-99C6-16E14D143391}"/>
              </c:ext>
            </c:extLst>
          </c:dPt>
          <c:dPt>
            <c:idx val="13"/>
            <c:bubble3D val="0"/>
            <c:spPr>
              <a:gradFill rotWithShape="1">
                <a:gsLst>
                  <a:gs pos="0">
                    <a:schemeClr val="accent2">
                      <a:lumMod val="80000"/>
                      <a:lumOff val="20000"/>
                      <a:satMod val="103000"/>
                      <a:lumMod val="102000"/>
                      <a:tint val="94000"/>
                    </a:schemeClr>
                  </a:gs>
                  <a:gs pos="50000">
                    <a:schemeClr val="accent2">
                      <a:lumMod val="80000"/>
                      <a:lumOff val="20000"/>
                      <a:satMod val="110000"/>
                      <a:lumMod val="100000"/>
                      <a:shade val="100000"/>
                    </a:schemeClr>
                  </a:gs>
                  <a:gs pos="100000">
                    <a:schemeClr val="accent2">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B-CC97-48C9-99C6-16E14D143391}"/>
              </c:ext>
            </c:extLst>
          </c:dPt>
          <c:dPt>
            <c:idx val="14"/>
            <c:bubble3D val="0"/>
            <c:spPr>
              <a:gradFill rotWithShape="1">
                <a:gsLst>
                  <a:gs pos="0">
                    <a:schemeClr val="accent3">
                      <a:lumMod val="80000"/>
                      <a:lumOff val="20000"/>
                      <a:satMod val="103000"/>
                      <a:lumMod val="102000"/>
                      <a:tint val="94000"/>
                    </a:schemeClr>
                  </a:gs>
                  <a:gs pos="50000">
                    <a:schemeClr val="accent3">
                      <a:lumMod val="80000"/>
                      <a:lumOff val="20000"/>
                      <a:satMod val="110000"/>
                      <a:lumMod val="100000"/>
                      <a:shade val="100000"/>
                    </a:schemeClr>
                  </a:gs>
                  <a:gs pos="100000">
                    <a:schemeClr val="accent3">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D-CC97-48C9-99C6-16E14D143391}"/>
              </c:ext>
            </c:extLst>
          </c:dPt>
          <c:dPt>
            <c:idx val="15"/>
            <c:bubble3D val="0"/>
            <c:spPr>
              <a:gradFill rotWithShape="1">
                <a:gsLst>
                  <a:gs pos="0">
                    <a:schemeClr val="accent4">
                      <a:lumMod val="80000"/>
                      <a:lumOff val="20000"/>
                      <a:satMod val="103000"/>
                      <a:lumMod val="102000"/>
                      <a:tint val="94000"/>
                    </a:schemeClr>
                  </a:gs>
                  <a:gs pos="50000">
                    <a:schemeClr val="accent4">
                      <a:lumMod val="80000"/>
                      <a:lumOff val="20000"/>
                      <a:satMod val="110000"/>
                      <a:lumMod val="100000"/>
                      <a:shade val="100000"/>
                    </a:schemeClr>
                  </a:gs>
                  <a:gs pos="100000">
                    <a:schemeClr val="accent4">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F-CC97-48C9-99C6-16E14D143391}"/>
              </c:ext>
            </c:extLst>
          </c:dPt>
          <c:dLbls>
            <c:dLbl>
              <c:idx val="0"/>
              <c:layout>
                <c:manualLayout>
                  <c:x val="6.4962407587497675E-2"/>
                  <c:y val="7.9068723466683311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1-CC97-48C9-99C6-16E14D143391}"/>
                </c:ext>
              </c:extLst>
            </c:dLbl>
            <c:dLbl>
              <c:idx val="1"/>
              <c:layout>
                <c:manualLayout>
                  <c:x val="2.2222222222222223E-2"/>
                  <c:y val="0"/>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3-CC97-48C9-99C6-16E14D143391}"/>
                </c:ext>
              </c:extLst>
            </c:dLbl>
            <c:dLbl>
              <c:idx val="2"/>
              <c:layout>
                <c:manualLayout>
                  <c:x val="0.15670650730411687"/>
                  <c:y val="-1.3136332096418983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5-CC97-48C9-99C6-16E14D143391}"/>
                </c:ext>
              </c:extLst>
            </c:dLbl>
            <c:dLbl>
              <c:idx val="4"/>
              <c:layout>
                <c:manualLayout>
                  <c:x val="-8.4993359893758322E-2"/>
                  <c:y val="0.18390801427269621"/>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9-CC97-48C9-99C6-16E14D143391}"/>
                </c:ext>
              </c:extLst>
            </c:dLbl>
            <c:dLbl>
              <c:idx val="5"/>
              <c:layout>
                <c:manualLayout>
                  <c:x val="-0.12217795484727759"/>
                  <c:y val="-2.1893811222940027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B-CC97-48C9-99C6-16E14D143391}"/>
                </c:ext>
              </c:extLst>
            </c:dLbl>
            <c:dLbl>
              <c:idx val="6"/>
              <c:layout>
                <c:manualLayout>
                  <c:x val="-0.15936254980079681"/>
                  <c:y val="0.12260534284846406"/>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D-CC97-48C9-99C6-16E14D143391}"/>
                </c:ext>
              </c:extLst>
            </c:dLbl>
            <c:dLbl>
              <c:idx val="7"/>
              <c:layout>
                <c:manualLayout>
                  <c:x val="-7.4369189907038516E-2"/>
                  <c:y val="-0.10946905611470015"/>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F-CC97-48C9-99C6-16E14D143391}"/>
                </c:ext>
              </c:extLst>
            </c:dLbl>
            <c:dLbl>
              <c:idx val="8"/>
              <c:layout>
                <c:manualLayout>
                  <c:x val="-3.1872509960159411E-2"/>
                  <c:y val="-7.4438958157996088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1-CC97-48C9-99C6-16E14D143391}"/>
                </c:ext>
              </c:extLst>
            </c:dLbl>
            <c:dLbl>
              <c:idx val="9"/>
              <c:layout>
                <c:manualLayout>
                  <c:x val="-1.5936254980079681E-2"/>
                  <c:y val="-3.2841584457115273E-3"/>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3-CC97-48C9-99C6-16E14D143391}"/>
                </c:ext>
              </c:extLst>
            </c:dLbl>
            <c:dLbl>
              <c:idx val="10"/>
              <c:layout>
                <c:manualLayout>
                  <c:x val="-6.9057104913678669E-2"/>
                  <c:y val="-0.10727969348659004"/>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5-CC97-48C9-99C6-16E14D143391}"/>
                </c:ext>
              </c:extLst>
            </c:dLbl>
            <c:dLbl>
              <c:idx val="11"/>
              <c:layout>
                <c:manualLayout>
                  <c:x val="-3.1872509960159362E-2"/>
                  <c:y val="-0.1149425287356322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7-CC97-48C9-99C6-16E14D143391}"/>
                </c:ext>
              </c:extLst>
            </c:dLbl>
            <c:dLbl>
              <c:idx val="12"/>
              <c:layout>
                <c:manualLayout>
                  <c:x val="-2.6560424966799467E-3"/>
                  <c:y val="-0.13409961685823754"/>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9-CC97-48C9-99C6-16E14D143391}"/>
                </c:ext>
              </c:extLst>
            </c:dLbl>
            <c:dLbl>
              <c:idx val="13"/>
              <c:layout>
                <c:manualLayout>
                  <c:x val="4.2496679946879147E-2"/>
                  <c:y val="-0.11877394636015327"/>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B-CC97-48C9-99C6-16E14D143391}"/>
                </c:ext>
              </c:extLst>
            </c:dLbl>
            <c:dLbl>
              <c:idx val="14"/>
              <c:layout>
                <c:manualLayout>
                  <c:x val="0.11952191235059761"/>
                  <c:y val="-9.3048843032551995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D-CC97-48C9-99C6-16E14D143391}"/>
                </c:ext>
              </c:extLst>
            </c:dLbl>
            <c:dLbl>
              <c:idx val="15"/>
              <c:layout>
                <c:manualLayout>
                  <c:x val="0.1248339973439575"/>
                  <c:y val="1.3136286733764015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F-CC97-48C9-99C6-16E14D143391}"/>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dLblPos val="outEnd"/>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material_composition!$AC$48:$AR$48</c:f>
              <c:strCache>
                <c:ptCount val="16"/>
                <c:pt idx="0">
                  <c:v>Cu</c:v>
                </c:pt>
                <c:pt idx="1">
                  <c:v>Si</c:v>
                </c:pt>
                <c:pt idx="2">
                  <c:v>O</c:v>
                </c:pt>
                <c:pt idx="3">
                  <c:v>C</c:v>
                </c:pt>
                <c:pt idx="4">
                  <c:v>H</c:v>
                </c:pt>
                <c:pt idx="5">
                  <c:v>N</c:v>
                </c:pt>
                <c:pt idx="6">
                  <c:v>Br</c:v>
                </c:pt>
                <c:pt idx="7">
                  <c:v>Sb</c:v>
                </c:pt>
                <c:pt idx="8">
                  <c:v>Fe</c:v>
                </c:pt>
                <c:pt idx="9">
                  <c:v>Sn</c:v>
                </c:pt>
                <c:pt idx="10">
                  <c:v>Ni</c:v>
                </c:pt>
                <c:pt idx="11">
                  <c:v>Zn</c:v>
                </c:pt>
                <c:pt idx="12">
                  <c:v>Pb</c:v>
                </c:pt>
                <c:pt idx="13">
                  <c:v>Au</c:v>
                </c:pt>
                <c:pt idx="14">
                  <c:v>Ag</c:v>
                </c:pt>
                <c:pt idx="15">
                  <c:v>Pd</c:v>
                </c:pt>
              </c:strCache>
            </c:strRef>
          </c:cat>
          <c:val>
            <c:numRef>
              <c:f>material_composition!$AC$56:$AR$56</c:f>
              <c:numCache>
                <c:formatCode>0.0%</c:formatCode>
                <c:ptCount val="16"/>
                <c:pt idx="0">
                  <c:v>0.20200000000000001</c:v>
                </c:pt>
                <c:pt idx="1">
                  <c:v>0.17584901713093104</c:v>
                </c:pt>
                <c:pt idx="2">
                  <c:v>0.20035098286906897</c:v>
                </c:pt>
                <c:pt idx="3">
                  <c:v>0.214</c:v>
                </c:pt>
                <c:pt idx="4">
                  <c:v>1.6E-2</c:v>
                </c:pt>
                <c:pt idx="5">
                  <c:v>6.0000000000000001E-3</c:v>
                </c:pt>
                <c:pt idx="6">
                  <c:v>0</c:v>
                </c:pt>
                <c:pt idx="7">
                  <c:v>3.0000000000000001E-3</c:v>
                </c:pt>
                <c:pt idx="8">
                  <c:v>4.8000000000000001E-2</c:v>
                </c:pt>
                <c:pt idx="9">
                  <c:v>4.1000000000000002E-2</c:v>
                </c:pt>
                <c:pt idx="10">
                  <c:v>0.01</c:v>
                </c:pt>
                <c:pt idx="11">
                  <c:v>1.2999999999999999E-2</c:v>
                </c:pt>
                <c:pt idx="12">
                  <c:v>0</c:v>
                </c:pt>
                <c:pt idx="13" formatCode="0.000%">
                  <c:v>2.2480000000000002E-4</c:v>
                </c:pt>
                <c:pt idx="14" formatCode="0.000%">
                  <c:v>4.9870000000000003E-4</c:v>
                </c:pt>
                <c:pt idx="15" formatCode="0.000%">
                  <c:v>1.178E-4</c:v>
                </c:pt>
              </c:numCache>
            </c:numRef>
          </c:val>
          <c:extLst>
            <c:ext xmlns:c16="http://schemas.microsoft.com/office/drawing/2014/chart" uri="{C3380CC4-5D6E-409C-BE32-E72D297353CC}">
              <c16:uniqueId val="{00000020-CC97-48C9-99C6-16E14D143391}"/>
            </c:ext>
          </c:extLst>
        </c:ser>
        <c:dLbls>
          <c:showLegendKey val="0"/>
          <c:showVal val="0"/>
          <c:showCatName val="0"/>
          <c:showSerName val="0"/>
          <c:showPercent val="0"/>
          <c:showBubbleSize val="0"/>
          <c:showLeaderLines val="0"/>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8740157499999996" l="0.7" r="0.7" t="0.78740157499999996"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344">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chart" Target="../charts/chart1.xml"/><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png"/><Relationship Id="rId4" Type="http://schemas.openxmlformats.org/officeDocument/2006/relationships/image" Target="../media/image9.png"/></Relationships>
</file>

<file path=xl/drawings/_rels/drawing5.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6.xml.rels><?xml version="1.0" encoding="UTF-8" standalone="yes"?>
<Relationships xmlns="http://schemas.openxmlformats.org/package/2006/relationships"><Relationship Id="rId2" Type="http://schemas.openxmlformats.org/officeDocument/2006/relationships/chart" Target="../charts/chart5.xml"/><Relationship Id="rId1" Type="http://schemas.openxmlformats.org/officeDocument/2006/relationships/image" Target="../media/image10.png"/></Relationships>
</file>

<file path=xl/drawings/drawing1.xml><?xml version="1.0" encoding="utf-8"?>
<xdr:wsDr xmlns:xdr="http://schemas.openxmlformats.org/drawingml/2006/spreadsheetDrawing" xmlns:a="http://schemas.openxmlformats.org/drawingml/2006/main">
  <xdr:twoCellAnchor editAs="oneCell">
    <xdr:from>
      <xdr:col>15</xdr:col>
      <xdr:colOff>85725</xdr:colOff>
      <xdr:row>49</xdr:row>
      <xdr:rowOff>133350</xdr:rowOff>
    </xdr:from>
    <xdr:to>
      <xdr:col>21</xdr:col>
      <xdr:colOff>248309</xdr:colOff>
      <xdr:row>65</xdr:row>
      <xdr:rowOff>377669</xdr:rowOff>
    </xdr:to>
    <xdr:pic>
      <xdr:nvPicPr>
        <xdr:cNvPr id="2" name="Grafik 1">
          <a:extLst>
            <a:ext uri="{FF2B5EF4-FFF2-40B4-BE49-F238E27FC236}">
              <a16:creationId xmlns:a16="http://schemas.microsoft.com/office/drawing/2014/main" id="{86EF5AF3-04C2-1A8D-DD93-E55217AC3CCF}"/>
            </a:ext>
          </a:extLst>
        </xdr:cNvPr>
        <xdr:cNvPicPr>
          <a:picLocks noChangeAspect="1"/>
        </xdr:cNvPicPr>
      </xdr:nvPicPr>
      <xdr:blipFill>
        <a:blip xmlns:r="http://schemas.openxmlformats.org/officeDocument/2006/relationships" r:embed="rId1"/>
        <a:stretch>
          <a:fillRect/>
        </a:stretch>
      </xdr:blipFill>
      <xdr:spPr>
        <a:xfrm>
          <a:off x="12630150" y="7372350"/>
          <a:ext cx="4725059" cy="3429479"/>
        </a:xfrm>
        <a:prstGeom prst="rect">
          <a:avLst/>
        </a:prstGeom>
      </xdr:spPr>
    </xdr:pic>
    <xdr:clientData/>
  </xdr:twoCellAnchor>
  <xdr:twoCellAnchor>
    <xdr:from>
      <xdr:col>15</xdr:col>
      <xdr:colOff>209550</xdr:colOff>
      <xdr:row>30</xdr:row>
      <xdr:rowOff>80962</xdr:rowOff>
    </xdr:from>
    <xdr:to>
      <xdr:col>21</xdr:col>
      <xdr:colOff>209550</xdr:colOff>
      <xdr:row>45</xdr:row>
      <xdr:rowOff>157162</xdr:rowOff>
    </xdr:to>
    <xdr:graphicFrame macro="">
      <xdr:nvGraphicFramePr>
        <xdr:cNvPr id="3" name="Diagramm 2">
          <a:extLst>
            <a:ext uri="{FF2B5EF4-FFF2-40B4-BE49-F238E27FC236}">
              <a16:creationId xmlns:a16="http://schemas.microsoft.com/office/drawing/2014/main" id="{5AAA8CED-D8DF-91ED-B4F5-ADC95B6C5EC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7</xdr:col>
      <xdr:colOff>0</xdr:colOff>
      <xdr:row>64</xdr:row>
      <xdr:rowOff>0</xdr:rowOff>
    </xdr:from>
    <xdr:to>
      <xdr:col>11</xdr:col>
      <xdr:colOff>815340</xdr:colOff>
      <xdr:row>71</xdr:row>
      <xdr:rowOff>22644</xdr:rowOff>
    </xdr:to>
    <xdr:pic>
      <xdr:nvPicPr>
        <xdr:cNvPr id="4" name="Grafik 3">
          <a:extLst>
            <a:ext uri="{FF2B5EF4-FFF2-40B4-BE49-F238E27FC236}">
              <a16:creationId xmlns:a16="http://schemas.microsoft.com/office/drawing/2014/main" id="{50EBB7F4-6B17-CAF4-B24A-FEB896A5AF49}"/>
            </a:ext>
          </a:extLst>
        </xdr:cNvPr>
        <xdr:cNvPicPr>
          <a:picLocks noChangeAspect="1"/>
        </xdr:cNvPicPr>
      </xdr:nvPicPr>
      <xdr:blipFill>
        <a:blip xmlns:r="http://schemas.openxmlformats.org/officeDocument/2006/relationships" r:embed="rId3"/>
        <a:stretch>
          <a:fillRect/>
        </a:stretch>
      </xdr:blipFill>
      <xdr:spPr>
        <a:xfrm>
          <a:off x="7711440" y="11742420"/>
          <a:ext cx="5135880" cy="291252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152400</xdr:colOff>
      <xdr:row>15</xdr:row>
      <xdr:rowOff>99060</xdr:rowOff>
    </xdr:from>
    <xdr:to>
      <xdr:col>3</xdr:col>
      <xdr:colOff>487680</xdr:colOff>
      <xdr:row>23</xdr:row>
      <xdr:rowOff>15240</xdr:rowOff>
    </xdr:to>
    <xdr:sp macro="" textlink="">
      <xdr:nvSpPr>
        <xdr:cNvPr id="2" name="Pfeil: nach oben gebogen 1">
          <a:extLst>
            <a:ext uri="{FF2B5EF4-FFF2-40B4-BE49-F238E27FC236}">
              <a16:creationId xmlns:a16="http://schemas.microsoft.com/office/drawing/2014/main" id="{D48BA684-CA9C-4EE7-916F-26118BC0E9BC}"/>
            </a:ext>
          </a:extLst>
        </xdr:cNvPr>
        <xdr:cNvSpPr/>
      </xdr:nvSpPr>
      <xdr:spPr>
        <a:xfrm>
          <a:off x="2263140" y="15148560"/>
          <a:ext cx="335280" cy="1379220"/>
        </a:xfrm>
        <a:prstGeom prst="ben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LID4096" sz="1100"/>
        </a:p>
      </xdr:txBody>
    </xdr:sp>
    <xdr:clientData/>
  </xdr:twoCellAnchor>
  <xdr:twoCellAnchor>
    <xdr:from>
      <xdr:col>8</xdr:col>
      <xdr:colOff>533400</xdr:colOff>
      <xdr:row>62</xdr:row>
      <xdr:rowOff>137160</xdr:rowOff>
    </xdr:from>
    <xdr:to>
      <xdr:col>14</xdr:col>
      <xdr:colOff>350520</xdr:colOff>
      <xdr:row>77</xdr:row>
      <xdr:rowOff>137160</xdr:rowOff>
    </xdr:to>
    <xdr:graphicFrame macro="">
      <xdr:nvGraphicFramePr>
        <xdr:cNvPr id="3" name="Diagramm 2">
          <a:extLst>
            <a:ext uri="{FF2B5EF4-FFF2-40B4-BE49-F238E27FC236}">
              <a16:creationId xmlns:a16="http://schemas.microsoft.com/office/drawing/2014/main" id="{EE8395F4-7350-C15A-8C09-F55076954B9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8</xdr:col>
      <xdr:colOff>0</xdr:colOff>
      <xdr:row>1</xdr:row>
      <xdr:rowOff>0</xdr:rowOff>
    </xdr:from>
    <xdr:to>
      <xdr:col>15</xdr:col>
      <xdr:colOff>696167</xdr:colOff>
      <xdr:row>16</xdr:row>
      <xdr:rowOff>57557</xdr:rowOff>
    </xdr:to>
    <xdr:pic>
      <xdr:nvPicPr>
        <xdr:cNvPr id="4" name="Grafik 3">
          <a:extLst>
            <a:ext uri="{FF2B5EF4-FFF2-40B4-BE49-F238E27FC236}">
              <a16:creationId xmlns:a16="http://schemas.microsoft.com/office/drawing/2014/main" id="{890EC7BA-F927-AE84-D2C8-B2D867645006}"/>
            </a:ext>
          </a:extLst>
        </xdr:cNvPr>
        <xdr:cNvPicPr>
          <a:picLocks noChangeAspect="1"/>
        </xdr:cNvPicPr>
      </xdr:nvPicPr>
      <xdr:blipFill>
        <a:blip xmlns:r="http://schemas.openxmlformats.org/officeDocument/2006/relationships" r:embed="rId2"/>
        <a:stretch>
          <a:fillRect/>
        </a:stretch>
      </xdr:blipFill>
      <xdr:spPr>
        <a:xfrm>
          <a:off x="6619875" y="190500"/>
          <a:ext cx="6030167" cy="291505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38100</xdr:colOff>
      <xdr:row>52</xdr:row>
      <xdr:rowOff>123825</xdr:rowOff>
    </xdr:from>
    <xdr:to>
      <xdr:col>9</xdr:col>
      <xdr:colOff>514293</xdr:colOff>
      <xdr:row>72</xdr:row>
      <xdr:rowOff>21473</xdr:rowOff>
    </xdr:to>
    <xdr:pic>
      <xdr:nvPicPr>
        <xdr:cNvPr id="2" name="Grafik 1">
          <a:extLst>
            <a:ext uri="{FF2B5EF4-FFF2-40B4-BE49-F238E27FC236}">
              <a16:creationId xmlns:a16="http://schemas.microsoft.com/office/drawing/2014/main" id="{92D9D5AB-3BFE-DD60-DF00-93EBEBCD8275}"/>
            </a:ext>
          </a:extLst>
        </xdr:cNvPr>
        <xdr:cNvPicPr>
          <a:picLocks noChangeAspect="1"/>
        </xdr:cNvPicPr>
      </xdr:nvPicPr>
      <xdr:blipFill>
        <a:blip xmlns:r="http://schemas.openxmlformats.org/officeDocument/2006/relationships" r:embed="rId1"/>
        <a:stretch>
          <a:fillRect/>
        </a:stretch>
      </xdr:blipFill>
      <xdr:spPr>
        <a:xfrm>
          <a:off x="2781300" y="8124825"/>
          <a:ext cx="5887272" cy="3715268"/>
        </a:xfrm>
        <a:prstGeom prst="rect">
          <a:avLst/>
        </a:prstGeom>
      </xdr:spPr>
    </xdr:pic>
    <xdr:clientData/>
  </xdr:twoCellAnchor>
  <xdr:twoCellAnchor editAs="oneCell">
    <xdr:from>
      <xdr:col>4</xdr:col>
      <xdr:colOff>457200</xdr:colOff>
      <xdr:row>74</xdr:row>
      <xdr:rowOff>57150</xdr:rowOff>
    </xdr:from>
    <xdr:to>
      <xdr:col>11</xdr:col>
      <xdr:colOff>131383</xdr:colOff>
      <xdr:row>80</xdr:row>
      <xdr:rowOff>135426</xdr:rowOff>
    </xdr:to>
    <xdr:pic>
      <xdr:nvPicPr>
        <xdr:cNvPr id="3" name="Grafik 2">
          <a:extLst>
            <a:ext uri="{FF2B5EF4-FFF2-40B4-BE49-F238E27FC236}">
              <a16:creationId xmlns:a16="http://schemas.microsoft.com/office/drawing/2014/main" id="{72D4FDA7-3ADB-4D16-931E-555D7D2B5F1D}"/>
            </a:ext>
          </a:extLst>
        </xdr:cNvPr>
        <xdr:cNvPicPr>
          <a:picLocks noChangeAspect="1"/>
        </xdr:cNvPicPr>
      </xdr:nvPicPr>
      <xdr:blipFill>
        <a:blip xmlns:r="http://schemas.openxmlformats.org/officeDocument/2006/relationships" r:embed="rId2"/>
        <a:stretch>
          <a:fillRect/>
        </a:stretch>
      </xdr:blipFill>
      <xdr:spPr>
        <a:xfrm>
          <a:off x="3962400" y="12249150"/>
          <a:ext cx="5858693" cy="122889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0</xdr:colOff>
      <xdr:row>2</xdr:row>
      <xdr:rowOff>0</xdr:rowOff>
    </xdr:from>
    <xdr:to>
      <xdr:col>15</xdr:col>
      <xdr:colOff>48695</xdr:colOff>
      <xdr:row>22</xdr:row>
      <xdr:rowOff>162479</xdr:rowOff>
    </xdr:to>
    <xdr:pic>
      <xdr:nvPicPr>
        <xdr:cNvPr id="3" name="Grafik 2">
          <a:extLst>
            <a:ext uri="{FF2B5EF4-FFF2-40B4-BE49-F238E27FC236}">
              <a16:creationId xmlns:a16="http://schemas.microsoft.com/office/drawing/2014/main" id="{BFFF801E-CA87-9C89-C365-47590A1AF0D2}"/>
            </a:ext>
          </a:extLst>
        </xdr:cNvPr>
        <xdr:cNvPicPr>
          <a:picLocks noChangeAspect="1"/>
        </xdr:cNvPicPr>
      </xdr:nvPicPr>
      <xdr:blipFill>
        <a:blip xmlns:r="http://schemas.openxmlformats.org/officeDocument/2006/relationships" r:embed="rId1"/>
        <a:stretch>
          <a:fillRect/>
        </a:stretch>
      </xdr:blipFill>
      <xdr:spPr>
        <a:xfrm>
          <a:off x="3810000" y="381000"/>
          <a:ext cx="7668695" cy="3972479"/>
        </a:xfrm>
        <a:prstGeom prst="rect">
          <a:avLst/>
        </a:prstGeom>
      </xdr:spPr>
    </xdr:pic>
    <xdr:clientData/>
  </xdr:twoCellAnchor>
  <xdr:twoCellAnchor editAs="oneCell">
    <xdr:from>
      <xdr:col>5</xdr:col>
      <xdr:colOff>0</xdr:colOff>
      <xdr:row>25</xdr:row>
      <xdr:rowOff>0</xdr:rowOff>
    </xdr:from>
    <xdr:to>
      <xdr:col>15</xdr:col>
      <xdr:colOff>39169</xdr:colOff>
      <xdr:row>43</xdr:row>
      <xdr:rowOff>181479</xdr:rowOff>
    </xdr:to>
    <xdr:pic>
      <xdr:nvPicPr>
        <xdr:cNvPr id="4" name="Grafik 3">
          <a:extLst>
            <a:ext uri="{FF2B5EF4-FFF2-40B4-BE49-F238E27FC236}">
              <a16:creationId xmlns:a16="http://schemas.microsoft.com/office/drawing/2014/main" id="{11B22F36-D5C7-413D-E521-F8481E2F097C}"/>
            </a:ext>
          </a:extLst>
        </xdr:cNvPr>
        <xdr:cNvPicPr>
          <a:picLocks noChangeAspect="1"/>
        </xdr:cNvPicPr>
      </xdr:nvPicPr>
      <xdr:blipFill>
        <a:blip xmlns:r="http://schemas.openxmlformats.org/officeDocument/2006/relationships" r:embed="rId2"/>
        <a:stretch>
          <a:fillRect/>
        </a:stretch>
      </xdr:blipFill>
      <xdr:spPr>
        <a:xfrm>
          <a:off x="3810000" y="4762500"/>
          <a:ext cx="7659169" cy="3610479"/>
        </a:xfrm>
        <a:prstGeom prst="rect">
          <a:avLst/>
        </a:prstGeom>
      </xdr:spPr>
    </xdr:pic>
    <xdr:clientData/>
  </xdr:twoCellAnchor>
  <xdr:twoCellAnchor editAs="oneCell">
    <xdr:from>
      <xdr:col>5</xdr:col>
      <xdr:colOff>0</xdr:colOff>
      <xdr:row>46</xdr:row>
      <xdr:rowOff>0</xdr:rowOff>
    </xdr:from>
    <xdr:to>
      <xdr:col>14</xdr:col>
      <xdr:colOff>524905</xdr:colOff>
      <xdr:row>64</xdr:row>
      <xdr:rowOff>67163</xdr:rowOff>
    </xdr:to>
    <xdr:pic>
      <xdr:nvPicPr>
        <xdr:cNvPr id="5" name="Grafik 4">
          <a:extLst>
            <a:ext uri="{FF2B5EF4-FFF2-40B4-BE49-F238E27FC236}">
              <a16:creationId xmlns:a16="http://schemas.microsoft.com/office/drawing/2014/main" id="{F478C1C1-7F2A-BB73-8802-6A6912184B3C}"/>
            </a:ext>
          </a:extLst>
        </xdr:cNvPr>
        <xdr:cNvPicPr>
          <a:picLocks noChangeAspect="1"/>
        </xdr:cNvPicPr>
      </xdr:nvPicPr>
      <xdr:blipFill>
        <a:blip xmlns:r="http://schemas.openxmlformats.org/officeDocument/2006/relationships" r:embed="rId3"/>
        <a:stretch>
          <a:fillRect/>
        </a:stretch>
      </xdr:blipFill>
      <xdr:spPr>
        <a:xfrm>
          <a:off x="3810000" y="8763000"/>
          <a:ext cx="7382905" cy="3496163"/>
        </a:xfrm>
        <a:prstGeom prst="rect">
          <a:avLst/>
        </a:prstGeom>
      </xdr:spPr>
    </xdr:pic>
    <xdr:clientData/>
  </xdr:twoCellAnchor>
  <xdr:twoCellAnchor editAs="oneCell">
    <xdr:from>
      <xdr:col>5</xdr:col>
      <xdr:colOff>0</xdr:colOff>
      <xdr:row>66</xdr:row>
      <xdr:rowOff>0</xdr:rowOff>
    </xdr:from>
    <xdr:to>
      <xdr:col>14</xdr:col>
      <xdr:colOff>372484</xdr:colOff>
      <xdr:row>82</xdr:row>
      <xdr:rowOff>425</xdr:rowOff>
    </xdr:to>
    <xdr:pic>
      <xdr:nvPicPr>
        <xdr:cNvPr id="6" name="Grafik 5">
          <a:extLst>
            <a:ext uri="{FF2B5EF4-FFF2-40B4-BE49-F238E27FC236}">
              <a16:creationId xmlns:a16="http://schemas.microsoft.com/office/drawing/2014/main" id="{FDBD6C2C-D554-28FF-5007-7F3E58C88440}"/>
            </a:ext>
          </a:extLst>
        </xdr:cNvPr>
        <xdr:cNvPicPr>
          <a:picLocks noChangeAspect="1"/>
        </xdr:cNvPicPr>
      </xdr:nvPicPr>
      <xdr:blipFill>
        <a:blip xmlns:r="http://schemas.openxmlformats.org/officeDocument/2006/relationships" r:embed="rId4"/>
        <a:stretch>
          <a:fillRect/>
        </a:stretch>
      </xdr:blipFill>
      <xdr:spPr>
        <a:xfrm>
          <a:off x="3810000" y="12573000"/>
          <a:ext cx="7230484" cy="30484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12</xdr:col>
      <xdr:colOff>146685</xdr:colOff>
      <xdr:row>3</xdr:row>
      <xdr:rowOff>123825</xdr:rowOff>
    </xdr:from>
    <xdr:to>
      <xdr:col>21</xdr:col>
      <xdr:colOff>203835</xdr:colOff>
      <xdr:row>22</xdr:row>
      <xdr:rowOff>93345</xdr:rowOff>
    </xdr:to>
    <xdr:graphicFrame macro="">
      <xdr:nvGraphicFramePr>
        <xdr:cNvPr id="2" name="Diagramm 1">
          <a:extLst>
            <a:ext uri="{FF2B5EF4-FFF2-40B4-BE49-F238E27FC236}">
              <a16:creationId xmlns:a16="http://schemas.microsoft.com/office/drawing/2014/main" id="{EE45D029-D9E4-47F9-9A94-AEBCD04933C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133350</xdr:colOff>
      <xdr:row>23</xdr:row>
      <xdr:rowOff>171450</xdr:rowOff>
    </xdr:from>
    <xdr:to>
      <xdr:col>21</xdr:col>
      <xdr:colOff>190500</xdr:colOff>
      <xdr:row>42</xdr:row>
      <xdr:rowOff>140970</xdr:rowOff>
    </xdr:to>
    <xdr:graphicFrame macro="">
      <xdr:nvGraphicFramePr>
        <xdr:cNvPr id="4" name="Diagramm 3">
          <a:extLst>
            <a:ext uri="{FF2B5EF4-FFF2-40B4-BE49-F238E27FC236}">
              <a16:creationId xmlns:a16="http://schemas.microsoft.com/office/drawing/2014/main" id="{98FFD50C-01E5-4758-A5EC-EE18FE6F30C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editAs="oneCell">
    <xdr:from>
      <xdr:col>14</xdr:col>
      <xdr:colOff>38100</xdr:colOff>
      <xdr:row>57</xdr:row>
      <xdr:rowOff>137159</xdr:rowOff>
    </xdr:from>
    <xdr:to>
      <xdr:col>20</xdr:col>
      <xdr:colOff>973455</xdr:colOff>
      <xdr:row>67</xdr:row>
      <xdr:rowOff>20955</xdr:rowOff>
    </xdr:to>
    <xdr:pic>
      <xdr:nvPicPr>
        <xdr:cNvPr id="2" name="Picture 1">
          <a:extLst>
            <a:ext uri="{FF2B5EF4-FFF2-40B4-BE49-F238E27FC236}">
              <a16:creationId xmlns:a16="http://schemas.microsoft.com/office/drawing/2014/main" id="{74D9B0D7-D447-44E2-80DD-9D93507B0150}"/>
            </a:ext>
          </a:extLst>
        </xdr:cNvPr>
        <xdr:cNvPicPr>
          <a:picLocks noChangeAspect="1"/>
        </xdr:cNvPicPr>
      </xdr:nvPicPr>
      <xdr:blipFill rotWithShape="1">
        <a:blip xmlns:r="http://schemas.openxmlformats.org/officeDocument/2006/relationships" r:embed="rId1"/>
        <a:srcRect l="8058" t="40483" r="1808" b="2295"/>
        <a:stretch/>
      </xdr:blipFill>
      <xdr:spPr>
        <a:xfrm>
          <a:off x="9326880" y="6903719"/>
          <a:ext cx="4592955" cy="1712596"/>
        </a:xfrm>
        <a:prstGeom prst="rect">
          <a:avLst/>
        </a:prstGeom>
      </xdr:spPr>
    </xdr:pic>
    <xdr:clientData/>
  </xdr:twoCellAnchor>
  <xdr:twoCellAnchor>
    <xdr:from>
      <xdr:col>33</xdr:col>
      <xdr:colOff>266700</xdr:colOff>
      <xdr:row>30</xdr:row>
      <xdr:rowOff>123826</xdr:rowOff>
    </xdr:from>
    <xdr:to>
      <xdr:col>37</xdr:col>
      <xdr:colOff>857250</xdr:colOff>
      <xdr:row>48</xdr:row>
      <xdr:rowOff>200026</xdr:rowOff>
    </xdr:to>
    <xdr:graphicFrame macro="">
      <xdr:nvGraphicFramePr>
        <xdr:cNvPr id="3" name="Diagramm 2">
          <a:extLst>
            <a:ext uri="{FF2B5EF4-FFF2-40B4-BE49-F238E27FC236}">
              <a16:creationId xmlns:a16="http://schemas.microsoft.com/office/drawing/2014/main" id="{BFA8FD06-B721-4E0D-A4D7-9A305695F06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nikol/Documents/TUS_Master/Master%20Thesis/LCA/env_dat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terial_data"/>
      <sheetName val="material_data_old"/>
      <sheetName val="calculations"/>
      <sheetName val="PCB_panels"/>
      <sheetName val="BoM"/>
      <sheetName val="units"/>
    </sheetNames>
    <sheetDataSet>
      <sheetData sheetId="0" refreshError="1"/>
      <sheetData sheetId="1">
        <row r="7">
          <cell r="E7">
            <v>2710</v>
          </cell>
        </row>
        <row r="8">
          <cell r="E8">
            <v>2665</v>
          </cell>
        </row>
        <row r="15">
          <cell r="B15" t="str">
            <v>IC</v>
          </cell>
        </row>
        <row r="16">
          <cell r="B16" t="str">
            <v>PCB 1-layer</v>
          </cell>
          <cell r="E16">
            <v>1963.0442498816847</v>
          </cell>
        </row>
        <row r="17">
          <cell r="B17" t="str">
            <v>PCB 8-layer</v>
          </cell>
          <cell r="E17">
            <v>1892.5867461533621</v>
          </cell>
        </row>
        <row r="18">
          <cell r="B18" t="str">
            <v>PCB 12-layer</v>
          </cell>
          <cell r="E18">
            <v>1877.2755862674544</v>
          </cell>
        </row>
      </sheetData>
      <sheetData sheetId="2">
        <row r="2">
          <cell r="N2">
            <v>453.59237000000002</v>
          </cell>
        </row>
      </sheetData>
      <sheetData sheetId="3" refreshError="1"/>
      <sheetData sheetId="4" refreshError="1"/>
      <sheetData sheetId="5" refreshError="1"/>
    </sheetDataSet>
  </externalBook>
</externalLink>
</file>

<file path=xl/persons/person.xml><?xml version="1.0" encoding="utf-8"?>
<personList xmlns="http://schemas.microsoft.com/office/spreadsheetml/2018/threadedcomments" xmlns:x="http://schemas.openxmlformats.org/spreadsheetml/2006/main">
  <person displayName="TU-Pseudonym 2728394425284875" id="{0BBAE63C-567C-4FDF-BF38-E31B618E0DFC}" userId="TU-Pseudonym 2728394425284875" providerId="None"/>
  <person displayName="TU-Pseudonym 2728394425284875" id="{F83D02FC-AE12-454D-8D58-E1545E3F9E8C}" userId="S::2728394425284875@msopseudo.tu-berlin.de::752cb3af-73f4-4953-ab96-d98523cde7ae" providerId="AD"/>
</personList>
</file>

<file path=xl/theme/theme1.xml><?xml version="1.0" encoding="utf-8"?>
<a:theme xmlns:a="http://schemas.openxmlformats.org/drawingml/2006/main" name="Office 2013 – 2022-Design">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C33" dT="2022-05-12T17:28:01.91" personId="{0BBAE63C-567C-4FDF-BF38-E31B618E0DFC}" id="{4C16D386-4F9D-4491-B68D-F97BCE1D281E}">
    <text>not comparable due to change in methodology</text>
  </threadedComment>
</ThreadedComments>
</file>

<file path=xl/threadedComments/threadedComment2.xml><?xml version="1.0" encoding="utf-8"?>
<ThreadedComments xmlns="http://schemas.microsoft.com/office/spreadsheetml/2018/threadedcomments" xmlns:x="http://schemas.openxmlformats.org/spreadsheetml/2006/main">
  <threadedComment ref="G1" dT="2024-02-01T15:19:47.68" personId="{F83D02FC-AE12-454D-8D58-E1545E3F9E8C}" id="{06702727-E6A5-4093-8284-9E269B1C7EAA}">
    <text>Precalculated GWP results from Sphera and ecoinvent datasets for the processes had to be removed before publication due to licensing agreements. Please add your own process GWPs before running the simulation (see accompanying Python script).</text>
  </threadedComment>
  <threadedComment ref="H1" dT="2024-02-01T15:20:59.86" personId="{F83D02FC-AE12-454D-8D58-E1545E3F9E8C}" id="{47B046D1-0C7A-4C27-B2C5-5896A5741B80}">
    <text>Precalculated GWP results from Sphera and ecoinvent datasets for the processes had to be removed before publication due to licensing agreements. Please add your own process GWPs before running the simulation (see accompanying Python script).</text>
  </threadedComment>
  <threadedComment ref="I1" dT="2024-02-01T15:21:03.82" personId="{F83D02FC-AE12-454D-8D58-E1545E3F9E8C}" id="{E1A26C15-2D71-47B7-8191-CD4DD8E49F3D}">
    <text>Precalculated GWP results from Sphera and ecoinvent datasets for the processes had to be removed before publication due to licensing agreements. Please add your own process GWPs before running the simulation (see accompanying Python script).</text>
  </threadedComment>
  <threadedComment ref="J1" dT="2024-02-01T15:21:08.16" personId="{F83D02FC-AE12-454D-8D58-E1545E3F9E8C}" id="{020A82DA-A846-4972-8273-7ED1562185DC}">
    <text>Precalculated GWP results from Sphera and ecoinvent datasets for the processes had to be removed before publication due to licensing agreements. Please add your own process GWPs before running the simulation (see accompanying Python script).</text>
  </threadedComment>
  <threadedComment ref="Q1" dT="2024-02-01T15:21:15.70" personId="{F83D02FC-AE12-454D-8D58-E1545E3F9E8C}" id="{53DC021E-2665-4E7E-B8A1-0F5118C7A155}">
    <text>Precalculated GWP results from Sphera and ecoinvent datasets for the processes had to be removed before publication due to licensing agreements. Please add your own process GWPs before running the simulation (see accompanying Python script).</text>
  </threadedComment>
  <threadedComment ref="R1" dT="2024-02-01T15:21:20.63" personId="{F83D02FC-AE12-454D-8D58-E1545E3F9E8C}" id="{EEB783B9-F5AC-4795-AF2C-B696D0F12679}">
    <text>Precalculated GWP results from Sphera and ecoinvent datasets for the processes had to be removed before publication due to licensing agreements. Please add your own process GWPs before running the simulation (see accompanying Python script).</text>
  </threadedComment>
  <threadedComment ref="S1" dT="2024-02-01T15:21:24.13" personId="{F83D02FC-AE12-454D-8D58-E1545E3F9E8C}" id="{02B71106-B10C-4DA0-BE3F-BF4E34FE6E24}">
    <text>Precalculated GWP results from Sphera and ecoinvent datasets for the processes had to be removed before publication due to licensing agreements. Please add your own process GWPs before running the simulation (see accompanying Python script).</text>
  </threadedComment>
  <threadedComment ref="T1" dT="2024-02-01T15:21:29.72" personId="{F83D02FC-AE12-454D-8D58-E1545E3F9E8C}" id="{74E23F44-FC96-4F66-9D26-EAE10D612D2D}">
    <text>Precalculated GWP results from Sphera and ecoinvent datasets for the processes had to be removed before publication due to licensing agreements. Please add your own process GWPs before running the simulation (see accompanying Python script).</text>
  </threadedComment>
</ThreadedComments>
</file>

<file path=xl/threadedComments/threadedComment3.xml><?xml version="1.0" encoding="utf-8"?>
<ThreadedComments xmlns="http://schemas.microsoft.com/office/spreadsheetml/2018/threadedcomments" xmlns:x="http://schemas.openxmlformats.org/spreadsheetml/2006/main">
  <threadedComment ref="K1" dT="2022-07-12T10:58:17.52" personId="{0BBAE63C-567C-4FDF-BF38-E31B618E0DFC}" id="{A1959DB5-2813-4807-B534-1989B47461E8}">
    <text>Table 127 PS</text>
  </threadedComment>
  <threadedComment ref="J4" dT="2022-06-29T11:30:45.21" personId="{0BBAE63C-567C-4FDF-BF38-E31B618E0DFC}" id="{02C1F389-A898-4A74-B27E-D2E507B0D061}">
    <text>assumption: 50 % of glass's wear resistance</text>
  </threadedComment>
  <threadedComment ref="G10" dT="2022-07-09T15:42:38.53" personId="{0BBAE63C-567C-4FDF-BF38-E31B618E0DFC}" id="{FCD1AB96-59A3-44CD-95D9-CDA4376B6F0E}">
    <text>55% over 80 % SOH @ 1000 cycles Clemm 2016 a PS</text>
  </threadedComment>
  <threadedComment ref="J12" dT="2022-06-22T18:10:36.16" personId="{0BBAE63C-567C-4FDF-BF38-E31B618E0DFC}" id="{77B99496-5489-4B74-8F82-801B31DE49A3}">
    <text>assumption: 50% stronger than plastic</text>
  </threadedComment>
</ThreadedComments>
</file>

<file path=xl/threadedComments/threadedComment4.xml><?xml version="1.0" encoding="utf-8"?>
<ThreadedComments xmlns="http://schemas.microsoft.com/office/spreadsheetml/2018/threadedcomments" xmlns:x="http://schemas.openxmlformats.org/spreadsheetml/2006/main">
  <threadedComment ref="E26" dT="2021-07-12T13:49:23.38" personId="{0BBAE63C-567C-4FDF-BF38-E31B618E0DFC}" id="{9570CE0B-EA72-4A53-91AF-111F992A9167}">
    <text>density for silicon</text>
  </threadedComment>
  <threadedComment ref="G33" dT="2021-07-12T13:51:53.20" personId="{0BBAE63C-567C-4FDF-BF38-E31B618E0DFC}" id="{49443140-F470-42C2-A75C-568A366BB944}">
    <text>Green Cloud Computing</text>
  </threadedComment>
  <threadedComment ref="H33" dT="2021-07-12T13:52:00.48" personId="{0BBAE63C-567C-4FDF-BF38-E31B618E0DFC}" id="{DD462C36-2E34-4ECC-94EC-2A4A0B7091CD}">
    <text>Boyd</text>
  </threadedComment>
  <threadedComment ref="G51" dT="2022-05-23T16:07:47.31" personId="{0BBAE63C-567C-4FDF-BF38-E31B618E0DFC}" id="{019FAC20-2F7E-4DD3-BC55-FDDBE1F58D6A}">
    <text>https://www.nexpcb.com/blog/pcb-surface-finish</text>
  </threadedComment>
  <threadedComment ref="AI56" dT="2022-05-27T00:30:13.91" personId="{0BBAE63C-567C-4FDF-BF38-E31B618E0DFC}" id="{34E38C20-D717-4986-9B6F-B02241FEB883}">
    <text>not anymore</text>
  </threadedComment>
</ThreadedComment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6.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17.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5.bin"/><Relationship Id="rId4" Type="http://schemas.microsoft.com/office/2017/10/relationships/threadedComment" Target="../threadedComments/threadedComment3.xm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22.xml.rels><?xml version="1.0" encoding="UTF-8" standalone="yes"?>
<Relationships xmlns="http://schemas.openxmlformats.org/package/2006/relationships"><Relationship Id="rId8" Type="http://schemas.microsoft.com/office/2017/10/relationships/threadedComment" Target="../threadedComments/threadedComment4.xml"/><Relationship Id="rId3" Type="http://schemas.openxmlformats.org/officeDocument/2006/relationships/hyperlink" Target="https://www.ossila.com/en-eu/products/alq3" TargetMode="External"/><Relationship Id="rId7" Type="http://schemas.openxmlformats.org/officeDocument/2006/relationships/comments" Target="../comments4.xml"/><Relationship Id="rId2" Type="http://schemas.openxmlformats.org/officeDocument/2006/relationships/hyperlink" Target="https://www.ossila.com/en-eu/products/irpiq2acac" TargetMode="External"/><Relationship Id="rId1" Type="http://schemas.openxmlformats.org/officeDocument/2006/relationships/hyperlink" Target="https://pubchem.ncbi.nlm.nih.gov/compound/Ir_ppy_3" TargetMode="External"/><Relationship Id="rId6" Type="http://schemas.openxmlformats.org/officeDocument/2006/relationships/vmlDrawing" Target="../drawings/vmlDrawing4.vml"/><Relationship Id="rId5" Type="http://schemas.openxmlformats.org/officeDocument/2006/relationships/drawing" Target="../drawings/drawing6.xml"/><Relationship Id="rId4"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2A1B6B-949F-40DB-B653-320AD1C4C56E}">
  <dimension ref="A1:K29"/>
  <sheetViews>
    <sheetView workbookViewId="0">
      <selection activeCell="I20" sqref="I20"/>
    </sheetView>
  </sheetViews>
  <sheetFormatPr baseColWidth="10" defaultColWidth="11.54296875" defaultRowHeight="14.5"/>
  <cols>
    <col min="1" max="1" width="20.1796875" bestFit="1" customWidth="1"/>
  </cols>
  <sheetData>
    <row r="1" spans="1:11">
      <c r="A1" t="s">
        <v>0</v>
      </c>
    </row>
    <row r="2" spans="1:11">
      <c r="A2" t="s">
        <v>3</v>
      </c>
    </row>
    <row r="3" spans="1:11">
      <c r="A3" s="1">
        <v>0.64</v>
      </c>
      <c r="B3" t="str">
        <f>A2&amp;" haben Smartphone entsorgt oder verkauft"</f>
        <v>Bundesbürger haben Smartphone entsorgt oder verkauft</v>
      </c>
    </row>
    <row r="4" spans="1:11">
      <c r="A4" s="1">
        <v>0.21</v>
      </c>
      <c r="B4" t="str">
        <f>A2&amp;" heben Geräte ausnahmslos auf"</f>
        <v>Bundesbürger heben Geräte ausnahmslos auf</v>
      </c>
    </row>
    <row r="5" spans="1:11">
      <c r="A5" s="1">
        <f>1-A3-A4</f>
        <v>0.15</v>
      </c>
      <c r="B5" t="str">
        <f>A2&amp;" benutzen noch oder haben keines"</f>
        <v>Bundesbürger benutzen noch oder haben keines</v>
      </c>
    </row>
    <row r="7" spans="1:11">
      <c r="A7" t="s">
        <v>2</v>
      </c>
    </row>
    <row r="8" spans="1:11">
      <c r="A8" s="2">
        <f>A3/(A3+A4)</f>
        <v>0.75294117647058822</v>
      </c>
      <c r="B8" t="str">
        <f>A7&amp;" haben Smartphone entsorgt oder verkauft"</f>
        <v>ehemalige Smartphone-Besitzer haben Smartphone entsorgt oder verkauft</v>
      </c>
      <c r="I8" t="s">
        <v>6</v>
      </c>
      <c r="J8" t="s">
        <v>7</v>
      </c>
    </row>
    <row r="9" spans="1:11">
      <c r="A9" s="2">
        <f>A4/(A3+A4)</f>
        <v>0.24705882352941178</v>
      </c>
      <c r="B9" t="str">
        <f>A7&amp;" heben Geräte ausnahmslos auf"</f>
        <v>ehemalige Smartphone-Besitzer heben Geräte ausnahmslos auf</v>
      </c>
      <c r="H9" t="s">
        <v>4</v>
      </c>
      <c r="I9">
        <v>1.75</v>
      </c>
      <c r="J9">
        <v>2.8</v>
      </c>
      <c r="K9" t="s">
        <v>5</v>
      </c>
    </row>
    <row r="11" spans="1:11">
      <c r="A11" t="s">
        <v>1</v>
      </c>
    </row>
    <row r="12" spans="1:11">
      <c r="A12" s="1">
        <v>0.5</v>
      </c>
      <c r="B12" t="str">
        <f>A11&amp;" verkauften an Privatperson"</f>
        <v>Smartphone-Entsorger verkauften an Privatperson</v>
      </c>
    </row>
    <row r="13" spans="1:11">
      <c r="A13" s="1">
        <v>0.09</v>
      </c>
      <c r="B13" t="str">
        <f>A11&amp;" verkauften an professionellen Händler"</f>
        <v>Smartphone-Entsorger verkauften an professionellen Händler</v>
      </c>
    </row>
    <row r="15" spans="1:11">
      <c r="A15" s="1">
        <v>0.41</v>
      </c>
      <c r="B15" t="str">
        <f>A11&amp;" brachten zur Sammelstelle für Elektromüll"</f>
        <v>Smartphone-Entsorger brachten zur Sammelstelle für Elektromüll</v>
      </c>
    </row>
    <row r="16" spans="1:11">
      <c r="A16" s="1">
        <v>0.17</v>
      </c>
      <c r="B16" t="str">
        <f>A11&amp;" brachten zum Hersteller oder Händler"</f>
        <v>Smartphone-Entsorger brachten zum Hersteller oder Händler</v>
      </c>
    </row>
    <row r="18" spans="1:2">
      <c r="A18" s="1">
        <v>0.25</v>
      </c>
      <c r="B18" t="str">
        <f>A11&amp;" haben schon einmal Altgerät verschenkt"</f>
        <v>Smartphone-Entsorger haben schon einmal Altgerät verschenkt</v>
      </c>
    </row>
    <row r="19" spans="1:2">
      <c r="A19" s="1">
        <v>0.01</v>
      </c>
      <c r="B19" t="str">
        <f>A11&amp;" im Hausmüll entsorgt"</f>
        <v>Smartphone-Entsorger im Hausmüll entsorgt</v>
      </c>
    </row>
    <row r="21" spans="1:2">
      <c r="A21" t="s">
        <v>16</v>
      </c>
    </row>
    <row r="22" spans="1:2">
      <c r="A22" s="1">
        <v>0.4</v>
      </c>
      <c r="B22" t="s">
        <v>17</v>
      </c>
    </row>
    <row r="23" spans="1:2">
      <c r="A23" s="1">
        <v>0.47</v>
      </c>
      <c r="B23" t="s">
        <v>18</v>
      </c>
    </row>
    <row r="24" spans="1:2">
      <c r="A24" s="1">
        <v>0.13</v>
      </c>
      <c r="B24" t="s">
        <v>19</v>
      </c>
    </row>
    <row r="29" spans="1:2">
      <c r="A29" t="s">
        <v>133</v>
      </c>
    </row>
  </sheetData>
  <pageMargins left="0.7" right="0.7" top="0.78740157499999996" bottom="0.78740157499999996"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7C5B12-09EA-4778-881F-AEE1FAACFAB3}">
  <dimension ref="A1:F9"/>
  <sheetViews>
    <sheetView workbookViewId="0"/>
  </sheetViews>
  <sheetFormatPr baseColWidth="10" defaultColWidth="11.54296875" defaultRowHeight="14.5"/>
  <cols>
    <col min="6" max="6" width="10.26953125" customWidth="1"/>
  </cols>
  <sheetData>
    <row r="1" spans="1:6">
      <c r="A1" t="s">
        <v>20</v>
      </c>
    </row>
    <row r="2" spans="1:6">
      <c r="A2" t="s">
        <v>134</v>
      </c>
    </row>
    <row r="3" spans="1:6">
      <c r="B3" s="1">
        <v>0.66</v>
      </c>
      <c r="C3" t="s">
        <v>135</v>
      </c>
    </row>
    <row r="4" spans="1:6">
      <c r="A4" t="s">
        <v>21</v>
      </c>
      <c r="B4" s="1">
        <v>0.74</v>
      </c>
      <c r="C4" t="s">
        <v>27</v>
      </c>
      <c r="D4" t="s">
        <v>27</v>
      </c>
      <c r="E4" s="1">
        <f>SUM(B4:B5,B7,B9)</f>
        <v>1.8299999999999998</v>
      </c>
      <c r="F4" s="2">
        <f>E4/($E$4+$E$5)</f>
        <v>0.73790322580645151</v>
      </c>
    </row>
    <row r="5" spans="1:6">
      <c r="A5" t="s">
        <v>22</v>
      </c>
      <c r="B5" s="1">
        <v>0.49</v>
      </c>
      <c r="C5" t="s">
        <v>27</v>
      </c>
      <c r="D5" t="s">
        <v>28</v>
      </c>
      <c r="E5" s="1">
        <f>SUM(B6,B8)</f>
        <v>0.65</v>
      </c>
      <c r="F5" s="2">
        <f>E5/($E$4+$E$5)</f>
        <v>0.26209677419354838</v>
      </c>
    </row>
    <row r="6" spans="1:6">
      <c r="A6" t="s">
        <v>23</v>
      </c>
      <c r="B6" s="1">
        <v>0.39</v>
      </c>
      <c r="C6" t="s">
        <v>28</v>
      </c>
    </row>
    <row r="7" spans="1:6">
      <c r="A7" t="s">
        <v>24</v>
      </c>
      <c r="B7" s="1">
        <v>0.38</v>
      </c>
      <c r="C7" t="s">
        <v>27</v>
      </c>
    </row>
    <row r="8" spans="1:6">
      <c r="A8" t="s">
        <v>25</v>
      </c>
      <c r="B8" s="1">
        <v>0.26</v>
      </c>
      <c r="C8" t="s">
        <v>28</v>
      </c>
    </row>
    <row r="9" spans="1:6">
      <c r="A9" t="s">
        <v>26</v>
      </c>
      <c r="B9" s="1">
        <v>0.22</v>
      </c>
      <c r="C9" t="s">
        <v>27</v>
      </c>
    </row>
  </sheetData>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24C081-AA2D-4187-BB76-456C6AE38742}">
  <dimension ref="A1:X91"/>
  <sheetViews>
    <sheetView topLeftCell="A21" zoomScaleNormal="100" workbookViewId="0">
      <selection activeCell="P49" sqref="P49"/>
    </sheetView>
  </sheetViews>
  <sheetFormatPr baseColWidth="10" defaultColWidth="11.54296875" defaultRowHeight="14.5"/>
  <cols>
    <col min="1" max="1" width="28.1796875" customWidth="1"/>
    <col min="4" max="4" width="17.54296875" customWidth="1"/>
    <col min="6" max="6" width="11.1796875" customWidth="1"/>
    <col min="7" max="7" width="21" bestFit="1" customWidth="1"/>
    <col min="8" max="8" width="20.26953125" bestFit="1" customWidth="1"/>
    <col min="9" max="9" width="23.453125" customWidth="1"/>
    <col min="10" max="10" width="7.7265625" bestFit="1" customWidth="1"/>
    <col min="12" max="12" width="20.1796875" bestFit="1" customWidth="1"/>
    <col min="14" max="14" width="20.1796875" bestFit="1" customWidth="1"/>
  </cols>
  <sheetData>
    <row r="1" spans="1:8">
      <c r="A1" t="s">
        <v>20</v>
      </c>
    </row>
    <row r="2" spans="1:8">
      <c r="A2" t="s">
        <v>134</v>
      </c>
    </row>
    <row r="3" spans="1:8">
      <c r="B3" s="1">
        <v>0.66</v>
      </c>
      <c r="C3" t="s">
        <v>135</v>
      </c>
    </row>
    <row r="4" spans="1:8">
      <c r="A4" t="s">
        <v>21</v>
      </c>
      <c r="B4" s="1">
        <v>0.74</v>
      </c>
      <c r="C4" t="s">
        <v>27</v>
      </c>
      <c r="D4" t="s">
        <v>27</v>
      </c>
      <c r="E4" s="1">
        <f>SUM(B4:B5,B7,B9)</f>
        <v>1.8299999999999998</v>
      </c>
      <c r="F4" s="2">
        <f>E4/($E$4+$E$5)</f>
        <v>0.73790322580645151</v>
      </c>
    </row>
    <row r="5" spans="1:8">
      <c r="A5" t="s">
        <v>22</v>
      </c>
      <c r="B5" s="1">
        <v>0.49</v>
      </c>
      <c r="C5" t="s">
        <v>27</v>
      </c>
      <c r="D5" t="s">
        <v>158</v>
      </c>
      <c r="E5" s="1">
        <f>SUM(B6,B8)</f>
        <v>0.65</v>
      </c>
      <c r="F5" s="2">
        <f>E5/($E$4+$E$5)</f>
        <v>0.26209677419354838</v>
      </c>
    </row>
    <row r="6" spans="1:8">
      <c r="A6" t="s">
        <v>23</v>
      </c>
      <c r="B6" s="1">
        <v>0.39</v>
      </c>
      <c r="C6" t="s">
        <v>158</v>
      </c>
    </row>
    <row r="7" spans="1:8">
      <c r="A7" t="s">
        <v>24</v>
      </c>
      <c r="B7" s="1">
        <v>0.38</v>
      </c>
      <c r="C7" t="s">
        <v>27</v>
      </c>
    </row>
    <row r="8" spans="1:8">
      <c r="A8" t="s">
        <v>25</v>
      </c>
      <c r="B8" s="1">
        <v>0.26</v>
      </c>
      <c r="C8" t="s">
        <v>158</v>
      </c>
    </row>
    <row r="9" spans="1:8">
      <c r="A9" t="s">
        <v>26</v>
      </c>
      <c r="B9" s="1">
        <v>0.22</v>
      </c>
      <c r="C9" t="s">
        <v>27</v>
      </c>
    </row>
    <row r="10" spans="1:8">
      <c r="B10" s="1"/>
    </row>
    <row r="11" spans="1:8">
      <c r="A11" t="s">
        <v>1064</v>
      </c>
      <c r="B11" t="s">
        <v>170</v>
      </c>
      <c r="C11" t="s">
        <v>7</v>
      </c>
      <c r="D11" t="s">
        <v>157</v>
      </c>
    </row>
    <row r="12" spans="1:8">
      <c r="A12" t="s">
        <v>163</v>
      </c>
      <c r="B12" s="2">
        <v>0.5</v>
      </c>
      <c r="C12" s="2">
        <v>0.55000000000000004</v>
      </c>
      <c r="D12" s="20">
        <f t="shared" ref="D12:D18" si="0">AVERAGE(B12:C12)</f>
        <v>0.52500000000000002</v>
      </c>
      <c r="E12" t="s">
        <v>27</v>
      </c>
      <c r="F12" t="s">
        <v>40</v>
      </c>
      <c r="G12" t="s">
        <v>27</v>
      </c>
      <c r="H12" s="20">
        <f>D12+D14+D17</f>
        <v>0.65000000000000013</v>
      </c>
    </row>
    <row r="13" spans="1:8">
      <c r="A13" t="s">
        <v>164</v>
      </c>
      <c r="B13" s="2">
        <v>0.15</v>
      </c>
      <c r="C13" s="2">
        <v>0.2</v>
      </c>
      <c r="D13" s="20">
        <f t="shared" si="0"/>
        <v>0.17499999999999999</v>
      </c>
      <c r="E13" t="s">
        <v>158</v>
      </c>
      <c r="F13" t="s">
        <v>228</v>
      </c>
      <c r="G13" t="s">
        <v>158</v>
      </c>
      <c r="H13" s="20">
        <f>D13</f>
        <v>0.17499999999999999</v>
      </c>
    </row>
    <row r="14" spans="1:8">
      <c r="A14" t="s">
        <v>165</v>
      </c>
      <c r="B14" s="2">
        <v>0.05</v>
      </c>
      <c r="C14" s="2">
        <v>0.1</v>
      </c>
      <c r="D14" s="20">
        <f t="shared" si="0"/>
        <v>7.5000000000000011E-2</v>
      </c>
      <c r="E14" t="s">
        <v>36</v>
      </c>
      <c r="F14" t="s">
        <v>223</v>
      </c>
      <c r="G14" t="s">
        <v>35</v>
      </c>
      <c r="H14" s="20">
        <f>D14+D17</f>
        <v>0.125</v>
      </c>
    </row>
    <row r="15" spans="1:8">
      <c r="A15" t="s">
        <v>166</v>
      </c>
      <c r="B15" s="2">
        <v>0.05</v>
      </c>
      <c r="C15" s="2">
        <v>0.1</v>
      </c>
      <c r="D15" s="20">
        <f t="shared" si="0"/>
        <v>7.5000000000000011E-2</v>
      </c>
    </row>
    <row r="16" spans="1:8">
      <c r="A16" t="s">
        <v>167</v>
      </c>
      <c r="B16" s="2">
        <v>7.0000000000000007E-2</v>
      </c>
      <c r="C16" s="2">
        <v>7.0000000000000007E-2</v>
      </c>
      <c r="D16" s="20">
        <f t="shared" si="0"/>
        <v>7.0000000000000007E-2</v>
      </c>
    </row>
    <row r="17" spans="1:23">
      <c r="A17" t="s">
        <v>149</v>
      </c>
      <c r="B17" s="2">
        <v>0.05</v>
      </c>
      <c r="C17" s="2">
        <v>0.05</v>
      </c>
      <c r="D17" s="20">
        <f t="shared" si="0"/>
        <v>0.05</v>
      </c>
      <c r="E17" t="s">
        <v>208</v>
      </c>
      <c r="F17" t="s">
        <v>149</v>
      </c>
    </row>
    <row r="18" spans="1:23">
      <c r="A18" t="s">
        <v>168</v>
      </c>
      <c r="B18" s="2">
        <v>0.01</v>
      </c>
      <c r="C18" s="2">
        <v>0.05</v>
      </c>
      <c r="D18" s="20">
        <f t="shared" si="0"/>
        <v>3.0000000000000002E-2</v>
      </c>
      <c r="E18" t="s">
        <v>27</v>
      </c>
    </row>
    <row r="19" spans="1:23">
      <c r="A19" t="s">
        <v>169</v>
      </c>
    </row>
    <row r="21" spans="1:23">
      <c r="A21" t="s">
        <v>29</v>
      </c>
    </row>
    <row r="22" spans="1:23">
      <c r="A22" t="s">
        <v>134</v>
      </c>
    </row>
    <row r="23" spans="1:23">
      <c r="A23">
        <v>5761</v>
      </c>
    </row>
    <row r="24" spans="1:23">
      <c r="A24" t="s">
        <v>30</v>
      </c>
      <c r="B24" s="1">
        <v>0.28999999999999998</v>
      </c>
      <c r="C24" t="s">
        <v>27</v>
      </c>
      <c r="D24" t="s">
        <v>37</v>
      </c>
      <c r="E24" t="s">
        <v>40</v>
      </c>
      <c r="F24" t="s">
        <v>27</v>
      </c>
      <c r="G24" s="1">
        <f>SUM(B24,B27:B28)</f>
        <v>0.61</v>
      </c>
      <c r="H24" s="1">
        <f>G24/SUM($G$24:$G$26)</f>
        <v>0.33888888888888885</v>
      </c>
      <c r="I24" s="1" t="s">
        <v>37</v>
      </c>
      <c r="J24" s="1">
        <f>SUM(B24:B25,B27)</f>
        <v>0.72000000000000008</v>
      </c>
      <c r="K24" s="1">
        <f>J24/SUM($J$24:$J$26)</f>
        <v>0.65454545454545454</v>
      </c>
      <c r="L24" t="s">
        <v>40</v>
      </c>
      <c r="M24" s="1">
        <f>SUM(B24:B25)</f>
        <v>0.56000000000000005</v>
      </c>
      <c r="N24" s="1">
        <f>M24/SUM($M$24:$M$27)</f>
        <v>0.50909090909090915</v>
      </c>
    </row>
    <row r="25" spans="1:23">
      <c r="A25" t="s">
        <v>31</v>
      </c>
      <c r="B25" s="1">
        <v>0.27</v>
      </c>
      <c r="C25" t="s">
        <v>35</v>
      </c>
      <c r="D25" t="s">
        <v>37</v>
      </c>
      <c r="E25" t="s">
        <v>40</v>
      </c>
      <c r="F25" t="s">
        <v>158</v>
      </c>
      <c r="G25" s="1">
        <f>SUM(B26:B27)</f>
        <v>0.38</v>
      </c>
      <c r="H25" s="1">
        <f>G25/SUM($G$24:$G$26)</f>
        <v>0.21111111111111111</v>
      </c>
      <c r="I25" s="1" t="s">
        <v>38</v>
      </c>
      <c r="J25" s="1">
        <f>B26</f>
        <v>0.22</v>
      </c>
      <c r="K25" s="1">
        <f>J25/SUM($J$24:$J$26)</f>
        <v>0.19999999999999998</v>
      </c>
      <c r="L25" t="s">
        <v>41</v>
      </c>
      <c r="M25" s="1">
        <f>B27</f>
        <v>0.16</v>
      </c>
      <c r="N25" s="1">
        <f>M25/SUM($M$24:$M$27)</f>
        <v>0.14545454545454545</v>
      </c>
    </row>
    <row r="26" spans="1:23">
      <c r="A26" t="s">
        <v>32</v>
      </c>
      <c r="B26" s="1">
        <v>0.22</v>
      </c>
      <c r="C26" t="s">
        <v>208</v>
      </c>
      <c r="D26" t="s">
        <v>38</v>
      </c>
      <c r="E26" t="s">
        <v>38</v>
      </c>
      <c r="F26" t="s">
        <v>35</v>
      </c>
      <c r="G26" s="1">
        <f>SUM(B25:B28)</f>
        <v>0.81</v>
      </c>
      <c r="H26" s="1">
        <f>G26/SUM($G$24:$G$26)</f>
        <v>0.45</v>
      </c>
      <c r="I26" t="s">
        <v>39</v>
      </c>
      <c r="J26" s="1">
        <f>B28</f>
        <v>0.16</v>
      </c>
      <c r="K26" s="1">
        <f>J26/SUM($J$24:$J$26)</f>
        <v>0.14545454545454545</v>
      </c>
      <c r="L26" t="s">
        <v>38</v>
      </c>
      <c r="M26" s="1">
        <f>B26</f>
        <v>0.22</v>
      </c>
      <c r="N26" s="1">
        <f>M26/SUM($M$24:$M$27)</f>
        <v>0.19999999999999998</v>
      </c>
    </row>
    <row r="27" spans="1:23">
      <c r="A27" t="s">
        <v>33</v>
      </c>
      <c r="B27" s="1">
        <v>0.16</v>
      </c>
      <c r="C27" t="s">
        <v>208</v>
      </c>
      <c r="D27" t="s">
        <v>37</v>
      </c>
      <c r="E27" t="s">
        <v>41</v>
      </c>
      <c r="L27" t="s">
        <v>39</v>
      </c>
      <c r="M27" s="1">
        <f>B28</f>
        <v>0.16</v>
      </c>
      <c r="N27" s="1">
        <f>M27/SUM($M$24:$M$27)</f>
        <v>0.14545454545454545</v>
      </c>
    </row>
    <row r="28" spans="1:23">
      <c r="A28" t="s">
        <v>34</v>
      </c>
      <c r="B28" s="1">
        <v>0.16</v>
      </c>
      <c r="C28" t="s">
        <v>36</v>
      </c>
      <c r="D28" t="s">
        <v>39</v>
      </c>
      <c r="E28" t="s">
        <v>39</v>
      </c>
    </row>
    <row r="30" spans="1:23">
      <c r="A30" t="s">
        <v>42</v>
      </c>
    </row>
    <row r="31" spans="1:23">
      <c r="A31" t="s">
        <v>43</v>
      </c>
      <c r="B31" t="s">
        <v>44</v>
      </c>
      <c r="C31" t="s">
        <v>219</v>
      </c>
      <c r="D31" t="s">
        <v>220</v>
      </c>
      <c r="J31" t="s">
        <v>27</v>
      </c>
      <c r="K31" t="s">
        <v>158</v>
      </c>
      <c r="L31" t="s">
        <v>35</v>
      </c>
    </row>
    <row r="32" spans="1:23">
      <c r="A32" t="s">
        <v>45</v>
      </c>
      <c r="B32" s="3">
        <v>0.67400000000000004</v>
      </c>
      <c r="C32" s="3">
        <v>0.77400000000000002</v>
      </c>
      <c r="D32" s="3">
        <v>0.60299999999999998</v>
      </c>
      <c r="E32" s="3"/>
      <c r="I32" t="s">
        <v>1063</v>
      </c>
      <c r="J32" s="20">
        <f>F4</f>
        <v>0.73790322580645151</v>
      </c>
      <c r="K32" s="20">
        <f>F5</f>
        <v>0.26209677419354838</v>
      </c>
      <c r="L32" s="20"/>
      <c r="W32" s="1">
        <v>0</v>
      </c>
    </row>
    <row r="33" spans="1:24">
      <c r="A33" t="s">
        <v>46</v>
      </c>
      <c r="B33" s="3">
        <v>0.5</v>
      </c>
      <c r="C33" s="3">
        <v>0.42699999999999999</v>
      </c>
      <c r="D33" s="3">
        <v>0.73099999999999998</v>
      </c>
      <c r="E33" s="3"/>
      <c r="I33" t="str">
        <f>A11</f>
        <v>(Agrawal, 2017)</v>
      </c>
      <c r="J33" s="20">
        <f>H12</f>
        <v>0.65000000000000013</v>
      </c>
      <c r="K33" s="20">
        <f>H13</f>
        <v>0.17499999999999999</v>
      </c>
      <c r="L33" s="20">
        <f>H14</f>
        <v>0.125</v>
      </c>
      <c r="W33" s="1">
        <v>0.05</v>
      </c>
      <c r="X33">
        <v>50</v>
      </c>
    </row>
    <row r="34" spans="1:24">
      <c r="A34" t="s">
        <v>47</v>
      </c>
      <c r="B34" s="3">
        <v>0.33900000000000002</v>
      </c>
      <c r="C34" s="3">
        <v>6.7000000000000004E-2</v>
      </c>
      <c r="E34" s="3"/>
      <c r="I34" t="s">
        <v>1065</v>
      </c>
      <c r="J34" s="47">
        <f>J33/($J$33+$K$33)</f>
        <v>0.78787878787878785</v>
      </c>
      <c r="K34" s="47">
        <f>K33/($J$33+$K$33)</f>
        <v>0.21212121212121207</v>
      </c>
      <c r="L34" s="20"/>
      <c r="W34" s="1">
        <v>0.1</v>
      </c>
      <c r="X34">
        <v>15</v>
      </c>
    </row>
    <row r="35" spans="1:24">
      <c r="A35" t="s">
        <v>48</v>
      </c>
      <c r="B35" s="3">
        <v>0.161</v>
      </c>
      <c r="C35" s="3">
        <v>5.3999999999999999E-2</v>
      </c>
      <c r="D35" s="3">
        <v>0.13800000000000001</v>
      </c>
      <c r="E35" s="3"/>
      <c r="I35" t="s">
        <v>1066</v>
      </c>
      <c r="J35" s="20">
        <f>H24</f>
        <v>0.33888888888888885</v>
      </c>
      <c r="K35" s="20">
        <f>H25</f>
        <v>0.21111111111111111</v>
      </c>
      <c r="L35" s="20">
        <f>H26</f>
        <v>0.45</v>
      </c>
      <c r="W35" s="1">
        <v>0.15</v>
      </c>
      <c r="X35">
        <v>9</v>
      </c>
    </row>
    <row r="36" spans="1:24">
      <c r="A36" t="s">
        <v>49</v>
      </c>
      <c r="B36" s="3">
        <v>7.9000000000000001E-2</v>
      </c>
      <c r="C36" s="3">
        <v>9.2999999999999999E-2</v>
      </c>
      <c r="E36" s="3"/>
      <c r="I36" t="s">
        <v>1067</v>
      </c>
      <c r="J36" s="47">
        <f>J35/($J$35+$K$35)</f>
        <v>0.61616161616161613</v>
      </c>
      <c r="K36" s="47">
        <f>K35/($J$35+$K$35)</f>
        <v>0.38383838383838387</v>
      </c>
      <c r="L36" s="47"/>
      <c r="W36" s="1">
        <v>0.2</v>
      </c>
      <c r="X36">
        <v>7</v>
      </c>
    </row>
    <row r="37" spans="1:24">
      <c r="I37" t="s">
        <v>1068</v>
      </c>
      <c r="J37" s="20">
        <f>AVERAGE(J36,J32,J34)</f>
        <v>0.71398120994895187</v>
      </c>
      <c r="K37" s="20">
        <f>AVERAGE(K36,K32,K34)</f>
        <v>0.28601879005104808</v>
      </c>
      <c r="L37" s="20">
        <f>AVERAGE(L33,L35)</f>
        <v>0.28749999999999998</v>
      </c>
      <c r="W37" s="1">
        <v>0.25</v>
      </c>
      <c r="X37">
        <v>6</v>
      </c>
    </row>
    <row r="38" spans="1:24">
      <c r="I38" s="30" t="s">
        <v>221</v>
      </c>
      <c r="J38" s="48">
        <f>J37/SUM($J$37:$L$37)</f>
        <v>0.55454851258171012</v>
      </c>
      <c r="K38" s="48">
        <f>K37/SUM($J$37:$L$37)</f>
        <v>0.22215051654450335</v>
      </c>
      <c r="L38" s="48">
        <f>L37/SUM($J$37:$L$37)</f>
        <v>0.22330097087378636</v>
      </c>
      <c r="W38" s="1"/>
    </row>
    <row r="39" spans="1:24">
      <c r="A39" t="s">
        <v>50</v>
      </c>
      <c r="W39" s="1">
        <v>0.3</v>
      </c>
      <c r="X39">
        <v>5</v>
      </c>
    </row>
    <row r="40" spans="1:24">
      <c r="A40" t="s">
        <v>51</v>
      </c>
      <c r="B40" t="s">
        <v>52</v>
      </c>
      <c r="C40" t="s">
        <v>53</v>
      </c>
      <c r="W40" s="1">
        <v>0.35</v>
      </c>
      <c r="X40">
        <v>4.5</v>
      </c>
    </row>
    <row r="41" spans="1:24">
      <c r="A41" t="s">
        <v>45</v>
      </c>
      <c r="B41" s="3">
        <v>0.48499999999999999</v>
      </c>
      <c r="C41" s="1">
        <v>0.38</v>
      </c>
      <c r="F41" t="s">
        <v>45</v>
      </c>
      <c r="G41" t="s">
        <v>54</v>
      </c>
      <c r="H41" t="s">
        <v>60</v>
      </c>
      <c r="I41" t="s">
        <v>56</v>
      </c>
      <c r="J41" t="s">
        <v>49</v>
      </c>
      <c r="K41" t="s">
        <v>61</v>
      </c>
      <c r="L41" t="s">
        <v>62</v>
      </c>
      <c r="M41" t="s">
        <v>47</v>
      </c>
      <c r="N41" t="s">
        <v>229</v>
      </c>
      <c r="O41" t="s">
        <v>63</v>
      </c>
      <c r="W41" s="1">
        <v>0.4</v>
      </c>
      <c r="X41">
        <v>4</v>
      </c>
    </row>
    <row r="42" spans="1:24">
      <c r="A42" t="s">
        <v>54</v>
      </c>
      <c r="B42" s="3">
        <v>8.9999999999999993E-3</v>
      </c>
      <c r="C42" s="3">
        <v>0.35699999999999998</v>
      </c>
      <c r="E42" t="str">
        <f>A11</f>
        <v>(Agrawal, 2017)</v>
      </c>
      <c r="H42" s="20">
        <f>D12</f>
        <v>0.52500000000000002</v>
      </c>
      <c r="L42" s="20">
        <f>D14</f>
        <v>7.5000000000000011E-2</v>
      </c>
      <c r="N42" s="20">
        <f>D17</f>
        <v>0.05</v>
      </c>
      <c r="W42" s="1">
        <v>0.45</v>
      </c>
      <c r="X42">
        <v>3.5</v>
      </c>
    </row>
    <row r="43" spans="1:24">
      <c r="A43" t="s">
        <v>55</v>
      </c>
      <c r="B43" s="3">
        <v>9.6000000000000002E-2</v>
      </c>
      <c r="C43" s="1">
        <v>0.12</v>
      </c>
      <c r="E43" t="str">
        <f>A21</f>
        <v>https://www.statista.com/statistics/959513/us-common-smartphone-damages/</v>
      </c>
      <c r="G43" s="1">
        <f>N27</f>
        <v>0.14545454545454545</v>
      </c>
      <c r="H43" s="1">
        <f>N24</f>
        <v>0.50909090909090915</v>
      </c>
      <c r="I43" s="1">
        <f>N25</f>
        <v>0.14545454545454545</v>
      </c>
      <c r="M43" s="1">
        <f>N26</f>
        <v>0.19999999999999998</v>
      </c>
      <c r="W43" s="1">
        <v>0.5</v>
      </c>
      <c r="X43">
        <v>3</v>
      </c>
    </row>
    <row r="44" spans="1:24">
      <c r="A44" t="s">
        <v>56</v>
      </c>
      <c r="B44" s="1">
        <v>7.0000000000000007E-2</v>
      </c>
      <c r="C44" s="3">
        <v>6.2E-2</v>
      </c>
      <c r="E44" t="str">
        <f>A30</f>
        <v>clickrepair 2019</v>
      </c>
      <c r="F44" s="3">
        <f>B32</f>
        <v>0.67400000000000004</v>
      </c>
      <c r="G44" s="3">
        <f>B33</f>
        <v>0.5</v>
      </c>
      <c r="J44" s="3">
        <f>B36</f>
        <v>7.9000000000000001E-2</v>
      </c>
      <c r="L44" s="3">
        <f>B35</f>
        <v>0.161</v>
      </c>
      <c r="M44" s="3">
        <f>B34</f>
        <v>0.33900000000000002</v>
      </c>
      <c r="W44" s="1">
        <v>0.55000000000000004</v>
      </c>
      <c r="X44">
        <v>2</v>
      </c>
    </row>
    <row r="45" spans="1:24">
      <c r="A45" t="s">
        <v>47</v>
      </c>
      <c r="B45" s="1">
        <v>0.17</v>
      </c>
      <c r="C45" s="3">
        <v>1.2E-2</v>
      </c>
      <c r="E45" t="str">
        <f>B40</f>
        <v>iPhone6</v>
      </c>
      <c r="F45" s="3">
        <v>0.48499999999999999</v>
      </c>
      <c r="G45" s="3">
        <v>8.9999999999999993E-3</v>
      </c>
      <c r="H45" s="3">
        <v>9.6000000000000002E-2</v>
      </c>
      <c r="I45" s="1">
        <v>7.0000000000000007E-2</v>
      </c>
      <c r="M45" s="1">
        <v>0.17</v>
      </c>
      <c r="O45" s="1">
        <v>0.17</v>
      </c>
      <c r="W45" s="1">
        <v>0.6</v>
      </c>
      <c r="X45">
        <v>1</v>
      </c>
    </row>
    <row r="46" spans="1:24">
      <c r="A46" t="s">
        <v>57</v>
      </c>
      <c r="B46" s="1">
        <v>0.17</v>
      </c>
      <c r="C46" s="3">
        <v>6.9000000000000006E-2</v>
      </c>
      <c r="E46" t="str">
        <f>C40</f>
        <v>iPhoneX</v>
      </c>
      <c r="F46" s="1">
        <v>0.38</v>
      </c>
      <c r="G46" s="3">
        <v>0.35699999999999998</v>
      </c>
      <c r="H46" s="1">
        <v>0.12</v>
      </c>
      <c r="I46" s="3">
        <v>6.2E-2</v>
      </c>
      <c r="M46" s="3">
        <v>1.2E-2</v>
      </c>
      <c r="O46" s="3">
        <v>6.9000000000000006E-2</v>
      </c>
      <c r="W46" s="1">
        <v>0.65</v>
      </c>
    </row>
    <row r="47" spans="1:24">
      <c r="E47" t="str">
        <f>B48</f>
        <v>S6</v>
      </c>
      <c r="F47" s="4">
        <v>0.13700000000000001</v>
      </c>
      <c r="G47" s="4">
        <v>1.4E-2</v>
      </c>
      <c r="H47" s="4">
        <v>7.1999999999999995E-2</v>
      </c>
      <c r="I47" s="4">
        <v>7.1999999999999995E-2</v>
      </c>
      <c r="J47" s="4">
        <v>4.2999999999999997E-2</v>
      </c>
      <c r="K47" s="4">
        <v>0.122</v>
      </c>
      <c r="L47" s="4">
        <v>4.2999999999999997E-2</v>
      </c>
      <c r="M47" s="4">
        <v>0.439</v>
      </c>
      <c r="O47" s="4">
        <v>5.8000000000000003E-2</v>
      </c>
      <c r="W47" s="1">
        <v>0.7</v>
      </c>
    </row>
    <row r="48" spans="1:24">
      <c r="A48" t="s">
        <v>51</v>
      </c>
      <c r="B48" t="s">
        <v>58</v>
      </c>
      <c r="C48" t="s">
        <v>59</v>
      </c>
      <c r="E48" t="str">
        <f>C48</f>
        <v>S9</v>
      </c>
      <c r="F48" s="4">
        <v>0.499</v>
      </c>
      <c r="G48" s="4">
        <v>0.217</v>
      </c>
      <c r="H48" s="4">
        <v>0.188</v>
      </c>
      <c r="I48" s="4">
        <v>5.3999999999999999E-2</v>
      </c>
      <c r="J48" s="4">
        <v>1.2999999999999999E-2</v>
      </c>
      <c r="K48" s="4">
        <v>8.0000000000000002E-3</v>
      </c>
      <c r="L48" s="4">
        <v>5.0000000000000001E-3</v>
      </c>
      <c r="M48" s="4">
        <v>3.0000000000000001E-3</v>
      </c>
      <c r="O48" s="4">
        <v>1.2999999999999999E-2</v>
      </c>
      <c r="W48" s="1">
        <v>0.75</v>
      </c>
    </row>
    <row r="49" spans="1:24">
      <c r="A49" t="s">
        <v>45</v>
      </c>
      <c r="B49" s="4">
        <v>0.13700000000000001</v>
      </c>
      <c r="C49" s="4">
        <v>0.499</v>
      </c>
      <c r="F49" s="3">
        <f>AVERAGE(F42:F48)</f>
        <v>0.43500000000000005</v>
      </c>
      <c r="G49" s="3">
        <f t="shared" ref="G49:O49" si="1">AVERAGE(G42:G48)</f>
        <v>0.20707575757575761</v>
      </c>
      <c r="H49" s="3">
        <f t="shared" si="1"/>
        <v>0.25168181818181823</v>
      </c>
      <c r="I49" s="3">
        <f t="shared" si="1"/>
        <v>8.0690909090909091E-2</v>
      </c>
      <c r="J49" s="3">
        <f t="shared" si="1"/>
        <v>4.5000000000000005E-2</v>
      </c>
      <c r="K49" s="3">
        <f t="shared" si="1"/>
        <v>6.5000000000000002E-2</v>
      </c>
      <c r="L49" s="3">
        <f t="shared" si="1"/>
        <v>7.1000000000000008E-2</v>
      </c>
      <c r="M49" s="3">
        <f t="shared" si="1"/>
        <v>0.19383333333333333</v>
      </c>
      <c r="N49" s="3">
        <f t="shared" si="1"/>
        <v>0.05</v>
      </c>
      <c r="O49" s="3">
        <f t="shared" si="1"/>
        <v>7.7500000000000013E-2</v>
      </c>
      <c r="P49" t="s">
        <v>162</v>
      </c>
      <c r="W49" s="1">
        <v>0.8</v>
      </c>
      <c r="X49">
        <v>0.5</v>
      </c>
    </row>
    <row r="50" spans="1:24">
      <c r="A50" t="s">
        <v>54</v>
      </c>
      <c r="B50" s="4">
        <v>1.4E-2</v>
      </c>
      <c r="C50" s="4">
        <v>0.217</v>
      </c>
      <c r="D50" t="s">
        <v>42</v>
      </c>
      <c r="E50" t="str">
        <f>C31</f>
        <v>at impact</v>
      </c>
      <c r="F50" s="3">
        <f>C32</f>
        <v>0.77400000000000002</v>
      </c>
      <c r="G50" s="3">
        <f>C33</f>
        <v>0.42699999999999999</v>
      </c>
      <c r="J50" s="3">
        <f>C36</f>
        <v>9.2999999999999999E-2</v>
      </c>
      <c r="L50" s="3">
        <f>C35</f>
        <v>5.3999999999999999E-2</v>
      </c>
      <c r="M50" s="3">
        <f>C34</f>
        <v>6.7000000000000004E-2</v>
      </c>
      <c r="O50" s="32"/>
      <c r="W50" s="1">
        <v>0.85</v>
      </c>
    </row>
    <row r="51" spans="1:24">
      <c r="A51" t="s">
        <v>60</v>
      </c>
      <c r="B51" s="4">
        <v>7.1999999999999995E-2</v>
      </c>
      <c r="C51" s="4">
        <v>0.188</v>
      </c>
      <c r="E51" t="str">
        <f>D31</f>
        <v>from wear</v>
      </c>
      <c r="F51" s="3">
        <f>D32</f>
        <v>0.60299999999999998</v>
      </c>
      <c r="G51" s="3">
        <f>D33</f>
        <v>0.73099999999999998</v>
      </c>
      <c r="L51" s="3">
        <f>D35</f>
        <v>0.13800000000000001</v>
      </c>
      <c r="W51" s="1">
        <v>0.9</v>
      </c>
    </row>
    <row r="52" spans="1:24">
      <c r="A52" t="s">
        <v>56</v>
      </c>
      <c r="B52" s="4">
        <v>7.1999999999999995E-2</v>
      </c>
      <c r="C52" s="4">
        <v>5.3999999999999999E-2</v>
      </c>
      <c r="D52" t="s">
        <v>227</v>
      </c>
      <c r="E52" t="s">
        <v>225</v>
      </c>
      <c r="F52" s="3">
        <f>F49/SUM($F$49:$N$49)</f>
        <v>0.31087375991580102</v>
      </c>
      <c r="G52" s="3">
        <f t="shared" ref="G52:N52" si="2">G49/SUM($F$49:$N$49)</f>
        <v>0.14798717090801994</v>
      </c>
      <c r="H52" s="3">
        <f t="shared" si="2"/>
        <v>0.17986499567960193</v>
      </c>
      <c r="I52" s="3">
        <f t="shared" si="2"/>
        <v>5.7665945517505736E-2</v>
      </c>
      <c r="J52" s="3">
        <f t="shared" si="2"/>
        <v>3.2159354474048385E-2</v>
      </c>
      <c r="K52" s="3">
        <f t="shared" si="2"/>
        <v>4.645240090695877E-2</v>
      </c>
      <c r="L52" s="3">
        <f t="shared" si="2"/>
        <v>5.074031483683189E-2</v>
      </c>
      <c r="M52" s="3">
        <f t="shared" si="2"/>
        <v>0.13852344167895653</v>
      </c>
      <c r="N52" s="3">
        <f t="shared" si="2"/>
        <v>3.5732616082275979E-2</v>
      </c>
      <c r="W52" s="1">
        <v>0.95</v>
      </c>
    </row>
    <row r="53" spans="1:24">
      <c r="A53" t="s">
        <v>49</v>
      </c>
      <c r="B53" s="4">
        <v>4.2999999999999997E-2</v>
      </c>
      <c r="C53" s="4">
        <v>1.2999999999999999E-2</v>
      </c>
      <c r="E53" t="str">
        <f>E50</f>
        <v>at impact</v>
      </c>
      <c r="F53" s="34">
        <f>F50/SUM($F$50:$N$50)</f>
        <v>0.54699646643109545</v>
      </c>
      <c r="G53" s="34">
        <f t="shared" ref="G53:N53" si="3">G50/SUM($F$50:$N$50)</f>
        <v>0.30176678445229682</v>
      </c>
      <c r="H53" s="34">
        <f t="shared" si="3"/>
        <v>0</v>
      </c>
      <c r="I53" s="34">
        <f t="shared" si="3"/>
        <v>0</v>
      </c>
      <c r="J53" s="34">
        <f t="shared" si="3"/>
        <v>6.5724381625441697E-2</v>
      </c>
      <c r="K53" s="34">
        <f t="shared" si="3"/>
        <v>0</v>
      </c>
      <c r="L53" s="34">
        <f t="shared" si="3"/>
        <v>3.8162544169611304E-2</v>
      </c>
      <c r="M53" s="34">
        <f t="shared" si="3"/>
        <v>4.7349823321554775E-2</v>
      </c>
      <c r="N53" s="34">
        <f t="shared" si="3"/>
        <v>0</v>
      </c>
      <c r="W53" s="1">
        <v>1</v>
      </c>
      <c r="X53">
        <v>0</v>
      </c>
    </row>
    <row r="54" spans="1:24">
      <c r="A54" t="s">
        <v>61</v>
      </c>
      <c r="B54" s="4">
        <v>0.122</v>
      </c>
      <c r="C54" s="4">
        <v>8.0000000000000002E-3</v>
      </c>
      <c r="E54" t="str">
        <f>E51</f>
        <v>from wear</v>
      </c>
      <c r="F54" s="34">
        <f>F51/SUM($F$51:$N$51)</f>
        <v>0.40964673913043476</v>
      </c>
      <c r="G54" s="34">
        <f t="shared" ref="G54:N54" si="4">G51/SUM($F$51:$N$51)</f>
        <v>0.49660326086956519</v>
      </c>
      <c r="H54" s="34">
        <f t="shared" si="4"/>
        <v>0</v>
      </c>
      <c r="I54" s="34">
        <f t="shared" si="4"/>
        <v>0</v>
      </c>
      <c r="J54" s="34">
        <f t="shared" si="4"/>
        <v>0</v>
      </c>
      <c r="K54" s="34">
        <f t="shared" si="4"/>
        <v>0</v>
      </c>
      <c r="L54" s="34">
        <f t="shared" si="4"/>
        <v>9.3750000000000014E-2</v>
      </c>
      <c r="M54" s="34">
        <f t="shared" si="4"/>
        <v>0</v>
      </c>
      <c r="N54" s="34">
        <f t="shared" si="4"/>
        <v>0</v>
      </c>
    </row>
    <row r="55" spans="1:24">
      <c r="A55" t="s">
        <v>62</v>
      </c>
      <c r="B55" s="4">
        <v>4.2999999999999997E-2</v>
      </c>
      <c r="C55" s="4">
        <v>5.0000000000000001E-3</v>
      </c>
      <c r="D55" t="s">
        <v>226</v>
      </c>
      <c r="E55" s="30" t="str">
        <f>E52</f>
        <v>repair request frequency</v>
      </c>
      <c r="F55" s="30"/>
      <c r="G55" s="32">
        <f>G52</f>
        <v>0.14798717090801994</v>
      </c>
      <c r="H55" s="33">
        <f t="shared" ref="H55:I57" si="5">(H$52/SUM($H$52:$I$52))*$F52+H52</f>
        <v>0.41526720139796169</v>
      </c>
      <c r="I55" s="33">
        <f t="shared" si="5"/>
        <v>0.13313749971494698</v>
      </c>
      <c r="J55" s="32">
        <f t="shared" ref="J55:N57" si="6">J52</f>
        <v>3.2159354474048385E-2</v>
      </c>
      <c r="K55" s="32">
        <f t="shared" si="6"/>
        <v>4.645240090695877E-2</v>
      </c>
      <c r="L55" s="32">
        <f t="shared" si="6"/>
        <v>5.074031483683189E-2</v>
      </c>
      <c r="M55" s="32">
        <f t="shared" si="6"/>
        <v>0.13852344167895653</v>
      </c>
      <c r="N55" s="32">
        <f t="shared" si="6"/>
        <v>3.5732616082275979E-2</v>
      </c>
    </row>
    <row r="56" spans="1:24">
      <c r="A56" t="s">
        <v>47</v>
      </c>
      <c r="B56" s="4">
        <v>0.439</v>
      </c>
      <c r="C56" s="4">
        <v>3.0000000000000001E-3</v>
      </c>
      <c r="E56" s="30" t="str">
        <f>E53</f>
        <v>at impact</v>
      </c>
      <c r="F56" s="30"/>
      <c r="G56" s="32">
        <f>G53</f>
        <v>0.30176678445229682</v>
      </c>
      <c r="H56" s="33">
        <f t="shared" si="5"/>
        <v>0.41420084716350425</v>
      </c>
      <c r="I56" s="33">
        <f t="shared" si="5"/>
        <v>0.13279561926759123</v>
      </c>
      <c r="J56" s="32">
        <f t="shared" si="6"/>
        <v>6.5724381625441697E-2</v>
      </c>
      <c r="K56" s="32">
        <f t="shared" si="6"/>
        <v>0</v>
      </c>
      <c r="L56" s="32">
        <f t="shared" si="6"/>
        <v>3.8162544169611304E-2</v>
      </c>
      <c r="M56" s="32">
        <f t="shared" si="6"/>
        <v>4.7349823321554775E-2</v>
      </c>
      <c r="N56" s="32">
        <f t="shared" si="6"/>
        <v>0</v>
      </c>
    </row>
    <row r="57" spans="1:24">
      <c r="A57" t="s">
        <v>63</v>
      </c>
      <c r="B57" s="4">
        <v>5.8000000000000003E-2</v>
      </c>
      <c r="C57" s="4">
        <v>1.2999999999999999E-2</v>
      </c>
      <c r="E57" s="30" t="str">
        <f>E54</f>
        <v>from wear</v>
      </c>
      <c r="F57" s="30"/>
      <c r="G57" s="32">
        <f>G54</f>
        <v>0.49660326086956519</v>
      </c>
      <c r="H57" s="33">
        <f t="shared" si="5"/>
        <v>0.31019583635092279</v>
      </c>
      <c r="I57" s="33">
        <f t="shared" si="5"/>
        <v>9.9450902779512004E-2</v>
      </c>
      <c r="J57" s="32">
        <f t="shared" si="6"/>
        <v>0</v>
      </c>
      <c r="K57" s="32">
        <f t="shared" si="6"/>
        <v>0</v>
      </c>
      <c r="L57" s="32">
        <f t="shared" si="6"/>
        <v>9.3750000000000014E-2</v>
      </c>
      <c r="M57" s="32">
        <f t="shared" si="6"/>
        <v>0</v>
      </c>
      <c r="N57" s="32">
        <f t="shared" si="6"/>
        <v>0</v>
      </c>
    </row>
    <row r="58" spans="1:24">
      <c r="E58" s="30" t="s">
        <v>27</v>
      </c>
      <c r="F58" s="30"/>
      <c r="G58" s="32">
        <f>G56</f>
        <v>0.30176678445229682</v>
      </c>
      <c r="H58" s="32">
        <f t="shared" ref="H58:L59" si="7">H56</f>
        <v>0.41420084716350425</v>
      </c>
      <c r="I58" s="32">
        <f t="shared" si="7"/>
        <v>0.13279561926759123</v>
      </c>
      <c r="J58" s="32">
        <f t="shared" si="7"/>
        <v>6.5724381625441697E-2</v>
      </c>
      <c r="K58" s="32">
        <f t="shared" si="7"/>
        <v>0</v>
      </c>
      <c r="L58" s="32">
        <f t="shared" si="7"/>
        <v>3.8162544169611304E-2</v>
      </c>
      <c r="M58" s="32">
        <f>M56</f>
        <v>4.7349823321554775E-2</v>
      </c>
      <c r="N58" s="32">
        <f>N56</f>
        <v>0</v>
      </c>
    </row>
    <row r="59" spans="1:24">
      <c r="E59" s="30" t="s">
        <v>35</v>
      </c>
      <c r="F59" s="30"/>
      <c r="G59" s="32">
        <f>G57</f>
        <v>0.49660326086956519</v>
      </c>
      <c r="H59" s="32">
        <f t="shared" si="7"/>
        <v>0.31019583635092279</v>
      </c>
      <c r="I59" s="32">
        <f t="shared" si="7"/>
        <v>9.9450902779512004E-2</v>
      </c>
      <c r="J59" s="32">
        <f t="shared" si="7"/>
        <v>0</v>
      </c>
      <c r="K59" s="32">
        <f t="shared" si="7"/>
        <v>0</v>
      </c>
      <c r="L59" s="32">
        <f t="shared" si="7"/>
        <v>9.3750000000000014E-2</v>
      </c>
      <c r="M59" s="32">
        <f>M57</f>
        <v>0</v>
      </c>
      <c r="N59" s="32">
        <f>N57</f>
        <v>0</v>
      </c>
    </row>
    <row r="60" spans="1:24">
      <c r="G60" s="2"/>
      <c r="N60" s="32"/>
    </row>
    <row r="62" spans="1:24" ht="15" thickBot="1">
      <c r="A62" t="s">
        <v>79</v>
      </c>
    </row>
    <row r="63" spans="1:24" ht="16" thickBot="1">
      <c r="A63" s="84" t="s">
        <v>64</v>
      </c>
      <c r="B63" s="85"/>
      <c r="C63" s="88" t="s">
        <v>65</v>
      </c>
      <c r="D63" s="89"/>
      <c r="E63" s="90"/>
    </row>
    <row r="64" spans="1:24" ht="16" thickBot="1">
      <c r="A64" s="86"/>
      <c r="B64" s="87"/>
      <c r="C64" s="5" t="s">
        <v>66</v>
      </c>
      <c r="D64" s="5" t="s">
        <v>67</v>
      </c>
      <c r="E64" s="5" t="s">
        <v>68</v>
      </c>
    </row>
    <row r="65" spans="1:12" ht="16" thickBot="1">
      <c r="A65" s="91" t="s">
        <v>69</v>
      </c>
      <c r="B65" s="6" t="s">
        <v>66</v>
      </c>
      <c r="C65" s="7"/>
      <c r="D65" s="7"/>
      <c r="E65" s="8"/>
    </row>
    <row r="66" spans="1:12" ht="31">
      <c r="A66" s="92"/>
      <c r="B66" s="91" t="s">
        <v>67</v>
      </c>
      <c r="C66" s="94"/>
      <c r="D66" s="9" t="s">
        <v>70</v>
      </c>
      <c r="E66" s="96" t="s">
        <v>72</v>
      </c>
    </row>
    <row r="67" spans="1:12" ht="31.5" thickBot="1">
      <c r="A67" s="92"/>
      <c r="B67" s="93"/>
      <c r="C67" s="95"/>
      <c r="D67" s="10" t="s">
        <v>71</v>
      </c>
      <c r="E67" s="97"/>
    </row>
    <row r="68" spans="1:12" ht="62">
      <c r="A68" s="92"/>
      <c r="B68" s="91" t="s">
        <v>68</v>
      </c>
      <c r="C68" s="9" t="s">
        <v>73</v>
      </c>
      <c r="D68" s="12" t="s">
        <v>76</v>
      </c>
      <c r="E68" s="16" t="s">
        <v>47</v>
      </c>
    </row>
    <row r="69" spans="1:12" ht="46.5">
      <c r="A69" s="92"/>
      <c r="B69" s="92"/>
      <c r="C69" s="11" t="s">
        <v>61</v>
      </c>
      <c r="D69" s="13" t="s">
        <v>77</v>
      </c>
      <c r="E69" s="17" t="s">
        <v>78</v>
      </c>
    </row>
    <row r="70" spans="1:12" ht="31">
      <c r="A70" s="92"/>
      <c r="B70" s="92"/>
      <c r="C70" s="11" t="s">
        <v>74</v>
      </c>
      <c r="D70" s="14"/>
      <c r="E70" s="18"/>
    </row>
    <row r="71" spans="1:12" ht="16" thickBot="1">
      <c r="A71" s="93"/>
      <c r="B71" s="93"/>
      <c r="C71" s="10" t="s">
        <v>75</v>
      </c>
      <c r="D71" s="15"/>
      <c r="E71" s="19"/>
    </row>
    <row r="74" spans="1:12">
      <c r="A74" t="s">
        <v>653</v>
      </c>
      <c r="J74" t="s">
        <v>654</v>
      </c>
    </row>
    <row r="75" spans="1:12">
      <c r="B75">
        <v>2019</v>
      </c>
      <c r="C75">
        <v>2020</v>
      </c>
      <c r="D75">
        <v>2019</v>
      </c>
      <c r="E75">
        <v>2020</v>
      </c>
      <c r="F75">
        <v>2019</v>
      </c>
      <c r="G75">
        <v>2020</v>
      </c>
      <c r="J75">
        <v>2019</v>
      </c>
      <c r="K75">
        <v>2019</v>
      </c>
      <c r="L75">
        <v>2019</v>
      </c>
    </row>
    <row r="76" spans="1:12">
      <c r="B76" t="s">
        <v>87</v>
      </c>
      <c r="C76" t="s">
        <v>87</v>
      </c>
      <c r="D76" t="s">
        <v>88</v>
      </c>
      <c r="E76" t="s">
        <v>88</v>
      </c>
      <c r="F76" t="s">
        <v>89</v>
      </c>
      <c r="J76" t="s">
        <v>87</v>
      </c>
      <c r="K76" t="s">
        <v>88</v>
      </c>
      <c r="L76" t="s">
        <v>89</v>
      </c>
    </row>
    <row r="77" spans="1:12">
      <c r="A77" t="s">
        <v>80</v>
      </c>
      <c r="B77" s="4">
        <v>6.4000000000000001E-2</v>
      </c>
      <c r="C77" s="4">
        <v>0.106</v>
      </c>
      <c r="D77" s="4">
        <v>5.6000000000000001E-2</v>
      </c>
      <c r="E77" s="4">
        <v>0.125</v>
      </c>
      <c r="F77" s="20">
        <f>B77/D77</f>
        <v>1.1428571428571428</v>
      </c>
      <c r="G77" s="20">
        <f>C77/E77</f>
        <v>0.84799999999999998</v>
      </c>
      <c r="I77" t="s">
        <v>655</v>
      </c>
      <c r="J77" s="4">
        <v>0.20200000000000001</v>
      </c>
      <c r="K77" s="4">
        <v>0.23300000000000001</v>
      </c>
      <c r="L77" s="4">
        <f>J77/K77</f>
        <v>0.86695278969957079</v>
      </c>
    </row>
    <row r="78" spans="1:12">
      <c r="A78" t="s">
        <v>81</v>
      </c>
      <c r="B78" s="4">
        <v>0.122</v>
      </c>
      <c r="C78" s="4">
        <v>0.10299999999999999</v>
      </c>
      <c r="D78" s="4">
        <v>0.183</v>
      </c>
      <c r="E78" s="4">
        <v>0.115</v>
      </c>
      <c r="F78" s="20">
        <f t="shared" ref="F78:G83" si="8">B78/D78</f>
        <v>0.66666666666666663</v>
      </c>
      <c r="G78" s="20">
        <f t="shared" si="8"/>
        <v>0.89565217391304341</v>
      </c>
      <c r="I78" t="s">
        <v>84</v>
      </c>
      <c r="J78" s="4">
        <v>0.14499999999999999</v>
      </c>
      <c r="K78" s="4">
        <v>0.22</v>
      </c>
      <c r="L78" s="4">
        <f t="shared" ref="L78:L84" si="9">J78/K78</f>
        <v>0.65909090909090906</v>
      </c>
    </row>
    <row r="79" spans="1:12">
      <c r="A79" t="s">
        <v>82</v>
      </c>
      <c r="B79" s="4">
        <v>0.114</v>
      </c>
      <c r="C79" s="4">
        <v>0.109</v>
      </c>
      <c r="D79" s="4">
        <v>0.17799999999999999</v>
      </c>
      <c r="E79" s="4">
        <v>0.16500000000000001</v>
      </c>
      <c r="F79" s="20">
        <f t="shared" si="8"/>
        <v>0.6404494382022472</v>
      </c>
      <c r="G79" s="20">
        <f t="shared" si="8"/>
        <v>0.66060606060606053</v>
      </c>
      <c r="I79" t="s">
        <v>81</v>
      </c>
      <c r="J79" s="4">
        <v>0.13300000000000001</v>
      </c>
      <c r="K79" s="4">
        <v>0.19900000000000001</v>
      </c>
      <c r="L79" s="4">
        <f t="shared" si="9"/>
        <v>0.66834170854271358</v>
      </c>
    </row>
    <row r="80" spans="1:12">
      <c r="A80" t="s">
        <v>83</v>
      </c>
      <c r="B80" s="4">
        <v>0.10199999999999999</v>
      </c>
      <c r="C80" s="4">
        <v>0.108</v>
      </c>
      <c r="D80" s="4">
        <v>0.20499999999999999</v>
      </c>
      <c r="E80" s="4">
        <v>0.123</v>
      </c>
      <c r="F80" s="20">
        <f t="shared" si="8"/>
        <v>0.4975609756097561</v>
      </c>
      <c r="G80" s="20">
        <f t="shared" si="8"/>
        <v>0.87804878048780488</v>
      </c>
      <c r="I80" t="s">
        <v>82</v>
      </c>
      <c r="J80" s="4">
        <v>0.13200000000000001</v>
      </c>
      <c r="K80" s="4">
        <v>0.185</v>
      </c>
      <c r="L80" s="4">
        <f t="shared" si="9"/>
        <v>0.71351351351351355</v>
      </c>
    </row>
    <row r="81" spans="1:16">
      <c r="A81" t="s">
        <v>84</v>
      </c>
      <c r="B81" s="4">
        <v>0.13700000000000001</v>
      </c>
      <c r="C81" s="4">
        <v>0.115</v>
      </c>
      <c r="D81" s="4">
        <v>9.5000000000000001E-2</v>
      </c>
      <c r="E81" s="4">
        <v>5.2999999999999999E-2</v>
      </c>
      <c r="F81" s="20">
        <f t="shared" si="8"/>
        <v>1.4421052631578948</v>
      </c>
      <c r="G81" s="20">
        <f t="shared" si="8"/>
        <v>2.1698113207547172</v>
      </c>
      <c r="I81" t="s">
        <v>80</v>
      </c>
      <c r="J81" s="4">
        <v>0.111</v>
      </c>
      <c r="K81" s="4">
        <v>0.19</v>
      </c>
      <c r="L81" s="4">
        <f t="shared" si="9"/>
        <v>0.58421052631578951</v>
      </c>
    </row>
    <row r="82" spans="1:16">
      <c r="A82" t="s">
        <v>85</v>
      </c>
      <c r="B82" s="4">
        <v>4.7E-2</v>
      </c>
      <c r="C82" s="4">
        <v>0.125</v>
      </c>
      <c r="D82" s="4">
        <v>9.5000000000000001E-2</v>
      </c>
      <c r="E82" s="4">
        <v>0.111</v>
      </c>
      <c r="F82" s="20">
        <f t="shared" si="8"/>
        <v>0.49473684210526314</v>
      </c>
      <c r="G82" s="20">
        <f t="shared" si="8"/>
        <v>1.1261261261261262</v>
      </c>
      <c r="I82" t="s">
        <v>83</v>
      </c>
      <c r="J82" s="4">
        <v>0.105</v>
      </c>
      <c r="K82" s="4">
        <v>0.184</v>
      </c>
      <c r="L82" s="4">
        <f t="shared" si="9"/>
        <v>0.57065217391304346</v>
      </c>
    </row>
    <row r="83" spans="1:16">
      <c r="A83" t="s">
        <v>86</v>
      </c>
      <c r="B83" s="4">
        <v>5.8999999999999997E-2</v>
      </c>
      <c r="C83" s="4">
        <v>5.0999999999999997E-2</v>
      </c>
      <c r="D83" s="4">
        <v>0.25</v>
      </c>
      <c r="E83" s="4">
        <v>0.1</v>
      </c>
      <c r="F83" s="20">
        <f t="shared" si="8"/>
        <v>0.23599999999999999</v>
      </c>
      <c r="G83" s="20">
        <f t="shared" si="8"/>
        <v>0.5099999999999999</v>
      </c>
      <c r="I83" t="s">
        <v>85</v>
      </c>
      <c r="J83" s="4">
        <v>9.0999999999999998E-2</v>
      </c>
      <c r="K83" s="4">
        <v>0.106</v>
      </c>
      <c r="L83" s="4">
        <f t="shared" si="9"/>
        <v>0.85849056603773588</v>
      </c>
    </row>
    <row r="84" spans="1:16">
      <c r="H84" s="21">
        <f>AVERAGE(F77:G83)</f>
        <v>0.87204434217762294</v>
      </c>
      <c r="I84" t="s">
        <v>86</v>
      </c>
      <c r="J84" s="4">
        <v>6.3E-2</v>
      </c>
      <c r="K84" s="4">
        <v>0.28599999999999998</v>
      </c>
      <c r="L84" s="4">
        <f t="shared" si="9"/>
        <v>0.22027972027972029</v>
      </c>
    </row>
    <row r="85" spans="1:16">
      <c r="L85" s="4">
        <f>AVERAGE(L77:L84)</f>
        <v>0.64269148842412438</v>
      </c>
      <c r="N85" s="31">
        <f>(H84+L85)/2</f>
        <v>0.75736791530087366</v>
      </c>
      <c r="O85" s="1">
        <f>1-N85</f>
        <v>0.24263208469912634</v>
      </c>
    </row>
    <row r="87" spans="1:16">
      <c r="A87" s="1"/>
      <c r="O87" s="31">
        <v>0.03</v>
      </c>
    </row>
    <row r="88" spans="1:16">
      <c r="A88" s="1"/>
      <c r="N88" s="1">
        <v>1</v>
      </c>
    </row>
    <row r="89" spans="1:16">
      <c r="A89" s="1"/>
      <c r="N89" s="1">
        <f>N88-O89</f>
        <v>0.66999999999999993</v>
      </c>
      <c r="O89" s="2">
        <v>0.33</v>
      </c>
      <c r="P89" s="1"/>
    </row>
    <row r="90" spans="1:16">
      <c r="A90" s="1"/>
      <c r="N90" s="1">
        <f>N88-O90</f>
        <v>0.64989999999999992</v>
      </c>
      <c r="O90" s="46">
        <f>((1-((1-O89)*(1-O87))))</f>
        <v>0.35010000000000008</v>
      </c>
      <c r="P90" s="2"/>
    </row>
    <row r="91" spans="1:16">
      <c r="N91" s="2">
        <f>N90/N89</f>
        <v>0.97</v>
      </c>
    </row>
  </sheetData>
  <mergeCells count="7">
    <mergeCell ref="A63:B64"/>
    <mergeCell ref="C63:E63"/>
    <mergeCell ref="A65:A71"/>
    <mergeCell ref="B66:B67"/>
    <mergeCell ref="C66:C67"/>
    <mergeCell ref="E66:E67"/>
    <mergeCell ref="B68:B71"/>
  </mergeCells>
  <conditionalFormatting sqref="B32:B36">
    <cfRule type="colorScale" priority="26">
      <colorScale>
        <cfvo type="min"/>
        <cfvo type="percentile" val="50"/>
        <cfvo type="max"/>
        <color rgb="FF63BE7B"/>
        <color rgb="FFFFEB84"/>
        <color rgb="FFF8696B"/>
      </colorScale>
    </cfRule>
  </conditionalFormatting>
  <conditionalFormatting sqref="B41:B46">
    <cfRule type="colorScale" priority="30">
      <colorScale>
        <cfvo type="min"/>
        <cfvo type="percentile" val="50"/>
        <cfvo type="max"/>
        <color rgb="FF63BE7B"/>
        <color rgb="FFFFEB84"/>
        <color rgb="FFF8696B"/>
      </colorScale>
    </cfRule>
  </conditionalFormatting>
  <conditionalFormatting sqref="B49:B57">
    <cfRule type="colorScale" priority="28">
      <colorScale>
        <cfvo type="min"/>
        <cfvo type="percentile" val="50"/>
        <cfvo type="max"/>
        <color rgb="FF63BE7B"/>
        <color rgb="FFFFEB84"/>
        <color rgb="FFF8696B"/>
      </colorScale>
    </cfRule>
  </conditionalFormatting>
  <conditionalFormatting sqref="B41:C46">
    <cfRule type="colorScale" priority="31">
      <colorScale>
        <cfvo type="min"/>
        <cfvo type="percentile" val="50"/>
        <cfvo type="max"/>
        <color rgb="FF63BE7B"/>
        <color rgb="FFFFEB84"/>
        <color rgb="FFF8696B"/>
      </colorScale>
    </cfRule>
  </conditionalFormatting>
  <conditionalFormatting sqref="B49:C57">
    <cfRule type="colorScale" priority="32">
      <colorScale>
        <cfvo type="min"/>
        <cfvo type="percentile" val="50"/>
        <cfvo type="max"/>
        <color rgb="FF63BE7B"/>
        <color rgb="FFFFEB84"/>
        <color rgb="FFF8696B"/>
      </colorScale>
    </cfRule>
  </conditionalFormatting>
  <conditionalFormatting sqref="C41:C46">
    <cfRule type="colorScale" priority="29">
      <colorScale>
        <cfvo type="min"/>
        <cfvo type="percentile" val="50"/>
        <cfvo type="max"/>
        <color rgb="FF63BE7B"/>
        <color rgb="FFFFEB84"/>
        <color rgb="FFF8696B"/>
      </colorScale>
    </cfRule>
  </conditionalFormatting>
  <conditionalFormatting sqref="C49:C57">
    <cfRule type="colorScale" priority="27">
      <colorScale>
        <cfvo type="min"/>
        <cfvo type="percentile" val="50"/>
        <cfvo type="max"/>
        <color rgb="FF63BE7B"/>
        <color rgb="FFFFEB84"/>
        <color rgb="FFF8696B"/>
      </colorScale>
    </cfRule>
  </conditionalFormatting>
  <conditionalFormatting sqref="E55:N57">
    <cfRule type="colorScale" priority="3">
      <colorScale>
        <cfvo type="min"/>
        <cfvo type="percentile" val="50"/>
        <cfvo type="max"/>
        <color rgb="FF63BE7B"/>
        <color rgb="FFFFEB84"/>
        <color rgb="FFF8696B"/>
      </colorScale>
    </cfRule>
  </conditionalFormatting>
  <conditionalFormatting sqref="E58:N59 N60">
    <cfRule type="colorScale" priority="2">
      <colorScale>
        <cfvo type="min"/>
        <cfvo type="percentile" val="50"/>
        <cfvo type="max"/>
        <color rgb="FF63BE7B"/>
        <color rgb="FFFFEB84"/>
        <color rgb="FFF8696B"/>
      </colorScale>
    </cfRule>
  </conditionalFormatting>
  <conditionalFormatting sqref="J38:L38">
    <cfRule type="colorScale" priority="1">
      <colorScale>
        <cfvo type="min"/>
        <cfvo type="percentile" val="50"/>
        <cfvo type="max"/>
        <color rgb="FF63BE7B"/>
        <color rgb="FFFFEB84"/>
        <color rgb="FFF8696B"/>
      </colorScale>
    </cfRule>
  </conditionalFormatting>
  <conditionalFormatting sqref="O50">
    <cfRule type="colorScale" priority="8">
      <colorScale>
        <cfvo type="min"/>
        <cfvo type="percentile" val="50"/>
        <cfvo type="max"/>
        <color rgb="FF63BE7B"/>
        <color rgb="FFFFEB84"/>
        <color rgb="FFF8696B"/>
      </colorScale>
    </cfRule>
  </conditionalFormatting>
  <pageMargins left="0.7" right="0.7" top="0.78740157499999996" bottom="0.78740157499999996"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DB9F0-73A6-42FA-9D01-750DA9594DB4}">
  <dimension ref="A1:J184"/>
  <sheetViews>
    <sheetView workbookViewId="0">
      <selection activeCell="I18" sqref="I18"/>
    </sheetView>
  </sheetViews>
  <sheetFormatPr baseColWidth="10" defaultColWidth="11.54296875" defaultRowHeight="14.5"/>
  <cols>
    <col min="2" max="2" width="19.26953125" customWidth="1"/>
  </cols>
  <sheetData>
    <row r="1" spans="2:4">
      <c r="C1" t="s">
        <v>157</v>
      </c>
    </row>
    <row r="2" spans="2:4">
      <c r="B2" t="s">
        <v>153</v>
      </c>
      <c r="C2" s="28">
        <v>45.8</v>
      </c>
      <c r="D2" s="28">
        <f t="shared" ref="D2:D7" si="0">ROUND(C2,0)</f>
        <v>46</v>
      </c>
    </row>
    <row r="3" spans="2:4">
      <c r="B3" t="s">
        <v>152</v>
      </c>
      <c r="C3" s="28">
        <v>38.4</v>
      </c>
      <c r="D3" s="28">
        <f t="shared" si="0"/>
        <v>38</v>
      </c>
    </row>
    <row r="4" spans="2:4">
      <c r="B4" t="s">
        <v>154</v>
      </c>
      <c r="C4" s="28">
        <f>AVERAGE(20.2, 26.2)</f>
        <v>23.2</v>
      </c>
      <c r="D4" s="28">
        <f t="shared" si="0"/>
        <v>23</v>
      </c>
    </row>
    <row r="5" spans="2:4">
      <c r="B5" t="s">
        <v>155</v>
      </c>
      <c r="C5" s="28">
        <v>32.4</v>
      </c>
      <c r="D5" s="28">
        <f t="shared" si="0"/>
        <v>32</v>
      </c>
    </row>
    <row r="6" spans="2:4">
      <c r="B6" t="s">
        <v>156</v>
      </c>
      <c r="C6" s="28">
        <v>21</v>
      </c>
      <c r="D6" s="28">
        <f t="shared" si="0"/>
        <v>21</v>
      </c>
    </row>
    <row r="7" spans="2:4">
      <c r="C7" s="28">
        <f>AVERAGE(C2:C6)</f>
        <v>32.159999999999997</v>
      </c>
      <c r="D7" s="28">
        <f t="shared" si="0"/>
        <v>32</v>
      </c>
    </row>
    <row r="10" spans="2:4">
      <c r="B10" t="s">
        <v>90</v>
      </c>
    </row>
    <row r="11" spans="2:4">
      <c r="B11" t="s">
        <v>91</v>
      </c>
    </row>
    <row r="12" spans="2:4">
      <c r="B12" t="s">
        <v>92</v>
      </c>
      <c r="C12" s="2">
        <v>0.01</v>
      </c>
      <c r="D12" s="2">
        <v>0.02</v>
      </c>
    </row>
    <row r="13" spans="2:4">
      <c r="B13" t="s">
        <v>93</v>
      </c>
      <c r="C13" s="2">
        <v>0.28000000000000003</v>
      </c>
      <c r="D13" s="2">
        <v>0.39</v>
      </c>
    </row>
    <row r="14" spans="2:4">
      <c r="B14" t="s">
        <v>94</v>
      </c>
      <c r="C14" s="2">
        <v>0.41</v>
      </c>
      <c r="D14" s="2">
        <v>0.36</v>
      </c>
    </row>
    <row r="15" spans="2:4">
      <c r="B15" t="s">
        <v>95</v>
      </c>
      <c r="C15" s="2">
        <v>0.15</v>
      </c>
      <c r="D15" s="2">
        <v>0.23</v>
      </c>
    </row>
    <row r="16" spans="2:4">
      <c r="B16" t="s">
        <v>96</v>
      </c>
      <c r="C16" s="2">
        <v>0.03</v>
      </c>
      <c r="D16" s="2"/>
    </row>
    <row r="17" spans="2:10">
      <c r="B17" t="s">
        <v>97</v>
      </c>
      <c r="C17" s="2">
        <v>0.01</v>
      </c>
      <c r="D17" s="2"/>
    </row>
    <row r="18" spans="2:10">
      <c r="B18" t="s">
        <v>98</v>
      </c>
      <c r="C18" s="2">
        <v>0.02</v>
      </c>
      <c r="D18" s="2"/>
    </row>
    <row r="20" spans="2:10">
      <c r="B20" t="s">
        <v>130</v>
      </c>
    </row>
    <row r="22" spans="2:10">
      <c r="B22" t="s">
        <v>132</v>
      </c>
    </row>
    <row r="23" spans="2:10">
      <c r="B23" t="s">
        <v>99</v>
      </c>
      <c r="C23" s="1">
        <v>0.14000000000000001</v>
      </c>
    </row>
    <row r="24" spans="2:10">
      <c r="B24" t="s">
        <v>100</v>
      </c>
      <c r="C24" s="1">
        <v>0.09</v>
      </c>
    </row>
    <row r="25" spans="2:10">
      <c r="B25" t="s">
        <v>101</v>
      </c>
      <c r="C25" s="1">
        <v>0.11</v>
      </c>
    </row>
    <row r="26" spans="2:10">
      <c r="B26" t="s">
        <v>102</v>
      </c>
      <c r="C26" s="1">
        <v>0.25</v>
      </c>
    </row>
    <row r="27" spans="2:10">
      <c r="B27" t="s">
        <v>103</v>
      </c>
      <c r="C27" s="1">
        <v>0.33</v>
      </c>
    </row>
    <row r="28" spans="2:10">
      <c r="B28" t="s">
        <v>104</v>
      </c>
      <c r="C28" s="1">
        <v>0.06</v>
      </c>
    </row>
    <row r="29" spans="2:10">
      <c r="B29" t="s">
        <v>105</v>
      </c>
      <c r="C29" s="1">
        <v>0.02</v>
      </c>
    </row>
    <row r="31" spans="2:10">
      <c r="B31" t="s">
        <v>106</v>
      </c>
    </row>
    <row r="32" spans="2:10">
      <c r="B32" t="s">
        <v>107</v>
      </c>
      <c r="C32" t="s">
        <v>108</v>
      </c>
      <c r="D32" t="s">
        <v>109</v>
      </c>
      <c r="E32" t="s">
        <v>110</v>
      </c>
      <c r="F32" t="s">
        <v>111</v>
      </c>
      <c r="G32" t="s">
        <v>112</v>
      </c>
      <c r="H32" t="s">
        <v>113</v>
      </c>
      <c r="I32" t="s">
        <v>114</v>
      </c>
      <c r="J32" t="s">
        <v>115</v>
      </c>
    </row>
    <row r="33" spans="2:7">
      <c r="B33">
        <v>2013</v>
      </c>
      <c r="C33" s="22">
        <v>20.5</v>
      </c>
      <c r="D33" s="22">
        <v>18.600000000000001</v>
      </c>
      <c r="E33" s="22">
        <v>18.3</v>
      </c>
    </row>
    <row r="34" spans="2:7">
      <c r="B34">
        <v>2014</v>
      </c>
      <c r="C34" s="22">
        <v>20.9</v>
      </c>
      <c r="D34" s="22">
        <v>21.8</v>
      </c>
      <c r="E34" s="22">
        <v>19.5</v>
      </c>
    </row>
    <row r="35" spans="2:7">
      <c r="B35">
        <v>2015</v>
      </c>
      <c r="C35" s="22">
        <v>21.6</v>
      </c>
      <c r="D35" s="22">
        <v>19.5</v>
      </c>
      <c r="E35" s="22">
        <v>20.399999999999999</v>
      </c>
    </row>
    <row r="36" spans="2:7">
      <c r="B36">
        <v>2016</v>
      </c>
      <c r="C36">
        <v>22.7</v>
      </c>
      <c r="D36">
        <v>20.2</v>
      </c>
      <c r="E36">
        <v>23.4</v>
      </c>
      <c r="F36" t="s">
        <v>6</v>
      </c>
      <c r="G36">
        <f>MIN(C36:E38)</f>
        <v>20.2</v>
      </c>
    </row>
    <row r="37" spans="2:7">
      <c r="B37">
        <v>2017</v>
      </c>
      <c r="C37">
        <v>23.6</v>
      </c>
      <c r="D37">
        <v>21</v>
      </c>
      <c r="E37">
        <v>24.9</v>
      </c>
      <c r="F37" t="s">
        <v>7</v>
      </c>
      <c r="G37">
        <f>MAX(C36:E38)</f>
        <v>26.2</v>
      </c>
    </row>
    <row r="38" spans="2:7">
      <c r="B38">
        <v>2018</v>
      </c>
      <c r="C38">
        <v>24.7</v>
      </c>
      <c r="D38">
        <v>21</v>
      </c>
      <c r="E38">
        <v>26.2</v>
      </c>
    </row>
    <row r="41" spans="2:7">
      <c r="B41" t="s">
        <v>141</v>
      </c>
    </row>
    <row r="42" spans="2:7">
      <c r="B42" t="s">
        <v>145</v>
      </c>
      <c r="C42" s="1">
        <v>0.42</v>
      </c>
    </row>
    <row r="43" spans="2:7">
      <c r="B43" t="s">
        <v>142</v>
      </c>
      <c r="C43" s="1">
        <v>0.16</v>
      </c>
    </row>
    <row r="44" spans="2:7">
      <c r="B44" t="s">
        <v>143</v>
      </c>
      <c r="C44" s="1">
        <v>0.12</v>
      </c>
    </row>
    <row r="45" spans="2:7">
      <c r="B45" t="s">
        <v>144</v>
      </c>
      <c r="C45" s="1">
        <v>0.2</v>
      </c>
    </row>
    <row r="47" spans="2:7">
      <c r="B47" s="23" t="s">
        <v>116</v>
      </c>
      <c r="C47" s="23"/>
      <c r="D47" s="23"/>
      <c r="E47" s="23"/>
      <c r="F47" s="23"/>
      <c r="G47" s="23"/>
    </row>
    <row r="48" spans="2:7">
      <c r="B48" s="23" t="s">
        <v>117</v>
      </c>
      <c r="C48" s="23">
        <v>2016</v>
      </c>
      <c r="D48" s="23">
        <v>2017</v>
      </c>
      <c r="E48" s="23">
        <v>2018</v>
      </c>
      <c r="F48" s="23">
        <v>2019</v>
      </c>
      <c r="G48" s="23">
        <v>2020</v>
      </c>
    </row>
    <row r="49" spans="1:9">
      <c r="B49" s="23" t="s">
        <v>118</v>
      </c>
      <c r="C49" s="24">
        <f>1-C50-C51-C52</f>
        <v>0.18999999999999995</v>
      </c>
      <c r="D49" s="24">
        <f>1-D50-D51-D52</f>
        <v>0.19</v>
      </c>
      <c r="E49" s="24">
        <f>1-E50-E51-E52</f>
        <v>0.18999999999999995</v>
      </c>
      <c r="F49" s="24">
        <f>1-F50-F51-F52</f>
        <v>0.18999999999999992</v>
      </c>
      <c r="G49" s="24">
        <f>1-G50-G51-G52</f>
        <v>0.18999999999999992</v>
      </c>
    </row>
    <row r="50" spans="1:9">
      <c r="B50" s="23" t="s">
        <v>119</v>
      </c>
      <c r="C50" s="24">
        <f>0.81-C51-C52</f>
        <v>0.26000000000000006</v>
      </c>
      <c r="D50" s="24">
        <f>0.81-D51-D52</f>
        <v>0.26000000000000006</v>
      </c>
      <c r="E50" s="24">
        <f>0.81-E51-E52</f>
        <v>0.26</v>
      </c>
      <c r="F50" s="24">
        <f>0.81-F51-F52</f>
        <v>0.26</v>
      </c>
      <c r="G50" s="24">
        <f>0.81-G51-G52</f>
        <v>0.26</v>
      </c>
    </row>
    <row r="51" spans="1:9">
      <c r="B51" s="25" t="s">
        <v>120</v>
      </c>
      <c r="C51" s="24">
        <f>0.55-C52</f>
        <v>0.24000000000000005</v>
      </c>
      <c r="D51" s="24">
        <f>0.55-D52</f>
        <v>0.21000000000000002</v>
      </c>
      <c r="E51" s="24">
        <f>0.55-E52</f>
        <v>0.28000000000000003</v>
      </c>
      <c r="F51" s="24">
        <f>0.55-F52</f>
        <v>0.32000000000000006</v>
      </c>
      <c r="G51" s="24">
        <f>0.55-G52</f>
        <v>0.34000000000000008</v>
      </c>
    </row>
    <row r="52" spans="1:9">
      <c r="B52" s="23" t="s">
        <v>121</v>
      </c>
      <c r="C52" s="24">
        <v>0.31</v>
      </c>
      <c r="D52" s="24">
        <v>0.34</v>
      </c>
      <c r="E52" s="24">
        <v>0.27</v>
      </c>
      <c r="F52" s="24">
        <v>0.23</v>
      </c>
      <c r="G52" s="24">
        <v>0.21</v>
      </c>
    </row>
    <row r="54" spans="1:9">
      <c r="B54" t="s">
        <v>122</v>
      </c>
    </row>
    <row r="55" spans="1:9">
      <c r="B55" t="s">
        <v>123</v>
      </c>
    </row>
    <row r="56" spans="1:9">
      <c r="B56" t="s">
        <v>124</v>
      </c>
    </row>
    <row r="57" spans="1:9">
      <c r="B57" t="s">
        <v>125</v>
      </c>
      <c r="C57" s="2">
        <v>0.22</v>
      </c>
    </row>
    <row r="58" spans="1:9">
      <c r="B58" t="s">
        <v>120</v>
      </c>
      <c r="C58" s="2">
        <v>0.38</v>
      </c>
    </row>
    <row r="59" spans="1:9">
      <c r="B59" t="s">
        <v>126</v>
      </c>
      <c r="C59" s="2">
        <v>0.22</v>
      </c>
    </row>
    <row r="60" spans="1:9">
      <c r="B60" t="s">
        <v>127</v>
      </c>
      <c r="C60" s="2">
        <v>0.08</v>
      </c>
    </row>
    <row r="61" spans="1:9">
      <c r="B61" t="s">
        <v>128</v>
      </c>
      <c r="C61" s="2">
        <v>0.08</v>
      </c>
    </row>
    <row r="63" spans="1:9">
      <c r="B63" t="s">
        <v>129</v>
      </c>
      <c r="C63" s="26" t="str">
        <f>B10</f>
        <v>YouGov Research, 2020</v>
      </c>
      <c r="D63" t="str">
        <f>B20</f>
        <v>Ipsos, Trinomics, Fraunhofer FOKUS, Economisti Associati 2019</v>
      </c>
      <c r="E63" t="str">
        <f>B41</f>
        <v>Stiftung Warentest/Prakash (2015)/Cordella (2020)</v>
      </c>
    </row>
    <row r="64" spans="1:9">
      <c r="A64">
        <f>ROUNDDOWN(B64/12,0)</f>
        <v>0</v>
      </c>
      <c r="B64" s="28">
        <v>0</v>
      </c>
      <c r="C64" s="27">
        <v>0.01</v>
      </c>
      <c r="D64" s="27">
        <v>0.02</v>
      </c>
      <c r="E64" s="27"/>
      <c r="F64" s="2"/>
      <c r="G64" s="27"/>
      <c r="H64" s="2"/>
      <c r="I64" s="2"/>
    </row>
    <row r="65" spans="1:9">
      <c r="A65">
        <f t="shared" ref="A65:A128" si="1">ROUNDDOWN(B65/12,0)</f>
        <v>0</v>
      </c>
      <c r="B65" s="28">
        <v>1</v>
      </c>
      <c r="C65" s="27">
        <v>0.01</v>
      </c>
      <c r="D65" s="27">
        <v>0.02</v>
      </c>
      <c r="E65" s="27"/>
      <c r="F65" s="2"/>
      <c r="G65" s="27"/>
      <c r="H65" s="2"/>
      <c r="I65" s="2"/>
    </row>
    <row r="66" spans="1:9">
      <c r="A66">
        <f t="shared" si="1"/>
        <v>0</v>
      </c>
      <c r="B66" s="28">
        <v>2</v>
      </c>
      <c r="C66" s="27">
        <v>0.01</v>
      </c>
      <c r="D66" s="27">
        <v>0.02</v>
      </c>
      <c r="E66" s="27"/>
      <c r="F66" s="2"/>
      <c r="G66" s="27"/>
      <c r="H66" s="2"/>
      <c r="I66" s="2"/>
    </row>
    <row r="67" spans="1:9">
      <c r="A67">
        <f t="shared" si="1"/>
        <v>0</v>
      </c>
      <c r="B67" s="28">
        <v>3</v>
      </c>
      <c r="C67" s="27">
        <v>0.01</v>
      </c>
      <c r="D67" s="27">
        <v>0.02</v>
      </c>
      <c r="E67" s="27"/>
      <c r="F67" s="2"/>
      <c r="G67" s="27"/>
      <c r="H67" s="2"/>
      <c r="I67" s="2"/>
    </row>
    <row r="68" spans="1:9">
      <c r="A68">
        <f t="shared" si="1"/>
        <v>0</v>
      </c>
      <c r="B68" s="28">
        <v>4</v>
      </c>
      <c r="C68" s="27">
        <v>0.01</v>
      </c>
      <c r="D68" s="27">
        <v>0.02</v>
      </c>
      <c r="E68" s="27"/>
      <c r="F68" s="2"/>
      <c r="G68" s="27"/>
      <c r="H68" s="2"/>
      <c r="I68" s="2"/>
    </row>
    <row r="69" spans="1:9">
      <c r="A69">
        <f t="shared" si="1"/>
        <v>0</v>
      </c>
      <c r="B69" s="28">
        <v>5</v>
      </c>
      <c r="C69" s="27">
        <v>0.01</v>
      </c>
      <c r="D69" s="27">
        <v>0.02</v>
      </c>
      <c r="E69" s="27"/>
      <c r="F69" s="2"/>
      <c r="G69" s="27"/>
      <c r="H69" s="2"/>
      <c r="I69" s="2"/>
    </row>
    <row r="70" spans="1:9">
      <c r="A70">
        <f t="shared" si="1"/>
        <v>0</v>
      </c>
      <c r="B70" s="28">
        <v>6</v>
      </c>
      <c r="C70" s="27">
        <v>0.01</v>
      </c>
      <c r="D70" s="27">
        <v>0.02</v>
      </c>
      <c r="E70" s="27"/>
      <c r="F70" s="2"/>
      <c r="G70" s="27"/>
      <c r="H70" s="2"/>
      <c r="I70" s="2"/>
    </row>
    <row r="71" spans="1:9">
      <c r="A71">
        <f t="shared" si="1"/>
        <v>0</v>
      </c>
      <c r="B71" s="28">
        <v>7</v>
      </c>
      <c r="C71" s="27">
        <v>0.01</v>
      </c>
      <c r="D71" s="27">
        <v>0.02</v>
      </c>
      <c r="E71" s="27"/>
      <c r="F71" s="2"/>
      <c r="G71" s="27"/>
      <c r="H71" s="2"/>
      <c r="I71" s="2"/>
    </row>
    <row r="72" spans="1:9">
      <c r="A72">
        <f t="shared" si="1"/>
        <v>0</v>
      </c>
      <c r="B72" s="28">
        <v>8</v>
      </c>
      <c r="C72" s="27">
        <v>0.01</v>
      </c>
      <c r="D72" s="27">
        <v>0.02</v>
      </c>
      <c r="E72" s="27"/>
      <c r="F72" s="2"/>
      <c r="G72" s="27"/>
      <c r="H72" s="2"/>
      <c r="I72" s="2"/>
    </row>
    <row r="73" spans="1:9">
      <c r="A73">
        <f t="shared" si="1"/>
        <v>0</v>
      </c>
      <c r="B73" s="28">
        <v>9</v>
      </c>
      <c r="C73" s="27">
        <v>0.01</v>
      </c>
      <c r="D73" s="27">
        <v>0.02</v>
      </c>
      <c r="E73" s="27"/>
      <c r="F73" s="2"/>
      <c r="G73" s="27"/>
      <c r="H73" s="2"/>
      <c r="I73" s="2"/>
    </row>
    <row r="74" spans="1:9">
      <c r="A74">
        <f t="shared" si="1"/>
        <v>0</v>
      </c>
      <c r="B74" s="28">
        <v>10</v>
      </c>
      <c r="C74" s="27">
        <v>0.01</v>
      </c>
      <c r="D74" s="27">
        <v>0.02</v>
      </c>
      <c r="E74" s="27"/>
      <c r="F74" s="2"/>
      <c r="G74" s="27"/>
      <c r="H74" s="2"/>
      <c r="I74" s="2"/>
    </row>
    <row r="75" spans="1:9">
      <c r="A75">
        <f t="shared" si="1"/>
        <v>0</v>
      </c>
      <c r="B75" s="28">
        <v>11</v>
      </c>
      <c r="C75" s="27">
        <v>0.01</v>
      </c>
      <c r="D75" s="27">
        <v>0.02</v>
      </c>
      <c r="E75" s="27"/>
      <c r="F75" s="2"/>
      <c r="G75" s="27"/>
      <c r="H75" s="2"/>
      <c r="I75" s="2"/>
    </row>
    <row r="76" spans="1:9">
      <c r="A76">
        <f t="shared" si="1"/>
        <v>1</v>
      </c>
      <c r="B76" s="28">
        <v>12</v>
      </c>
      <c r="C76" s="27">
        <v>0.28000000000000003</v>
      </c>
      <c r="D76" s="27">
        <v>0.06</v>
      </c>
      <c r="E76" s="27"/>
      <c r="F76" s="2"/>
      <c r="G76" s="27"/>
      <c r="H76" s="2"/>
      <c r="I76" s="2"/>
    </row>
    <row r="77" spans="1:9">
      <c r="A77">
        <f t="shared" si="1"/>
        <v>1</v>
      </c>
      <c r="B77" s="28">
        <v>13</v>
      </c>
      <c r="C77" s="27">
        <v>0.28000000000000003</v>
      </c>
      <c r="D77" s="27">
        <v>0.06</v>
      </c>
      <c r="E77" s="27"/>
      <c r="F77" s="2"/>
      <c r="G77" s="27"/>
      <c r="H77" s="2"/>
      <c r="I77" s="2"/>
    </row>
    <row r="78" spans="1:9">
      <c r="A78">
        <f t="shared" si="1"/>
        <v>1</v>
      </c>
      <c r="B78" s="28">
        <v>14</v>
      </c>
      <c r="C78" s="27">
        <v>0.28000000000000003</v>
      </c>
      <c r="D78" s="27">
        <v>0.06</v>
      </c>
      <c r="E78" s="27"/>
      <c r="F78" s="2"/>
      <c r="G78" s="27"/>
      <c r="H78" s="2"/>
      <c r="I78" s="2"/>
    </row>
    <row r="79" spans="1:9">
      <c r="A79">
        <f t="shared" si="1"/>
        <v>1</v>
      </c>
      <c r="B79" s="28">
        <v>15</v>
      </c>
      <c r="C79" s="27">
        <v>0.28000000000000003</v>
      </c>
      <c r="D79" s="27">
        <v>0.06</v>
      </c>
      <c r="E79" s="27"/>
      <c r="F79" s="2"/>
      <c r="G79" s="27"/>
      <c r="H79" s="2"/>
      <c r="I79" s="2"/>
    </row>
    <row r="80" spans="1:9">
      <c r="A80">
        <f t="shared" si="1"/>
        <v>1</v>
      </c>
      <c r="B80" s="28">
        <v>16</v>
      </c>
      <c r="C80" s="27">
        <v>0.28000000000000003</v>
      </c>
      <c r="D80" s="27">
        <v>0.06</v>
      </c>
      <c r="E80" s="27"/>
      <c r="F80" s="2"/>
      <c r="G80" s="27"/>
      <c r="H80" s="2"/>
      <c r="I80" s="2"/>
    </row>
    <row r="81" spans="1:9">
      <c r="A81">
        <f t="shared" si="1"/>
        <v>1</v>
      </c>
      <c r="B81" s="28">
        <v>17</v>
      </c>
      <c r="C81" s="27">
        <v>0.28000000000000003</v>
      </c>
      <c r="D81" s="27">
        <v>0.06</v>
      </c>
      <c r="E81" s="27"/>
      <c r="F81" s="2"/>
      <c r="G81" s="27"/>
      <c r="H81" s="2"/>
      <c r="I81" s="2"/>
    </row>
    <row r="82" spans="1:9">
      <c r="A82">
        <f t="shared" si="1"/>
        <v>1</v>
      </c>
      <c r="B82" s="28">
        <v>18</v>
      </c>
      <c r="C82" s="27">
        <v>0.28000000000000003</v>
      </c>
      <c r="D82" s="27">
        <v>0.06</v>
      </c>
      <c r="E82" s="27"/>
      <c r="F82" s="2"/>
      <c r="G82" s="27"/>
      <c r="H82" s="2"/>
      <c r="I82" s="2"/>
    </row>
    <row r="83" spans="1:9">
      <c r="A83">
        <f t="shared" si="1"/>
        <v>1</v>
      </c>
      <c r="B83" s="28">
        <v>19</v>
      </c>
      <c r="C83" s="27">
        <v>0.28000000000000003</v>
      </c>
      <c r="D83" s="27">
        <v>0.06</v>
      </c>
      <c r="E83" s="27"/>
      <c r="F83" s="2"/>
      <c r="G83" s="27"/>
      <c r="H83" s="2"/>
      <c r="I83" s="2"/>
    </row>
    <row r="84" spans="1:9">
      <c r="A84">
        <f t="shared" si="1"/>
        <v>1</v>
      </c>
      <c r="B84" s="28">
        <v>20</v>
      </c>
      <c r="C84" s="27">
        <v>0.28000000000000003</v>
      </c>
      <c r="D84" s="27">
        <v>0.06</v>
      </c>
      <c r="E84" s="27"/>
      <c r="F84" s="2"/>
      <c r="G84" s="27"/>
      <c r="H84" s="2"/>
      <c r="I84" s="2"/>
    </row>
    <row r="85" spans="1:9">
      <c r="A85">
        <f t="shared" si="1"/>
        <v>1</v>
      </c>
      <c r="B85" s="28">
        <v>21</v>
      </c>
      <c r="C85" s="27">
        <v>0.28000000000000003</v>
      </c>
      <c r="D85" s="27">
        <v>0.06</v>
      </c>
      <c r="E85" s="27"/>
      <c r="F85" s="2"/>
      <c r="G85" s="27"/>
      <c r="H85" s="2"/>
      <c r="I85" s="2"/>
    </row>
    <row r="86" spans="1:9">
      <c r="A86">
        <f t="shared" si="1"/>
        <v>1</v>
      </c>
      <c r="B86" s="28">
        <v>22</v>
      </c>
      <c r="C86" s="27">
        <v>0.28000000000000003</v>
      </c>
      <c r="D86" s="27">
        <v>0.06</v>
      </c>
      <c r="E86" s="27"/>
      <c r="F86" s="2"/>
      <c r="G86" s="27"/>
      <c r="H86" s="2"/>
      <c r="I86" s="2"/>
    </row>
    <row r="87" spans="1:9">
      <c r="A87">
        <f t="shared" si="1"/>
        <v>1</v>
      </c>
      <c r="B87" s="28">
        <v>23</v>
      </c>
      <c r="C87" s="27">
        <v>0.28000000000000003</v>
      </c>
      <c r="D87" s="27">
        <v>0.06</v>
      </c>
      <c r="E87" s="27"/>
      <c r="F87" s="2"/>
      <c r="G87" s="27"/>
      <c r="H87" s="2"/>
      <c r="I87" s="2"/>
    </row>
    <row r="88" spans="1:9">
      <c r="A88">
        <f t="shared" si="1"/>
        <v>2</v>
      </c>
      <c r="B88" s="28">
        <v>24</v>
      </c>
      <c r="C88" s="27">
        <v>0.28000000000000003</v>
      </c>
      <c r="D88" s="27">
        <v>0.33</v>
      </c>
      <c r="E88" s="27">
        <v>0.42</v>
      </c>
      <c r="F88" s="2"/>
      <c r="G88" s="27"/>
      <c r="H88" s="2"/>
      <c r="I88" s="2"/>
    </row>
    <row r="89" spans="1:9">
      <c r="A89">
        <f t="shared" si="1"/>
        <v>2</v>
      </c>
      <c r="B89" s="28">
        <v>25</v>
      </c>
      <c r="C89" s="27">
        <v>0.28000000000000003</v>
      </c>
      <c r="D89" s="27">
        <v>0.33</v>
      </c>
      <c r="E89" s="27">
        <v>0.42</v>
      </c>
      <c r="F89" s="2"/>
      <c r="G89" s="27"/>
      <c r="H89" s="2"/>
      <c r="I89" s="2"/>
    </row>
    <row r="90" spans="1:9">
      <c r="A90">
        <f t="shared" si="1"/>
        <v>2</v>
      </c>
      <c r="B90" s="28">
        <v>26</v>
      </c>
      <c r="C90" s="27">
        <v>0.28000000000000003</v>
      </c>
      <c r="D90" s="27">
        <v>0.33</v>
      </c>
      <c r="E90" s="27">
        <v>0.42</v>
      </c>
      <c r="F90" s="2"/>
      <c r="G90" s="27"/>
      <c r="H90" s="2"/>
      <c r="I90" s="2"/>
    </row>
    <row r="91" spans="1:9">
      <c r="A91">
        <f t="shared" si="1"/>
        <v>2</v>
      </c>
      <c r="B91" s="28">
        <v>27</v>
      </c>
      <c r="C91" s="27">
        <v>0.28000000000000003</v>
      </c>
      <c r="D91" s="27">
        <v>0.33</v>
      </c>
      <c r="E91" s="27">
        <v>0.42</v>
      </c>
      <c r="F91" s="2"/>
      <c r="G91" s="27"/>
      <c r="H91" s="2"/>
      <c r="I91" s="2"/>
    </row>
    <row r="92" spans="1:9">
      <c r="A92">
        <f t="shared" si="1"/>
        <v>2</v>
      </c>
      <c r="B92" s="28">
        <v>28</v>
      </c>
      <c r="C92" s="27">
        <v>0.28000000000000003</v>
      </c>
      <c r="D92" s="27">
        <v>0.33</v>
      </c>
      <c r="E92" s="27">
        <v>0.42</v>
      </c>
      <c r="F92" s="2"/>
      <c r="G92" s="27"/>
      <c r="H92" s="2"/>
      <c r="I92" s="2"/>
    </row>
    <row r="93" spans="1:9">
      <c r="A93">
        <f t="shared" si="1"/>
        <v>2</v>
      </c>
      <c r="B93" s="28">
        <v>29</v>
      </c>
      <c r="C93" s="27">
        <v>0.28000000000000003</v>
      </c>
      <c r="D93" s="27">
        <v>0.33</v>
      </c>
      <c r="E93" s="27">
        <v>0.42</v>
      </c>
      <c r="F93" s="2"/>
      <c r="G93" s="27"/>
      <c r="H93" s="2"/>
      <c r="I93" s="2"/>
    </row>
    <row r="94" spans="1:9">
      <c r="A94">
        <f t="shared" si="1"/>
        <v>2</v>
      </c>
      <c r="B94" s="28">
        <v>30</v>
      </c>
      <c r="C94" s="27">
        <v>0.28000000000000003</v>
      </c>
      <c r="D94" s="27">
        <v>0.33</v>
      </c>
      <c r="E94" s="27">
        <v>0.42</v>
      </c>
      <c r="F94" s="2"/>
      <c r="G94" s="27"/>
      <c r="H94" s="2"/>
      <c r="I94" s="2"/>
    </row>
    <row r="95" spans="1:9">
      <c r="A95">
        <f t="shared" si="1"/>
        <v>2</v>
      </c>
      <c r="B95" s="28">
        <v>31</v>
      </c>
      <c r="C95" s="27">
        <v>0.28000000000000003</v>
      </c>
      <c r="D95" s="27">
        <v>0.33</v>
      </c>
      <c r="E95" s="27">
        <v>0.42</v>
      </c>
      <c r="F95" s="2"/>
      <c r="G95" s="27"/>
      <c r="H95" s="2"/>
      <c r="I95" s="2"/>
    </row>
    <row r="96" spans="1:9">
      <c r="A96">
        <f t="shared" si="1"/>
        <v>2</v>
      </c>
      <c r="B96" s="28">
        <v>32</v>
      </c>
      <c r="C96" s="27">
        <v>0.28000000000000003</v>
      </c>
      <c r="D96" s="27">
        <v>0.33</v>
      </c>
      <c r="E96" s="27">
        <v>0.42</v>
      </c>
      <c r="F96" s="2"/>
      <c r="G96" s="27"/>
      <c r="H96" s="2"/>
      <c r="I96" s="2"/>
    </row>
    <row r="97" spans="1:9">
      <c r="A97">
        <f t="shared" si="1"/>
        <v>2</v>
      </c>
      <c r="B97" s="28">
        <v>33</v>
      </c>
      <c r="C97" s="27">
        <v>0.28000000000000003</v>
      </c>
      <c r="D97" s="27">
        <v>0.33</v>
      </c>
      <c r="E97" s="27">
        <v>0.42</v>
      </c>
      <c r="F97" s="2"/>
      <c r="G97" s="27"/>
      <c r="H97" s="2"/>
      <c r="I97" s="2"/>
    </row>
    <row r="98" spans="1:9">
      <c r="A98">
        <f t="shared" si="1"/>
        <v>2</v>
      </c>
      <c r="B98" s="28">
        <v>34</v>
      </c>
      <c r="C98" s="27">
        <v>0.28000000000000003</v>
      </c>
      <c r="D98" s="27">
        <v>0.33</v>
      </c>
      <c r="E98" s="27">
        <v>0.42</v>
      </c>
      <c r="F98" s="2"/>
      <c r="G98" s="27"/>
      <c r="H98" s="2"/>
      <c r="I98" s="2"/>
    </row>
    <row r="99" spans="1:9">
      <c r="A99">
        <f t="shared" si="1"/>
        <v>2</v>
      </c>
      <c r="B99" s="28">
        <v>35</v>
      </c>
      <c r="C99" s="27">
        <v>0.28000000000000003</v>
      </c>
      <c r="D99" s="27">
        <v>0.33</v>
      </c>
      <c r="E99" s="27">
        <v>0.42</v>
      </c>
      <c r="F99" s="2"/>
      <c r="G99" s="27"/>
      <c r="H99" s="2"/>
      <c r="I99" s="2"/>
    </row>
    <row r="100" spans="1:9">
      <c r="A100">
        <f t="shared" si="1"/>
        <v>3</v>
      </c>
      <c r="B100" s="28">
        <v>36</v>
      </c>
      <c r="C100" s="27">
        <v>0.41</v>
      </c>
      <c r="D100" s="27">
        <v>0.25</v>
      </c>
      <c r="E100" s="27">
        <v>0.16</v>
      </c>
      <c r="F100" s="2"/>
      <c r="G100" s="27"/>
      <c r="H100" s="2"/>
      <c r="I100" s="2"/>
    </row>
    <row r="101" spans="1:9">
      <c r="A101">
        <f t="shared" si="1"/>
        <v>3</v>
      </c>
      <c r="B101" s="28">
        <v>37</v>
      </c>
      <c r="C101" s="27">
        <v>0.41</v>
      </c>
      <c r="D101" s="27">
        <v>0.25</v>
      </c>
      <c r="E101" s="27">
        <v>0.16</v>
      </c>
      <c r="F101" s="2"/>
      <c r="G101" s="27"/>
      <c r="H101" s="2"/>
      <c r="I101" s="2"/>
    </row>
    <row r="102" spans="1:9">
      <c r="A102">
        <f t="shared" si="1"/>
        <v>3</v>
      </c>
      <c r="B102" s="28">
        <v>38</v>
      </c>
      <c r="C102" s="27">
        <v>0.41</v>
      </c>
      <c r="D102" s="27">
        <v>0.25</v>
      </c>
      <c r="E102" s="27">
        <v>0.16</v>
      </c>
      <c r="F102" s="2"/>
      <c r="G102" s="27"/>
      <c r="H102" s="2"/>
      <c r="I102" s="2"/>
    </row>
    <row r="103" spans="1:9">
      <c r="A103">
        <f t="shared" si="1"/>
        <v>3</v>
      </c>
      <c r="B103" s="28">
        <v>39</v>
      </c>
      <c r="C103" s="27">
        <v>0.41</v>
      </c>
      <c r="D103" s="27">
        <v>0.25</v>
      </c>
      <c r="E103" s="27">
        <v>0.16</v>
      </c>
      <c r="F103" s="2"/>
      <c r="G103" s="27"/>
      <c r="H103" s="2"/>
      <c r="I103" s="2"/>
    </row>
    <row r="104" spans="1:9">
      <c r="A104">
        <f t="shared" si="1"/>
        <v>3</v>
      </c>
      <c r="B104" s="28">
        <v>40</v>
      </c>
      <c r="C104" s="27">
        <v>0.41</v>
      </c>
      <c r="D104" s="27">
        <v>0.25</v>
      </c>
      <c r="E104" s="27">
        <v>0.16</v>
      </c>
      <c r="F104" s="2"/>
      <c r="G104" s="27"/>
      <c r="H104" s="2"/>
      <c r="I104" s="2"/>
    </row>
    <row r="105" spans="1:9">
      <c r="A105">
        <f t="shared" si="1"/>
        <v>3</v>
      </c>
      <c r="B105" s="28">
        <v>41</v>
      </c>
      <c r="C105" s="27">
        <v>0.41</v>
      </c>
      <c r="D105" s="27">
        <v>0.25</v>
      </c>
      <c r="E105" s="27">
        <v>0.16</v>
      </c>
      <c r="F105" s="2"/>
      <c r="G105" s="27"/>
      <c r="H105" s="2"/>
      <c r="I105" s="2"/>
    </row>
    <row r="106" spans="1:9">
      <c r="A106">
        <f t="shared" si="1"/>
        <v>3</v>
      </c>
      <c r="B106" s="28">
        <v>42</v>
      </c>
      <c r="C106" s="27">
        <v>0.41</v>
      </c>
      <c r="D106" s="27">
        <v>0.25</v>
      </c>
      <c r="E106" s="27">
        <v>0.16</v>
      </c>
      <c r="F106" s="2"/>
      <c r="G106" s="27"/>
      <c r="H106" s="2"/>
      <c r="I106" s="2"/>
    </row>
    <row r="107" spans="1:9">
      <c r="A107">
        <f t="shared" si="1"/>
        <v>3</v>
      </c>
      <c r="B107" s="28">
        <v>43</v>
      </c>
      <c r="C107" s="27">
        <v>0.41</v>
      </c>
      <c r="D107" s="27">
        <v>0.25</v>
      </c>
      <c r="E107" s="27">
        <v>0.16</v>
      </c>
      <c r="F107" s="2"/>
      <c r="G107" s="27"/>
      <c r="H107" s="2"/>
      <c r="I107" s="2"/>
    </row>
    <row r="108" spans="1:9">
      <c r="A108">
        <f t="shared" si="1"/>
        <v>3</v>
      </c>
      <c r="B108" s="28">
        <v>44</v>
      </c>
      <c r="C108" s="27">
        <v>0.41</v>
      </c>
      <c r="D108" s="27">
        <v>0.25</v>
      </c>
      <c r="E108" s="27">
        <v>0.16</v>
      </c>
      <c r="F108" s="2"/>
      <c r="G108" s="27"/>
      <c r="H108" s="2"/>
      <c r="I108" s="2"/>
    </row>
    <row r="109" spans="1:9">
      <c r="A109">
        <f t="shared" si="1"/>
        <v>3</v>
      </c>
      <c r="B109" s="28">
        <v>45</v>
      </c>
      <c r="C109" s="27">
        <v>0.41</v>
      </c>
      <c r="D109" s="27">
        <v>0.25</v>
      </c>
      <c r="E109" s="27">
        <v>0.16</v>
      </c>
      <c r="F109" s="2"/>
      <c r="G109" s="27"/>
      <c r="H109" s="2"/>
      <c r="I109" s="2"/>
    </row>
    <row r="110" spans="1:9">
      <c r="A110">
        <f t="shared" si="1"/>
        <v>3</v>
      </c>
      <c r="B110" s="28">
        <v>46</v>
      </c>
      <c r="C110" s="27">
        <v>0.41</v>
      </c>
      <c r="D110" s="27">
        <v>0.25</v>
      </c>
      <c r="E110" s="27">
        <v>0.16</v>
      </c>
      <c r="F110" s="2"/>
      <c r="G110" s="27"/>
      <c r="H110" s="2"/>
      <c r="I110" s="2"/>
    </row>
    <row r="111" spans="1:9">
      <c r="A111">
        <f t="shared" si="1"/>
        <v>3</v>
      </c>
      <c r="B111" s="28">
        <v>47</v>
      </c>
      <c r="C111" s="27">
        <v>0.41</v>
      </c>
      <c r="D111" s="27">
        <v>0.25</v>
      </c>
      <c r="E111" s="27">
        <v>0.16</v>
      </c>
      <c r="F111" s="2"/>
      <c r="G111" s="27"/>
      <c r="H111" s="2"/>
      <c r="I111" s="2"/>
    </row>
    <row r="112" spans="1:9">
      <c r="A112">
        <f t="shared" si="1"/>
        <v>4</v>
      </c>
      <c r="B112" s="28">
        <v>48</v>
      </c>
      <c r="C112" s="27">
        <v>0.41</v>
      </c>
      <c r="D112" s="27">
        <v>0.11</v>
      </c>
      <c r="E112" s="27">
        <v>0.12</v>
      </c>
      <c r="F112" s="2"/>
      <c r="G112" s="27"/>
      <c r="H112" s="2"/>
      <c r="I112" s="2"/>
    </row>
    <row r="113" spans="1:9">
      <c r="A113">
        <f t="shared" si="1"/>
        <v>4</v>
      </c>
      <c r="B113" s="28">
        <v>49</v>
      </c>
      <c r="C113" s="27">
        <v>0.41</v>
      </c>
      <c r="D113" s="27">
        <v>0.11</v>
      </c>
      <c r="E113" s="27">
        <v>0.12</v>
      </c>
      <c r="F113" s="2"/>
      <c r="G113" s="27"/>
      <c r="H113" s="2"/>
      <c r="I113" s="2"/>
    </row>
    <row r="114" spans="1:9">
      <c r="A114">
        <f t="shared" si="1"/>
        <v>4</v>
      </c>
      <c r="B114" s="28">
        <v>50</v>
      </c>
      <c r="C114" s="27">
        <v>0.41</v>
      </c>
      <c r="D114" s="27">
        <v>0.11</v>
      </c>
      <c r="E114" s="27">
        <v>0.12</v>
      </c>
      <c r="F114" s="2"/>
      <c r="G114" s="27"/>
      <c r="H114" s="2"/>
      <c r="I114" s="2"/>
    </row>
    <row r="115" spans="1:9">
      <c r="A115">
        <f t="shared" si="1"/>
        <v>4</v>
      </c>
      <c r="B115" s="28">
        <v>51</v>
      </c>
      <c r="C115" s="27">
        <v>0.41</v>
      </c>
      <c r="D115" s="27">
        <v>0.11</v>
      </c>
      <c r="E115" s="27">
        <v>0.12</v>
      </c>
      <c r="F115" s="2"/>
      <c r="G115" s="27"/>
      <c r="H115" s="2"/>
      <c r="I115" s="2"/>
    </row>
    <row r="116" spans="1:9">
      <c r="A116">
        <f t="shared" si="1"/>
        <v>4</v>
      </c>
      <c r="B116" s="28">
        <v>52</v>
      </c>
      <c r="C116" s="27">
        <v>0.41</v>
      </c>
      <c r="D116" s="27">
        <v>0.11</v>
      </c>
      <c r="E116" s="27">
        <v>0.12</v>
      </c>
      <c r="F116" s="2"/>
      <c r="G116" s="27"/>
      <c r="H116" s="2"/>
      <c r="I116" s="2"/>
    </row>
    <row r="117" spans="1:9">
      <c r="A117">
        <f t="shared" si="1"/>
        <v>4</v>
      </c>
      <c r="B117" s="28">
        <v>53</v>
      </c>
      <c r="C117" s="27">
        <v>0.41</v>
      </c>
      <c r="D117" s="27">
        <v>0.11</v>
      </c>
      <c r="E117" s="27">
        <v>0.12</v>
      </c>
      <c r="F117" s="2"/>
      <c r="G117" s="27"/>
      <c r="H117" s="2"/>
      <c r="I117" s="2"/>
    </row>
    <row r="118" spans="1:9">
      <c r="A118">
        <f t="shared" si="1"/>
        <v>4</v>
      </c>
      <c r="B118" s="28">
        <v>54</v>
      </c>
      <c r="C118" s="27">
        <v>0.41</v>
      </c>
      <c r="D118" s="27">
        <v>0.11</v>
      </c>
      <c r="E118" s="27">
        <v>0.12</v>
      </c>
      <c r="F118" s="2"/>
      <c r="G118" s="27"/>
      <c r="H118" s="2"/>
      <c r="I118" s="2"/>
    </row>
    <row r="119" spans="1:9">
      <c r="A119">
        <f t="shared" si="1"/>
        <v>4</v>
      </c>
      <c r="B119" s="28">
        <v>55</v>
      </c>
      <c r="C119" s="27">
        <v>0.41</v>
      </c>
      <c r="D119" s="27">
        <v>0.11</v>
      </c>
      <c r="E119" s="27">
        <v>0.12</v>
      </c>
      <c r="F119" s="2"/>
      <c r="G119" s="27"/>
      <c r="H119" s="2"/>
      <c r="I119" s="2"/>
    </row>
    <row r="120" spans="1:9">
      <c r="A120">
        <f t="shared" si="1"/>
        <v>4</v>
      </c>
      <c r="B120" s="28">
        <v>56</v>
      </c>
      <c r="C120" s="27">
        <v>0.41</v>
      </c>
      <c r="D120" s="27">
        <v>0.11</v>
      </c>
      <c r="E120" s="27">
        <v>0.12</v>
      </c>
      <c r="F120" s="2"/>
      <c r="G120" s="27"/>
      <c r="H120" s="2"/>
      <c r="I120" s="2"/>
    </row>
    <row r="121" spans="1:9">
      <c r="A121">
        <f t="shared" si="1"/>
        <v>4</v>
      </c>
      <c r="B121" s="28">
        <v>57</v>
      </c>
      <c r="C121" s="27">
        <v>0.41</v>
      </c>
      <c r="D121" s="27">
        <v>0.11</v>
      </c>
      <c r="E121" s="27">
        <v>0.12</v>
      </c>
      <c r="F121" s="2"/>
      <c r="G121" s="27"/>
      <c r="H121" s="2"/>
      <c r="I121" s="2"/>
    </row>
    <row r="122" spans="1:9">
      <c r="A122">
        <f t="shared" si="1"/>
        <v>4</v>
      </c>
      <c r="B122" s="28">
        <v>58</v>
      </c>
      <c r="C122" s="27">
        <v>0.41</v>
      </c>
      <c r="D122" s="27">
        <v>0.11</v>
      </c>
      <c r="E122" s="27">
        <v>0.12</v>
      </c>
      <c r="F122" s="2"/>
      <c r="G122" s="27"/>
      <c r="H122" s="2"/>
      <c r="I122" s="2"/>
    </row>
    <row r="123" spans="1:9">
      <c r="A123">
        <f t="shared" si="1"/>
        <v>4</v>
      </c>
      <c r="B123" s="28">
        <v>59</v>
      </c>
      <c r="C123" s="27">
        <v>0.41</v>
      </c>
      <c r="D123" s="27">
        <v>0.11</v>
      </c>
      <c r="E123" s="27">
        <v>0.12</v>
      </c>
      <c r="F123" s="2"/>
      <c r="G123" s="27"/>
      <c r="H123" s="2"/>
      <c r="I123" s="2"/>
    </row>
    <row r="124" spans="1:9">
      <c r="A124">
        <f t="shared" si="1"/>
        <v>5</v>
      </c>
      <c r="B124" s="28">
        <v>60</v>
      </c>
      <c r="C124" s="27">
        <v>0.15</v>
      </c>
      <c r="D124" s="27">
        <v>0.09</v>
      </c>
      <c r="E124" s="27"/>
      <c r="F124" s="2"/>
      <c r="G124" s="27"/>
      <c r="H124" s="2"/>
      <c r="I124" s="2"/>
    </row>
    <row r="125" spans="1:9">
      <c r="A125">
        <f t="shared" si="1"/>
        <v>5</v>
      </c>
      <c r="B125" s="28">
        <v>61</v>
      </c>
      <c r="C125" s="27">
        <v>0.15</v>
      </c>
      <c r="D125" s="27">
        <v>0.09</v>
      </c>
      <c r="E125" s="27"/>
      <c r="F125" s="2"/>
      <c r="G125" s="27"/>
      <c r="H125" s="2"/>
      <c r="I125" s="2"/>
    </row>
    <row r="126" spans="1:9">
      <c r="A126">
        <f t="shared" si="1"/>
        <v>5</v>
      </c>
      <c r="B126" s="28">
        <v>62</v>
      </c>
      <c r="C126" s="27">
        <v>0.15</v>
      </c>
      <c r="D126" s="27">
        <v>0.09</v>
      </c>
      <c r="E126" s="27"/>
      <c r="F126" s="2"/>
      <c r="G126" s="27"/>
      <c r="H126" s="2"/>
      <c r="I126" s="2"/>
    </row>
    <row r="127" spans="1:9">
      <c r="A127">
        <f t="shared" si="1"/>
        <v>5</v>
      </c>
      <c r="B127" s="28">
        <v>63</v>
      </c>
      <c r="C127" s="27">
        <v>0.15</v>
      </c>
      <c r="D127" s="27">
        <v>0.09</v>
      </c>
      <c r="E127" s="27"/>
      <c r="F127" s="2"/>
      <c r="G127" s="27"/>
      <c r="H127" s="2"/>
      <c r="I127" s="2"/>
    </row>
    <row r="128" spans="1:9">
      <c r="A128">
        <f t="shared" si="1"/>
        <v>5</v>
      </c>
      <c r="B128" s="28">
        <v>64</v>
      </c>
      <c r="C128" s="27">
        <v>0.15</v>
      </c>
      <c r="D128" s="27">
        <v>0.09</v>
      </c>
      <c r="E128" s="27"/>
      <c r="F128" s="2"/>
      <c r="G128" s="27"/>
      <c r="H128" s="2"/>
      <c r="I128" s="2"/>
    </row>
    <row r="129" spans="1:9">
      <c r="A129">
        <f t="shared" ref="A129:A184" si="2">ROUNDDOWN(B129/12,0)</f>
        <v>5</v>
      </c>
      <c r="B129" s="28">
        <v>65</v>
      </c>
      <c r="C129" s="27">
        <v>0.15</v>
      </c>
      <c r="D129" s="27">
        <v>0.09</v>
      </c>
      <c r="E129" s="27"/>
      <c r="F129" s="2"/>
      <c r="G129" s="27"/>
      <c r="H129" s="2"/>
      <c r="I129" s="2"/>
    </row>
    <row r="130" spans="1:9">
      <c r="A130">
        <f t="shared" si="2"/>
        <v>5</v>
      </c>
      <c r="B130" s="28">
        <v>66</v>
      </c>
      <c r="C130" s="27">
        <v>0.15</v>
      </c>
      <c r="D130" s="27">
        <v>0.09</v>
      </c>
      <c r="E130" s="27"/>
      <c r="F130" s="2"/>
      <c r="G130" s="27"/>
      <c r="H130" s="2"/>
      <c r="I130" s="2"/>
    </row>
    <row r="131" spans="1:9">
      <c r="A131">
        <f t="shared" si="2"/>
        <v>5</v>
      </c>
      <c r="B131" s="28">
        <v>67</v>
      </c>
      <c r="C131" s="27">
        <v>0.15</v>
      </c>
      <c r="D131" s="27">
        <v>0.09</v>
      </c>
      <c r="E131" s="27"/>
      <c r="F131" s="2"/>
      <c r="G131" s="27"/>
      <c r="H131" s="2"/>
      <c r="I131" s="2"/>
    </row>
    <row r="132" spans="1:9">
      <c r="A132">
        <f t="shared" si="2"/>
        <v>5</v>
      </c>
      <c r="B132" s="28">
        <v>68</v>
      </c>
      <c r="C132" s="27">
        <v>0.15</v>
      </c>
      <c r="D132" s="27">
        <v>0.09</v>
      </c>
      <c r="E132" s="27"/>
      <c r="F132" s="2"/>
      <c r="G132" s="27"/>
      <c r="H132" s="2"/>
      <c r="I132" s="2"/>
    </row>
    <row r="133" spans="1:9">
      <c r="A133">
        <f t="shared" si="2"/>
        <v>5</v>
      </c>
      <c r="B133" s="28">
        <v>69</v>
      </c>
      <c r="C133" s="27">
        <v>0.15</v>
      </c>
      <c r="D133" s="27">
        <v>0.09</v>
      </c>
      <c r="E133" s="27"/>
      <c r="F133" s="2"/>
      <c r="G133" s="27"/>
      <c r="H133" s="2"/>
      <c r="I133" s="2"/>
    </row>
    <row r="134" spans="1:9">
      <c r="A134">
        <f t="shared" si="2"/>
        <v>5</v>
      </c>
      <c r="B134" s="28">
        <v>70</v>
      </c>
      <c r="C134" s="27">
        <v>0.15</v>
      </c>
      <c r="D134" s="27">
        <v>0.09</v>
      </c>
      <c r="E134" s="27"/>
      <c r="F134" s="2"/>
      <c r="G134" s="27"/>
      <c r="H134" s="2"/>
      <c r="I134" s="2"/>
    </row>
    <row r="135" spans="1:9">
      <c r="A135">
        <f t="shared" si="2"/>
        <v>5</v>
      </c>
      <c r="B135" s="28">
        <v>71</v>
      </c>
      <c r="C135" s="27">
        <v>0.15</v>
      </c>
      <c r="D135" s="27">
        <v>0.09</v>
      </c>
      <c r="E135" s="27"/>
      <c r="F135" s="2"/>
      <c r="G135" s="27"/>
      <c r="H135" s="2"/>
      <c r="I135" s="2"/>
    </row>
    <row r="136" spans="1:9">
      <c r="A136">
        <f t="shared" si="2"/>
        <v>6</v>
      </c>
      <c r="B136" s="28">
        <v>72</v>
      </c>
      <c r="C136" s="27">
        <v>0.15</v>
      </c>
      <c r="D136" s="27"/>
      <c r="E136" s="27"/>
      <c r="F136" s="2"/>
      <c r="G136" s="27"/>
      <c r="H136" s="2"/>
      <c r="I136" s="2"/>
    </row>
    <row r="137" spans="1:9">
      <c r="A137">
        <f t="shared" si="2"/>
        <v>6</v>
      </c>
      <c r="B137" s="28">
        <v>73</v>
      </c>
      <c r="C137" s="27">
        <v>0.15</v>
      </c>
      <c r="D137" s="27"/>
      <c r="E137" s="27"/>
      <c r="F137" s="2"/>
      <c r="G137" s="27"/>
      <c r="H137" s="2"/>
      <c r="I137" s="2"/>
    </row>
    <row r="138" spans="1:9">
      <c r="A138">
        <f t="shared" si="2"/>
        <v>6</v>
      </c>
      <c r="B138" s="28">
        <v>74</v>
      </c>
      <c r="C138" s="27">
        <v>0.15</v>
      </c>
      <c r="D138" s="27"/>
      <c r="E138" s="27"/>
      <c r="F138" s="2"/>
      <c r="G138" s="27"/>
      <c r="H138" s="2"/>
      <c r="I138" s="2"/>
    </row>
    <row r="139" spans="1:9">
      <c r="A139">
        <f t="shared" si="2"/>
        <v>6</v>
      </c>
      <c r="B139" s="28">
        <v>75</v>
      </c>
      <c r="C139" s="27">
        <v>0.15</v>
      </c>
      <c r="D139" s="27"/>
      <c r="E139" s="27"/>
      <c r="F139" s="2"/>
      <c r="G139" s="27"/>
      <c r="H139" s="2"/>
      <c r="I139" s="2"/>
    </row>
    <row r="140" spans="1:9">
      <c r="A140">
        <f t="shared" si="2"/>
        <v>6</v>
      </c>
      <c r="B140" s="28">
        <v>76</v>
      </c>
      <c r="C140" s="27">
        <v>0.15</v>
      </c>
      <c r="D140" s="27"/>
      <c r="E140" s="27"/>
      <c r="F140" s="2"/>
      <c r="G140" s="27"/>
      <c r="H140" s="2"/>
      <c r="I140" s="2"/>
    </row>
    <row r="141" spans="1:9">
      <c r="A141">
        <f t="shared" si="2"/>
        <v>6</v>
      </c>
      <c r="B141" s="28">
        <v>77</v>
      </c>
      <c r="C141" s="27">
        <v>0.15</v>
      </c>
      <c r="D141" s="27"/>
      <c r="E141" s="27"/>
      <c r="F141" s="2"/>
      <c r="G141" s="27"/>
      <c r="H141" s="2"/>
      <c r="I141" s="2"/>
    </row>
    <row r="142" spans="1:9">
      <c r="A142">
        <f t="shared" si="2"/>
        <v>6</v>
      </c>
      <c r="B142" s="28">
        <v>78</v>
      </c>
      <c r="C142" s="27">
        <v>0.15</v>
      </c>
      <c r="D142" s="27"/>
      <c r="E142" s="27"/>
      <c r="F142" s="2"/>
      <c r="G142" s="27"/>
      <c r="H142" s="2"/>
      <c r="I142" s="2"/>
    </row>
    <row r="143" spans="1:9">
      <c r="A143">
        <f t="shared" si="2"/>
        <v>6</v>
      </c>
      <c r="B143" s="28">
        <v>79</v>
      </c>
      <c r="C143" s="27">
        <v>0.15</v>
      </c>
      <c r="D143" s="27"/>
      <c r="E143" s="27"/>
      <c r="F143" s="2"/>
      <c r="G143" s="27"/>
      <c r="H143" s="2"/>
      <c r="I143" s="2"/>
    </row>
    <row r="144" spans="1:9">
      <c r="A144">
        <f t="shared" si="2"/>
        <v>6</v>
      </c>
      <c r="B144" s="28">
        <v>80</v>
      </c>
      <c r="C144" s="27">
        <v>0.15</v>
      </c>
      <c r="D144" s="27"/>
      <c r="E144" s="27"/>
      <c r="F144" s="2"/>
      <c r="G144" s="27"/>
      <c r="H144" s="2"/>
      <c r="I144" s="2"/>
    </row>
    <row r="145" spans="1:9">
      <c r="A145">
        <f t="shared" si="2"/>
        <v>6</v>
      </c>
      <c r="B145" s="28">
        <v>81</v>
      </c>
      <c r="C145" s="27">
        <v>0.15</v>
      </c>
      <c r="D145" s="27"/>
      <c r="E145" s="27"/>
      <c r="F145" s="2"/>
      <c r="G145" s="27"/>
      <c r="H145" s="2"/>
      <c r="I145" s="2"/>
    </row>
    <row r="146" spans="1:9">
      <c r="A146">
        <f t="shared" si="2"/>
        <v>6</v>
      </c>
      <c r="B146" s="28">
        <v>82</v>
      </c>
      <c r="C146" s="27">
        <v>0.15</v>
      </c>
      <c r="D146" s="27"/>
      <c r="E146" s="27"/>
      <c r="F146" s="2"/>
      <c r="G146" s="27"/>
      <c r="H146" s="2"/>
      <c r="I146" s="2"/>
    </row>
    <row r="147" spans="1:9">
      <c r="A147">
        <f t="shared" si="2"/>
        <v>6</v>
      </c>
      <c r="B147" s="28">
        <v>83</v>
      </c>
      <c r="C147" s="27">
        <v>0.15</v>
      </c>
      <c r="D147" s="27"/>
      <c r="E147" s="27"/>
      <c r="F147" s="2"/>
      <c r="G147" s="27"/>
      <c r="H147" s="2"/>
      <c r="I147" s="2"/>
    </row>
    <row r="148" spans="1:9">
      <c r="A148">
        <f t="shared" si="2"/>
        <v>7</v>
      </c>
      <c r="B148" s="28">
        <v>84</v>
      </c>
      <c r="C148" s="27">
        <v>0.03</v>
      </c>
      <c r="D148" s="27"/>
      <c r="E148" s="27"/>
      <c r="F148" s="2"/>
      <c r="G148" s="27"/>
      <c r="H148" s="2"/>
      <c r="I148" s="2"/>
    </row>
    <row r="149" spans="1:9">
      <c r="A149">
        <f t="shared" si="2"/>
        <v>7</v>
      </c>
      <c r="B149" s="28">
        <v>85</v>
      </c>
      <c r="C149" s="27">
        <v>0.03</v>
      </c>
      <c r="D149" s="27"/>
      <c r="E149" s="27"/>
      <c r="F149" s="2"/>
      <c r="G149" s="27"/>
      <c r="H149" s="2"/>
      <c r="I149" s="2"/>
    </row>
    <row r="150" spans="1:9">
      <c r="A150">
        <f t="shared" si="2"/>
        <v>7</v>
      </c>
      <c r="B150" s="28">
        <v>86</v>
      </c>
      <c r="C150" s="27">
        <v>0.03</v>
      </c>
      <c r="D150" s="27"/>
      <c r="E150" s="27"/>
      <c r="F150" s="2"/>
      <c r="G150" s="27"/>
      <c r="H150" s="2"/>
      <c r="I150" s="2"/>
    </row>
    <row r="151" spans="1:9">
      <c r="A151">
        <f t="shared" si="2"/>
        <v>7</v>
      </c>
      <c r="B151" s="28">
        <v>87</v>
      </c>
      <c r="C151" s="27">
        <v>0.03</v>
      </c>
      <c r="D151" s="27"/>
      <c r="E151" s="27"/>
      <c r="F151" s="2"/>
      <c r="G151" s="27"/>
      <c r="H151" s="2"/>
      <c r="I151" s="2"/>
    </row>
    <row r="152" spans="1:9">
      <c r="A152">
        <f t="shared" si="2"/>
        <v>7</v>
      </c>
      <c r="B152" s="28">
        <v>88</v>
      </c>
      <c r="C152" s="27">
        <v>0.03</v>
      </c>
      <c r="D152" s="27"/>
      <c r="E152" s="27"/>
      <c r="F152" s="2"/>
      <c r="G152" s="27"/>
      <c r="H152" s="2"/>
      <c r="I152" s="2"/>
    </row>
    <row r="153" spans="1:9">
      <c r="A153">
        <f t="shared" si="2"/>
        <v>7</v>
      </c>
      <c r="B153" s="28">
        <v>89</v>
      </c>
      <c r="C153" s="27">
        <v>0.03</v>
      </c>
      <c r="D153" s="27"/>
      <c r="E153" s="27"/>
      <c r="F153" s="2"/>
      <c r="G153" s="27"/>
      <c r="H153" s="2"/>
      <c r="I153" s="2"/>
    </row>
    <row r="154" spans="1:9">
      <c r="A154">
        <f t="shared" si="2"/>
        <v>7</v>
      </c>
      <c r="B154" s="28">
        <v>90</v>
      </c>
      <c r="C154" s="27">
        <v>0.03</v>
      </c>
      <c r="D154" s="27"/>
      <c r="E154" s="27"/>
      <c r="F154" s="2"/>
      <c r="G154" s="27"/>
      <c r="H154" s="2"/>
      <c r="I154" s="2"/>
    </row>
    <row r="155" spans="1:9">
      <c r="A155">
        <f t="shared" si="2"/>
        <v>7</v>
      </c>
      <c r="B155" s="28">
        <v>91</v>
      </c>
      <c r="C155" s="27">
        <v>0.03</v>
      </c>
      <c r="D155" s="27"/>
      <c r="E155" s="27"/>
      <c r="F155" s="2"/>
      <c r="G155" s="27"/>
      <c r="H155" s="2"/>
      <c r="I155" s="2"/>
    </row>
    <row r="156" spans="1:9">
      <c r="A156">
        <f t="shared" si="2"/>
        <v>7</v>
      </c>
      <c r="B156" s="28">
        <v>92</v>
      </c>
      <c r="C156" s="27">
        <v>0.03</v>
      </c>
      <c r="D156" s="27"/>
      <c r="E156" s="27"/>
      <c r="F156" s="2"/>
      <c r="G156" s="27"/>
      <c r="H156" s="2"/>
      <c r="I156" s="2"/>
    </row>
    <row r="157" spans="1:9">
      <c r="A157">
        <f t="shared" si="2"/>
        <v>7</v>
      </c>
      <c r="B157" s="28">
        <v>93</v>
      </c>
      <c r="C157" s="27">
        <v>0.03</v>
      </c>
      <c r="D157" s="27"/>
      <c r="E157" s="27"/>
      <c r="F157" s="2"/>
      <c r="G157" s="27"/>
      <c r="H157" s="2"/>
      <c r="I157" s="2"/>
    </row>
    <row r="158" spans="1:9">
      <c r="A158">
        <f t="shared" si="2"/>
        <v>7</v>
      </c>
      <c r="B158" s="28">
        <v>94</v>
      </c>
      <c r="C158" s="27">
        <v>0.03</v>
      </c>
      <c r="D158" s="27"/>
      <c r="E158" s="27"/>
      <c r="F158" s="2"/>
      <c r="G158" s="27"/>
      <c r="H158" s="2"/>
      <c r="I158" s="2"/>
    </row>
    <row r="159" spans="1:9">
      <c r="A159">
        <f t="shared" si="2"/>
        <v>7</v>
      </c>
      <c r="B159" s="28">
        <v>95</v>
      </c>
      <c r="C159" s="27">
        <v>0.03</v>
      </c>
      <c r="D159" s="27"/>
      <c r="E159" s="27"/>
      <c r="F159" s="2"/>
      <c r="G159" s="27"/>
      <c r="H159" s="2"/>
      <c r="I159" s="2"/>
    </row>
    <row r="160" spans="1:9">
      <c r="A160">
        <f t="shared" si="2"/>
        <v>8</v>
      </c>
      <c r="B160" s="28">
        <v>96</v>
      </c>
      <c r="C160" s="27">
        <v>0.03</v>
      </c>
      <c r="D160" s="27"/>
      <c r="E160" s="27"/>
      <c r="F160" s="2"/>
      <c r="G160" s="27"/>
      <c r="H160" s="2"/>
      <c r="I160" s="2"/>
    </row>
    <row r="161" spans="1:9">
      <c r="A161">
        <f t="shared" si="2"/>
        <v>8</v>
      </c>
      <c r="B161" s="28">
        <v>97</v>
      </c>
      <c r="C161" s="27">
        <v>0.03</v>
      </c>
      <c r="D161" s="27"/>
      <c r="E161" s="27"/>
      <c r="F161" s="2"/>
      <c r="G161" s="27"/>
      <c r="H161" s="2"/>
      <c r="I161" s="2"/>
    </row>
    <row r="162" spans="1:9">
      <c r="A162">
        <f t="shared" si="2"/>
        <v>8</v>
      </c>
      <c r="B162" s="28">
        <v>98</v>
      </c>
      <c r="C162" s="27">
        <v>0.03</v>
      </c>
      <c r="D162" s="27"/>
      <c r="E162" s="27"/>
      <c r="F162" s="2"/>
      <c r="G162" s="27"/>
      <c r="H162" s="2"/>
      <c r="I162" s="2"/>
    </row>
    <row r="163" spans="1:9">
      <c r="A163">
        <f t="shared" si="2"/>
        <v>8</v>
      </c>
      <c r="B163" s="28">
        <v>99</v>
      </c>
      <c r="C163" s="27">
        <v>0.03</v>
      </c>
      <c r="D163" s="27"/>
      <c r="E163" s="27"/>
      <c r="F163" s="2"/>
      <c r="G163" s="27"/>
      <c r="H163" s="2"/>
      <c r="I163" s="2"/>
    </row>
    <row r="164" spans="1:9">
      <c r="A164">
        <f t="shared" si="2"/>
        <v>8</v>
      </c>
      <c r="B164" s="28">
        <v>100</v>
      </c>
      <c r="C164" s="27">
        <v>0.03</v>
      </c>
      <c r="D164" s="27"/>
      <c r="E164" s="27"/>
      <c r="F164" s="2"/>
      <c r="G164" s="27"/>
      <c r="H164" s="2"/>
      <c r="I164" s="2"/>
    </row>
    <row r="165" spans="1:9">
      <c r="A165">
        <f t="shared" si="2"/>
        <v>8</v>
      </c>
      <c r="B165" s="28">
        <v>101</v>
      </c>
      <c r="C165" s="27">
        <v>0.03</v>
      </c>
      <c r="D165" s="27"/>
      <c r="E165" s="27"/>
      <c r="F165" s="2"/>
      <c r="G165" s="27"/>
      <c r="H165" s="2"/>
      <c r="I165" s="2"/>
    </row>
    <row r="166" spans="1:9">
      <c r="A166">
        <f t="shared" si="2"/>
        <v>8</v>
      </c>
      <c r="B166" s="28">
        <v>102</v>
      </c>
      <c r="C166" s="27">
        <v>0.03</v>
      </c>
      <c r="D166" s="27"/>
      <c r="E166" s="27"/>
      <c r="F166" s="2"/>
      <c r="G166" s="27"/>
      <c r="H166" s="2"/>
      <c r="I166" s="2"/>
    </row>
    <row r="167" spans="1:9">
      <c r="A167">
        <f t="shared" si="2"/>
        <v>8</v>
      </c>
      <c r="B167" s="28">
        <v>103</v>
      </c>
      <c r="C167" s="27">
        <v>0.03</v>
      </c>
      <c r="D167" s="27"/>
      <c r="E167" s="27"/>
      <c r="F167" s="2"/>
      <c r="G167" s="27"/>
      <c r="H167" s="2"/>
      <c r="I167" s="2"/>
    </row>
    <row r="168" spans="1:9">
      <c r="A168">
        <f t="shared" si="2"/>
        <v>8</v>
      </c>
      <c r="B168" s="28">
        <v>104</v>
      </c>
      <c r="C168" s="27">
        <v>0.03</v>
      </c>
      <c r="D168" s="27"/>
      <c r="E168" s="27"/>
      <c r="F168" s="2"/>
      <c r="G168" s="27"/>
      <c r="H168" s="2"/>
      <c r="I168" s="2"/>
    </row>
    <row r="169" spans="1:9">
      <c r="A169">
        <f t="shared" si="2"/>
        <v>8</v>
      </c>
      <c r="B169" s="28">
        <v>105</v>
      </c>
      <c r="C169" s="27">
        <v>0.03</v>
      </c>
      <c r="D169" s="27"/>
      <c r="E169" s="27"/>
      <c r="F169" s="2"/>
      <c r="G169" s="27"/>
      <c r="H169" s="2"/>
      <c r="I169" s="2"/>
    </row>
    <row r="170" spans="1:9">
      <c r="A170">
        <f t="shared" si="2"/>
        <v>8</v>
      </c>
      <c r="B170" s="28">
        <v>106</v>
      </c>
      <c r="C170" s="27">
        <v>0.03</v>
      </c>
      <c r="D170" s="27"/>
      <c r="E170" s="27"/>
      <c r="F170" s="2"/>
      <c r="G170" s="27"/>
      <c r="H170" s="2"/>
      <c r="I170" s="2"/>
    </row>
    <row r="171" spans="1:9">
      <c r="A171">
        <f t="shared" si="2"/>
        <v>8</v>
      </c>
      <c r="B171" s="28">
        <v>107</v>
      </c>
      <c r="C171" s="27">
        <v>0.03</v>
      </c>
      <c r="D171" s="27"/>
      <c r="E171" s="27"/>
      <c r="F171" s="2"/>
      <c r="G171" s="27"/>
      <c r="H171" s="2"/>
      <c r="I171" s="2"/>
    </row>
    <row r="172" spans="1:9">
      <c r="A172">
        <f t="shared" si="2"/>
        <v>9</v>
      </c>
      <c r="B172" s="28">
        <v>108</v>
      </c>
      <c r="C172" s="27">
        <v>0.01</v>
      </c>
      <c r="D172" s="27"/>
      <c r="E172" s="27"/>
      <c r="F172" s="2"/>
      <c r="G172" s="27"/>
      <c r="H172" s="2"/>
      <c r="I172" s="2"/>
    </row>
    <row r="173" spans="1:9">
      <c r="A173">
        <f t="shared" si="2"/>
        <v>9</v>
      </c>
      <c r="B173" s="28">
        <v>109</v>
      </c>
      <c r="C173" s="27">
        <v>0.01</v>
      </c>
      <c r="D173" s="27"/>
      <c r="E173" s="27"/>
      <c r="F173" s="2"/>
      <c r="G173" s="27"/>
      <c r="H173" s="2"/>
      <c r="I173" s="2"/>
    </row>
    <row r="174" spans="1:9">
      <c r="A174">
        <f t="shared" si="2"/>
        <v>9</v>
      </c>
      <c r="B174" s="28">
        <v>110</v>
      </c>
      <c r="C174" s="27">
        <v>0.01</v>
      </c>
      <c r="D174" s="27"/>
      <c r="E174" s="27"/>
      <c r="F174" s="2"/>
      <c r="G174" s="27"/>
      <c r="H174" s="2"/>
      <c r="I174" s="2"/>
    </row>
    <row r="175" spans="1:9">
      <c r="A175">
        <f t="shared" si="2"/>
        <v>9</v>
      </c>
      <c r="B175" s="28">
        <v>111</v>
      </c>
      <c r="C175" s="27">
        <v>0.01</v>
      </c>
      <c r="D175" s="27"/>
      <c r="E175" s="27"/>
      <c r="F175" s="2"/>
      <c r="G175" s="27"/>
      <c r="H175" s="2"/>
      <c r="I175" s="2"/>
    </row>
    <row r="176" spans="1:9">
      <c r="A176">
        <f t="shared" si="2"/>
        <v>9</v>
      </c>
      <c r="B176" s="28">
        <v>112</v>
      </c>
      <c r="C176" s="27">
        <v>0.01</v>
      </c>
      <c r="D176" s="27"/>
      <c r="E176" s="27"/>
      <c r="F176" s="2"/>
      <c r="G176" s="27"/>
      <c r="H176" s="2"/>
      <c r="I176" s="2"/>
    </row>
    <row r="177" spans="1:9">
      <c r="A177">
        <f t="shared" si="2"/>
        <v>9</v>
      </c>
      <c r="B177" s="28">
        <v>113</v>
      </c>
      <c r="C177" s="27">
        <v>0.01</v>
      </c>
      <c r="D177" s="27"/>
      <c r="E177" s="27"/>
      <c r="F177" s="2"/>
      <c r="G177" s="27"/>
      <c r="H177" s="2"/>
      <c r="I177" s="2"/>
    </row>
    <row r="178" spans="1:9">
      <c r="A178">
        <f t="shared" si="2"/>
        <v>9</v>
      </c>
      <c r="B178" s="28">
        <v>114</v>
      </c>
      <c r="C178" s="27">
        <v>0.01</v>
      </c>
      <c r="D178" s="27"/>
      <c r="E178" s="27"/>
      <c r="F178" s="2"/>
      <c r="G178" s="27"/>
      <c r="H178" s="2"/>
      <c r="I178" s="2"/>
    </row>
    <row r="179" spans="1:9">
      <c r="A179">
        <f t="shared" si="2"/>
        <v>9</v>
      </c>
      <c r="B179" s="28">
        <v>115</v>
      </c>
      <c r="C179" s="27">
        <v>0.01</v>
      </c>
      <c r="D179" s="27"/>
      <c r="E179" s="27"/>
      <c r="F179" s="2"/>
      <c r="G179" s="27"/>
      <c r="H179" s="2"/>
      <c r="I179" s="2"/>
    </row>
    <row r="180" spans="1:9">
      <c r="A180">
        <f t="shared" si="2"/>
        <v>9</v>
      </c>
      <c r="B180" s="28">
        <v>116</v>
      </c>
      <c r="C180" s="27">
        <v>0.01</v>
      </c>
      <c r="D180" s="27"/>
      <c r="E180" s="27"/>
      <c r="F180" s="2"/>
      <c r="G180" s="27"/>
      <c r="H180" s="2"/>
      <c r="I180" s="2"/>
    </row>
    <row r="181" spans="1:9">
      <c r="A181">
        <f t="shared" si="2"/>
        <v>9</v>
      </c>
      <c r="B181" s="28">
        <v>117</v>
      </c>
      <c r="C181" s="27">
        <v>0.01</v>
      </c>
      <c r="D181" s="27"/>
      <c r="E181" s="27"/>
      <c r="F181" s="2"/>
      <c r="G181" s="27"/>
      <c r="H181" s="2"/>
      <c r="I181" s="2"/>
    </row>
    <row r="182" spans="1:9">
      <c r="A182">
        <f t="shared" si="2"/>
        <v>9</v>
      </c>
      <c r="B182" s="28">
        <v>118</v>
      </c>
      <c r="C182" s="27">
        <v>0.01</v>
      </c>
      <c r="D182" s="27"/>
      <c r="E182" s="27"/>
      <c r="F182" s="2"/>
      <c r="G182" s="27"/>
      <c r="H182" s="2"/>
      <c r="I182" s="2"/>
    </row>
    <row r="183" spans="1:9">
      <c r="A183">
        <f t="shared" si="2"/>
        <v>9</v>
      </c>
      <c r="B183" s="28">
        <v>119</v>
      </c>
      <c r="C183" s="27">
        <v>0.01</v>
      </c>
      <c r="D183" s="27"/>
      <c r="E183" s="27"/>
      <c r="F183" s="2"/>
      <c r="G183" s="27"/>
      <c r="H183" s="2"/>
      <c r="I183" s="2"/>
    </row>
    <row r="184" spans="1:9">
      <c r="A184">
        <f t="shared" si="2"/>
        <v>10</v>
      </c>
      <c r="B184" s="28">
        <v>120</v>
      </c>
      <c r="C184" s="27">
        <v>0.02</v>
      </c>
      <c r="D184" s="27"/>
      <c r="E184" s="27"/>
      <c r="F184" s="2"/>
      <c r="G184" s="27"/>
      <c r="H184" s="2"/>
      <c r="I184" s="2"/>
    </row>
  </sheetData>
  <pageMargins left="0.7" right="0.7" top="0.78740157499999996" bottom="0.78740157499999996" header="0.3" footer="0.3"/>
  <pageSetup orientation="portrait" r:id="rId1"/>
  <drawing r:id="rId2"/>
  <legacy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863F47-535A-4456-B3B2-0D3B8BE9E317}">
  <dimension ref="A1:C122"/>
  <sheetViews>
    <sheetView workbookViewId="0">
      <selection activeCell="E17" sqref="E17"/>
    </sheetView>
  </sheetViews>
  <sheetFormatPr baseColWidth="10" defaultColWidth="11.54296875" defaultRowHeight="14.5"/>
  <cols>
    <col min="1" max="1" width="13.453125" bestFit="1" customWidth="1"/>
    <col min="2" max="2" width="13.7265625" bestFit="1" customWidth="1"/>
  </cols>
  <sheetData>
    <row r="1" spans="1:3">
      <c r="A1" t="s">
        <v>131</v>
      </c>
      <c r="B1" t="s">
        <v>1061</v>
      </c>
      <c r="C1" t="s">
        <v>146</v>
      </c>
    </row>
    <row r="2" spans="1:3">
      <c r="A2" s="27">
        <v>0.01</v>
      </c>
      <c r="B2" s="27">
        <v>0.02</v>
      </c>
      <c r="C2" s="27"/>
    </row>
    <row r="3" spans="1:3">
      <c r="A3" s="27">
        <v>0.01</v>
      </c>
      <c r="B3" s="27">
        <v>0.02</v>
      </c>
      <c r="C3" s="27"/>
    </row>
    <row r="4" spans="1:3">
      <c r="A4" s="27">
        <v>0.01</v>
      </c>
      <c r="B4" s="27">
        <v>0.02</v>
      </c>
      <c r="C4" s="27"/>
    </row>
    <row r="5" spans="1:3">
      <c r="A5" s="27">
        <v>0.01</v>
      </c>
      <c r="B5" s="27">
        <v>0.02</v>
      </c>
      <c r="C5" s="27"/>
    </row>
    <row r="6" spans="1:3">
      <c r="A6" s="27">
        <v>0.01</v>
      </c>
      <c r="B6" s="27">
        <v>0.02</v>
      </c>
      <c r="C6" s="27"/>
    </row>
    <row r="7" spans="1:3">
      <c r="A7" s="27">
        <v>0.01</v>
      </c>
      <c r="B7" s="27">
        <v>0.02</v>
      </c>
      <c r="C7" s="27"/>
    </row>
    <row r="8" spans="1:3">
      <c r="A8" s="27">
        <v>0.01</v>
      </c>
      <c r="B8" s="27">
        <v>0.02</v>
      </c>
      <c r="C8" s="27"/>
    </row>
    <row r="9" spans="1:3">
      <c r="A9" s="27">
        <v>0.01</v>
      </c>
      <c r="B9" s="27">
        <v>0.02</v>
      </c>
      <c r="C9" s="27"/>
    </row>
    <row r="10" spans="1:3">
      <c r="A10" s="27">
        <v>0.01</v>
      </c>
      <c r="B10" s="27">
        <v>0.02</v>
      </c>
      <c r="C10" s="27"/>
    </row>
    <row r="11" spans="1:3">
      <c r="A11" s="27">
        <v>0.01</v>
      </c>
      <c r="B11" s="27">
        <v>0.02</v>
      </c>
      <c r="C11" s="27"/>
    </row>
    <row r="12" spans="1:3">
      <c r="A12" s="27">
        <v>0.01</v>
      </c>
      <c r="B12" s="27">
        <v>0.02</v>
      </c>
      <c r="C12" s="27"/>
    </row>
    <row r="13" spans="1:3">
      <c r="A13" s="27">
        <v>0.01</v>
      </c>
      <c r="B13" s="27">
        <v>0.02</v>
      </c>
      <c r="C13" s="27"/>
    </row>
    <row r="14" spans="1:3">
      <c r="A14" s="27">
        <v>0.28000000000000003</v>
      </c>
      <c r="B14" s="27">
        <v>0.06</v>
      </c>
      <c r="C14" s="27"/>
    </row>
    <row r="15" spans="1:3">
      <c r="A15" s="27">
        <v>0.28000000000000003</v>
      </c>
      <c r="B15" s="27">
        <v>0.06</v>
      </c>
      <c r="C15" s="27"/>
    </row>
    <row r="16" spans="1:3">
      <c r="A16" s="27">
        <v>0.28000000000000003</v>
      </c>
      <c r="B16" s="27">
        <v>0.06</v>
      </c>
      <c r="C16" s="27"/>
    </row>
    <row r="17" spans="1:3">
      <c r="A17" s="27">
        <v>0.28000000000000003</v>
      </c>
      <c r="B17" s="27">
        <v>0.06</v>
      </c>
      <c r="C17" s="27"/>
    </row>
    <row r="18" spans="1:3">
      <c r="A18" s="27">
        <v>0.28000000000000003</v>
      </c>
      <c r="B18" s="27">
        <v>0.06</v>
      </c>
      <c r="C18" s="27"/>
    </row>
    <row r="19" spans="1:3">
      <c r="A19" s="27">
        <v>0.28000000000000003</v>
      </c>
      <c r="B19" s="27">
        <v>0.06</v>
      </c>
      <c r="C19" s="27"/>
    </row>
    <row r="20" spans="1:3">
      <c r="A20" s="27">
        <v>0.28000000000000003</v>
      </c>
      <c r="B20" s="27">
        <v>0.06</v>
      </c>
      <c r="C20" s="27"/>
    </row>
    <row r="21" spans="1:3">
      <c r="A21" s="27">
        <v>0.28000000000000003</v>
      </c>
      <c r="B21" s="27">
        <v>0.06</v>
      </c>
      <c r="C21" s="27"/>
    </row>
    <row r="22" spans="1:3">
      <c r="A22" s="27">
        <v>0.28000000000000003</v>
      </c>
      <c r="B22" s="27">
        <v>0.06</v>
      </c>
      <c r="C22" s="27"/>
    </row>
    <row r="23" spans="1:3">
      <c r="A23" s="27">
        <v>0.28000000000000003</v>
      </c>
      <c r="B23" s="27">
        <v>0.06</v>
      </c>
      <c r="C23" s="27"/>
    </row>
    <row r="24" spans="1:3">
      <c r="A24" s="27">
        <v>0.28000000000000003</v>
      </c>
      <c r="B24" s="27">
        <v>0.06</v>
      </c>
      <c r="C24" s="27"/>
    </row>
    <row r="25" spans="1:3">
      <c r="A25" s="27">
        <v>0.28000000000000003</v>
      </c>
      <c r="B25" s="27">
        <v>0.06</v>
      </c>
      <c r="C25" s="27"/>
    </row>
    <row r="26" spans="1:3">
      <c r="A26" s="27">
        <v>0.28000000000000003</v>
      </c>
      <c r="B26" s="27">
        <v>0.33</v>
      </c>
      <c r="C26" s="27">
        <v>0.42</v>
      </c>
    </row>
    <row r="27" spans="1:3">
      <c r="A27" s="27">
        <v>0.28000000000000003</v>
      </c>
      <c r="B27" s="27">
        <v>0.33</v>
      </c>
      <c r="C27" s="27">
        <v>0.42</v>
      </c>
    </row>
    <row r="28" spans="1:3">
      <c r="A28" s="27">
        <v>0.28000000000000003</v>
      </c>
      <c r="B28" s="27">
        <v>0.33</v>
      </c>
      <c r="C28" s="27">
        <v>0.42</v>
      </c>
    </row>
    <row r="29" spans="1:3">
      <c r="A29" s="27">
        <v>0.28000000000000003</v>
      </c>
      <c r="B29" s="27">
        <v>0.33</v>
      </c>
      <c r="C29" s="27">
        <v>0.42</v>
      </c>
    </row>
    <row r="30" spans="1:3">
      <c r="A30" s="27">
        <v>0.28000000000000003</v>
      </c>
      <c r="B30" s="27">
        <v>0.33</v>
      </c>
      <c r="C30" s="27">
        <v>0.42</v>
      </c>
    </row>
    <row r="31" spans="1:3">
      <c r="A31" s="27">
        <v>0.28000000000000003</v>
      </c>
      <c r="B31" s="27">
        <v>0.33</v>
      </c>
      <c r="C31" s="27">
        <v>0.42</v>
      </c>
    </row>
    <row r="32" spans="1:3">
      <c r="A32" s="27">
        <v>0.28000000000000003</v>
      </c>
      <c r="B32" s="27">
        <v>0.33</v>
      </c>
      <c r="C32" s="27">
        <v>0.42</v>
      </c>
    </row>
    <row r="33" spans="1:3">
      <c r="A33" s="27">
        <v>0.28000000000000003</v>
      </c>
      <c r="B33" s="27">
        <v>0.33</v>
      </c>
      <c r="C33" s="27">
        <v>0.42</v>
      </c>
    </row>
    <row r="34" spans="1:3">
      <c r="A34" s="27">
        <v>0.28000000000000003</v>
      </c>
      <c r="B34" s="27">
        <v>0.33</v>
      </c>
      <c r="C34" s="27">
        <v>0.42</v>
      </c>
    </row>
    <row r="35" spans="1:3">
      <c r="A35" s="27">
        <v>0.28000000000000003</v>
      </c>
      <c r="B35" s="27">
        <v>0.33</v>
      </c>
      <c r="C35" s="27">
        <v>0.42</v>
      </c>
    </row>
    <row r="36" spans="1:3">
      <c r="A36" s="27">
        <v>0.28000000000000003</v>
      </c>
      <c r="B36" s="27">
        <v>0.33</v>
      </c>
      <c r="C36" s="27">
        <v>0.42</v>
      </c>
    </row>
    <row r="37" spans="1:3">
      <c r="A37" s="27">
        <v>0.28000000000000003</v>
      </c>
      <c r="B37" s="27">
        <v>0.33</v>
      </c>
      <c r="C37" s="27">
        <v>0.42</v>
      </c>
    </row>
    <row r="38" spans="1:3">
      <c r="A38" s="27">
        <v>0.41</v>
      </c>
      <c r="B38" s="27">
        <v>0.25</v>
      </c>
      <c r="C38" s="27">
        <v>0.16</v>
      </c>
    </row>
    <row r="39" spans="1:3">
      <c r="A39" s="27">
        <v>0.41</v>
      </c>
      <c r="B39" s="27">
        <v>0.25</v>
      </c>
      <c r="C39" s="27">
        <v>0.16</v>
      </c>
    </row>
    <row r="40" spans="1:3">
      <c r="A40" s="27">
        <v>0.41</v>
      </c>
      <c r="B40" s="27">
        <v>0.25</v>
      </c>
      <c r="C40" s="27">
        <v>0.16</v>
      </c>
    </row>
    <row r="41" spans="1:3">
      <c r="A41" s="27">
        <v>0.41</v>
      </c>
      <c r="B41" s="27">
        <v>0.25</v>
      </c>
      <c r="C41" s="27">
        <v>0.16</v>
      </c>
    </row>
    <row r="42" spans="1:3">
      <c r="A42" s="27">
        <v>0.41</v>
      </c>
      <c r="B42" s="27">
        <v>0.25</v>
      </c>
      <c r="C42" s="27">
        <v>0.16</v>
      </c>
    </row>
    <row r="43" spans="1:3">
      <c r="A43" s="27">
        <v>0.41</v>
      </c>
      <c r="B43" s="27">
        <v>0.25</v>
      </c>
      <c r="C43" s="27">
        <v>0.16</v>
      </c>
    </row>
    <row r="44" spans="1:3">
      <c r="A44" s="27">
        <v>0.41</v>
      </c>
      <c r="B44" s="27">
        <v>0.25</v>
      </c>
      <c r="C44" s="27">
        <v>0.16</v>
      </c>
    </row>
    <row r="45" spans="1:3">
      <c r="A45" s="27">
        <v>0.41</v>
      </c>
      <c r="B45" s="27">
        <v>0.25</v>
      </c>
      <c r="C45" s="27">
        <v>0.16</v>
      </c>
    </row>
    <row r="46" spans="1:3">
      <c r="A46" s="27">
        <v>0.41</v>
      </c>
      <c r="B46" s="27">
        <v>0.25</v>
      </c>
      <c r="C46" s="27">
        <v>0.16</v>
      </c>
    </row>
    <row r="47" spans="1:3">
      <c r="A47" s="27">
        <v>0.41</v>
      </c>
      <c r="B47" s="27">
        <v>0.25</v>
      </c>
      <c r="C47" s="27">
        <v>0.16</v>
      </c>
    </row>
    <row r="48" spans="1:3">
      <c r="A48" s="27">
        <v>0.41</v>
      </c>
      <c r="B48" s="27">
        <v>0.25</v>
      </c>
      <c r="C48" s="27">
        <v>0.16</v>
      </c>
    </row>
    <row r="49" spans="1:3">
      <c r="A49" s="27">
        <v>0.41</v>
      </c>
      <c r="B49" s="27">
        <v>0.25</v>
      </c>
      <c r="C49" s="27">
        <v>0.16</v>
      </c>
    </row>
    <row r="50" spans="1:3">
      <c r="A50" s="27">
        <v>0.41</v>
      </c>
      <c r="B50" s="27">
        <v>0.11</v>
      </c>
      <c r="C50" s="27">
        <v>0.12</v>
      </c>
    </row>
    <row r="51" spans="1:3">
      <c r="A51" s="27">
        <v>0.41</v>
      </c>
      <c r="B51" s="27">
        <v>0.11</v>
      </c>
      <c r="C51" s="27">
        <v>0.12</v>
      </c>
    </row>
    <row r="52" spans="1:3">
      <c r="A52" s="27">
        <v>0.41</v>
      </c>
      <c r="B52" s="27">
        <v>0.11</v>
      </c>
      <c r="C52" s="27">
        <v>0.12</v>
      </c>
    </row>
    <row r="53" spans="1:3">
      <c r="A53" s="27">
        <v>0.41</v>
      </c>
      <c r="B53" s="27">
        <v>0.11</v>
      </c>
      <c r="C53" s="27">
        <v>0.12</v>
      </c>
    </row>
    <row r="54" spans="1:3">
      <c r="A54" s="27">
        <v>0.41</v>
      </c>
      <c r="B54" s="27">
        <v>0.11</v>
      </c>
      <c r="C54" s="27">
        <v>0.12</v>
      </c>
    </row>
    <row r="55" spans="1:3">
      <c r="A55" s="27">
        <v>0.41</v>
      </c>
      <c r="B55" s="27">
        <v>0.11</v>
      </c>
      <c r="C55" s="27">
        <v>0.12</v>
      </c>
    </row>
    <row r="56" spans="1:3">
      <c r="A56" s="27">
        <v>0.41</v>
      </c>
      <c r="B56" s="27">
        <v>0.11</v>
      </c>
      <c r="C56" s="27">
        <v>0.12</v>
      </c>
    </row>
    <row r="57" spans="1:3">
      <c r="A57" s="27">
        <v>0.41</v>
      </c>
      <c r="B57" s="27">
        <v>0.11</v>
      </c>
      <c r="C57" s="27">
        <v>0.12</v>
      </c>
    </row>
    <row r="58" spans="1:3">
      <c r="A58" s="27">
        <v>0.41</v>
      </c>
      <c r="B58" s="27">
        <v>0.11</v>
      </c>
      <c r="C58" s="27">
        <v>0.12</v>
      </c>
    </row>
    <row r="59" spans="1:3">
      <c r="A59" s="27">
        <v>0.41</v>
      </c>
      <c r="B59" s="27">
        <v>0.11</v>
      </c>
      <c r="C59" s="27">
        <v>0.12</v>
      </c>
    </row>
    <row r="60" spans="1:3">
      <c r="A60" s="27">
        <v>0.41</v>
      </c>
      <c r="B60" s="27">
        <v>0.11</v>
      </c>
      <c r="C60" s="27">
        <v>0.12</v>
      </c>
    </row>
    <row r="61" spans="1:3">
      <c r="A61" s="27">
        <v>0.41</v>
      </c>
      <c r="B61" s="27">
        <v>0.11</v>
      </c>
      <c r="C61" s="27">
        <v>0.12</v>
      </c>
    </row>
    <row r="62" spans="1:3">
      <c r="A62" s="27">
        <v>0.15</v>
      </c>
      <c r="B62" s="27">
        <v>0.09</v>
      </c>
      <c r="C62" s="27"/>
    </row>
    <row r="63" spans="1:3">
      <c r="A63" s="27">
        <v>0.15</v>
      </c>
      <c r="B63" s="27">
        <v>0.09</v>
      </c>
      <c r="C63" s="27"/>
    </row>
    <row r="64" spans="1:3">
      <c r="A64" s="27">
        <v>0.15</v>
      </c>
      <c r="B64" s="27">
        <v>0.09</v>
      </c>
      <c r="C64" s="27"/>
    </row>
    <row r="65" spans="1:3">
      <c r="A65" s="27">
        <v>0.15</v>
      </c>
      <c r="B65" s="27">
        <v>0.09</v>
      </c>
      <c r="C65" s="27"/>
    </row>
    <row r="66" spans="1:3">
      <c r="A66" s="27">
        <v>0.15</v>
      </c>
      <c r="B66" s="27">
        <v>0.09</v>
      </c>
      <c r="C66" s="27"/>
    </row>
    <row r="67" spans="1:3">
      <c r="A67" s="27">
        <v>0.15</v>
      </c>
      <c r="B67" s="27">
        <v>0.09</v>
      </c>
      <c r="C67" s="27"/>
    </row>
    <row r="68" spans="1:3">
      <c r="A68" s="27">
        <v>0.15</v>
      </c>
      <c r="B68" s="27">
        <v>0.09</v>
      </c>
      <c r="C68" s="27"/>
    </row>
    <row r="69" spans="1:3">
      <c r="A69" s="27">
        <v>0.15</v>
      </c>
      <c r="B69" s="27">
        <v>0.09</v>
      </c>
      <c r="C69" s="27"/>
    </row>
    <row r="70" spans="1:3">
      <c r="A70" s="27">
        <v>0.15</v>
      </c>
      <c r="B70" s="27">
        <v>0.09</v>
      </c>
      <c r="C70" s="27"/>
    </row>
    <row r="71" spans="1:3">
      <c r="A71" s="27">
        <v>0.15</v>
      </c>
      <c r="B71" s="27">
        <v>0.09</v>
      </c>
      <c r="C71" s="27"/>
    </row>
    <row r="72" spans="1:3">
      <c r="A72" s="27">
        <v>0.15</v>
      </c>
      <c r="B72" s="27">
        <v>0.09</v>
      </c>
      <c r="C72" s="27"/>
    </row>
    <row r="73" spans="1:3">
      <c r="A73" s="27">
        <v>0.15</v>
      </c>
      <c r="B73" s="27">
        <v>0.09</v>
      </c>
      <c r="C73" s="27"/>
    </row>
    <row r="74" spans="1:3">
      <c r="A74" s="27">
        <v>0.15</v>
      </c>
      <c r="B74" s="27"/>
      <c r="C74" s="27"/>
    </row>
    <row r="75" spans="1:3">
      <c r="A75" s="27">
        <v>0.15</v>
      </c>
      <c r="B75" s="27"/>
      <c r="C75" s="27"/>
    </row>
    <row r="76" spans="1:3">
      <c r="A76" s="27">
        <v>0.15</v>
      </c>
      <c r="B76" s="27"/>
      <c r="C76" s="27"/>
    </row>
    <row r="77" spans="1:3">
      <c r="A77" s="27">
        <v>0.15</v>
      </c>
      <c r="B77" s="27"/>
      <c r="C77" s="27"/>
    </row>
    <row r="78" spans="1:3">
      <c r="A78" s="27">
        <v>0.15</v>
      </c>
      <c r="B78" s="27"/>
      <c r="C78" s="27"/>
    </row>
    <row r="79" spans="1:3">
      <c r="A79" s="27">
        <v>0.15</v>
      </c>
      <c r="B79" s="27"/>
      <c r="C79" s="27"/>
    </row>
    <row r="80" spans="1:3">
      <c r="A80" s="27">
        <v>0.15</v>
      </c>
      <c r="B80" s="27"/>
      <c r="C80" s="27"/>
    </row>
    <row r="81" spans="1:3">
      <c r="A81" s="27">
        <v>0.15</v>
      </c>
      <c r="B81" s="27"/>
      <c r="C81" s="27"/>
    </row>
    <row r="82" spans="1:3">
      <c r="A82" s="27">
        <v>0.15</v>
      </c>
      <c r="B82" s="27"/>
      <c r="C82" s="27"/>
    </row>
    <row r="83" spans="1:3">
      <c r="A83" s="27">
        <v>0.15</v>
      </c>
      <c r="B83" s="27"/>
      <c r="C83" s="27"/>
    </row>
    <row r="84" spans="1:3">
      <c r="A84" s="27">
        <v>0.15</v>
      </c>
      <c r="B84" s="27"/>
      <c r="C84" s="27"/>
    </row>
    <row r="85" spans="1:3">
      <c r="A85" s="27">
        <v>0.15</v>
      </c>
      <c r="B85" s="27"/>
      <c r="C85" s="27"/>
    </row>
    <row r="86" spans="1:3">
      <c r="A86" s="27">
        <v>0.03</v>
      </c>
      <c r="B86" s="27"/>
      <c r="C86" s="27"/>
    </row>
    <row r="87" spans="1:3">
      <c r="A87" s="27">
        <v>0.03</v>
      </c>
      <c r="B87" s="27"/>
      <c r="C87" s="27"/>
    </row>
    <row r="88" spans="1:3">
      <c r="A88" s="27">
        <v>0.03</v>
      </c>
      <c r="B88" s="27"/>
      <c r="C88" s="27"/>
    </row>
    <row r="89" spans="1:3">
      <c r="A89" s="27">
        <v>0.03</v>
      </c>
      <c r="B89" s="27"/>
      <c r="C89" s="27"/>
    </row>
    <row r="90" spans="1:3">
      <c r="A90" s="27">
        <v>0.03</v>
      </c>
      <c r="B90" s="27"/>
      <c r="C90" s="27"/>
    </row>
    <row r="91" spans="1:3">
      <c r="A91" s="27">
        <v>0.03</v>
      </c>
      <c r="B91" s="27"/>
      <c r="C91" s="27"/>
    </row>
    <row r="92" spans="1:3">
      <c r="A92" s="27">
        <v>0.03</v>
      </c>
      <c r="B92" s="27"/>
      <c r="C92" s="27"/>
    </row>
    <row r="93" spans="1:3">
      <c r="A93" s="27">
        <v>0.03</v>
      </c>
      <c r="B93" s="27"/>
      <c r="C93" s="27"/>
    </row>
    <row r="94" spans="1:3">
      <c r="A94" s="27">
        <v>0.03</v>
      </c>
      <c r="B94" s="27"/>
      <c r="C94" s="27"/>
    </row>
    <row r="95" spans="1:3">
      <c r="A95" s="27">
        <v>0.03</v>
      </c>
      <c r="B95" s="27"/>
      <c r="C95" s="27"/>
    </row>
    <row r="96" spans="1:3">
      <c r="A96" s="27">
        <v>0.03</v>
      </c>
      <c r="B96" s="27"/>
      <c r="C96" s="27"/>
    </row>
    <row r="97" spans="1:3">
      <c r="A97" s="27">
        <v>0.03</v>
      </c>
      <c r="B97" s="27"/>
      <c r="C97" s="27"/>
    </row>
    <row r="98" spans="1:3">
      <c r="A98" s="27">
        <v>0.03</v>
      </c>
      <c r="B98" s="27"/>
      <c r="C98" s="27"/>
    </row>
    <row r="99" spans="1:3">
      <c r="A99" s="27">
        <v>0.03</v>
      </c>
      <c r="B99" s="27"/>
      <c r="C99" s="27"/>
    </row>
    <row r="100" spans="1:3">
      <c r="A100" s="27">
        <v>0.03</v>
      </c>
      <c r="B100" s="27"/>
      <c r="C100" s="27"/>
    </row>
    <row r="101" spans="1:3">
      <c r="A101" s="27">
        <v>0.03</v>
      </c>
      <c r="B101" s="27"/>
      <c r="C101" s="27"/>
    </row>
    <row r="102" spans="1:3">
      <c r="A102" s="27">
        <v>0.03</v>
      </c>
      <c r="B102" s="27"/>
      <c r="C102" s="27"/>
    </row>
    <row r="103" spans="1:3">
      <c r="A103" s="27">
        <v>0.03</v>
      </c>
      <c r="B103" s="27"/>
      <c r="C103" s="27"/>
    </row>
    <row r="104" spans="1:3">
      <c r="A104" s="27">
        <v>0.03</v>
      </c>
      <c r="B104" s="27"/>
      <c r="C104" s="27"/>
    </row>
    <row r="105" spans="1:3">
      <c r="A105" s="27">
        <v>0.03</v>
      </c>
      <c r="B105" s="27"/>
      <c r="C105" s="27"/>
    </row>
    <row r="106" spans="1:3">
      <c r="A106" s="27">
        <v>0.03</v>
      </c>
      <c r="B106" s="27"/>
      <c r="C106" s="27"/>
    </row>
    <row r="107" spans="1:3">
      <c r="A107" s="27">
        <v>0.03</v>
      </c>
      <c r="B107" s="27"/>
      <c r="C107" s="27"/>
    </row>
    <row r="108" spans="1:3">
      <c r="A108" s="27">
        <v>0.03</v>
      </c>
      <c r="B108" s="27"/>
      <c r="C108" s="27"/>
    </row>
    <row r="109" spans="1:3">
      <c r="A109" s="27">
        <v>0.03</v>
      </c>
      <c r="B109" s="27"/>
      <c r="C109" s="27"/>
    </row>
    <row r="110" spans="1:3">
      <c r="A110" s="27">
        <v>0.01</v>
      </c>
      <c r="B110" s="27"/>
      <c r="C110" s="27"/>
    </row>
    <row r="111" spans="1:3">
      <c r="A111" s="27">
        <v>0.01</v>
      </c>
      <c r="B111" s="27"/>
      <c r="C111" s="27"/>
    </row>
    <row r="112" spans="1:3">
      <c r="A112" s="27">
        <v>0.01</v>
      </c>
      <c r="B112" s="27"/>
      <c r="C112" s="27"/>
    </row>
    <row r="113" spans="1:3">
      <c r="A113" s="27">
        <v>0.01</v>
      </c>
      <c r="B113" s="27"/>
      <c r="C113" s="27"/>
    </row>
    <row r="114" spans="1:3">
      <c r="A114" s="27">
        <v>0.01</v>
      </c>
      <c r="B114" s="27"/>
      <c r="C114" s="27"/>
    </row>
    <row r="115" spans="1:3">
      <c r="A115" s="27">
        <v>0.01</v>
      </c>
      <c r="B115" s="27"/>
      <c r="C115" s="27"/>
    </row>
    <row r="116" spans="1:3">
      <c r="A116" s="27">
        <v>0.01</v>
      </c>
      <c r="B116" s="27"/>
      <c r="C116" s="27"/>
    </row>
    <row r="117" spans="1:3">
      <c r="A117" s="27">
        <v>0.01</v>
      </c>
      <c r="B117" s="27"/>
      <c r="C117" s="27"/>
    </row>
    <row r="118" spans="1:3">
      <c r="A118" s="27">
        <v>0.01</v>
      </c>
      <c r="B118" s="27"/>
      <c r="C118" s="27"/>
    </row>
    <row r="119" spans="1:3">
      <c r="A119" s="27">
        <v>0.01</v>
      </c>
      <c r="B119" s="27"/>
      <c r="C119" s="27"/>
    </row>
    <row r="120" spans="1:3">
      <c r="A120" s="27">
        <v>0.01</v>
      </c>
      <c r="B120" s="27"/>
      <c r="C120" s="27"/>
    </row>
    <row r="121" spans="1:3">
      <c r="A121" s="27">
        <v>0.01</v>
      </c>
      <c r="B121" s="27"/>
      <c r="C121" s="27"/>
    </row>
    <row r="122" spans="1:3">
      <c r="A122" s="27">
        <v>0.02</v>
      </c>
      <c r="B122" s="27"/>
      <c r="C122" s="27"/>
    </row>
  </sheetData>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C6BB63-ABCC-4078-8CD2-263B3FFF2905}">
  <dimension ref="A1:D4"/>
  <sheetViews>
    <sheetView workbookViewId="0">
      <selection activeCell="C13" sqref="C13"/>
    </sheetView>
  </sheetViews>
  <sheetFormatPr baseColWidth="10" defaultColWidth="11.54296875" defaultRowHeight="14.5"/>
  <cols>
    <col min="1" max="1" width="29" style="2" bestFit="1" customWidth="1"/>
    <col min="2" max="2" width="29" style="2" customWidth="1"/>
    <col min="3" max="4" width="26.7265625" style="2" bestFit="1" customWidth="1"/>
    <col min="5" max="16384" width="11.54296875" style="2"/>
  </cols>
  <sheetData>
    <row r="1" spans="1:4">
      <c r="B1" s="2" t="s">
        <v>13</v>
      </c>
      <c r="C1" s="2" t="s">
        <v>10</v>
      </c>
      <c r="D1" s="2" t="s">
        <v>9</v>
      </c>
    </row>
    <row r="2" spans="1:4">
      <c r="A2" s="2" t="s">
        <v>8</v>
      </c>
      <c r="B2" s="2" t="s">
        <v>14</v>
      </c>
      <c r="C2" s="2">
        <v>0.28999999999999998</v>
      </c>
      <c r="D2" s="2">
        <v>0.31</v>
      </c>
    </row>
    <row r="3" spans="1:4">
      <c r="A3" s="2" t="s">
        <v>11</v>
      </c>
      <c r="B3" s="2" t="s">
        <v>15</v>
      </c>
      <c r="C3" s="2">
        <v>0.33</v>
      </c>
      <c r="D3" s="2">
        <v>0.34</v>
      </c>
    </row>
    <row r="4" spans="1:4">
      <c r="A4" s="2" t="s">
        <v>12</v>
      </c>
      <c r="B4" s="2" t="s">
        <v>15</v>
      </c>
    </row>
  </sheetData>
  <pageMargins left="0.7" right="0.7" top="0.78740157499999996" bottom="0.78740157499999996"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921E01-2F96-4A30-93EF-98FB5A40F03B}">
  <dimension ref="A1:K89"/>
  <sheetViews>
    <sheetView topLeftCell="A65" zoomScale="92" zoomScaleNormal="130" workbookViewId="0">
      <selection activeCell="I85" sqref="I85"/>
    </sheetView>
  </sheetViews>
  <sheetFormatPr baseColWidth="10" defaultColWidth="11.54296875" defaultRowHeight="14.5"/>
  <cols>
    <col min="1" max="1" width="18.26953125" customWidth="1"/>
    <col min="5" max="5" width="24.1796875" bestFit="1" customWidth="1"/>
  </cols>
  <sheetData>
    <row r="1" spans="1:9">
      <c r="A1" t="s">
        <v>134</v>
      </c>
    </row>
    <row r="2" spans="1:9">
      <c r="A2" s="1">
        <v>0.65</v>
      </c>
      <c r="B2" t="s">
        <v>136</v>
      </c>
    </row>
    <row r="3" spans="1:9">
      <c r="A3" s="1">
        <v>0.67</v>
      </c>
      <c r="B3" t="s">
        <v>137</v>
      </c>
    </row>
    <row r="4" spans="1:9">
      <c r="A4" s="1">
        <v>0.59</v>
      </c>
      <c r="B4" t="s">
        <v>138</v>
      </c>
    </row>
    <row r="6" spans="1:9">
      <c r="A6" s="1">
        <v>0.38</v>
      </c>
      <c r="B6" t="s">
        <v>139</v>
      </c>
    </row>
    <row r="7" spans="1:9">
      <c r="A7" s="1">
        <v>0.34</v>
      </c>
      <c r="B7" t="s">
        <v>140</v>
      </c>
    </row>
    <row r="10" spans="1:9">
      <c r="A10" t="s">
        <v>713</v>
      </c>
    </row>
    <row r="11" spans="1:9">
      <c r="A11" t="s">
        <v>212</v>
      </c>
    </row>
    <row r="12" spans="1:9">
      <c r="B12" t="s">
        <v>81</v>
      </c>
      <c r="C12" t="s">
        <v>215</v>
      </c>
      <c r="D12" t="s">
        <v>84</v>
      </c>
      <c r="E12" t="s">
        <v>82</v>
      </c>
      <c r="F12" t="s">
        <v>80</v>
      </c>
      <c r="G12" t="s">
        <v>85</v>
      </c>
      <c r="H12" t="s">
        <v>83</v>
      </c>
      <c r="I12" t="s">
        <v>207</v>
      </c>
    </row>
    <row r="13" spans="1:9">
      <c r="A13" t="s">
        <v>213</v>
      </c>
      <c r="B13" s="4">
        <v>0.503</v>
      </c>
      <c r="C13" s="4">
        <v>0.24299999999999999</v>
      </c>
      <c r="D13" s="4">
        <v>0.314</v>
      </c>
      <c r="E13" s="4">
        <v>0.42699999999999999</v>
      </c>
      <c r="F13" s="4">
        <v>0.33100000000000002</v>
      </c>
      <c r="G13" s="4">
        <v>0.36099999999999999</v>
      </c>
      <c r="H13" s="4">
        <v>0.42099999999999999</v>
      </c>
      <c r="I13" s="21">
        <f>AVERAGE(B13:H13)</f>
        <v>0.37142857142857144</v>
      </c>
    </row>
    <row r="14" spans="1:9">
      <c r="A14" t="s">
        <v>214</v>
      </c>
      <c r="B14" s="4">
        <v>0.19500000000000001</v>
      </c>
      <c r="C14" s="4">
        <v>0.151</v>
      </c>
      <c r="D14" s="4">
        <v>0.128</v>
      </c>
      <c r="E14" s="4">
        <v>0.127</v>
      </c>
      <c r="F14" s="4">
        <v>0.121</v>
      </c>
      <c r="G14" s="4">
        <v>0.109</v>
      </c>
      <c r="H14" s="4">
        <v>0.10199999999999999</v>
      </c>
      <c r="I14" s="20">
        <f>AVERAGE(B14:H14)</f>
        <v>0.13328571428571429</v>
      </c>
    </row>
    <row r="16" spans="1:9">
      <c r="A16" s="3">
        <v>0.49099999999999999</v>
      </c>
      <c r="B16" t="s">
        <v>216</v>
      </c>
    </row>
    <row r="17" spans="1:10">
      <c r="A17" s="3">
        <v>0.42499999999999999</v>
      </c>
      <c r="B17" t="s">
        <v>217</v>
      </c>
    </row>
    <row r="18" spans="1:10">
      <c r="A18" s="3">
        <v>0.35699999999999998</v>
      </c>
      <c r="B18" t="s">
        <v>218</v>
      </c>
    </row>
    <row r="20" spans="1:10">
      <c r="A20" t="s">
        <v>703</v>
      </c>
    </row>
    <row r="22" spans="1:10">
      <c r="B22" t="s">
        <v>81</v>
      </c>
      <c r="C22" t="s">
        <v>82</v>
      </c>
      <c r="D22" t="s">
        <v>83</v>
      </c>
      <c r="E22" t="s">
        <v>84</v>
      </c>
      <c r="F22" t="s">
        <v>85</v>
      </c>
      <c r="G22" t="s">
        <v>215</v>
      </c>
      <c r="H22" t="s">
        <v>80</v>
      </c>
      <c r="I22" t="s">
        <v>86</v>
      </c>
      <c r="J22" t="s">
        <v>207</v>
      </c>
    </row>
    <row r="23" spans="1:10">
      <c r="A23" t="s">
        <v>213</v>
      </c>
      <c r="B23" s="4">
        <v>0.44</v>
      </c>
      <c r="C23" s="4">
        <v>0.34</v>
      </c>
      <c r="D23" s="4">
        <v>0.30199999999999999</v>
      </c>
      <c r="E23" s="4">
        <v>0.38400000000000001</v>
      </c>
      <c r="F23" s="4">
        <v>0.39900000000000002</v>
      </c>
      <c r="G23" s="4">
        <v>0.41699999999999998</v>
      </c>
      <c r="H23" s="4">
        <v>0.36099999999999999</v>
      </c>
      <c r="I23" s="4">
        <v>0.27500000000000002</v>
      </c>
      <c r="J23" s="21">
        <f>AVERAGE(B23:I23)</f>
        <v>0.36474999999999996</v>
      </c>
    </row>
    <row r="24" spans="1:10">
      <c r="A24" t="s">
        <v>214</v>
      </c>
      <c r="B24" s="4">
        <v>0.246</v>
      </c>
      <c r="C24" s="4">
        <v>0.13700000000000001</v>
      </c>
      <c r="D24" s="4">
        <v>0.14499999999999999</v>
      </c>
      <c r="E24" s="4">
        <v>0.17599999999999999</v>
      </c>
      <c r="F24" s="4">
        <v>0.113</v>
      </c>
      <c r="G24" s="4">
        <v>0.13200000000000001</v>
      </c>
      <c r="H24" s="4">
        <v>0.14599999999999999</v>
      </c>
      <c r="I24" s="20">
        <v>2.4E-2</v>
      </c>
      <c r="J24" s="20">
        <f>AVERAGE(B24:I24)</f>
        <v>0.139875</v>
      </c>
    </row>
    <row r="25" spans="1:10">
      <c r="E25" t="s">
        <v>714</v>
      </c>
    </row>
    <row r="26" spans="1:10">
      <c r="A26" s="3">
        <v>0.53900000000000003</v>
      </c>
      <c r="B26" t="s">
        <v>216</v>
      </c>
      <c r="E26" s="20">
        <f>(A26/A16)-1</f>
        <v>9.775967413441955E-2</v>
      </c>
    </row>
    <row r="27" spans="1:10">
      <c r="A27" s="3">
        <v>0.53100000000000003</v>
      </c>
      <c r="B27" t="s">
        <v>217</v>
      </c>
      <c r="E27" s="20">
        <f>(A27/A17)-1</f>
        <v>0.24941176470588244</v>
      </c>
    </row>
    <row r="28" spans="1:10">
      <c r="A28" s="3">
        <v>0.30499999999999999</v>
      </c>
      <c r="B28" t="s">
        <v>218</v>
      </c>
      <c r="E28" s="20">
        <f>(A28/A18)-1</f>
        <v>-0.14565826330532206</v>
      </c>
    </row>
    <row r="30" spans="1:10">
      <c r="A30" t="s">
        <v>171</v>
      </c>
    </row>
    <row r="31" spans="1:10">
      <c r="A31" t="s">
        <v>172</v>
      </c>
    </row>
    <row r="32" spans="1:10">
      <c r="A32" t="s">
        <v>173</v>
      </c>
      <c r="B32" s="1">
        <v>0.45</v>
      </c>
    </row>
    <row r="33" spans="1:2">
      <c r="A33" t="s">
        <v>174</v>
      </c>
      <c r="B33" s="1">
        <v>0.47</v>
      </c>
    </row>
    <row r="35" spans="1:2">
      <c r="A35" t="s">
        <v>175</v>
      </c>
    </row>
    <row r="36" spans="1:2">
      <c r="A36" t="s">
        <v>177</v>
      </c>
      <c r="B36" s="1">
        <v>0.53</v>
      </c>
    </row>
    <row r="37" spans="1:2">
      <c r="A37" t="s">
        <v>185</v>
      </c>
      <c r="B37" s="1">
        <v>0.53</v>
      </c>
    </row>
    <row r="38" spans="1:2">
      <c r="A38" t="s">
        <v>178</v>
      </c>
      <c r="B38" s="1">
        <v>0.27</v>
      </c>
    </row>
    <row r="39" spans="1:2">
      <c r="A39" t="s">
        <v>179</v>
      </c>
      <c r="B39" s="1">
        <v>0.27</v>
      </c>
    </row>
    <row r="40" spans="1:2">
      <c r="A40" t="s">
        <v>180</v>
      </c>
      <c r="B40" s="1">
        <v>0.12</v>
      </c>
    </row>
    <row r="41" spans="1:2">
      <c r="A41" t="s">
        <v>181</v>
      </c>
      <c r="B41" s="1">
        <v>0.08</v>
      </c>
    </row>
    <row r="42" spans="1:2">
      <c r="A42" t="s">
        <v>176</v>
      </c>
      <c r="B42" s="1">
        <v>7.0000000000000007E-2</v>
      </c>
    </row>
    <row r="43" spans="1:2">
      <c r="A43" t="s">
        <v>182</v>
      </c>
      <c r="B43" s="1">
        <v>0.08</v>
      </c>
    </row>
    <row r="44" spans="1:2">
      <c r="A44" t="s">
        <v>183</v>
      </c>
      <c r="B44" s="1">
        <v>0.04</v>
      </c>
    </row>
    <row r="45" spans="1:2">
      <c r="A45" t="s">
        <v>184</v>
      </c>
      <c r="B45" s="1">
        <v>0.03</v>
      </c>
    </row>
    <row r="47" spans="1:2">
      <c r="A47" t="s">
        <v>186</v>
      </c>
    </row>
    <row r="48" spans="1:2">
      <c r="A48" t="s">
        <v>187</v>
      </c>
      <c r="B48" s="1">
        <v>0.59</v>
      </c>
    </row>
    <row r="49" spans="1:2">
      <c r="A49" t="s">
        <v>188</v>
      </c>
      <c r="B49" s="1">
        <v>0.11</v>
      </c>
    </row>
    <row r="50" spans="1:2">
      <c r="A50" t="s">
        <v>189</v>
      </c>
      <c r="B50" s="1">
        <v>0.01</v>
      </c>
    </row>
    <row r="51" spans="1:2">
      <c r="A51" t="s">
        <v>190</v>
      </c>
      <c r="B51" s="3">
        <f>1-SUM(B48:B50)</f>
        <v>0.29000000000000004</v>
      </c>
    </row>
    <row r="54" spans="1:2">
      <c r="A54" t="s">
        <v>191</v>
      </c>
    </row>
    <row r="75" spans="1:3">
      <c r="A75" t="s">
        <v>192</v>
      </c>
      <c r="C75" t="s">
        <v>195</v>
      </c>
    </row>
    <row r="76" spans="1:3">
      <c r="A76" t="s">
        <v>193</v>
      </c>
      <c r="B76" s="1">
        <v>0.34</v>
      </c>
      <c r="C76" s="1">
        <v>0.31</v>
      </c>
    </row>
    <row r="77" spans="1:3">
      <c r="A77" t="s">
        <v>194</v>
      </c>
      <c r="B77" s="1">
        <v>0.66</v>
      </c>
      <c r="C77" s="1">
        <v>0</v>
      </c>
    </row>
    <row r="79" spans="1:3">
      <c r="A79" t="s">
        <v>195</v>
      </c>
      <c r="B79" s="29">
        <f>B76*C76</f>
        <v>0.10540000000000001</v>
      </c>
    </row>
    <row r="80" spans="1:3">
      <c r="A80" t="s">
        <v>196</v>
      </c>
      <c r="B80" s="29">
        <f>1-B79</f>
        <v>0.89459999999999995</v>
      </c>
    </row>
    <row r="83" spans="1:11">
      <c r="A83" t="s">
        <v>42</v>
      </c>
      <c r="B83" t="s">
        <v>211</v>
      </c>
    </row>
    <row r="84" spans="1:11">
      <c r="A84" s="1">
        <v>0.33</v>
      </c>
      <c r="B84" t="s">
        <v>209</v>
      </c>
    </row>
    <row r="85" spans="1:11">
      <c r="A85" s="3">
        <v>0.154</v>
      </c>
      <c r="B85" t="s">
        <v>210</v>
      </c>
    </row>
    <row r="87" spans="1:11">
      <c r="A87" s="30"/>
      <c r="B87" s="30" t="s">
        <v>197</v>
      </c>
      <c r="C87" s="30" t="s">
        <v>153</v>
      </c>
      <c r="D87" s="30" t="s">
        <v>161</v>
      </c>
      <c r="E87" s="30" t="s">
        <v>155</v>
      </c>
      <c r="F87" s="30" t="s">
        <v>713</v>
      </c>
      <c r="G87" s="30" t="s">
        <v>703</v>
      </c>
      <c r="H87" s="30" t="s">
        <v>205</v>
      </c>
      <c r="I87" s="30" t="s">
        <v>206</v>
      </c>
      <c r="J87" s="30" t="s">
        <v>207</v>
      </c>
      <c r="K87" s="30" t="s">
        <v>884</v>
      </c>
    </row>
    <row r="88" spans="1:11" s="2" customFormat="1">
      <c r="A88" s="31" t="s">
        <v>198</v>
      </c>
      <c r="B88" s="31">
        <f>1-B89</f>
        <v>0.41000000000000003</v>
      </c>
      <c r="C88" s="31">
        <v>0.47</v>
      </c>
      <c r="D88" s="31">
        <v>0.11</v>
      </c>
      <c r="E88" s="31">
        <f>B79</f>
        <v>0.10540000000000001</v>
      </c>
      <c r="F88" s="31">
        <f>I14</f>
        <v>0.13328571428571429</v>
      </c>
      <c r="G88" s="31">
        <f>J24</f>
        <v>0.139875</v>
      </c>
      <c r="H88" s="31">
        <f>MAX(B88:G88)</f>
        <v>0.47</v>
      </c>
      <c r="I88" s="31">
        <f>MIN(B88:G88)</f>
        <v>0.10540000000000001</v>
      </c>
      <c r="J88" s="31">
        <f>AVERAGE(B88:G88)</f>
        <v>0.22809345238095236</v>
      </c>
      <c r="K88" s="2">
        <f>1-(1-J88)*(1-(design_options!G10*(1+design_options!G11)*(1+design_options!G12)*(1+design_options!G13)))</f>
        <v>0.51498730705944418</v>
      </c>
    </row>
    <row r="89" spans="1:11" s="2" customFormat="1">
      <c r="A89" s="31" t="s">
        <v>199</v>
      </c>
      <c r="B89" s="31">
        <v>0.59</v>
      </c>
      <c r="C89" s="31">
        <f>1-C88</f>
        <v>0.53</v>
      </c>
      <c r="D89" s="31">
        <f>1-D88</f>
        <v>0.89</v>
      </c>
      <c r="E89" s="31">
        <f>B80</f>
        <v>0.89459999999999995</v>
      </c>
      <c r="F89" s="31">
        <f>1-F88</f>
        <v>0.86671428571428577</v>
      </c>
      <c r="G89" s="31">
        <f>1-G88</f>
        <v>0.86012500000000003</v>
      </c>
      <c r="H89" s="31">
        <f>MAX(B89:G89)</f>
        <v>0.89459999999999995</v>
      </c>
      <c r="I89" s="31">
        <f>MIN(B89:G89)</f>
        <v>0.53</v>
      </c>
      <c r="J89" s="31">
        <f>AVERAGE(B89:G89)</f>
        <v>0.77190654761904776</v>
      </c>
    </row>
  </sheetData>
  <conditionalFormatting sqref="A87:J89 K87">
    <cfRule type="colorScale" priority="43">
      <colorScale>
        <cfvo type="min"/>
        <cfvo type="percentile" val="50"/>
        <cfvo type="max"/>
        <color rgb="FFF8696B"/>
        <color rgb="FFFFEB84"/>
        <color rgb="FF63BE7B"/>
      </colorScale>
    </cfRule>
  </conditionalFormatting>
  <conditionalFormatting sqref="B88:J88 H89:J89">
    <cfRule type="colorScale" priority="46">
      <colorScale>
        <cfvo type="min"/>
        <cfvo type="percentile" val="50"/>
        <cfvo type="max"/>
        <color rgb="FFF8696B"/>
        <color rgb="FFFFEB84"/>
        <color rgb="FF63BE7B"/>
      </colorScale>
    </cfRule>
  </conditionalFormatting>
  <conditionalFormatting sqref="B89:J89">
    <cfRule type="colorScale" priority="49">
      <colorScale>
        <cfvo type="min"/>
        <cfvo type="percentile" val="50"/>
        <cfvo type="max"/>
        <color rgb="FFF8696B"/>
        <color rgb="FFFFEB84"/>
        <color rgb="FF63BE7B"/>
      </colorScale>
    </cfRule>
  </conditionalFormatting>
  <pageMargins left="0.7" right="0.7" top="0.78740157499999996" bottom="0.78740157499999996"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F8098F-F22B-4ED4-BB18-1A43AC134000}">
  <dimension ref="A1:J2"/>
  <sheetViews>
    <sheetView workbookViewId="0">
      <selection activeCell="I2" sqref="I2"/>
    </sheetView>
  </sheetViews>
  <sheetFormatPr baseColWidth="10" defaultColWidth="11.453125" defaultRowHeight="14.5"/>
  <cols>
    <col min="1" max="16384" width="11.453125" style="58"/>
  </cols>
  <sheetData>
    <row r="1" spans="1:10">
      <c r="B1" s="58" t="s">
        <v>780</v>
      </c>
      <c r="C1" s="58" t="s">
        <v>776</v>
      </c>
      <c r="D1" s="58" t="s">
        <v>781</v>
      </c>
      <c r="E1" s="58" t="s">
        <v>778</v>
      </c>
      <c r="F1" s="58" t="s">
        <v>779</v>
      </c>
      <c r="G1" s="58" t="s">
        <v>426</v>
      </c>
      <c r="H1" s="58" t="s">
        <v>496</v>
      </c>
      <c r="I1" s="58" t="s">
        <v>538</v>
      </c>
      <c r="J1" s="58" t="s">
        <v>536</v>
      </c>
    </row>
    <row r="2" spans="1:10">
      <c r="A2" s="58" t="s">
        <v>777</v>
      </c>
      <c r="B2" s="58">
        <v>225</v>
      </c>
      <c r="C2" s="58">
        <v>0</v>
      </c>
      <c r="D2" s="58">
        <f>B2*(1+C2)</f>
        <v>225</v>
      </c>
      <c r="E2" s="58">
        <v>1.361</v>
      </c>
      <c r="F2" s="58">
        <v>1.361</v>
      </c>
      <c r="G2" s="58">
        <f>E2/($B$2/1000000)</f>
        <v>6048.8888888888887</v>
      </c>
      <c r="H2" s="58">
        <f>F2/($B$2/1000000)</f>
        <v>6048.8888888888887</v>
      </c>
      <c r="I2" s="58">
        <f>1500*75%</f>
        <v>1125</v>
      </c>
      <c r="J2" s="58">
        <f>1500*25%</f>
        <v>375</v>
      </c>
    </row>
  </sheetData>
  <pageMargins left="0.7" right="0.7" top="0.78740157499999996" bottom="0.78740157499999996"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CAFB6C-045B-4FC5-A543-59307FFD0C51}">
  <dimension ref="F2:F84"/>
  <sheetViews>
    <sheetView workbookViewId="0">
      <selection activeCell="A35" sqref="A35"/>
    </sheetView>
  </sheetViews>
  <sheetFormatPr baseColWidth="10" defaultColWidth="11.54296875" defaultRowHeight="14.5"/>
  <sheetData>
    <row r="2" spans="6:6">
      <c r="F2" t="s">
        <v>200</v>
      </c>
    </row>
    <row r="24" spans="6:6">
      <c r="F24" t="s">
        <v>201</v>
      </c>
    </row>
    <row r="46" spans="6:6">
      <c r="F46" t="s">
        <v>202</v>
      </c>
    </row>
    <row r="83" spans="6:6">
      <c r="F83" t="s">
        <v>203</v>
      </c>
    </row>
    <row r="84" spans="6:6">
      <c r="F84" t="s">
        <v>204</v>
      </c>
    </row>
  </sheetData>
  <pageMargins left="0.7" right="0.7" top="0.78740157499999996" bottom="0.78740157499999996"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B28CD1-162D-42F1-A006-687039CDE6CF}">
  <dimension ref="A1:V18"/>
  <sheetViews>
    <sheetView workbookViewId="0">
      <selection activeCell="T11" sqref="T11"/>
    </sheetView>
  </sheetViews>
  <sheetFormatPr baseColWidth="10" defaultColWidth="11.54296875" defaultRowHeight="14.5"/>
  <cols>
    <col min="8" max="8" width="20.81640625" style="4" bestFit="1" customWidth="1"/>
    <col min="9" max="10" width="11.54296875" style="4"/>
  </cols>
  <sheetData>
    <row r="1" spans="1:22">
      <c r="A1" t="s">
        <v>703</v>
      </c>
    </row>
    <row r="2" spans="1:22">
      <c r="B2" s="49"/>
      <c r="C2" s="49"/>
      <c r="E2" s="49"/>
      <c r="F2" s="49"/>
      <c r="K2" s="98" t="s">
        <v>708</v>
      </c>
      <c r="L2" s="98"/>
      <c r="M2" s="99" t="s">
        <v>709</v>
      </c>
      <c r="N2" s="99"/>
      <c r="O2" s="50"/>
      <c r="P2" s="98" t="s">
        <v>710</v>
      </c>
      <c r="Q2" s="98"/>
      <c r="R2" t="s">
        <v>715</v>
      </c>
    </row>
    <row r="3" spans="1:22">
      <c r="B3" s="49" t="s">
        <v>27</v>
      </c>
      <c r="C3" s="49" t="s">
        <v>35</v>
      </c>
      <c r="D3" t="s">
        <v>715</v>
      </c>
      <c r="E3" s="49" t="s">
        <v>27</v>
      </c>
      <c r="F3" s="49" t="s">
        <v>35</v>
      </c>
      <c r="G3" s="49" t="s">
        <v>715</v>
      </c>
      <c r="H3" s="4" t="s">
        <v>27</v>
      </c>
      <c r="I3" s="4" t="s">
        <v>158</v>
      </c>
      <c r="J3" s="4" t="s">
        <v>35</v>
      </c>
      <c r="K3" s="98" t="s">
        <v>27</v>
      </c>
      <c r="L3" s="98"/>
      <c r="M3" s="99" t="s">
        <v>35</v>
      </c>
      <c r="N3" s="99"/>
      <c r="O3" s="50"/>
      <c r="P3" s="98" t="s">
        <v>35</v>
      </c>
      <c r="Q3" s="98"/>
      <c r="T3" t="s">
        <v>27</v>
      </c>
      <c r="U3" t="s">
        <v>158</v>
      </c>
      <c r="V3" t="s">
        <v>35</v>
      </c>
    </row>
    <row r="4" spans="1:22">
      <c r="B4" t="s">
        <v>157</v>
      </c>
      <c r="C4" t="s">
        <v>157</v>
      </c>
      <c r="D4" t="s">
        <v>157</v>
      </c>
      <c r="E4" s="30" t="s">
        <v>712</v>
      </c>
      <c r="F4" s="30" t="s">
        <v>712</v>
      </c>
      <c r="G4" s="30" t="s">
        <v>712</v>
      </c>
      <c r="K4">
        <v>2019</v>
      </c>
      <c r="L4">
        <v>2020</v>
      </c>
      <c r="M4" s="51">
        <v>2019</v>
      </c>
      <c r="N4" s="51">
        <v>2020</v>
      </c>
      <c r="O4" s="51" t="s">
        <v>157</v>
      </c>
      <c r="P4">
        <v>2019</v>
      </c>
      <c r="Q4">
        <v>2020</v>
      </c>
      <c r="R4">
        <v>2019</v>
      </c>
      <c r="S4">
        <v>2020</v>
      </c>
    </row>
    <row r="5" spans="1:22">
      <c r="A5" t="s">
        <v>37</v>
      </c>
      <c r="B5" s="4">
        <f t="shared" ref="B5:B10" si="0">AVERAGE(K5:L5)</f>
        <v>0.79</v>
      </c>
      <c r="C5" s="4">
        <f t="shared" ref="C5:C10" si="1">AVERAGE(P5:Q5)</f>
        <v>0.623</v>
      </c>
      <c r="D5" s="4">
        <f>AVERAGE(R5:S5)</f>
        <v>0.68500000000000005</v>
      </c>
      <c r="E5" s="48">
        <f>B5/$B$5</f>
        <v>1</v>
      </c>
      <c r="F5" s="48">
        <f>C5/$C$6</f>
        <v>0.86829268292682926</v>
      </c>
      <c r="G5" s="48">
        <f>D5/$D$5</f>
        <v>1</v>
      </c>
      <c r="H5" s="4">
        <f>E5*$H$11</f>
        <v>0.55454851258171012</v>
      </c>
      <c r="J5" s="4">
        <f>F5*$J$11</f>
        <v>0.19389059910016571</v>
      </c>
      <c r="K5" s="4">
        <v>0.77400000000000002</v>
      </c>
      <c r="L5" s="4">
        <v>0.80600000000000005</v>
      </c>
      <c r="M5" s="52">
        <v>0.16900000000000001</v>
      </c>
      <c r="N5" s="52">
        <v>0.17899999999999999</v>
      </c>
      <c r="O5" s="52">
        <f t="shared" ref="O5:O10" si="2">AVERAGE(M5:N5)</f>
        <v>0.17399999999999999</v>
      </c>
      <c r="P5" s="4">
        <v>0.60299999999999998</v>
      </c>
      <c r="Q5" s="4">
        <v>0.64300000000000002</v>
      </c>
      <c r="R5" s="4">
        <v>0.67400000000000004</v>
      </c>
      <c r="S5" s="4">
        <v>0.69599999999999995</v>
      </c>
    </row>
    <row r="6" spans="1:22">
      <c r="A6" t="s">
        <v>704</v>
      </c>
      <c r="B6" s="4">
        <f t="shared" si="0"/>
        <v>0.41100000000000003</v>
      </c>
      <c r="C6" s="4">
        <f t="shared" si="1"/>
        <v>0.71750000000000003</v>
      </c>
      <c r="D6" s="4">
        <f>AVERAGE(R6:S6)</f>
        <v>0.49</v>
      </c>
      <c r="E6" s="48">
        <f>B6/$B$5</f>
        <v>0.52025316455696202</v>
      </c>
      <c r="F6" s="48">
        <f>C6/$C$6</f>
        <v>1</v>
      </c>
      <c r="G6" s="48">
        <f>D6/$D$5</f>
        <v>0.71532846715328458</v>
      </c>
      <c r="H6" s="4">
        <f>E6*$H$11</f>
        <v>0.28850561857099094</v>
      </c>
      <c r="J6" s="4">
        <f>F6*$J$11</f>
        <v>0.22330097087378636</v>
      </c>
      <c r="K6" s="4">
        <v>0.42699999999999999</v>
      </c>
      <c r="L6" s="4">
        <v>0.39500000000000002</v>
      </c>
      <c r="M6" s="52"/>
      <c r="N6" s="52"/>
      <c r="O6" s="52" t="e">
        <f t="shared" si="2"/>
        <v>#DIV/0!</v>
      </c>
      <c r="P6" s="4">
        <v>0.73099999999999998</v>
      </c>
      <c r="Q6" s="4">
        <v>0.70399999999999996</v>
      </c>
      <c r="R6" s="4">
        <v>0.5</v>
      </c>
      <c r="S6" s="4">
        <v>0.48</v>
      </c>
    </row>
    <row r="7" spans="1:22">
      <c r="A7" t="s">
        <v>705</v>
      </c>
      <c r="B7" s="4">
        <f t="shared" si="0"/>
        <v>9.4500000000000001E-2</v>
      </c>
      <c r="C7" s="4" t="e">
        <f t="shared" si="1"/>
        <v>#DIV/0!</v>
      </c>
      <c r="D7" s="4">
        <f>AVERAGE(R7:S7)</f>
        <v>7.4999999999999997E-2</v>
      </c>
      <c r="E7" s="48">
        <f>B7/$B$5</f>
        <v>0.11962025316455696</v>
      </c>
      <c r="F7" s="48"/>
      <c r="G7" s="48">
        <f>D7/$D$5</f>
        <v>0.1094890510948905</v>
      </c>
      <c r="H7" s="4">
        <f>E7*$H$11</f>
        <v>6.6335233467052668E-2</v>
      </c>
      <c r="J7" s="4">
        <f>F7*$J$11</f>
        <v>0</v>
      </c>
      <c r="K7" s="4">
        <v>9.2999999999999999E-2</v>
      </c>
      <c r="L7" s="4">
        <v>9.6000000000000002E-2</v>
      </c>
      <c r="M7" s="52">
        <v>9.5000000000000001E-2</v>
      </c>
      <c r="N7" s="52">
        <v>7.4999999999999997E-2</v>
      </c>
      <c r="O7" s="52">
        <f t="shared" si="2"/>
        <v>8.4999999999999992E-2</v>
      </c>
      <c r="P7" s="4"/>
      <c r="Q7" s="4"/>
      <c r="R7" s="4">
        <v>7.9000000000000001E-2</v>
      </c>
      <c r="S7" s="4">
        <v>7.0999999999999994E-2</v>
      </c>
    </row>
    <row r="8" spans="1:22">
      <c r="A8" t="s">
        <v>706</v>
      </c>
      <c r="B8" s="4">
        <f t="shared" si="0"/>
        <v>6.7500000000000004E-2</v>
      </c>
      <c r="C8" s="4" t="e">
        <f t="shared" si="1"/>
        <v>#DIV/0!</v>
      </c>
      <c r="D8" s="4">
        <f>AVERAGE(R8:S8)</f>
        <v>0.34299999999999997</v>
      </c>
      <c r="E8" s="48">
        <f>B8/$B$5</f>
        <v>8.5443037974683542E-2</v>
      </c>
      <c r="F8" s="48"/>
      <c r="G8" s="48">
        <f>D8/$D$5</f>
        <v>0.50072992700729924</v>
      </c>
      <c r="H8" s="4">
        <f>E8*$H$11</f>
        <v>4.7382309619323333E-2</v>
      </c>
      <c r="J8" s="4">
        <f>F8*$J$11</f>
        <v>0</v>
      </c>
      <c r="K8" s="4">
        <v>6.7000000000000004E-2</v>
      </c>
      <c r="L8" s="4">
        <v>6.8000000000000005E-2</v>
      </c>
      <c r="M8" s="52">
        <v>0.68799999999999994</v>
      </c>
      <c r="N8" s="52">
        <v>0.71399999999999997</v>
      </c>
      <c r="O8" s="52">
        <f t="shared" si="2"/>
        <v>0.70099999999999996</v>
      </c>
      <c r="P8" s="4"/>
      <c r="Q8" s="4"/>
      <c r="R8" s="4">
        <v>0.33900000000000002</v>
      </c>
      <c r="S8" s="4">
        <v>0.34699999999999998</v>
      </c>
    </row>
    <row r="9" spans="1:22">
      <c r="A9" t="s">
        <v>707</v>
      </c>
      <c r="B9" s="4">
        <f t="shared" si="0"/>
        <v>5.6000000000000001E-2</v>
      </c>
      <c r="C9" s="4">
        <f t="shared" si="1"/>
        <v>0.13350000000000001</v>
      </c>
      <c r="D9" s="4">
        <f>AVERAGE(R9:S9)</f>
        <v>0.1615</v>
      </c>
      <c r="E9" s="48">
        <f>B9/$B$5</f>
        <v>7.0886075949367092E-2</v>
      </c>
      <c r="F9" s="48">
        <f>C9/$C$6</f>
        <v>0.18606271777003486</v>
      </c>
      <c r="G9" s="48">
        <f>D9/$D$5</f>
        <v>0.23576642335766423</v>
      </c>
      <c r="H9" s="4">
        <f>E9*$H$11</f>
        <v>3.9309767980475654E-2</v>
      </c>
      <c r="J9" s="4">
        <f>F9*$J$11</f>
        <v>4.154798552146409E-2</v>
      </c>
      <c r="K9" s="4">
        <v>5.3999999999999999E-2</v>
      </c>
      <c r="L9" s="4">
        <v>5.8000000000000003E-2</v>
      </c>
      <c r="M9" s="52">
        <v>0.221</v>
      </c>
      <c r="N9" s="52">
        <v>0.18</v>
      </c>
      <c r="O9" s="52">
        <f t="shared" si="2"/>
        <v>0.20050000000000001</v>
      </c>
      <c r="P9" s="4">
        <v>0.13800000000000001</v>
      </c>
      <c r="Q9" s="4">
        <v>0.129</v>
      </c>
      <c r="R9" s="4">
        <v>0.161</v>
      </c>
      <c r="S9" s="4">
        <v>0.16200000000000001</v>
      </c>
    </row>
    <row r="10" spans="1:22">
      <c r="A10" t="s">
        <v>711</v>
      </c>
      <c r="B10" s="4" t="e">
        <f t="shared" si="0"/>
        <v>#DIV/0!</v>
      </c>
      <c r="C10" s="4" t="e">
        <f t="shared" si="1"/>
        <v>#DIV/0!</v>
      </c>
      <c r="D10" s="4"/>
      <c r="E10" s="48"/>
      <c r="F10" s="48"/>
      <c r="G10" s="4"/>
      <c r="K10" s="4"/>
      <c r="L10" s="4"/>
      <c r="M10" s="52">
        <v>0.27500000000000002</v>
      </c>
      <c r="N10" s="52">
        <v>0.29099999999999998</v>
      </c>
      <c r="O10" s="52">
        <f t="shared" si="2"/>
        <v>0.28300000000000003</v>
      </c>
      <c r="P10" s="4"/>
      <c r="Q10" s="4"/>
      <c r="R10" s="4"/>
      <c r="S10" s="4"/>
    </row>
    <row r="11" spans="1:22">
      <c r="H11" s="48">
        <v>0.55454851258171012</v>
      </c>
      <c r="I11" s="48">
        <v>0.22215051654450335</v>
      </c>
      <c r="J11" s="48">
        <v>0.22330097087378636</v>
      </c>
      <c r="K11" s="20">
        <f>SUM(H11:J11)</f>
        <v>0.99999999999999978</v>
      </c>
      <c r="T11" s="4">
        <v>0.55454851258171012</v>
      </c>
      <c r="U11" s="4">
        <v>0.22215051654450335</v>
      </c>
      <c r="V11" s="4">
        <v>0.22330097087378636</v>
      </c>
    </row>
    <row r="12" spans="1:22">
      <c r="B12" s="98" t="s">
        <v>27</v>
      </c>
      <c r="C12" s="98"/>
      <c r="D12" s="98" t="s">
        <v>35</v>
      </c>
      <c r="E12" s="98"/>
      <c r="H12" s="4">
        <f>H11/SUM(H11:I11)</f>
        <v>0.71398120994895187</v>
      </c>
      <c r="I12" s="4">
        <f>I11/SUM(H11:I11)</f>
        <v>0.28601879005104813</v>
      </c>
      <c r="K12" s="20">
        <f t="shared" ref="K12:K17" si="3">SUM(H12:J12)</f>
        <v>1</v>
      </c>
    </row>
    <row r="13" spans="1:22">
      <c r="B13">
        <v>2019</v>
      </c>
      <c r="C13">
        <v>2020</v>
      </c>
      <c r="D13">
        <v>2019</v>
      </c>
      <c r="E13">
        <v>2020</v>
      </c>
      <c r="H13" s="4">
        <f>H11/SUM(H11,J11)</f>
        <v>0.71292521802315723</v>
      </c>
      <c r="J13" s="4">
        <f>J11/SUM(J11,H11)</f>
        <v>0.28707478197684266</v>
      </c>
      <c r="K13" s="20">
        <f t="shared" si="3"/>
        <v>0.99999999999999989</v>
      </c>
    </row>
    <row r="14" spans="1:22">
      <c r="A14" t="s">
        <v>37</v>
      </c>
      <c r="B14" s="4">
        <v>0.77400000000000002</v>
      </c>
      <c r="C14" s="4">
        <v>0.80600000000000005</v>
      </c>
      <c r="D14" s="4">
        <v>0.60299999999999998</v>
      </c>
      <c r="E14" s="4">
        <v>0.64300000000000002</v>
      </c>
      <c r="I14" s="4">
        <f>I11/SUM(I11:J11)</f>
        <v>0.49870866484704013</v>
      </c>
      <c r="J14" s="4">
        <f>J11/SUM(I11:J11)</f>
        <v>0.50129133515295987</v>
      </c>
      <c r="K14" s="20">
        <f t="shared" si="3"/>
        <v>1</v>
      </c>
    </row>
    <row r="15" spans="1:22">
      <c r="A15" t="s">
        <v>704</v>
      </c>
      <c r="B15" s="4">
        <v>0.42699999999999999</v>
      </c>
      <c r="C15" s="4">
        <v>0.39500000000000002</v>
      </c>
      <c r="D15" s="4">
        <v>0.73099999999999998</v>
      </c>
      <c r="E15" s="4">
        <v>0.70399999999999996</v>
      </c>
      <c r="H15" s="4">
        <f>H11/H11</f>
        <v>1</v>
      </c>
      <c r="K15" s="20">
        <f t="shared" si="3"/>
        <v>1</v>
      </c>
    </row>
    <row r="16" spans="1:22">
      <c r="A16" t="s">
        <v>222</v>
      </c>
      <c r="B16" s="4">
        <v>9.2999999999999999E-2</v>
      </c>
      <c r="C16" s="4">
        <v>9.6000000000000002E-2</v>
      </c>
      <c r="D16" s="4"/>
      <c r="E16" s="4"/>
      <c r="I16" s="4">
        <f>I12/I12</f>
        <v>1</v>
      </c>
      <c r="K16" s="20">
        <f t="shared" si="3"/>
        <v>1</v>
      </c>
    </row>
    <row r="17" spans="1:11">
      <c r="A17" t="s">
        <v>38</v>
      </c>
      <c r="B17" s="4">
        <v>6.7000000000000004E-2</v>
      </c>
      <c r="C17" s="4">
        <v>6.8000000000000005E-2</v>
      </c>
      <c r="D17" s="4"/>
      <c r="E17" s="4"/>
      <c r="J17" s="4">
        <f>J13/J13</f>
        <v>1</v>
      </c>
      <c r="K17" s="20">
        <f t="shared" si="3"/>
        <v>1</v>
      </c>
    </row>
    <row r="18" spans="1:11">
      <c r="A18" t="s">
        <v>1062</v>
      </c>
      <c r="B18" s="4">
        <v>5.3999999999999999E-2</v>
      </c>
      <c r="C18" s="4">
        <v>5.8000000000000003E-2</v>
      </c>
      <c r="D18" s="4">
        <v>0.13800000000000001</v>
      </c>
      <c r="E18" s="4">
        <v>0.129</v>
      </c>
    </row>
  </sheetData>
  <mergeCells count="8">
    <mergeCell ref="B12:C12"/>
    <mergeCell ref="D12:E12"/>
    <mergeCell ref="K2:L2"/>
    <mergeCell ref="M2:N2"/>
    <mergeCell ref="P2:Q2"/>
    <mergeCell ref="K3:L3"/>
    <mergeCell ref="M3:N3"/>
    <mergeCell ref="P3:Q3"/>
  </mergeCells>
  <pageMargins left="0.7" right="0.7" top="0.78740157499999996" bottom="0.78740157499999996"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81287D-92F8-4FE8-88A4-01123411FFB7}">
  <dimension ref="A3:G9"/>
  <sheetViews>
    <sheetView workbookViewId="0">
      <selection activeCell="A10" sqref="A10"/>
    </sheetView>
  </sheetViews>
  <sheetFormatPr baseColWidth="10" defaultColWidth="11.54296875" defaultRowHeight="14.5"/>
  <cols>
    <col min="1" max="2" width="11.54296875" bestFit="1" customWidth="1"/>
    <col min="3" max="3" width="12.7265625" bestFit="1" customWidth="1"/>
    <col min="4" max="7" width="11.54296875" bestFit="1" customWidth="1"/>
  </cols>
  <sheetData>
    <row r="3" spans="1:7">
      <c r="A3" t="s">
        <v>764</v>
      </c>
      <c r="B3" s="45">
        <f>1-15%/(3*12)*defects_new!I11</f>
        <v>0.99907437284773126</v>
      </c>
    </row>
    <row r="4" spans="1:7">
      <c r="A4" t="s">
        <v>765</v>
      </c>
      <c r="B4" s="45">
        <f>1-(1-B3)*(1-design_options!G8)</f>
        <v>0.99953718642386558</v>
      </c>
    </row>
    <row r="7" spans="1:7">
      <c r="A7" s="39">
        <f>64*2*2</f>
        <v>256</v>
      </c>
      <c r="B7" s="56">
        <v>21147</v>
      </c>
      <c r="C7" s="39">
        <f>A7*B7</f>
        <v>5413632</v>
      </c>
      <c r="D7" s="39">
        <v>4.0000000000000001E-3</v>
      </c>
      <c r="E7" s="57">
        <f>D7*C7</f>
        <v>21654.528000000002</v>
      </c>
      <c r="F7" s="57">
        <f>E7/60/60</f>
        <v>6.0151466666666673</v>
      </c>
      <c r="G7" s="39">
        <f>F7/24</f>
        <v>0.25063111111111114</v>
      </c>
    </row>
    <row r="9" spans="1:7">
      <c r="A9" t="s">
        <v>1069</v>
      </c>
    </row>
  </sheetData>
  <pageMargins left="0.7" right="0.7" top="0.78740157499999996" bottom="0.78740157499999996"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B14143-378E-44E6-AD76-D93F4E05BC85}">
  <dimension ref="A1:H2"/>
  <sheetViews>
    <sheetView workbookViewId="0">
      <selection activeCell="E2" sqref="E2"/>
    </sheetView>
  </sheetViews>
  <sheetFormatPr baseColWidth="10" defaultColWidth="11.54296875" defaultRowHeight="14.5"/>
  <cols>
    <col min="1" max="1" width="21.54296875" bestFit="1" customWidth="1"/>
    <col min="2" max="2" width="25.26953125" bestFit="1" customWidth="1"/>
    <col min="5" max="5" width="38.7265625" customWidth="1"/>
  </cols>
  <sheetData>
    <row r="1" spans="1:8">
      <c r="A1" t="s">
        <v>772</v>
      </c>
      <c r="B1" t="s">
        <v>766</v>
      </c>
      <c r="C1" t="s">
        <v>767</v>
      </c>
      <c r="D1" t="s">
        <v>768</v>
      </c>
      <c r="E1" t="s">
        <v>769</v>
      </c>
      <c r="F1" t="s">
        <v>770</v>
      </c>
      <c r="G1" t="s">
        <v>771</v>
      </c>
      <c r="H1" t="s">
        <v>888</v>
      </c>
    </row>
    <row r="2" spans="1:8">
      <c r="A2" s="37">
        <f>(0.0287/3)*1000</f>
        <v>9.5666666666666664</v>
      </c>
      <c r="B2" t="s">
        <v>774</v>
      </c>
      <c r="C2">
        <v>500</v>
      </c>
      <c r="D2">
        <f>7*12</f>
        <v>84</v>
      </c>
      <c r="E2" s="1" t="str">
        <f>"rep_low,"&amp;ROUND(repair!J88,6)&amp;","&amp;"rep_high,"&amp;ROUND(repair!K88,6)</f>
        <v>rep_low,0.228093,rep_high,0.514987</v>
      </c>
      <c r="F2" s="1">
        <f>1/5</f>
        <v>0.2</v>
      </c>
      <c r="G2" s="4">
        <f>1%/10</f>
        <v>1E-3</v>
      </c>
      <c r="H2">
        <v>500</v>
      </c>
    </row>
  </sheetData>
  <pageMargins left="0.7" right="0.7" top="0.78740157499999996" bottom="0.78740157499999996"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71C65F-DE54-4017-A091-33C32131AC7B}">
  <dimension ref="A1:G16"/>
  <sheetViews>
    <sheetView workbookViewId="0">
      <selection activeCell="D10" sqref="D10"/>
    </sheetView>
  </sheetViews>
  <sheetFormatPr baseColWidth="10" defaultColWidth="11.54296875" defaultRowHeight="14.5"/>
  <cols>
    <col min="1" max="1" width="13.7265625" bestFit="1" customWidth="1"/>
    <col min="4" max="4" width="11.54296875" style="53"/>
    <col min="7" max="7" width="8.54296875" bestFit="1" customWidth="1"/>
  </cols>
  <sheetData>
    <row r="1" spans="1:7">
      <c r="B1" t="s">
        <v>726</v>
      </c>
      <c r="D1" s="53" t="s">
        <v>565</v>
      </c>
      <c r="F1" t="s">
        <v>268</v>
      </c>
      <c r="G1" t="s">
        <v>750</v>
      </c>
    </row>
    <row r="2" spans="1:7">
      <c r="A2" t="s">
        <v>727</v>
      </c>
      <c r="B2">
        <v>1.5</v>
      </c>
      <c r="C2" t="s">
        <v>728</v>
      </c>
      <c r="D2" s="53">
        <f>B2/10000*conversion!$B$6</f>
        <v>2.2889982933717857E-4</v>
      </c>
      <c r="E2" t="s">
        <v>276</v>
      </c>
      <c r="F2" t="s">
        <v>738</v>
      </c>
      <c r="G2" s="53">
        <f>D2*0.05</f>
        <v>1.1444991466858929E-5</v>
      </c>
    </row>
    <row r="3" spans="1:7">
      <c r="A3" t="s">
        <v>729</v>
      </c>
      <c r="B3">
        <v>93</v>
      </c>
      <c r="C3" t="s">
        <v>728</v>
      </c>
      <c r="D3" s="53">
        <f>B3/10000*conversion!$B$9</f>
        <v>1.2555E-2</v>
      </c>
      <c r="E3" t="s">
        <v>276</v>
      </c>
      <c r="G3" s="53">
        <f>D3*0.05</f>
        <v>6.2775000000000005E-4</v>
      </c>
    </row>
    <row r="4" spans="1:7">
      <c r="A4" t="s">
        <v>730</v>
      </c>
      <c r="B4">
        <v>93</v>
      </c>
      <c r="C4" t="s">
        <v>728</v>
      </c>
      <c r="D4" s="53">
        <f>B4/10000*conversion!$B$9</f>
        <v>1.2555E-2</v>
      </c>
      <c r="E4" t="s">
        <v>276</v>
      </c>
      <c r="F4" t="s">
        <v>745</v>
      </c>
      <c r="G4" s="53">
        <f t="shared" ref="G4:G16" si="0">D4*0.05</f>
        <v>6.2775000000000005E-4</v>
      </c>
    </row>
    <row r="5" spans="1:7">
      <c r="A5" t="s">
        <v>731</v>
      </c>
      <c r="B5">
        <v>3</v>
      </c>
      <c r="C5" t="s">
        <v>728</v>
      </c>
      <c r="D5" s="53">
        <f>B5/10000*conversion!$B$5</f>
        <v>4.3709366173993617E-4</v>
      </c>
      <c r="E5" t="s">
        <v>276</v>
      </c>
      <c r="F5" t="s">
        <v>739</v>
      </c>
      <c r="G5" s="53">
        <f t="shared" si="0"/>
        <v>2.1854683086996809E-5</v>
      </c>
    </row>
    <row r="6" spans="1:7">
      <c r="A6" t="s">
        <v>732</v>
      </c>
      <c r="B6">
        <v>35</v>
      </c>
      <c r="C6" t="s">
        <v>728</v>
      </c>
      <c r="D6" s="53">
        <f>B6/10000*conversion!$B$7</f>
        <v>7.0329639446234538E-3</v>
      </c>
      <c r="E6" t="s">
        <v>276</v>
      </c>
      <c r="G6" s="53">
        <f t="shared" si="0"/>
        <v>3.5164819723117272E-4</v>
      </c>
    </row>
    <row r="7" spans="1:7">
      <c r="A7" t="s">
        <v>733</v>
      </c>
      <c r="B7">
        <v>1</v>
      </c>
      <c r="C7" t="s">
        <v>728</v>
      </c>
      <c r="D7" s="53">
        <f>B7/10000*conversion!$B$2</f>
        <v>4.3057499999999999E-4</v>
      </c>
      <c r="E7" t="s">
        <v>276</v>
      </c>
      <c r="G7" s="53">
        <f t="shared" si="0"/>
        <v>2.1528749999999999E-5</v>
      </c>
    </row>
    <row r="8" spans="1:7">
      <c r="A8" t="s">
        <v>734</v>
      </c>
      <c r="B8">
        <v>1</v>
      </c>
      <c r="C8" t="s">
        <v>728</v>
      </c>
      <c r="D8" s="53">
        <f>B8/10000*conversion!$B$2</f>
        <v>4.3057499999999999E-4</v>
      </c>
      <c r="E8" t="s">
        <v>276</v>
      </c>
      <c r="G8" s="53">
        <f t="shared" si="0"/>
        <v>2.1528749999999999E-5</v>
      </c>
    </row>
    <row r="9" spans="1:7">
      <c r="A9" t="s">
        <v>735</v>
      </c>
      <c r="B9">
        <v>3</v>
      </c>
      <c r="C9" t="s">
        <v>728</v>
      </c>
      <c r="D9" s="53">
        <f>B9/10000*conversion!$B$2</f>
        <v>1.2917249999999999E-3</v>
      </c>
      <c r="E9" t="s">
        <v>276</v>
      </c>
      <c r="G9" s="53">
        <f t="shared" si="0"/>
        <v>6.4586249999999998E-5</v>
      </c>
    </row>
    <row r="10" spans="1:7">
      <c r="A10" t="s">
        <v>736</v>
      </c>
      <c r="B10">
        <v>3</v>
      </c>
      <c r="C10" t="s">
        <v>728</v>
      </c>
      <c r="D10" s="53">
        <f>B10/10000*conversion!$B$3</f>
        <v>2.7917249999999997E-3</v>
      </c>
      <c r="E10" t="s">
        <v>276</v>
      </c>
      <c r="F10" t="s">
        <v>742</v>
      </c>
      <c r="G10" s="53">
        <f t="shared" si="0"/>
        <v>1.3958624999999998E-4</v>
      </c>
    </row>
    <row r="11" spans="1:7">
      <c r="A11" t="s">
        <v>737</v>
      </c>
      <c r="B11">
        <v>8</v>
      </c>
      <c r="C11" t="s">
        <v>728</v>
      </c>
      <c r="D11" s="53">
        <f>B11/10000*conversion!$B$6</f>
        <v>1.2207990897982858E-3</v>
      </c>
      <c r="E11" t="s">
        <v>276</v>
      </c>
      <c r="F11" t="s">
        <v>738</v>
      </c>
      <c r="G11" s="53">
        <f t="shared" si="0"/>
        <v>6.1039954489914295E-5</v>
      </c>
    </row>
    <row r="12" spans="1:7">
      <c r="A12" t="s">
        <v>740</v>
      </c>
      <c r="B12">
        <v>50</v>
      </c>
      <c r="C12" t="s">
        <v>728</v>
      </c>
      <c r="D12" s="53">
        <f>B12/10000*conversion!$B$4</f>
        <v>4.6222295150289703E-3</v>
      </c>
      <c r="E12" t="s">
        <v>276</v>
      </c>
      <c r="G12" s="53">
        <f t="shared" si="0"/>
        <v>2.3111147575144853E-4</v>
      </c>
    </row>
    <row r="13" spans="1:7">
      <c r="A13" t="s">
        <v>741</v>
      </c>
      <c r="B13">
        <v>0.4</v>
      </c>
      <c r="C13" t="s">
        <v>728</v>
      </c>
      <c r="D13" s="53">
        <f>B13/10000*conversion!$B$3</f>
        <v>3.7223000000000003E-4</v>
      </c>
      <c r="E13" t="s">
        <v>276</v>
      </c>
      <c r="F13" t="s">
        <v>742</v>
      </c>
      <c r="G13" s="53">
        <f t="shared" si="0"/>
        <v>1.8611500000000003E-5</v>
      </c>
    </row>
    <row r="14" spans="1:7">
      <c r="A14" t="s">
        <v>743</v>
      </c>
      <c r="B14">
        <v>0.3</v>
      </c>
      <c r="C14" t="s">
        <v>728</v>
      </c>
      <c r="D14" s="53">
        <f>B14/10000*conversion!$B$6</f>
        <v>4.5779965867435718E-5</v>
      </c>
      <c r="E14" t="s">
        <v>276</v>
      </c>
      <c r="F14" t="s">
        <v>738</v>
      </c>
      <c r="G14" s="53">
        <f t="shared" si="0"/>
        <v>2.2889982933717861E-6</v>
      </c>
    </row>
    <row r="15" spans="1:7">
      <c r="A15" t="s">
        <v>744</v>
      </c>
      <c r="B15">
        <v>0.3</v>
      </c>
      <c r="C15" t="s">
        <v>728</v>
      </c>
      <c r="D15" s="53">
        <f>B15/10000*conversion!$B$3</f>
        <v>2.7917249999999996E-4</v>
      </c>
      <c r="E15" t="s">
        <v>276</v>
      </c>
      <c r="F15" t="s">
        <v>742</v>
      </c>
      <c r="G15" s="53">
        <f t="shared" si="0"/>
        <v>1.3958624999999999E-5</v>
      </c>
    </row>
    <row r="16" spans="1:7">
      <c r="A16" t="s">
        <v>746</v>
      </c>
      <c r="B16">
        <v>1.5</v>
      </c>
      <c r="C16" t="s">
        <v>747</v>
      </c>
      <c r="D16" s="53">
        <f>B16/100/1000</f>
        <v>1.4999999999999999E-5</v>
      </c>
      <c r="E16" t="s">
        <v>276</v>
      </c>
      <c r="F16" t="s">
        <v>748</v>
      </c>
      <c r="G16" s="53">
        <f t="shared" si="0"/>
        <v>7.5000000000000002E-7</v>
      </c>
    </row>
  </sheetData>
  <phoneticPr fontId="8" type="noConversion"/>
  <pageMargins left="0.7" right="0.7" top="0.78740157499999996" bottom="0.78740157499999996"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CE5DED-F3B8-4B5D-B0F3-1170F4C87C0B}">
  <dimension ref="A1:K16"/>
  <sheetViews>
    <sheetView topLeftCell="B1" workbookViewId="0">
      <selection activeCell="H3" sqref="H3"/>
    </sheetView>
  </sheetViews>
  <sheetFormatPr baseColWidth="10" defaultColWidth="11.54296875" defaultRowHeight="14.5"/>
  <cols>
    <col min="1" max="1" width="11.54296875" style="35"/>
    <col min="2" max="2" width="42.7265625" bestFit="1" customWidth="1"/>
    <col min="3" max="3" width="203.26953125" bestFit="1" customWidth="1"/>
    <col min="5" max="5" width="15.26953125" bestFit="1" customWidth="1"/>
    <col min="6" max="6" width="15.26953125" customWidth="1"/>
    <col min="7" max="7" width="6.1796875" style="4" bestFit="1" customWidth="1"/>
    <col min="8" max="8" width="36.26953125" customWidth="1"/>
    <col min="9" max="9" width="23.7265625" customWidth="1"/>
  </cols>
  <sheetData>
    <row r="1" spans="1:11">
      <c r="A1" s="35" t="s">
        <v>642</v>
      </c>
      <c r="B1" t="s">
        <v>224</v>
      </c>
      <c r="C1" t="s">
        <v>645</v>
      </c>
      <c r="D1" t="s">
        <v>643</v>
      </c>
      <c r="E1" t="s">
        <v>644</v>
      </c>
      <c r="G1" s="4" t="s">
        <v>646</v>
      </c>
      <c r="H1" t="s">
        <v>268</v>
      </c>
      <c r="I1" t="s">
        <v>677</v>
      </c>
      <c r="J1" t="s">
        <v>678</v>
      </c>
    </row>
    <row r="2" spans="1:11">
      <c r="A2" s="35">
        <v>1</v>
      </c>
      <c r="B2" t="s">
        <v>647</v>
      </c>
      <c r="C2" t="s">
        <v>648</v>
      </c>
      <c r="D2" t="s">
        <v>40</v>
      </c>
      <c r="E2" t="s">
        <v>649</v>
      </c>
      <c r="F2" s="4">
        <v>0.1</v>
      </c>
      <c r="G2" s="4">
        <v>0.1</v>
      </c>
      <c r="I2" t="s">
        <v>679</v>
      </c>
    </row>
    <row r="3" spans="1:11">
      <c r="A3" s="35">
        <v>2</v>
      </c>
      <c r="B3" t="s">
        <v>650</v>
      </c>
      <c r="D3" t="s">
        <v>40</v>
      </c>
      <c r="E3" t="s">
        <v>651</v>
      </c>
      <c r="F3" s="4">
        <v>0.1</v>
      </c>
      <c r="G3" s="4">
        <v>0.1</v>
      </c>
      <c r="H3" t="s">
        <v>652</v>
      </c>
      <c r="I3" t="s">
        <v>679</v>
      </c>
    </row>
    <row r="4" spans="1:11">
      <c r="A4" s="35" t="s">
        <v>665</v>
      </c>
      <c r="B4" t="s">
        <v>658</v>
      </c>
      <c r="C4" t="s">
        <v>656</v>
      </c>
      <c r="D4" t="s">
        <v>40</v>
      </c>
      <c r="E4" t="s">
        <v>651</v>
      </c>
      <c r="F4" s="4">
        <v>0.24</v>
      </c>
      <c r="G4" s="4">
        <v>0.24</v>
      </c>
      <c r="H4" t="s">
        <v>659</v>
      </c>
      <c r="I4" t="s">
        <v>679</v>
      </c>
      <c r="J4" t="s">
        <v>679</v>
      </c>
    </row>
    <row r="5" spans="1:11">
      <c r="A5" s="35" t="s">
        <v>666</v>
      </c>
      <c r="B5" t="s">
        <v>658</v>
      </c>
      <c r="C5" t="s">
        <v>656</v>
      </c>
      <c r="D5" t="s">
        <v>40</v>
      </c>
      <c r="E5" t="s">
        <v>649</v>
      </c>
      <c r="F5" s="4">
        <v>0.24</v>
      </c>
      <c r="G5" s="4">
        <v>0.24</v>
      </c>
      <c r="H5" t="s">
        <v>659</v>
      </c>
      <c r="I5" t="s">
        <v>679</v>
      </c>
      <c r="J5" t="s">
        <v>679</v>
      </c>
    </row>
    <row r="6" spans="1:11">
      <c r="A6" s="35" t="s">
        <v>667</v>
      </c>
      <c r="B6" t="s">
        <v>657</v>
      </c>
      <c r="C6" t="s">
        <v>656</v>
      </c>
      <c r="D6" t="s">
        <v>660</v>
      </c>
      <c r="E6" t="s">
        <v>651</v>
      </c>
      <c r="F6" s="4">
        <v>0.24</v>
      </c>
      <c r="G6" s="4">
        <v>0.24</v>
      </c>
      <c r="H6" t="s">
        <v>659</v>
      </c>
      <c r="I6" t="s">
        <v>679</v>
      </c>
      <c r="J6" t="s">
        <v>679</v>
      </c>
    </row>
    <row r="7" spans="1:11">
      <c r="A7" s="35" t="s">
        <v>668</v>
      </c>
      <c r="B7" t="s">
        <v>657</v>
      </c>
      <c r="C7" t="s">
        <v>656</v>
      </c>
      <c r="D7" t="s">
        <v>661</v>
      </c>
      <c r="E7" t="s">
        <v>649</v>
      </c>
      <c r="F7" s="4">
        <v>0.24</v>
      </c>
      <c r="G7" s="4">
        <v>0.24</v>
      </c>
      <c r="H7" t="s">
        <v>659</v>
      </c>
      <c r="I7" t="s">
        <v>679</v>
      </c>
      <c r="J7" t="s">
        <v>679</v>
      </c>
    </row>
    <row r="8" spans="1:11">
      <c r="A8" s="35">
        <v>4</v>
      </c>
      <c r="B8" t="s">
        <v>662</v>
      </c>
      <c r="C8" t="s">
        <v>663</v>
      </c>
      <c r="D8" t="s">
        <v>661</v>
      </c>
      <c r="E8" t="s">
        <v>664</v>
      </c>
      <c r="F8" s="4">
        <v>0.5</v>
      </c>
      <c r="G8" s="4">
        <v>0.5</v>
      </c>
      <c r="I8" t="s">
        <v>679</v>
      </c>
      <c r="J8" t="s">
        <v>679</v>
      </c>
    </row>
    <row r="9" spans="1:11">
      <c r="A9" s="35" t="s">
        <v>670</v>
      </c>
      <c r="B9" t="s">
        <v>669</v>
      </c>
      <c r="C9" t="s">
        <v>671</v>
      </c>
      <c r="D9" t="s">
        <v>38</v>
      </c>
      <c r="E9" t="s">
        <v>651</v>
      </c>
      <c r="F9" s="4">
        <f>(0.2)*(1+(0.25*1))*(1+(0.25))*(1+(0.2))*(1+(0.1))</f>
        <v>0.41250000000000003</v>
      </c>
      <c r="G9" s="4">
        <f>(0.2*0.5)*(1+(0.25*1))*(1+(0.25*0.75))*(1+(0.2*0.1))*(1+(0.1*0.1))</f>
        <v>0.15292031249999999</v>
      </c>
      <c r="H9" t="s">
        <v>672</v>
      </c>
      <c r="I9" t="s">
        <v>679</v>
      </c>
    </row>
    <row r="10" spans="1:11">
      <c r="A10" s="35" t="s">
        <v>674</v>
      </c>
      <c r="B10" t="s">
        <v>675</v>
      </c>
      <c r="C10" t="s">
        <v>690</v>
      </c>
      <c r="D10" t="s">
        <v>38</v>
      </c>
      <c r="E10" t="s">
        <v>673</v>
      </c>
      <c r="F10" s="4">
        <f>(1-((1-50%)/(1-33%)))</f>
        <v>0.25373134328358204</v>
      </c>
      <c r="G10" s="4">
        <f>(1-((1-50%)/(1-33%)))*95%</f>
        <v>0.24104477611940292</v>
      </c>
      <c r="H10" t="s">
        <v>676</v>
      </c>
      <c r="I10" t="s">
        <v>679</v>
      </c>
      <c r="J10" t="s">
        <v>679</v>
      </c>
    </row>
    <row r="11" spans="1:11">
      <c r="A11" s="35" t="s">
        <v>680</v>
      </c>
      <c r="B11" t="s">
        <v>681</v>
      </c>
      <c r="C11" t="s">
        <v>682</v>
      </c>
      <c r="D11" t="s">
        <v>683</v>
      </c>
      <c r="E11" t="s">
        <v>673</v>
      </c>
      <c r="F11" s="4">
        <f>40%</f>
        <v>0.4</v>
      </c>
      <c r="G11" s="4">
        <f>40%*50%</f>
        <v>0.2</v>
      </c>
      <c r="H11" t="s">
        <v>684</v>
      </c>
      <c r="I11" t="s">
        <v>679</v>
      </c>
    </row>
    <row r="12" spans="1:11">
      <c r="A12" s="35" t="s">
        <v>685</v>
      </c>
      <c r="B12" t="s">
        <v>686</v>
      </c>
      <c r="C12" t="s">
        <v>687</v>
      </c>
      <c r="D12" t="s">
        <v>40</v>
      </c>
      <c r="E12" t="s">
        <v>673</v>
      </c>
      <c r="F12" s="4">
        <v>0.15</v>
      </c>
      <c r="G12" s="4">
        <v>0.15</v>
      </c>
      <c r="H12" t="s">
        <v>688</v>
      </c>
    </row>
    <row r="13" spans="1:11">
      <c r="A13" s="35" t="s">
        <v>692</v>
      </c>
      <c r="B13" t="s">
        <v>689</v>
      </c>
      <c r="C13" t="s">
        <v>691</v>
      </c>
      <c r="D13" t="s">
        <v>661</v>
      </c>
      <c r="E13" t="s">
        <v>673</v>
      </c>
      <c r="F13" s="4">
        <f>10%*(1+(10%))*(1+(10%))*(1+(10%))</f>
        <v>0.13310000000000002</v>
      </c>
      <c r="G13" s="4">
        <f>10%*100%*(1+(10%*20%))*(1+(10%*75%))*(1+(10%*70%))</f>
        <v>0.1173255</v>
      </c>
      <c r="H13" t="s">
        <v>672</v>
      </c>
      <c r="I13" t="s">
        <v>679</v>
      </c>
      <c r="K13" s="22" t="s">
        <v>693</v>
      </c>
    </row>
    <row r="14" spans="1:11">
      <c r="A14" s="35" t="s">
        <v>694</v>
      </c>
      <c r="B14" t="s">
        <v>695</v>
      </c>
      <c r="C14" t="s">
        <v>696</v>
      </c>
      <c r="D14" t="s">
        <v>697</v>
      </c>
      <c r="E14" t="s">
        <v>698</v>
      </c>
      <c r="F14" s="4">
        <v>0.24</v>
      </c>
      <c r="G14" s="4">
        <v>0.24</v>
      </c>
    </row>
    <row r="15" spans="1:11">
      <c r="A15" s="35" t="s">
        <v>699</v>
      </c>
      <c r="B15" t="s">
        <v>700</v>
      </c>
      <c r="C15" t="s">
        <v>701</v>
      </c>
      <c r="D15" t="s">
        <v>697</v>
      </c>
      <c r="E15" t="s">
        <v>698</v>
      </c>
      <c r="F15" s="4"/>
      <c r="H15" t="s">
        <v>702</v>
      </c>
    </row>
    <row r="16" spans="1:11">
      <c r="F16" s="4"/>
    </row>
  </sheetData>
  <pageMargins left="0.7" right="0.7" top="0.78740157499999996" bottom="0.78740157499999996"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07159-BF25-4590-8F71-2B88F5D49780}">
  <dimension ref="A1:C10"/>
  <sheetViews>
    <sheetView workbookViewId="0">
      <selection activeCell="C10" sqref="C10"/>
    </sheetView>
  </sheetViews>
  <sheetFormatPr baseColWidth="10" defaultColWidth="11.54296875" defaultRowHeight="14.5"/>
  <sheetData>
    <row r="1" spans="1:3">
      <c r="A1" t="s">
        <v>565</v>
      </c>
      <c r="B1" t="s">
        <v>564</v>
      </c>
      <c r="C1" t="s">
        <v>563</v>
      </c>
    </row>
    <row r="2" spans="1:3">
      <c r="A2" t="s">
        <v>562</v>
      </c>
      <c r="B2">
        <v>4.3057499999999997</v>
      </c>
    </row>
    <row r="3" spans="1:3">
      <c r="A3" t="s">
        <v>561</v>
      </c>
      <c r="B3">
        <v>9.3057499999999997</v>
      </c>
    </row>
    <row r="4" spans="1:3">
      <c r="A4" t="s">
        <v>468</v>
      </c>
      <c r="B4">
        <v>0.9244459030057941</v>
      </c>
      <c r="C4" t="s">
        <v>560</v>
      </c>
    </row>
    <row r="5" spans="1:3">
      <c r="A5" t="s">
        <v>861</v>
      </c>
      <c r="B5">
        <v>1.4569788724664541</v>
      </c>
      <c r="C5" t="s">
        <v>560</v>
      </c>
    </row>
    <row r="6" spans="1:3">
      <c r="A6" t="s">
        <v>862</v>
      </c>
      <c r="B6">
        <v>1.5259988622478573</v>
      </c>
      <c r="C6" t="s">
        <v>560</v>
      </c>
    </row>
    <row r="7" spans="1:3">
      <c r="A7" t="s">
        <v>471</v>
      </c>
      <c r="B7">
        <v>2.0094182698924152</v>
      </c>
      <c r="C7" t="s">
        <v>560</v>
      </c>
    </row>
    <row r="8" spans="1:3">
      <c r="A8" t="s">
        <v>465</v>
      </c>
      <c r="B8">
        <v>4.5092048393854309</v>
      </c>
      <c r="C8" t="s">
        <v>560</v>
      </c>
    </row>
    <row r="9" spans="1:3">
      <c r="A9" t="s">
        <v>147</v>
      </c>
      <c r="B9">
        <v>1.35</v>
      </c>
      <c r="C9" t="s">
        <v>559</v>
      </c>
    </row>
    <row r="10" spans="1:3">
      <c r="A10" t="s">
        <v>720</v>
      </c>
      <c r="B10">
        <f>material_elements!O2</f>
        <v>8.6485088999999995</v>
      </c>
      <c r="C10" t="s">
        <v>560</v>
      </c>
    </row>
  </sheetData>
  <phoneticPr fontId="8" type="noConversion"/>
  <pageMargins left="0.7" right="0.7" top="0.78740157499999996" bottom="0.78740157499999996" header="0.3" footer="0.3"/>
  <pageSetup orientation="portrait"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BBE6E9-D5BB-4A64-A8AC-476C7302A355}">
  <dimension ref="A1:T101"/>
  <sheetViews>
    <sheetView tabSelected="1" workbookViewId="0">
      <selection activeCell="Q2" sqref="Q2:T101"/>
    </sheetView>
  </sheetViews>
  <sheetFormatPr baseColWidth="10" defaultRowHeight="14.5"/>
  <cols>
    <col min="1" max="1" width="30" customWidth="1"/>
    <col min="5" max="5" width="118.7265625" customWidth="1"/>
    <col min="7" max="7" width="13.54296875" customWidth="1"/>
  </cols>
  <sheetData>
    <row r="1" spans="1:20">
      <c r="A1" t="s">
        <v>224</v>
      </c>
      <c r="B1" t="s">
        <v>261</v>
      </c>
      <c r="C1" t="s">
        <v>13</v>
      </c>
      <c r="D1" t="s">
        <v>262</v>
      </c>
      <c r="E1" s="35" t="s">
        <v>263</v>
      </c>
      <c r="F1" t="s">
        <v>264</v>
      </c>
      <c r="G1" s="41" t="s">
        <v>265</v>
      </c>
      <c r="H1" s="37" t="s">
        <v>266</v>
      </c>
      <c r="I1" s="37" t="s">
        <v>267</v>
      </c>
      <c r="J1" s="37" t="s">
        <v>635</v>
      </c>
      <c r="K1" t="s">
        <v>268</v>
      </c>
      <c r="L1" s="37" t="s">
        <v>269</v>
      </c>
      <c r="M1" t="s">
        <v>270</v>
      </c>
      <c r="N1" t="s">
        <v>271</v>
      </c>
      <c r="O1" t="s">
        <v>272</v>
      </c>
      <c r="P1" t="s">
        <v>633</v>
      </c>
      <c r="Q1" t="s">
        <v>630</v>
      </c>
      <c r="R1" t="s">
        <v>631</v>
      </c>
      <c r="S1" t="s">
        <v>632</v>
      </c>
      <c r="T1" t="s">
        <v>634</v>
      </c>
    </row>
    <row r="2" spans="1:20">
      <c r="A2" t="s">
        <v>273</v>
      </c>
      <c r="B2" t="s">
        <v>274</v>
      </c>
      <c r="C2" t="str">
        <f>IF(D2="transport","transport","material")</f>
        <v>material</v>
      </c>
      <c r="D2" t="s">
        <v>275</v>
      </c>
      <c r="E2" s="35" t="s">
        <v>231</v>
      </c>
      <c r="F2" t="s">
        <v>276</v>
      </c>
      <c r="G2" s="76"/>
      <c r="H2" s="77"/>
      <c r="I2" s="77"/>
      <c r="J2" s="77"/>
      <c r="M2" t="s">
        <v>277</v>
      </c>
      <c r="Q2" s="80"/>
      <c r="R2" s="80"/>
      <c r="S2" s="80"/>
      <c r="T2" s="80"/>
    </row>
    <row r="3" spans="1:20">
      <c r="A3" t="s">
        <v>278</v>
      </c>
      <c r="B3" t="s">
        <v>279</v>
      </c>
      <c r="C3" t="str">
        <f>IF(D3="transport","transport","material")</f>
        <v>material</v>
      </c>
      <c r="D3" t="s">
        <v>280</v>
      </c>
      <c r="E3" t="s">
        <v>232</v>
      </c>
      <c r="F3" t="s">
        <v>276</v>
      </c>
      <c r="G3" s="76"/>
      <c r="H3" s="77"/>
      <c r="I3" s="77"/>
      <c r="J3" s="77"/>
      <c r="M3" t="s">
        <v>281</v>
      </c>
      <c r="Q3" s="80"/>
      <c r="R3" s="80"/>
      <c r="S3" s="80"/>
      <c r="T3" s="80"/>
    </row>
    <row r="4" spans="1:20">
      <c r="A4" t="s">
        <v>278</v>
      </c>
      <c r="B4" t="s">
        <v>279</v>
      </c>
      <c r="C4" t="str">
        <f>IF(D4="transport","transport","material")</f>
        <v>material</v>
      </c>
      <c r="D4" t="s">
        <v>280</v>
      </c>
      <c r="E4" t="s">
        <v>232</v>
      </c>
      <c r="F4" t="s">
        <v>276</v>
      </c>
      <c r="G4" s="76"/>
      <c r="H4" s="77"/>
      <c r="I4" s="77"/>
      <c r="J4" s="77"/>
      <c r="M4" t="s">
        <v>282</v>
      </c>
      <c r="N4" t="s">
        <v>281</v>
      </c>
      <c r="Q4" s="80"/>
      <c r="R4" s="80"/>
      <c r="S4" s="80"/>
      <c r="T4" s="80"/>
    </row>
    <row r="5" spans="1:20">
      <c r="A5" t="s">
        <v>720</v>
      </c>
      <c r="B5" t="s">
        <v>720</v>
      </c>
      <c r="C5" t="s">
        <v>638</v>
      </c>
      <c r="D5" t="s">
        <v>307</v>
      </c>
      <c r="E5" t="str">
        <f>material_elements!A7&amp;","&amp;ROUND(material_elements!O7,6)&amp;","&amp;material_elements!A8&amp;","&amp;ROUND(material_elements!O8,6)&amp;","&amp;material_elements!A9&amp;","&amp;ROUND(material_elements!O9,6)&amp;","&amp;material_elements!A10&amp;","&amp;ROUND(material_elements!O10,6)&amp;","&amp;material_elements!A11&amp;","&amp;ROUND(material_elements!O11,6)&amp;","&amp;material_elements!A12&amp;","&amp;ROUND(material_elements!O12,6)&amp;","&amp;material_elements!A13&amp;","&amp;ROUND(material_elements!O13,6)&amp;","&amp;material_elements!A14&amp;","&amp;ROUND(material_elements!O14,6)&amp;","&amp;material_elements!A15&amp;","&amp;ROUND(material_elements!O15,6)&amp;","&amp;material_elements!A16&amp;","&amp;ROUND(material_elements!O16,6)</f>
        <v>C,18,188359,H,1,322518,N,0,856991,In,3,788296,O,20,664686,Sn,0,217591,Ag,36,573095,Al,17,945506,Ir,0,025398,Mg,0,417558</v>
      </c>
      <c r="F5" t="s">
        <v>276</v>
      </c>
      <c r="G5" s="78"/>
      <c r="H5" s="78"/>
      <c r="I5" s="78"/>
      <c r="J5" s="78"/>
      <c r="K5" t="s">
        <v>760</v>
      </c>
      <c r="M5" t="s">
        <v>759</v>
      </c>
      <c r="Q5" s="80"/>
      <c r="R5" s="80"/>
      <c r="S5" s="80"/>
      <c r="T5" s="80"/>
    </row>
    <row r="6" spans="1:20">
      <c r="A6" t="s">
        <v>283</v>
      </c>
      <c r="B6" t="s">
        <v>284</v>
      </c>
      <c r="C6" t="str">
        <f t="shared" ref="C6:C16" si="0">IF(D6="transport","transport","material")</f>
        <v>material</v>
      </c>
      <c r="D6" t="s">
        <v>280</v>
      </c>
      <c r="E6" t="s">
        <v>233</v>
      </c>
      <c r="F6" t="s">
        <v>276</v>
      </c>
      <c r="G6" s="76"/>
      <c r="H6" s="77"/>
      <c r="I6" s="77"/>
      <c r="J6" s="77"/>
      <c r="M6" t="s">
        <v>285</v>
      </c>
      <c r="Q6" s="80"/>
      <c r="R6" s="80"/>
      <c r="S6" s="80"/>
      <c r="T6" s="80"/>
    </row>
    <row r="7" spans="1:20">
      <c r="A7" t="s">
        <v>286</v>
      </c>
      <c r="B7" t="s">
        <v>287</v>
      </c>
      <c r="C7" t="str">
        <f t="shared" si="0"/>
        <v>material</v>
      </c>
      <c r="D7" t="s">
        <v>280</v>
      </c>
      <c r="E7" t="s">
        <v>234</v>
      </c>
      <c r="F7" t="s">
        <v>276</v>
      </c>
      <c r="G7" s="76"/>
      <c r="H7" s="76"/>
      <c r="I7" s="76"/>
      <c r="J7" s="76"/>
      <c r="Q7" s="80"/>
      <c r="R7" s="80"/>
      <c r="S7" s="80"/>
      <c r="T7" s="80"/>
    </row>
    <row r="8" spans="1:20">
      <c r="A8" t="s">
        <v>288</v>
      </c>
      <c r="B8" t="s">
        <v>289</v>
      </c>
      <c r="C8" t="str">
        <f t="shared" si="0"/>
        <v>material</v>
      </c>
      <c r="D8" t="s">
        <v>280</v>
      </c>
      <c r="E8" t="s">
        <v>235</v>
      </c>
      <c r="F8" t="s">
        <v>276</v>
      </c>
      <c r="G8" s="76"/>
      <c r="H8" s="77"/>
      <c r="I8" s="77"/>
      <c r="J8" s="77"/>
      <c r="K8" t="s">
        <v>290</v>
      </c>
      <c r="M8" t="s">
        <v>291</v>
      </c>
      <c r="Q8" s="80"/>
      <c r="R8" s="80"/>
      <c r="S8" s="80"/>
      <c r="T8" s="80"/>
    </row>
    <row r="9" spans="1:20">
      <c r="A9" t="s">
        <v>292</v>
      </c>
      <c r="B9" t="s">
        <v>293</v>
      </c>
      <c r="C9" t="str">
        <f t="shared" si="0"/>
        <v>material</v>
      </c>
      <c r="D9" t="s">
        <v>280</v>
      </c>
      <c r="E9" t="s">
        <v>236</v>
      </c>
      <c r="F9" t="s">
        <v>276</v>
      </c>
      <c r="G9" s="76"/>
      <c r="H9" s="77"/>
      <c r="I9" s="77"/>
      <c r="J9" s="77"/>
      <c r="K9" t="s">
        <v>294</v>
      </c>
      <c r="M9" t="s">
        <v>295</v>
      </c>
      <c r="Q9" s="80"/>
      <c r="R9" s="80"/>
      <c r="S9" s="80"/>
      <c r="T9" s="80"/>
    </row>
    <row r="10" spans="1:20">
      <c r="A10" t="s">
        <v>296</v>
      </c>
      <c r="B10" t="s">
        <v>297</v>
      </c>
      <c r="C10" t="str">
        <f t="shared" si="0"/>
        <v>material</v>
      </c>
      <c r="D10" t="s">
        <v>280</v>
      </c>
      <c r="E10" t="s">
        <v>237</v>
      </c>
      <c r="F10" t="s">
        <v>276</v>
      </c>
      <c r="G10" s="76"/>
      <c r="H10" s="76"/>
      <c r="I10" s="76"/>
      <c r="J10" s="76"/>
      <c r="Q10" s="80"/>
      <c r="R10" s="80"/>
      <c r="S10" s="80"/>
      <c r="T10" s="80"/>
    </row>
    <row r="11" spans="1:20">
      <c r="A11" t="s">
        <v>298</v>
      </c>
      <c r="B11" t="s">
        <v>299</v>
      </c>
      <c r="C11" t="str">
        <f t="shared" si="0"/>
        <v>material</v>
      </c>
      <c r="D11" t="s">
        <v>280</v>
      </c>
      <c r="E11" t="s">
        <v>238</v>
      </c>
      <c r="F11" t="s">
        <v>276</v>
      </c>
      <c r="G11" s="76"/>
      <c r="H11" s="77"/>
      <c r="I11" s="77"/>
      <c r="J11" s="77"/>
      <c r="K11" t="s">
        <v>300</v>
      </c>
      <c r="M11" t="s">
        <v>301</v>
      </c>
      <c r="Q11" s="80"/>
      <c r="R11" s="80"/>
      <c r="S11" s="80"/>
      <c r="T11" s="80"/>
    </row>
    <row r="12" spans="1:20">
      <c r="A12" t="s">
        <v>302</v>
      </c>
      <c r="B12" t="s">
        <v>303</v>
      </c>
      <c r="C12" t="str">
        <f t="shared" si="0"/>
        <v>material</v>
      </c>
      <c r="D12" t="s">
        <v>280</v>
      </c>
      <c r="E12" t="s">
        <v>239</v>
      </c>
      <c r="F12" t="s">
        <v>276</v>
      </c>
      <c r="G12" s="76"/>
      <c r="H12" s="77"/>
      <c r="I12" s="77"/>
      <c r="J12" s="77"/>
      <c r="M12" t="s">
        <v>304</v>
      </c>
      <c r="Q12" s="80"/>
      <c r="R12" s="80"/>
      <c r="S12" s="80"/>
      <c r="T12" s="80"/>
    </row>
    <row r="13" spans="1:20">
      <c r="A13" t="s">
        <v>305</v>
      </c>
      <c r="B13" t="s">
        <v>306</v>
      </c>
      <c r="C13" t="str">
        <f t="shared" si="0"/>
        <v>material</v>
      </c>
      <c r="D13" t="s">
        <v>307</v>
      </c>
      <c r="E13" s="35"/>
      <c r="F13" t="s">
        <v>276</v>
      </c>
      <c r="G13" s="76"/>
      <c r="H13" s="77"/>
      <c r="I13" s="77"/>
      <c r="J13" s="77"/>
      <c r="M13" t="s">
        <v>308</v>
      </c>
      <c r="Q13" s="80"/>
      <c r="R13" s="80"/>
      <c r="S13" s="80"/>
      <c r="T13" s="80"/>
    </row>
    <row r="14" spans="1:20">
      <c r="A14" t="s">
        <v>309</v>
      </c>
      <c r="B14" t="s">
        <v>310</v>
      </c>
      <c r="C14" t="str">
        <f t="shared" si="0"/>
        <v>material</v>
      </c>
      <c r="D14" t="s">
        <v>307</v>
      </c>
      <c r="E14" s="35"/>
      <c r="F14" t="s">
        <v>276</v>
      </c>
      <c r="G14" s="76"/>
      <c r="H14" s="77"/>
      <c r="I14" s="77"/>
      <c r="J14" s="77"/>
      <c r="M14" t="s">
        <v>311</v>
      </c>
      <c r="Q14" s="80"/>
      <c r="R14" s="80"/>
      <c r="S14" s="80"/>
      <c r="T14" s="80"/>
    </row>
    <row r="15" spans="1:20">
      <c r="A15" t="s">
        <v>312</v>
      </c>
      <c r="B15" t="s">
        <v>313</v>
      </c>
      <c r="C15" t="str">
        <f t="shared" si="0"/>
        <v>material</v>
      </c>
      <c r="D15" t="s">
        <v>307</v>
      </c>
      <c r="E15" s="35"/>
      <c r="F15" t="s">
        <v>276</v>
      </c>
      <c r="G15" s="76"/>
      <c r="H15" s="77"/>
      <c r="I15" s="77"/>
      <c r="J15" s="77"/>
      <c r="M15" t="s">
        <v>314</v>
      </c>
      <c r="Q15" s="80"/>
      <c r="R15" s="80"/>
      <c r="S15" s="80"/>
      <c r="T15" s="80"/>
    </row>
    <row r="16" spans="1:20">
      <c r="A16" t="s">
        <v>315</v>
      </c>
      <c r="B16" t="s">
        <v>315</v>
      </c>
      <c r="C16" t="str">
        <f t="shared" si="0"/>
        <v>transport</v>
      </c>
      <c r="D16" t="s">
        <v>316</v>
      </c>
      <c r="F16" t="s">
        <v>317</v>
      </c>
      <c r="G16" s="76"/>
      <c r="H16" s="77"/>
      <c r="I16" s="77"/>
      <c r="J16" s="77"/>
      <c r="M16" t="s">
        <v>318</v>
      </c>
      <c r="Q16" s="80"/>
      <c r="R16" s="80"/>
      <c r="S16" s="80"/>
      <c r="T16" s="80"/>
    </row>
    <row r="17" spans="1:20">
      <c r="A17" t="s">
        <v>637</v>
      </c>
      <c r="B17" t="s">
        <v>637</v>
      </c>
      <c r="C17" t="s">
        <v>638</v>
      </c>
      <c r="D17" t="s">
        <v>307</v>
      </c>
      <c r="E17" t="s">
        <v>639</v>
      </c>
      <c r="F17" s="38" t="s">
        <v>276</v>
      </c>
      <c r="G17" s="76"/>
      <c r="H17" s="76"/>
      <c r="I17" s="76"/>
      <c r="J17" s="76"/>
      <c r="M17" t="s">
        <v>755</v>
      </c>
      <c r="Q17" s="80"/>
      <c r="R17" s="80"/>
      <c r="S17" s="80"/>
      <c r="T17" s="80"/>
    </row>
    <row r="18" spans="1:20">
      <c r="A18" t="s">
        <v>319</v>
      </c>
      <c r="B18" t="s">
        <v>320</v>
      </c>
      <c r="C18" t="str">
        <f t="shared" ref="C18:C24" si="1">IF(D18="transport","transport","material")</f>
        <v>material</v>
      </c>
      <c r="D18" t="s">
        <v>280</v>
      </c>
      <c r="E18" t="s">
        <v>240</v>
      </c>
      <c r="F18" t="s">
        <v>276</v>
      </c>
      <c r="G18" s="76"/>
      <c r="H18" s="77"/>
      <c r="I18" s="77"/>
      <c r="J18" s="77"/>
      <c r="M18" t="s">
        <v>321</v>
      </c>
      <c r="Q18" s="80"/>
      <c r="R18" s="80"/>
      <c r="S18" s="80"/>
      <c r="T18" s="80"/>
    </row>
    <row r="19" spans="1:20">
      <c r="A19" t="s">
        <v>322</v>
      </c>
      <c r="B19" t="s">
        <v>323</v>
      </c>
      <c r="C19" t="str">
        <f t="shared" si="1"/>
        <v>material</v>
      </c>
      <c r="D19" t="s">
        <v>280</v>
      </c>
      <c r="E19" t="s">
        <v>241</v>
      </c>
      <c r="F19" t="s">
        <v>276</v>
      </c>
      <c r="G19" s="76"/>
      <c r="H19" s="77"/>
      <c r="I19" s="77"/>
      <c r="J19" s="77"/>
      <c r="M19" t="s">
        <v>324</v>
      </c>
      <c r="Q19" s="80"/>
      <c r="R19" s="80"/>
      <c r="S19" s="80"/>
      <c r="T19" s="80"/>
    </row>
    <row r="20" spans="1:20">
      <c r="A20" s="38" t="s">
        <v>325</v>
      </c>
      <c r="B20" t="s">
        <v>326</v>
      </c>
      <c r="C20" t="str">
        <f t="shared" si="1"/>
        <v>material</v>
      </c>
      <c r="D20" t="s">
        <v>280</v>
      </c>
      <c r="E20" t="s">
        <v>242</v>
      </c>
      <c r="F20" s="38" t="s">
        <v>276</v>
      </c>
      <c r="G20" s="78"/>
      <c r="H20" s="79"/>
      <c r="I20" s="79"/>
      <c r="J20" s="79"/>
      <c r="K20" s="22"/>
      <c r="L20" s="22"/>
      <c r="M20" t="s">
        <v>327</v>
      </c>
      <c r="Q20" s="81"/>
      <c r="R20" s="80"/>
      <c r="S20" s="80"/>
      <c r="T20" s="80"/>
    </row>
    <row r="21" spans="1:20">
      <c r="A21" t="s">
        <v>328</v>
      </c>
      <c r="B21" t="s">
        <v>329</v>
      </c>
      <c r="C21" t="str">
        <f t="shared" si="1"/>
        <v>material</v>
      </c>
      <c r="D21" t="s">
        <v>307</v>
      </c>
      <c r="E21" s="35"/>
      <c r="F21" t="s">
        <v>276</v>
      </c>
      <c r="G21" s="76"/>
      <c r="H21" s="77"/>
      <c r="I21" s="77"/>
      <c r="J21" s="77"/>
      <c r="M21" t="s">
        <v>330</v>
      </c>
      <c r="Q21" s="80"/>
      <c r="R21" s="80"/>
      <c r="S21" s="80"/>
      <c r="T21" s="80"/>
    </row>
    <row r="22" spans="1:20">
      <c r="A22" t="s">
        <v>331</v>
      </c>
      <c r="B22" t="s">
        <v>332</v>
      </c>
      <c r="C22" t="str">
        <f t="shared" si="1"/>
        <v>material</v>
      </c>
      <c r="D22" t="s">
        <v>307</v>
      </c>
      <c r="E22" s="35"/>
      <c r="F22" t="s">
        <v>276</v>
      </c>
      <c r="G22" s="76"/>
      <c r="H22" s="77"/>
      <c r="I22" s="77"/>
      <c r="J22" s="77"/>
      <c r="M22" t="s">
        <v>333</v>
      </c>
      <c r="Q22" s="80"/>
      <c r="R22" s="80"/>
      <c r="S22" s="80"/>
      <c r="T22" s="80"/>
    </row>
    <row r="23" spans="1:20">
      <c r="A23" t="s">
        <v>334</v>
      </c>
      <c r="B23" t="s">
        <v>335</v>
      </c>
      <c r="C23" t="str">
        <f t="shared" si="1"/>
        <v>material</v>
      </c>
      <c r="D23" t="s">
        <v>307</v>
      </c>
      <c r="E23" s="35"/>
      <c r="F23" t="s">
        <v>276</v>
      </c>
      <c r="G23" s="76"/>
      <c r="H23" s="77"/>
      <c r="I23" s="77"/>
      <c r="J23" s="77"/>
      <c r="M23" t="s">
        <v>336</v>
      </c>
      <c r="Q23" s="80"/>
      <c r="R23" s="80"/>
      <c r="S23" s="80"/>
      <c r="T23" s="80"/>
    </row>
    <row r="24" spans="1:20">
      <c r="A24" t="s">
        <v>337</v>
      </c>
      <c r="B24" t="s">
        <v>338</v>
      </c>
      <c r="C24" t="str">
        <f t="shared" si="1"/>
        <v>material</v>
      </c>
      <c r="D24" t="s">
        <v>280</v>
      </c>
      <c r="E24" t="s">
        <v>243</v>
      </c>
      <c r="F24" t="s">
        <v>276</v>
      </c>
      <c r="G24" s="76"/>
      <c r="H24" s="77"/>
      <c r="I24" s="77"/>
      <c r="J24" s="77"/>
      <c r="K24" t="s">
        <v>339</v>
      </c>
      <c r="M24" t="s">
        <v>340</v>
      </c>
      <c r="Q24" s="80"/>
      <c r="R24" s="80"/>
      <c r="S24" s="80"/>
      <c r="T24" s="80"/>
    </row>
    <row r="25" spans="1:20">
      <c r="A25" t="s">
        <v>570</v>
      </c>
      <c r="B25" t="s">
        <v>629</v>
      </c>
      <c r="C25" t="s">
        <v>571</v>
      </c>
      <c r="D25" t="s">
        <v>280</v>
      </c>
      <c r="F25" s="38" t="s">
        <v>572</v>
      </c>
      <c r="G25" s="76"/>
      <c r="H25" s="76"/>
      <c r="I25" s="76"/>
      <c r="J25" s="76"/>
      <c r="M25" t="s">
        <v>573</v>
      </c>
      <c r="Q25" s="80"/>
      <c r="R25" s="80"/>
      <c r="S25" s="80"/>
      <c r="T25" s="80"/>
    </row>
    <row r="26" spans="1:20">
      <c r="A26" t="s">
        <v>341</v>
      </c>
      <c r="B26" t="s">
        <v>342</v>
      </c>
      <c r="C26" t="str">
        <f t="shared" ref="C26:C36" si="2">IF(D26="transport","transport","material")</f>
        <v>material</v>
      </c>
      <c r="D26" t="s">
        <v>275</v>
      </c>
      <c r="E26" s="35" t="s">
        <v>244</v>
      </c>
      <c r="F26" t="s">
        <v>276</v>
      </c>
      <c r="G26" s="76"/>
      <c r="H26" s="77"/>
      <c r="I26" s="77"/>
      <c r="J26" s="77"/>
      <c r="M26" t="s">
        <v>343</v>
      </c>
      <c r="Q26" s="80"/>
      <c r="R26" s="80"/>
      <c r="S26" s="80"/>
      <c r="T26" s="80"/>
    </row>
    <row r="27" spans="1:20">
      <c r="A27" t="s">
        <v>344</v>
      </c>
      <c r="B27" t="s">
        <v>344</v>
      </c>
      <c r="C27" t="str">
        <f t="shared" si="2"/>
        <v>material</v>
      </c>
      <c r="D27" t="s">
        <v>307</v>
      </c>
      <c r="E27" s="35"/>
      <c r="F27" t="s">
        <v>276</v>
      </c>
      <c r="G27" s="76"/>
      <c r="H27" s="77"/>
      <c r="I27" s="77"/>
      <c r="J27" s="77"/>
      <c r="M27" t="s">
        <v>345</v>
      </c>
      <c r="Q27" s="80"/>
      <c r="R27" s="80"/>
      <c r="S27" s="80"/>
      <c r="T27" s="80"/>
    </row>
    <row r="28" spans="1:20">
      <c r="A28" t="s">
        <v>346</v>
      </c>
      <c r="B28" t="s">
        <v>347</v>
      </c>
      <c r="C28" t="str">
        <f t="shared" si="2"/>
        <v>material</v>
      </c>
      <c r="D28" t="s">
        <v>280</v>
      </c>
      <c r="E28" t="s">
        <v>245</v>
      </c>
      <c r="F28" t="s">
        <v>276</v>
      </c>
      <c r="G28" s="76"/>
      <c r="H28" s="77"/>
      <c r="I28" s="77"/>
      <c r="J28" s="77"/>
      <c r="M28" t="s">
        <v>348</v>
      </c>
      <c r="Q28" s="80"/>
      <c r="R28" s="80"/>
      <c r="S28" s="80"/>
      <c r="T28" s="80"/>
    </row>
    <row r="29" spans="1:20">
      <c r="A29" t="s">
        <v>349</v>
      </c>
      <c r="B29" t="s">
        <v>350</v>
      </c>
      <c r="C29" t="str">
        <f t="shared" si="2"/>
        <v>material</v>
      </c>
      <c r="D29" t="s">
        <v>280</v>
      </c>
      <c r="E29" t="s">
        <v>246</v>
      </c>
      <c r="F29" t="s">
        <v>276</v>
      </c>
      <c r="G29" s="76"/>
      <c r="H29" s="76"/>
      <c r="I29" s="76"/>
      <c r="J29" s="76"/>
      <c r="Q29" s="80"/>
      <c r="R29" s="80"/>
      <c r="S29" s="80"/>
      <c r="T29" s="80"/>
    </row>
    <row r="30" spans="1:20">
      <c r="A30" t="s">
        <v>351</v>
      </c>
      <c r="B30" t="s">
        <v>352</v>
      </c>
      <c r="C30" t="str">
        <f t="shared" si="2"/>
        <v>material</v>
      </c>
      <c r="D30" t="s">
        <v>307</v>
      </c>
      <c r="E30" s="35" t="s">
        <v>247</v>
      </c>
      <c r="F30" t="s">
        <v>276</v>
      </c>
      <c r="G30" s="76"/>
      <c r="H30" s="77"/>
      <c r="I30" s="77"/>
      <c r="J30" s="77"/>
      <c r="M30" t="s">
        <v>353</v>
      </c>
      <c r="Q30" s="80"/>
      <c r="R30" s="80"/>
      <c r="S30" s="80"/>
      <c r="T30" s="80"/>
    </row>
    <row r="31" spans="1:20">
      <c r="A31" t="s">
        <v>354</v>
      </c>
      <c r="B31" t="s">
        <v>355</v>
      </c>
      <c r="C31" t="str">
        <f t="shared" si="2"/>
        <v>material</v>
      </c>
      <c r="D31" t="s">
        <v>356</v>
      </c>
      <c r="E31" s="35" t="s">
        <v>248</v>
      </c>
      <c r="F31" t="s">
        <v>276</v>
      </c>
      <c r="G31" s="76"/>
      <c r="H31" s="77"/>
      <c r="I31" s="77"/>
      <c r="J31" s="77"/>
      <c r="M31" t="s">
        <v>357</v>
      </c>
      <c r="Q31" s="80"/>
      <c r="R31" s="80"/>
      <c r="S31" s="80"/>
      <c r="T31" s="80"/>
    </row>
    <row r="32" spans="1:20">
      <c r="A32" t="s">
        <v>358</v>
      </c>
      <c r="B32" t="s">
        <v>359</v>
      </c>
      <c r="C32" t="str">
        <f t="shared" si="2"/>
        <v>material</v>
      </c>
      <c r="D32" t="s">
        <v>275</v>
      </c>
      <c r="E32" s="35" t="s">
        <v>249</v>
      </c>
      <c r="F32" t="s">
        <v>276</v>
      </c>
      <c r="G32" s="76"/>
      <c r="H32" s="77"/>
      <c r="I32" s="77"/>
      <c r="J32" s="77"/>
      <c r="M32" t="s">
        <v>360</v>
      </c>
      <c r="Q32" s="80"/>
      <c r="R32" s="80"/>
      <c r="S32" s="80"/>
      <c r="T32" s="80"/>
    </row>
    <row r="33" spans="1:20">
      <c r="A33" t="s">
        <v>361</v>
      </c>
      <c r="B33" t="s">
        <v>362</v>
      </c>
      <c r="C33" t="str">
        <f t="shared" si="2"/>
        <v>material</v>
      </c>
      <c r="D33" t="s">
        <v>275</v>
      </c>
      <c r="E33" s="35" t="s">
        <v>250</v>
      </c>
      <c r="F33" t="s">
        <v>276</v>
      </c>
      <c r="G33" s="76"/>
      <c r="H33" s="77"/>
      <c r="I33" s="77"/>
      <c r="J33" s="77"/>
      <c r="M33" t="s">
        <v>363</v>
      </c>
      <c r="Q33" s="80"/>
      <c r="R33" s="80"/>
      <c r="S33" s="80"/>
      <c r="T33" s="80"/>
    </row>
    <row r="34" spans="1:20">
      <c r="A34" t="s">
        <v>364</v>
      </c>
      <c r="B34" t="s">
        <v>365</v>
      </c>
      <c r="C34" t="str">
        <f t="shared" si="2"/>
        <v>material</v>
      </c>
      <c r="D34" t="s">
        <v>280</v>
      </c>
      <c r="E34" t="s">
        <v>251</v>
      </c>
      <c r="F34" t="s">
        <v>276</v>
      </c>
      <c r="G34" s="76"/>
      <c r="H34" s="77"/>
      <c r="I34" s="77"/>
      <c r="J34" s="77"/>
      <c r="M34" t="s">
        <v>366</v>
      </c>
      <c r="Q34" s="80"/>
      <c r="R34" s="80"/>
      <c r="S34" s="82"/>
      <c r="T34" s="80"/>
    </row>
    <row r="35" spans="1:20">
      <c r="A35" t="s">
        <v>367</v>
      </c>
      <c r="B35" t="s">
        <v>368</v>
      </c>
      <c r="C35" t="str">
        <f t="shared" si="2"/>
        <v>material</v>
      </c>
      <c r="D35" t="s">
        <v>280</v>
      </c>
      <c r="E35" t="s">
        <v>252</v>
      </c>
      <c r="F35" t="s">
        <v>276</v>
      </c>
      <c r="G35" s="76"/>
      <c r="H35" s="77"/>
      <c r="I35" s="77"/>
      <c r="J35" s="77"/>
      <c r="M35" t="s">
        <v>369</v>
      </c>
      <c r="Q35" s="80"/>
      <c r="R35" s="80"/>
      <c r="S35" s="80"/>
      <c r="T35" s="80"/>
    </row>
    <row r="36" spans="1:20">
      <c r="A36" t="s">
        <v>370</v>
      </c>
      <c r="B36" t="s">
        <v>371</v>
      </c>
      <c r="C36" t="str">
        <f t="shared" si="2"/>
        <v>material</v>
      </c>
      <c r="D36" t="s">
        <v>280</v>
      </c>
      <c r="E36" t="s">
        <v>253</v>
      </c>
      <c r="F36" t="s">
        <v>276</v>
      </c>
      <c r="G36" s="76"/>
      <c r="H36" s="76"/>
      <c r="I36" s="76"/>
      <c r="J36" s="76"/>
      <c r="Q36" s="80"/>
      <c r="R36" s="80"/>
      <c r="S36" s="80"/>
      <c r="T36" s="80"/>
    </row>
    <row r="37" spans="1:20">
      <c r="A37" t="s">
        <v>790</v>
      </c>
      <c r="B37" t="s">
        <v>382</v>
      </c>
      <c r="C37" t="s">
        <v>638</v>
      </c>
      <c r="D37" t="s">
        <v>307</v>
      </c>
      <c r="E37" t="s">
        <v>866</v>
      </c>
      <c r="F37" t="s">
        <v>276</v>
      </c>
      <c r="G37" s="76"/>
      <c r="H37" s="76"/>
      <c r="I37" s="76"/>
      <c r="J37" s="76"/>
      <c r="M37" t="s">
        <v>785</v>
      </c>
      <c r="Q37" s="80"/>
      <c r="R37" s="80"/>
      <c r="S37" s="80"/>
      <c r="T37" s="80"/>
    </row>
    <row r="38" spans="1:20">
      <c r="A38" t="s">
        <v>792</v>
      </c>
      <c r="B38" t="s">
        <v>789</v>
      </c>
      <c r="C38" t="s">
        <v>638</v>
      </c>
      <c r="D38" t="s">
        <v>307</v>
      </c>
      <c r="E38" t="s">
        <v>867</v>
      </c>
      <c r="F38" t="s">
        <v>276</v>
      </c>
      <c r="G38" s="76"/>
      <c r="H38" s="76"/>
      <c r="I38" s="76"/>
      <c r="J38" s="76"/>
      <c r="M38" t="s">
        <v>786</v>
      </c>
      <c r="Q38" s="80"/>
      <c r="R38" s="80"/>
      <c r="S38" s="80"/>
      <c r="T38" s="80"/>
    </row>
    <row r="39" spans="1:20">
      <c r="A39" t="s">
        <v>791</v>
      </c>
      <c r="B39" t="s">
        <v>788</v>
      </c>
      <c r="C39" t="s">
        <v>638</v>
      </c>
      <c r="D39" t="s">
        <v>307</v>
      </c>
      <c r="E39" t="s">
        <v>868</v>
      </c>
      <c r="F39" t="s">
        <v>276</v>
      </c>
      <c r="G39" s="76"/>
      <c r="H39" s="76"/>
      <c r="I39" s="76"/>
      <c r="J39" s="76"/>
      <c r="M39" t="s">
        <v>787</v>
      </c>
      <c r="Q39" s="80"/>
      <c r="R39" s="80"/>
      <c r="S39" s="80"/>
      <c r="T39" s="80"/>
    </row>
    <row r="40" spans="1:20">
      <c r="A40" t="s">
        <v>782</v>
      </c>
      <c r="B40" t="s">
        <v>783</v>
      </c>
      <c r="C40" t="s">
        <v>638</v>
      </c>
      <c r="D40" t="s">
        <v>307</v>
      </c>
      <c r="E40" t="s">
        <v>869</v>
      </c>
      <c r="F40" t="s">
        <v>276</v>
      </c>
      <c r="G40" s="76"/>
      <c r="H40" s="76"/>
      <c r="I40" s="76"/>
      <c r="J40" s="76"/>
      <c r="M40" t="s">
        <v>784</v>
      </c>
      <c r="Q40" s="80"/>
      <c r="R40" s="80"/>
      <c r="S40" s="80"/>
      <c r="T40" s="80"/>
    </row>
    <row r="41" spans="1:20">
      <c r="A41" t="s">
        <v>372</v>
      </c>
      <c r="B41" t="s">
        <v>373</v>
      </c>
      <c r="C41" t="str">
        <f t="shared" ref="C41:C52" si="3">IF(D41="transport","transport","material")</f>
        <v>material</v>
      </c>
      <c r="D41" t="s">
        <v>280</v>
      </c>
      <c r="E41" t="s">
        <v>254</v>
      </c>
      <c r="F41" t="s">
        <v>276</v>
      </c>
      <c r="G41" s="76"/>
      <c r="H41" s="77"/>
      <c r="I41" s="77"/>
      <c r="J41" s="77"/>
      <c r="M41" t="s">
        <v>374</v>
      </c>
      <c r="Q41" s="80"/>
      <c r="R41" s="80"/>
      <c r="S41" s="80"/>
      <c r="T41" s="80"/>
    </row>
    <row r="42" spans="1:20">
      <c r="A42" t="s">
        <v>375</v>
      </c>
      <c r="B42" t="s">
        <v>376</v>
      </c>
      <c r="C42" t="str">
        <f t="shared" si="3"/>
        <v>material</v>
      </c>
      <c r="D42" t="s">
        <v>307</v>
      </c>
      <c r="E42" s="60" t="s">
        <v>255</v>
      </c>
      <c r="F42" t="s">
        <v>276</v>
      </c>
      <c r="G42" s="76"/>
      <c r="H42" s="77"/>
      <c r="I42" s="77"/>
      <c r="J42" s="77"/>
      <c r="M42" t="s">
        <v>377</v>
      </c>
      <c r="Q42" s="80"/>
      <c r="R42" s="80"/>
      <c r="S42" s="80"/>
      <c r="T42" s="80"/>
    </row>
    <row r="43" spans="1:20">
      <c r="A43" t="s">
        <v>378</v>
      </c>
      <c r="B43" t="s">
        <v>379</v>
      </c>
      <c r="C43" t="str">
        <f t="shared" si="3"/>
        <v>material</v>
      </c>
      <c r="D43" t="s">
        <v>307</v>
      </c>
      <c r="E43" s="60" t="s">
        <v>256</v>
      </c>
      <c r="F43" t="s">
        <v>276</v>
      </c>
      <c r="G43" s="76"/>
      <c r="H43" s="77"/>
      <c r="I43" s="77"/>
      <c r="J43" s="77"/>
      <c r="M43" t="s">
        <v>380</v>
      </c>
      <c r="Q43" s="80"/>
      <c r="R43" s="80"/>
      <c r="S43" s="80"/>
      <c r="T43" s="80"/>
    </row>
    <row r="44" spans="1:20">
      <c r="A44" t="s">
        <v>381</v>
      </c>
      <c r="B44" t="s">
        <v>382</v>
      </c>
      <c r="C44" t="str">
        <f t="shared" si="3"/>
        <v>material</v>
      </c>
      <c r="D44" t="s">
        <v>307</v>
      </c>
      <c r="E44" s="60" t="s">
        <v>255</v>
      </c>
      <c r="F44" t="s">
        <v>276</v>
      </c>
      <c r="G44" s="76"/>
      <c r="H44" s="77"/>
      <c r="I44" s="77"/>
      <c r="J44" s="77"/>
      <c r="M44" t="s">
        <v>383</v>
      </c>
      <c r="Q44" s="80"/>
      <c r="R44" s="80"/>
      <c r="S44" s="80"/>
      <c r="T44" s="80"/>
    </row>
    <row r="45" spans="1:20">
      <c r="A45" t="s">
        <v>384</v>
      </c>
      <c r="B45" t="s">
        <v>385</v>
      </c>
      <c r="C45" t="str">
        <f t="shared" si="3"/>
        <v>material</v>
      </c>
      <c r="D45" t="s">
        <v>307</v>
      </c>
      <c r="E45" s="60" t="s">
        <v>256</v>
      </c>
      <c r="F45" t="s">
        <v>276</v>
      </c>
      <c r="G45" s="76"/>
      <c r="H45" s="77"/>
      <c r="I45" s="77"/>
      <c r="J45" s="77"/>
      <c r="M45" t="s">
        <v>386</v>
      </c>
      <c r="Q45" s="80"/>
      <c r="R45" s="80"/>
      <c r="S45" s="80"/>
      <c r="T45" s="80"/>
    </row>
    <row r="46" spans="1:20">
      <c r="A46" t="s">
        <v>387</v>
      </c>
      <c r="B46" t="s">
        <v>147</v>
      </c>
      <c r="C46" t="str">
        <f t="shared" si="3"/>
        <v>material</v>
      </c>
      <c r="D46" t="s">
        <v>307</v>
      </c>
      <c r="E46" s="36"/>
      <c r="F46" t="s">
        <v>276</v>
      </c>
      <c r="G46" s="76"/>
      <c r="H46" s="77"/>
      <c r="I46" s="77"/>
      <c r="J46" s="77"/>
      <c r="M46" t="s">
        <v>854</v>
      </c>
      <c r="Q46" s="80"/>
      <c r="R46" s="80"/>
      <c r="S46" s="80"/>
      <c r="T46" s="80"/>
    </row>
    <row r="47" spans="1:20">
      <c r="A47" t="s">
        <v>762</v>
      </c>
      <c r="B47" t="s">
        <v>763</v>
      </c>
      <c r="C47" t="str">
        <f t="shared" si="3"/>
        <v>material</v>
      </c>
      <c r="D47" t="s">
        <v>307</v>
      </c>
      <c r="E47" s="36"/>
      <c r="F47" t="s">
        <v>276</v>
      </c>
      <c r="G47" s="76"/>
      <c r="H47" s="77"/>
      <c r="I47" s="77"/>
      <c r="J47" s="77"/>
      <c r="M47" t="s">
        <v>388</v>
      </c>
      <c r="Q47" s="80"/>
      <c r="R47" s="80"/>
      <c r="S47" s="80"/>
      <c r="T47" s="80"/>
    </row>
    <row r="48" spans="1:20">
      <c r="A48" t="s">
        <v>389</v>
      </c>
      <c r="B48" t="s">
        <v>390</v>
      </c>
      <c r="C48" t="str">
        <f t="shared" si="3"/>
        <v>material</v>
      </c>
      <c r="D48" t="s">
        <v>280</v>
      </c>
      <c r="E48" t="s">
        <v>257</v>
      </c>
      <c r="F48" t="s">
        <v>276</v>
      </c>
      <c r="G48" s="76"/>
      <c r="H48" s="77"/>
      <c r="I48" s="77"/>
      <c r="J48" s="77"/>
      <c r="K48" t="s">
        <v>290</v>
      </c>
      <c r="M48" t="s">
        <v>391</v>
      </c>
      <c r="Q48" s="80"/>
      <c r="R48" s="80"/>
      <c r="S48" s="80"/>
      <c r="T48" s="80"/>
    </row>
    <row r="49" spans="1:20">
      <c r="A49" t="s">
        <v>392</v>
      </c>
      <c r="B49" t="s">
        <v>47</v>
      </c>
      <c r="C49" t="str">
        <f t="shared" si="3"/>
        <v>material</v>
      </c>
      <c r="D49" t="s">
        <v>307</v>
      </c>
      <c r="E49" s="35" t="s">
        <v>258</v>
      </c>
      <c r="F49" t="s">
        <v>276</v>
      </c>
      <c r="G49" s="76"/>
      <c r="H49" s="77"/>
      <c r="I49" s="77"/>
      <c r="J49" s="77"/>
      <c r="M49" t="s">
        <v>393</v>
      </c>
      <c r="O49" t="s">
        <v>394</v>
      </c>
      <c r="Q49" s="80"/>
      <c r="R49" s="80"/>
      <c r="S49" s="80"/>
      <c r="T49" s="80"/>
    </row>
    <row r="50" spans="1:20">
      <c r="A50" t="s">
        <v>395</v>
      </c>
      <c r="B50" t="s">
        <v>396</v>
      </c>
      <c r="C50" t="str">
        <f t="shared" si="3"/>
        <v>material</v>
      </c>
      <c r="D50" t="s">
        <v>280</v>
      </c>
      <c r="E50" t="s">
        <v>259</v>
      </c>
      <c r="F50" t="s">
        <v>276</v>
      </c>
      <c r="G50" s="76"/>
      <c r="H50" s="77"/>
      <c r="I50" s="77"/>
      <c r="J50" s="77"/>
      <c r="M50" t="s">
        <v>397</v>
      </c>
      <c r="Q50" s="80"/>
      <c r="R50" s="80"/>
      <c r="S50" s="80"/>
      <c r="T50" s="80"/>
    </row>
    <row r="51" spans="1:20">
      <c r="A51" t="s">
        <v>398</v>
      </c>
      <c r="B51" t="s">
        <v>399</v>
      </c>
      <c r="C51" t="str">
        <f t="shared" si="3"/>
        <v>material</v>
      </c>
      <c r="D51" t="s">
        <v>280</v>
      </c>
      <c r="E51" t="s">
        <v>260</v>
      </c>
      <c r="F51" t="s">
        <v>276</v>
      </c>
      <c r="G51" s="76"/>
      <c r="H51" s="77"/>
      <c r="I51" s="77"/>
      <c r="J51" s="77"/>
      <c r="M51" t="s">
        <v>400</v>
      </c>
      <c r="Q51" s="80"/>
      <c r="R51" s="80"/>
      <c r="S51" s="80"/>
      <c r="T51" s="80"/>
    </row>
    <row r="52" spans="1:20">
      <c r="A52" t="s">
        <v>401</v>
      </c>
      <c r="B52" t="s">
        <v>402</v>
      </c>
      <c r="C52" t="str">
        <f t="shared" si="3"/>
        <v>material</v>
      </c>
      <c r="D52" t="s">
        <v>280</v>
      </c>
      <c r="E52" t="s">
        <v>403</v>
      </c>
      <c r="F52" t="s">
        <v>276</v>
      </c>
      <c r="G52" s="76"/>
      <c r="H52" s="77"/>
      <c r="I52" s="77"/>
      <c r="J52" s="77"/>
      <c r="M52" t="s">
        <v>404</v>
      </c>
      <c r="Q52" s="80"/>
      <c r="R52" s="80"/>
      <c r="S52" s="80"/>
      <c r="T52" s="80"/>
    </row>
    <row r="53" spans="1:20">
      <c r="A53" t="s">
        <v>641</v>
      </c>
      <c r="B53" t="s">
        <v>640</v>
      </c>
      <c r="C53" t="s">
        <v>638</v>
      </c>
      <c r="D53" t="s">
        <v>307</v>
      </c>
      <c r="E53" t="str">
        <f>material_elements!A17&amp;","&amp;ROUND(material_elements!P17/SUM(material_elements!P6:P19)*100,6)&amp;","&amp;material_elements!A18&amp;","&amp;ROUND(material_elements!P18/SUM(material_elements!P6:P19)*100,6)&amp;","&amp;material_elements!A19&amp;","&amp;ROUND(material_elements!P19/SUM(material_elements!P6:P19)*100,6)</f>
        <v>Nd,26,683711,Fe,72,316404,B,0,999885</v>
      </c>
      <c r="F53" t="s">
        <v>276</v>
      </c>
      <c r="G53" s="76"/>
      <c r="H53" s="76"/>
      <c r="I53" s="76"/>
      <c r="J53" s="76"/>
      <c r="M53" t="s">
        <v>758</v>
      </c>
      <c r="Q53" s="80"/>
      <c r="R53" s="80"/>
      <c r="S53" s="80"/>
      <c r="T53" s="80"/>
    </row>
    <row r="54" spans="1:20">
      <c r="A54" t="s">
        <v>405</v>
      </c>
      <c r="B54" t="s">
        <v>406</v>
      </c>
      <c r="C54" t="str">
        <f>IF(D54="transport","transport","material")</f>
        <v>material</v>
      </c>
      <c r="D54" t="s">
        <v>280</v>
      </c>
      <c r="E54" t="s">
        <v>407</v>
      </c>
      <c r="F54" t="s">
        <v>276</v>
      </c>
      <c r="G54" s="76"/>
      <c r="H54" s="77"/>
      <c r="I54" s="77"/>
      <c r="J54" s="77"/>
      <c r="M54" t="s">
        <v>408</v>
      </c>
      <c r="Q54" s="80"/>
      <c r="R54" s="80"/>
      <c r="S54" s="80"/>
      <c r="T54" s="80"/>
    </row>
    <row r="55" spans="1:20">
      <c r="A55" t="s">
        <v>409</v>
      </c>
      <c r="B55" t="s">
        <v>410</v>
      </c>
      <c r="C55" t="str">
        <f>IF(D55="transport","transport","material")</f>
        <v>material</v>
      </c>
      <c r="D55" t="s">
        <v>280</v>
      </c>
      <c r="E55" t="s">
        <v>411</v>
      </c>
      <c r="F55" t="s">
        <v>276</v>
      </c>
      <c r="G55" s="76"/>
      <c r="H55" s="77"/>
      <c r="I55" s="77"/>
      <c r="J55" s="77"/>
      <c r="M55" t="s">
        <v>412</v>
      </c>
      <c r="Q55" s="80"/>
      <c r="R55" s="80"/>
      <c r="S55" s="80"/>
      <c r="T55" s="80"/>
    </row>
    <row r="56" spans="1:20">
      <c r="A56" t="s">
        <v>413</v>
      </c>
      <c r="B56" t="s">
        <v>414</v>
      </c>
      <c r="C56" t="str">
        <f>IF(D56="transport","transport","material")</f>
        <v>material</v>
      </c>
      <c r="D56" t="s">
        <v>280</v>
      </c>
      <c r="E56" t="s">
        <v>415</v>
      </c>
      <c r="F56" t="s">
        <v>276</v>
      </c>
      <c r="G56" s="76"/>
      <c r="H56" s="77"/>
      <c r="I56" s="77"/>
      <c r="J56" s="77"/>
      <c r="K56" t="s">
        <v>416</v>
      </c>
      <c r="M56" t="s">
        <v>417</v>
      </c>
      <c r="Q56" s="80"/>
      <c r="R56" s="80"/>
      <c r="S56" s="80"/>
      <c r="T56" s="80"/>
    </row>
    <row r="57" spans="1:20">
      <c r="A57" t="s">
        <v>418</v>
      </c>
      <c r="B57" t="s">
        <v>419</v>
      </c>
      <c r="C57" t="str">
        <f>IF(D57="transport","transport","material")</f>
        <v>material</v>
      </c>
      <c r="D57" t="s">
        <v>280</v>
      </c>
      <c r="E57" t="s">
        <v>420</v>
      </c>
      <c r="F57" t="s">
        <v>276</v>
      </c>
      <c r="G57" s="76"/>
      <c r="H57" s="77"/>
      <c r="I57" s="77"/>
      <c r="J57" s="77"/>
      <c r="M57" t="s">
        <v>421</v>
      </c>
      <c r="N57" t="s">
        <v>422</v>
      </c>
      <c r="Q57" s="80"/>
      <c r="R57" s="80"/>
      <c r="S57" s="80"/>
      <c r="T57" s="80"/>
    </row>
    <row r="58" spans="1:20">
      <c r="A58" t="s">
        <v>636</v>
      </c>
      <c r="B58" t="s">
        <v>636</v>
      </c>
      <c r="C58" t="s">
        <v>638</v>
      </c>
      <c r="D58" t="s">
        <v>307</v>
      </c>
      <c r="E58" t="s">
        <v>639</v>
      </c>
      <c r="F58" t="s">
        <v>276</v>
      </c>
      <c r="G58" s="76"/>
      <c r="H58" s="76"/>
      <c r="I58" s="76"/>
      <c r="J58" s="76"/>
      <c r="M58" t="s">
        <v>754</v>
      </c>
      <c r="Q58" s="80"/>
      <c r="R58" s="80"/>
      <c r="S58" s="80"/>
      <c r="T58" s="80"/>
    </row>
    <row r="59" spans="1:20">
      <c r="A59" t="s">
        <v>423</v>
      </c>
      <c r="B59" t="s">
        <v>424</v>
      </c>
      <c r="C59" t="str">
        <f t="shared" ref="C59:C67" si="4">IF(D59="transport","transport","material")</f>
        <v>material</v>
      </c>
      <c r="D59" t="s">
        <v>307</v>
      </c>
      <c r="E59" s="35" t="s">
        <v>870</v>
      </c>
      <c r="F59" s="38" t="s">
        <v>276</v>
      </c>
      <c r="G59" s="76"/>
      <c r="H59" s="77"/>
      <c r="I59" s="77"/>
      <c r="J59" s="77"/>
      <c r="K59" s="22"/>
      <c r="L59" s="22"/>
      <c r="M59" t="s">
        <v>425</v>
      </c>
      <c r="Q59" s="80"/>
      <c r="R59" s="80"/>
      <c r="S59" s="80"/>
      <c r="T59" s="80"/>
    </row>
    <row r="60" spans="1:20">
      <c r="A60" t="s">
        <v>426</v>
      </c>
      <c r="B60" t="s">
        <v>426</v>
      </c>
      <c r="C60" t="str">
        <f t="shared" si="4"/>
        <v>transport</v>
      </c>
      <c r="D60" t="s">
        <v>316</v>
      </c>
      <c r="F60" t="s">
        <v>317</v>
      </c>
      <c r="G60" s="76"/>
      <c r="H60" s="77"/>
      <c r="I60" s="77"/>
      <c r="J60" s="77"/>
      <c r="M60" t="s">
        <v>427</v>
      </c>
      <c r="Q60" s="80"/>
      <c r="R60" s="80"/>
      <c r="S60" s="80"/>
      <c r="T60" s="80"/>
    </row>
    <row r="61" spans="1:20">
      <c r="A61" t="s">
        <v>428</v>
      </c>
      <c r="B61" t="s">
        <v>429</v>
      </c>
      <c r="C61" t="str">
        <f t="shared" si="4"/>
        <v>material</v>
      </c>
      <c r="D61" t="s">
        <v>280</v>
      </c>
      <c r="E61" t="s">
        <v>430</v>
      </c>
      <c r="F61" t="s">
        <v>276</v>
      </c>
      <c r="G61" s="76"/>
      <c r="H61" s="77"/>
      <c r="I61" s="77"/>
      <c r="J61" s="77"/>
      <c r="M61" t="s">
        <v>431</v>
      </c>
      <c r="N61" t="s">
        <v>432</v>
      </c>
      <c r="Q61" s="80"/>
      <c r="R61" s="80"/>
      <c r="S61" s="80"/>
      <c r="T61" s="80"/>
    </row>
    <row r="62" spans="1:20">
      <c r="A62" t="s">
        <v>433</v>
      </c>
      <c r="B62" t="s">
        <v>434</v>
      </c>
      <c r="C62" t="str">
        <f t="shared" si="4"/>
        <v>material</v>
      </c>
      <c r="D62" t="s">
        <v>275</v>
      </c>
      <c r="E62" s="35" t="s">
        <v>435</v>
      </c>
      <c r="F62" t="s">
        <v>276</v>
      </c>
      <c r="G62" s="76"/>
      <c r="H62" s="77"/>
      <c r="I62" s="77"/>
      <c r="J62" s="77"/>
      <c r="M62" t="s">
        <v>436</v>
      </c>
      <c r="Q62" s="80"/>
      <c r="R62" s="80"/>
      <c r="S62" s="80"/>
      <c r="T62" s="80"/>
    </row>
    <row r="63" spans="1:20">
      <c r="A63" t="s">
        <v>437</v>
      </c>
      <c r="B63" t="s">
        <v>438</v>
      </c>
      <c r="C63" t="str">
        <f t="shared" si="4"/>
        <v>material</v>
      </c>
      <c r="D63" t="s">
        <v>275</v>
      </c>
      <c r="E63" s="35" t="s">
        <v>439</v>
      </c>
      <c r="F63" t="s">
        <v>276</v>
      </c>
      <c r="G63" s="76"/>
      <c r="H63" s="77"/>
      <c r="I63" s="77"/>
      <c r="J63" s="77"/>
      <c r="M63" t="s">
        <v>440</v>
      </c>
      <c r="Q63" s="80"/>
      <c r="R63" s="80"/>
      <c r="S63" s="80"/>
      <c r="T63" s="80"/>
    </row>
    <row r="64" spans="1:20">
      <c r="A64" t="s">
        <v>441</v>
      </c>
      <c r="B64" t="s">
        <v>442</v>
      </c>
      <c r="C64" t="str">
        <f t="shared" si="4"/>
        <v>material</v>
      </c>
      <c r="D64" t="s">
        <v>275</v>
      </c>
      <c r="E64" s="35" t="s">
        <v>443</v>
      </c>
      <c r="F64" t="s">
        <v>276</v>
      </c>
      <c r="G64" s="76"/>
      <c r="H64" s="77"/>
      <c r="I64" s="77"/>
      <c r="J64" s="77"/>
      <c r="M64" t="s">
        <v>444</v>
      </c>
      <c r="Q64" s="80"/>
      <c r="R64" s="80"/>
      <c r="S64" s="80"/>
      <c r="T64" s="80"/>
    </row>
    <row r="65" spans="1:20">
      <c r="A65" t="s">
        <v>445</v>
      </c>
      <c r="B65" t="s">
        <v>446</v>
      </c>
      <c r="C65" t="str">
        <f t="shared" si="4"/>
        <v>material</v>
      </c>
      <c r="D65" t="s">
        <v>275</v>
      </c>
      <c r="E65" s="35" t="s">
        <v>447</v>
      </c>
      <c r="F65" t="s">
        <v>276</v>
      </c>
      <c r="G65" s="76"/>
      <c r="H65" s="77"/>
      <c r="I65" s="77"/>
      <c r="J65" s="77"/>
      <c r="M65" t="s">
        <v>448</v>
      </c>
      <c r="Q65" s="80"/>
      <c r="R65" s="80"/>
      <c r="S65" s="80"/>
      <c r="T65" s="80"/>
    </row>
    <row r="66" spans="1:20">
      <c r="A66" t="s">
        <v>449</v>
      </c>
      <c r="B66" t="s">
        <v>450</v>
      </c>
      <c r="C66" t="str">
        <f t="shared" si="4"/>
        <v>material</v>
      </c>
      <c r="D66" t="s">
        <v>275</v>
      </c>
      <c r="E66" s="35" t="s">
        <v>451</v>
      </c>
      <c r="F66" t="s">
        <v>276</v>
      </c>
      <c r="G66" s="76"/>
      <c r="H66" s="77"/>
      <c r="I66" s="77"/>
      <c r="J66" s="77"/>
      <c r="M66" t="s">
        <v>448</v>
      </c>
      <c r="Q66" s="80"/>
      <c r="R66" s="80"/>
      <c r="S66" s="80"/>
      <c r="T66" s="80"/>
    </row>
    <row r="67" spans="1:20">
      <c r="A67" t="s">
        <v>452</v>
      </c>
      <c r="B67" t="s">
        <v>453</v>
      </c>
      <c r="C67" t="str">
        <f t="shared" si="4"/>
        <v>material</v>
      </c>
      <c r="D67" t="s">
        <v>275</v>
      </c>
      <c r="E67" s="35" t="s">
        <v>454</v>
      </c>
      <c r="F67" t="s">
        <v>276</v>
      </c>
      <c r="G67" s="76"/>
      <c r="H67" s="77"/>
      <c r="I67" s="77"/>
      <c r="J67" s="77"/>
      <c r="M67" t="s">
        <v>455</v>
      </c>
      <c r="Q67" s="80"/>
      <c r="R67" s="80"/>
      <c r="S67" s="80"/>
      <c r="T67" s="80"/>
    </row>
    <row r="68" spans="1:20">
      <c r="A68" t="s">
        <v>751</v>
      </c>
      <c r="B68" t="s">
        <v>756</v>
      </c>
      <c r="C68" t="s">
        <v>638</v>
      </c>
      <c r="D68" t="s">
        <v>275</v>
      </c>
      <c r="E68" t="s">
        <v>757</v>
      </c>
      <c r="F68" t="s">
        <v>276</v>
      </c>
      <c r="G68" s="76"/>
      <c r="H68" s="76"/>
      <c r="I68" s="76"/>
      <c r="J68" s="77"/>
      <c r="M68" t="s">
        <v>753</v>
      </c>
      <c r="P68" t="s">
        <v>752</v>
      </c>
      <c r="Q68" s="80"/>
      <c r="R68" s="80"/>
      <c r="S68" s="80"/>
      <c r="T68" s="80"/>
    </row>
    <row r="69" spans="1:20">
      <c r="A69" t="s">
        <v>456</v>
      </c>
      <c r="B69" t="s">
        <v>457</v>
      </c>
      <c r="C69" t="str">
        <f>IF(D69="transport","transport","material")</f>
        <v>material</v>
      </c>
      <c r="D69" t="s">
        <v>275</v>
      </c>
      <c r="E69" s="35" t="s">
        <v>458</v>
      </c>
      <c r="F69" t="s">
        <v>276</v>
      </c>
      <c r="G69" s="76"/>
      <c r="H69" s="77"/>
      <c r="I69" s="77"/>
      <c r="J69" s="77"/>
      <c r="M69" t="s">
        <v>459</v>
      </c>
      <c r="Q69" s="80"/>
      <c r="R69" s="80"/>
      <c r="S69" s="80"/>
      <c r="T69" s="80"/>
    </row>
    <row r="70" spans="1:20">
      <c r="A70" t="s">
        <v>460</v>
      </c>
      <c r="B70" t="s">
        <v>461</v>
      </c>
      <c r="C70" t="str">
        <f>IF(D70="transport","transport","material")</f>
        <v>material</v>
      </c>
      <c r="D70" t="s">
        <v>280</v>
      </c>
      <c r="E70" t="s">
        <v>462</v>
      </c>
      <c r="F70" t="s">
        <v>276</v>
      </c>
      <c r="G70" s="76"/>
      <c r="H70" s="77"/>
      <c r="I70" s="77"/>
      <c r="J70" s="77"/>
      <c r="M70" t="s">
        <v>463</v>
      </c>
      <c r="Q70" s="80"/>
      <c r="R70" s="80"/>
      <c r="S70" s="80"/>
      <c r="T70" s="80"/>
    </row>
    <row r="71" spans="1:20">
      <c r="A71" t="s">
        <v>464</v>
      </c>
      <c r="B71" t="s">
        <v>794</v>
      </c>
      <c r="C71" t="str">
        <f>IF(D71="transport","transport","material")</f>
        <v>material</v>
      </c>
      <c r="D71" t="s">
        <v>307</v>
      </c>
      <c r="E71" s="35" t="s">
        <v>575</v>
      </c>
      <c r="F71" t="s">
        <v>276</v>
      </c>
      <c r="G71" s="76"/>
      <c r="H71" s="77"/>
      <c r="I71" s="77"/>
      <c r="J71" s="77"/>
      <c r="M71" t="s">
        <v>466</v>
      </c>
      <c r="Q71" s="80"/>
      <c r="R71" s="80"/>
      <c r="S71" s="80"/>
      <c r="T71" s="80"/>
    </row>
    <row r="72" spans="1:20">
      <c r="A72" t="s">
        <v>467</v>
      </c>
      <c r="B72" t="s">
        <v>795</v>
      </c>
      <c r="C72" t="str">
        <f>IF(D72="transport","transport","material")</f>
        <v>material</v>
      </c>
      <c r="D72" t="s">
        <v>307</v>
      </c>
      <c r="E72" s="35" t="s">
        <v>863</v>
      </c>
      <c r="F72" t="s">
        <v>276</v>
      </c>
      <c r="G72" s="76"/>
      <c r="H72" s="77"/>
      <c r="I72" s="77"/>
      <c r="J72" s="77"/>
      <c r="M72" t="s">
        <v>469</v>
      </c>
      <c r="Q72" s="80"/>
      <c r="R72" s="80"/>
      <c r="S72" s="80"/>
      <c r="T72" s="80"/>
    </row>
    <row r="73" spans="1:20">
      <c r="A73" t="s">
        <v>857</v>
      </c>
      <c r="B73" t="s">
        <v>855</v>
      </c>
      <c r="C73" t="s">
        <v>638</v>
      </c>
      <c r="D73" t="s">
        <v>307</v>
      </c>
      <c r="E73" s="40" t="s">
        <v>863</v>
      </c>
      <c r="F73" t="s">
        <v>276</v>
      </c>
      <c r="G73" s="76"/>
      <c r="H73" s="76"/>
      <c r="I73" s="76"/>
      <c r="J73" s="76"/>
      <c r="M73" t="s">
        <v>859</v>
      </c>
      <c r="Q73" s="80"/>
      <c r="R73" s="80"/>
      <c r="S73" s="80"/>
      <c r="T73" s="80"/>
    </row>
    <row r="74" spans="1:20">
      <c r="A74" t="s">
        <v>852</v>
      </c>
      <c r="B74" t="s">
        <v>793</v>
      </c>
      <c r="C74" t="s">
        <v>638</v>
      </c>
      <c r="D74" t="s">
        <v>307</v>
      </c>
      <c r="E74" s="40" t="s">
        <v>874</v>
      </c>
      <c r="F74" t="s">
        <v>276</v>
      </c>
      <c r="G74" s="76"/>
      <c r="H74" s="76"/>
      <c r="I74" s="76"/>
      <c r="J74" s="76"/>
      <c r="M74" t="s">
        <v>853</v>
      </c>
      <c r="Q74" s="80"/>
      <c r="R74" s="80"/>
      <c r="S74" s="80"/>
      <c r="T74" s="80"/>
    </row>
    <row r="75" spans="1:20">
      <c r="A75" t="s">
        <v>858</v>
      </c>
      <c r="B75" t="s">
        <v>856</v>
      </c>
      <c r="C75" t="s">
        <v>638</v>
      </c>
      <c r="D75" t="s">
        <v>307</v>
      </c>
      <c r="E75" t="s">
        <v>875</v>
      </c>
      <c r="F75" t="s">
        <v>276</v>
      </c>
      <c r="G75" s="76"/>
      <c r="H75" s="76"/>
      <c r="I75" s="76"/>
      <c r="J75" s="76"/>
      <c r="M75" t="s">
        <v>860</v>
      </c>
      <c r="Q75" s="80"/>
      <c r="R75" s="80"/>
      <c r="S75" s="80"/>
      <c r="T75" s="80"/>
    </row>
    <row r="76" spans="1:20">
      <c r="A76" t="s">
        <v>871</v>
      </c>
      <c r="B76" t="s">
        <v>872</v>
      </c>
      <c r="C76" t="s">
        <v>638</v>
      </c>
      <c r="D76" t="s">
        <v>307</v>
      </c>
      <c r="E76" t="s">
        <v>876</v>
      </c>
      <c r="F76" t="s">
        <v>276</v>
      </c>
      <c r="G76" s="76"/>
      <c r="H76" s="76"/>
      <c r="I76" s="76"/>
      <c r="J76" s="76"/>
      <c r="M76" t="s">
        <v>873</v>
      </c>
      <c r="Q76" s="80"/>
      <c r="R76" s="80"/>
      <c r="S76" s="80"/>
      <c r="T76" s="80"/>
    </row>
    <row r="77" spans="1:20">
      <c r="A77" t="s">
        <v>470</v>
      </c>
      <c r="B77" t="s">
        <v>796</v>
      </c>
      <c r="C77" t="str">
        <f t="shared" ref="C77:C101" si="5">IF(D77="transport","transport","material")</f>
        <v>material</v>
      </c>
      <c r="D77" t="s">
        <v>307</v>
      </c>
      <c r="E77" s="35" t="s">
        <v>574</v>
      </c>
      <c r="F77" t="s">
        <v>276</v>
      </c>
      <c r="G77" s="76"/>
      <c r="H77" s="77"/>
      <c r="I77" s="77"/>
      <c r="J77" s="77"/>
      <c r="M77" t="s">
        <v>472</v>
      </c>
      <c r="Q77" s="80"/>
      <c r="R77" s="80"/>
      <c r="S77" s="80"/>
      <c r="T77" s="80"/>
    </row>
    <row r="78" spans="1:20">
      <c r="A78" t="s">
        <v>473</v>
      </c>
      <c r="B78" t="s">
        <v>473</v>
      </c>
      <c r="C78" t="str">
        <f t="shared" si="5"/>
        <v>material</v>
      </c>
      <c r="D78" t="s">
        <v>307</v>
      </c>
      <c r="E78" s="35" t="s">
        <v>474</v>
      </c>
      <c r="F78" t="s">
        <v>276</v>
      </c>
      <c r="G78" s="76"/>
      <c r="H78" s="77"/>
      <c r="I78" s="77"/>
      <c r="J78" s="77"/>
      <c r="M78" t="s">
        <v>475</v>
      </c>
      <c r="Q78" s="80"/>
      <c r="R78" s="80"/>
      <c r="S78" s="80"/>
      <c r="T78" s="80"/>
    </row>
    <row r="79" spans="1:20">
      <c r="A79" t="s">
        <v>476</v>
      </c>
      <c r="B79" t="s">
        <v>477</v>
      </c>
      <c r="C79" t="str">
        <f t="shared" si="5"/>
        <v>material</v>
      </c>
      <c r="D79" t="s">
        <v>307</v>
      </c>
      <c r="E79" s="35"/>
      <c r="F79" t="s">
        <v>276</v>
      </c>
      <c r="G79" s="76"/>
      <c r="H79" s="77"/>
      <c r="I79" s="77"/>
      <c r="J79" s="77"/>
      <c r="M79" t="s">
        <v>478</v>
      </c>
      <c r="Q79" s="83"/>
      <c r="R79" s="80"/>
      <c r="S79" s="80"/>
      <c r="T79" s="80"/>
    </row>
    <row r="80" spans="1:20">
      <c r="A80" t="s">
        <v>479</v>
      </c>
      <c r="B80" t="s">
        <v>480</v>
      </c>
      <c r="C80" t="str">
        <f t="shared" si="5"/>
        <v>material</v>
      </c>
      <c r="D80" t="s">
        <v>307</v>
      </c>
      <c r="E80" s="35"/>
      <c r="F80" t="s">
        <v>276</v>
      </c>
      <c r="G80" s="76"/>
      <c r="H80" s="77"/>
      <c r="I80" s="77"/>
      <c r="J80" s="77"/>
      <c r="M80" t="s">
        <v>481</v>
      </c>
      <c r="Q80" s="80"/>
      <c r="R80" s="80"/>
      <c r="S80" s="80"/>
      <c r="T80" s="80"/>
    </row>
    <row r="81" spans="1:20">
      <c r="A81" t="s">
        <v>482</v>
      </c>
      <c r="B81" t="s">
        <v>483</v>
      </c>
      <c r="C81" t="str">
        <f t="shared" si="5"/>
        <v>material</v>
      </c>
      <c r="D81" t="s">
        <v>307</v>
      </c>
      <c r="E81" s="35"/>
      <c r="F81" t="s">
        <v>276</v>
      </c>
      <c r="G81" s="76"/>
      <c r="H81" s="77"/>
      <c r="I81" s="77"/>
      <c r="J81" s="77"/>
      <c r="M81" t="s">
        <v>484</v>
      </c>
      <c r="Q81" s="80"/>
      <c r="R81" s="80"/>
      <c r="S81" s="80"/>
      <c r="T81" s="80"/>
    </row>
    <row r="82" spans="1:20">
      <c r="A82" t="s">
        <v>485</v>
      </c>
      <c r="B82" t="s">
        <v>486</v>
      </c>
      <c r="C82" t="str">
        <f t="shared" si="5"/>
        <v>material</v>
      </c>
      <c r="D82" t="s">
        <v>307</v>
      </c>
      <c r="E82" s="35"/>
      <c r="F82" t="s">
        <v>276</v>
      </c>
      <c r="G82" s="76"/>
      <c r="H82" s="77"/>
      <c r="I82" s="77"/>
      <c r="J82" s="77"/>
      <c r="M82" t="s">
        <v>487</v>
      </c>
      <c r="Q82" s="80"/>
      <c r="R82" s="80"/>
      <c r="S82" s="80"/>
      <c r="T82" s="80"/>
    </row>
    <row r="83" spans="1:20">
      <c r="A83" t="s">
        <v>488</v>
      </c>
      <c r="B83" t="s">
        <v>489</v>
      </c>
      <c r="C83" t="str">
        <f t="shared" si="5"/>
        <v>material</v>
      </c>
      <c r="D83" t="s">
        <v>280</v>
      </c>
      <c r="E83" t="s">
        <v>490</v>
      </c>
      <c r="F83" t="s">
        <v>276</v>
      </c>
      <c r="G83" s="76"/>
      <c r="H83" s="76"/>
      <c r="I83" s="76"/>
      <c r="J83" s="76"/>
      <c r="Q83" s="80"/>
      <c r="R83" s="80"/>
      <c r="S83" s="80"/>
      <c r="T83" s="80"/>
    </row>
    <row r="84" spans="1:20">
      <c r="A84" t="s">
        <v>491</v>
      </c>
      <c r="B84" t="s">
        <v>492</v>
      </c>
      <c r="C84" t="str">
        <f t="shared" si="5"/>
        <v>material</v>
      </c>
      <c r="D84" t="s">
        <v>280</v>
      </c>
      <c r="E84" t="s">
        <v>493</v>
      </c>
      <c r="F84" t="s">
        <v>276</v>
      </c>
      <c r="G84" s="76"/>
      <c r="H84" s="77"/>
      <c r="I84" s="77"/>
      <c r="J84" s="77"/>
      <c r="M84" t="s">
        <v>494</v>
      </c>
      <c r="N84" t="s">
        <v>495</v>
      </c>
      <c r="Q84" s="80"/>
      <c r="R84" s="80"/>
      <c r="S84" s="80"/>
      <c r="T84" s="80"/>
    </row>
    <row r="85" spans="1:20">
      <c r="A85" t="s">
        <v>496</v>
      </c>
      <c r="B85" t="s">
        <v>496</v>
      </c>
      <c r="C85" t="str">
        <f t="shared" si="5"/>
        <v>transport</v>
      </c>
      <c r="D85" t="s">
        <v>316</v>
      </c>
      <c r="F85" t="s">
        <v>317</v>
      </c>
      <c r="G85" s="76"/>
      <c r="H85" s="77"/>
      <c r="I85" s="77"/>
      <c r="J85" s="77"/>
      <c r="M85" t="s">
        <v>497</v>
      </c>
      <c r="Q85" s="80"/>
      <c r="R85" s="80"/>
      <c r="S85" s="80"/>
      <c r="T85" s="80"/>
    </row>
    <row r="86" spans="1:20">
      <c r="A86" t="s">
        <v>498</v>
      </c>
      <c r="B86" t="s">
        <v>499</v>
      </c>
      <c r="C86" t="str">
        <f t="shared" si="5"/>
        <v>material</v>
      </c>
      <c r="D86" t="s">
        <v>280</v>
      </c>
      <c r="E86" t="s">
        <v>500</v>
      </c>
      <c r="F86" t="s">
        <v>276</v>
      </c>
      <c r="G86" s="76"/>
      <c r="H86" s="77"/>
      <c r="I86" s="77"/>
      <c r="J86" s="77"/>
      <c r="M86" t="s">
        <v>501</v>
      </c>
      <c r="Q86" s="80"/>
      <c r="R86" s="80"/>
      <c r="S86" s="80"/>
      <c r="T86" s="80"/>
    </row>
    <row r="87" spans="1:20">
      <c r="A87" t="s">
        <v>502</v>
      </c>
      <c r="B87" t="s">
        <v>503</v>
      </c>
      <c r="C87" t="str">
        <f t="shared" si="5"/>
        <v>material</v>
      </c>
      <c r="D87" t="s">
        <v>275</v>
      </c>
      <c r="E87" s="35" t="s">
        <v>504</v>
      </c>
      <c r="F87" t="s">
        <v>276</v>
      </c>
      <c r="G87" s="76"/>
      <c r="H87" s="77"/>
      <c r="I87" s="77"/>
      <c r="J87" s="77"/>
      <c r="M87" t="s">
        <v>505</v>
      </c>
      <c r="Q87" s="80"/>
      <c r="R87" s="80"/>
      <c r="S87" s="80"/>
      <c r="T87" s="80"/>
    </row>
    <row r="88" spans="1:20">
      <c r="A88" t="s">
        <v>506</v>
      </c>
      <c r="B88" t="s">
        <v>507</v>
      </c>
      <c r="C88" t="str">
        <f t="shared" si="5"/>
        <v>material</v>
      </c>
      <c r="D88" t="s">
        <v>280</v>
      </c>
      <c r="E88" t="s">
        <v>508</v>
      </c>
      <c r="F88" t="s">
        <v>276</v>
      </c>
      <c r="G88" s="76"/>
      <c r="H88" s="77"/>
      <c r="I88" s="77"/>
      <c r="J88" s="77"/>
      <c r="M88" t="s">
        <v>509</v>
      </c>
      <c r="Q88" s="80"/>
      <c r="R88" s="80"/>
      <c r="S88" s="80"/>
      <c r="T88" s="80"/>
    </row>
    <row r="89" spans="1:20">
      <c r="A89" t="s">
        <v>510</v>
      </c>
      <c r="B89" t="s">
        <v>511</v>
      </c>
      <c r="C89" t="str">
        <f t="shared" si="5"/>
        <v>material</v>
      </c>
      <c r="D89" t="s">
        <v>307</v>
      </c>
      <c r="E89" s="35" t="s">
        <v>512</v>
      </c>
      <c r="F89" t="s">
        <v>276</v>
      </c>
      <c r="G89" s="76"/>
      <c r="H89" s="77"/>
      <c r="I89" s="77"/>
      <c r="J89" s="77"/>
      <c r="K89" t="s">
        <v>513</v>
      </c>
      <c r="M89" t="s">
        <v>514</v>
      </c>
      <c r="Q89" s="80"/>
      <c r="R89" s="80"/>
      <c r="S89" s="80"/>
      <c r="T89" s="80"/>
    </row>
    <row r="90" spans="1:20">
      <c r="A90" t="s">
        <v>515</v>
      </c>
      <c r="B90" t="s">
        <v>516</v>
      </c>
      <c r="C90" t="str">
        <f t="shared" si="5"/>
        <v>material</v>
      </c>
      <c r="D90" t="s">
        <v>307</v>
      </c>
      <c r="E90" s="35" t="s">
        <v>517</v>
      </c>
      <c r="F90" t="s">
        <v>276</v>
      </c>
      <c r="G90" s="76"/>
      <c r="H90" s="77"/>
      <c r="I90" s="77"/>
      <c r="J90" s="77"/>
      <c r="M90" t="s">
        <v>518</v>
      </c>
      <c r="Q90" s="80"/>
      <c r="R90" s="80"/>
      <c r="S90" s="80"/>
      <c r="T90" s="80"/>
    </row>
    <row r="91" spans="1:20">
      <c r="A91" t="s">
        <v>519</v>
      </c>
      <c r="B91" t="s">
        <v>520</v>
      </c>
      <c r="C91" t="str">
        <f t="shared" si="5"/>
        <v>material</v>
      </c>
      <c r="D91" t="s">
        <v>280</v>
      </c>
      <c r="E91" t="s">
        <v>521</v>
      </c>
      <c r="F91" t="s">
        <v>276</v>
      </c>
      <c r="G91" s="76"/>
      <c r="H91" s="77"/>
      <c r="I91" s="77"/>
      <c r="J91" s="77"/>
      <c r="K91" t="s">
        <v>522</v>
      </c>
      <c r="M91" t="s">
        <v>523</v>
      </c>
      <c r="Q91" s="80"/>
      <c r="R91" s="80"/>
      <c r="S91" s="80"/>
      <c r="T91" s="80"/>
    </row>
    <row r="92" spans="1:20">
      <c r="A92" t="s">
        <v>524</v>
      </c>
      <c r="B92" t="s">
        <v>525</v>
      </c>
      <c r="C92" t="str">
        <f t="shared" si="5"/>
        <v>material</v>
      </c>
      <c r="D92" t="s">
        <v>280</v>
      </c>
      <c r="E92" t="s">
        <v>526</v>
      </c>
      <c r="F92" t="s">
        <v>276</v>
      </c>
      <c r="G92" s="76"/>
      <c r="H92" s="77"/>
      <c r="I92" s="77"/>
      <c r="J92" s="77"/>
      <c r="M92" t="s">
        <v>527</v>
      </c>
      <c r="Q92" s="80"/>
      <c r="R92" s="80"/>
      <c r="S92" s="80"/>
      <c r="T92" s="80"/>
    </row>
    <row r="93" spans="1:20">
      <c r="A93" t="s">
        <v>528</v>
      </c>
      <c r="B93" t="s">
        <v>529</v>
      </c>
      <c r="C93" t="str">
        <f t="shared" si="5"/>
        <v>material</v>
      </c>
      <c r="D93" t="s">
        <v>280</v>
      </c>
      <c r="E93" t="s">
        <v>530</v>
      </c>
      <c r="F93" t="s">
        <v>276</v>
      </c>
      <c r="G93" s="76"/>
      <c r="H93" s="77"/>
      <c r="I93" s="77"/>
      <c r="J93" s="77"/>
      <c r="M93" t="s">
        <v>531</v>
      </c>
      <c r="Q93" s="80"/>
      <c r="R93" s="80"/>
      <c r="S93" s="80"/>
      <c r="T93" s="80"/>
    </row>
    <row r="94" spans="1:20">
      <c r="A94" t="s">
        <v>532</v>
      </c>
      <c r="B94" t="s">
        <v>533</v>
      </c>
      <c r="C94" t="str">
        <f t="shared" si="5"/>
        <v>material</v>
      </c>
      <c r="D94" t="s">
        <v>280</v>
      </c>
      <c r="E94" t="s">
        <v>534</v>
      </c>
      <c r="F94" t="s">
        <v>276</v>
      </c>
      <c r="G94" s="76"/>
      <c r="H94" s="77"/>
      <c r="I94" s="77"/>
      <c r="J94" s="77"/>
      <c r="M94" t="s">
        <v>535</v>
      </c>
      <c r="Q94" s="80"/>
      <c r="R94" s="80"/>
      <c r="S94" s="80"/>
      <c r="T94" s="80"/>
    </row>
    <row r="95" spans="1:20">
      <c r="A95" t="s">
        <v>536</v>
      </c>
      <c r="B95" t="s">
        <v>536</v>
      </c>
      <c r="C95" t="str">
        <f t="shared" si="5"/>
        <v>transport</v>
      </c>
      <c r="D95" t="s">
        <v>316</v>
      </c>
      <c r="F95" t="s">
        <v>317</v>
      </c>
      <c r="G95" s="76"/>
      <c r="H95" s="77"/>
      <c r="I95" s="77"/>
      <c r="J95" s="77"/>
      <c r="M95" t="s">
        <v>537</v>
      </c>
      <c r="Q95" s="80"/>
      <c r="R95" s="80"/>
      <c r="S95" s="80"/>
      <c r="T95" s="80"/>
    </row>
    <row r="96" spans="1:20">
      <c r="A96" t="s">
        <v>538</v>
      </c>
      <c r="B96" t="s">
        <v>538</v>
      </c>
      <c r="C96" t="str">
        <f t="shared" si="5"/>
        <v>transport</v>
      </c>
      <c r="D96" t="s">
        <v>316</v>
      </c>
      <c r="F96" t="s">
        <v>317</v>
      </c>
      <c r="G96" s="76"/>
      <c r="H96" s="77"/>
      <c r="I96" s="77"/>
      <c r="J96" s="77"/>
      <c r="M96" t="s">
        <v>539</v>
      </c>
      <c r="Q96" s="80"/>
      <c r="R96" s="80"/>
      <c r="S96" s="80"/>
      <c r="T96" s="80"/>
    </row>
    <row r="97" spans="1:20">
      <c r="A97" t="s">
        <v>540</v>
      </c>
      <c r="B97" t="s">
        <v>541</v>
      </c>
      <c r="C97" t="str">
        <f t="shared" si="5"/>
        <v>material</v>
      </c>
      <c r="D97" t="s">
        <v>280</v>
      </c>
      <c r="E97" t="s">
        <v>542</v>
      </c>
      <c r="F97" t="s">
        <v>276</v>
      </c>
      <c r="G97" s="76"/>
      <c r="H97" s="77"/>
      <c r="I97" s="77"/>
      <c r="J97" s="77"/>
      <c r="M97" t="s">
        <v>543</v>
      </c>
      <c r="Q97" s="80"/>
      <c r="R97" s="80"/>
      <c r="S97" s="80"/>
      <c r="T97" s="80"/>
    </row>
    <row r="98" spans="1:20">
      <c r="A98" t="s">
        <v>544</v>
      </c>
      <c r="B98" t="s">
        <v>545</v>
      </c>
      <c r="C98" t="str">
        <f t="shared" si="5"/>
        <v>material</v>
      </c>
      <c r="D98" t="s">
        <v>280</v>
      </c>
      <c r="E98" t="s">
        <v>546</v>
      </c>
      <c r="F98" t="s">
        <v>276</v>
      </c>
      <c r="G98" s="76"/>
      <c r="H98" s="76"/>
      <c r="I98" s="76"/>
      <c r="J98" s="76"/>
      <c r="Q98" s="80"/>
      <c r="R98" s="80"/>
      <c r="S98" s="80"/>
      <c r="T98" s="80"/>
    </row>
    <row r="99" spans="1:20">
      <c r="A99" t="s">
        <v>547</v>
      </c>
      <c r="B99" t="s">
        <v>548</v>
      </c>
      <c r="C99" t="str">
        <f t="shared" si="5"/>
        <v>material</v>
      </c>
      <c r="D99" t="s">
        <v>280</v>
      </c>
      <c r="E99" t="s">
        <v>549</v>
      </c>
      <c r="F99" t="s">
        <v>276</v>
      </c>
      <c r="G99" s="76"/>
      <c r="H99" s="77"/>
      <c r="I99" s="77"/>
      <c r="J99" s="77"/>
      <c r="M99" t="s">
        <v>550</v>
      </c>
      <c r="Q99" s="80"/>
      <c r="R99" s="80"/>
      <c r="S99" s="80"/>
      <c r="T99" s="80"/>
    </row>
    <row r="100" spans="1:20">
      <c r="A100" t="s">
        <v>551</v>
      </c>
      <c r="B100" t="s">
        <v>552</v>
      </c>
      <c r="C100" t="str">
        <f t="shared" si="5"/>
        <v>material</v>
      </c>
      <c r="D100" t="s">
        <v>280</v>
      </c>
      <c r="E100" t="s">
        <v>553</v>
      </c>
      <c r="F100" t="s">
        <v>276</v>
      </c>
      <c r="G100" s="76"/>
      <c r="H100" s="77"/>
      <c r="I100" s="77"/>
      <c r="J100" s="77"/>
      <c r="M100" t="s">
        <v>554</v>
      </c>
      <c r="Q100" s="80"/>
      <c r="R100" s="80"/>
      <c r="S100" s="80"/>
      <c r="T100" s="80"/>
    </row>
    <row r="101" spans="1:20">
      <c r="A101" t="s">
        <v>555</v>
      </c>
      <c r="B101" t="s">
        <v>556</v>
      </c>
      <c r="C101" t="str">
        <f t="shared" si="5"/>
        <v>material</v>
      </c>
      <c r="D101" t="s">
        <v>280</v>
      </c>
      <c r="E101" t="s">
        <v>557</v>
      </c>
      <c r="F101" t="s">
        <v>276</v>
      </c>
      <c r="G101" s="76"/>
      <c r="H101" s="77"/>
      <c r="I101" s="77"/>
      <c r="J101" s="77"/>
      <c r="M101" t="s">
        <v>558</v>
      </c>
      <c r="Q101" s="80"/>
      <c r="R101" s="80"/>
      <c r="S101" s="80"/>
      <c r="T101" s="80"/>
    </row>
  </sheetData>
  <pageMargins left="0.7" right="0.7" top="0.78740157499999996" bottom="0.78740157499999996" header="0.3" footer="0.3"/>
  <legacy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52E0E8-3422-4EEE-B853-F0F10975A94C}">
  <dimension ref="A1:S34"/>
  <sheetViews>
    <sheetView zoomScaleNormal="100" workbookViewId="0">
      <selection activeCell="M2" sqref="M2"/>
    </sheetView>
  </sheetViews>
  <sheetFormatPr baseColWidth="10" defaultColWidth="11.54296875" defaultRowHeight="14.5"/>
  <cols>
    <col min="1" max="1" width="28.81640625" bestFit="1" customWidth="1"/>
    <col min="2" max="2" width="16.1796875" bestFit="1" customWidth="1"/>
    <col min="3" max="3" width="25.1796875" customWidth="1"/>
    <col min="4" max="4" width="37.7265625" customWidth="1"/>
    <col min="5" max="7" width="14.1796875" style="45" customWidth="1"/>
    <col min="8" max="8" width="11.54296875" style="45"/>
    <col min="9" max="9" width="14.1796875" style="45" bestFit="1" customWidth="1"/>
    <col min="10" max="12" width="11.54296875" style="54"/>
    <col min="13" max="14" width="11.54296875" style="2"/>
    <col min="16" max="18" width="11.54296875" style="2"/>
  </cols>
  <sheetData>
    <row r="1" spans="1:18">
      <c r="A1" t="s">
        <v>224</v>
      </c>
      <c r="B1" t="s">
        <v>262</v>
      </c>
      <c r="C1" t="s">
        <v>263</v>
      </c>
      <c r="D1" t="s">
        <v>316</v>
      </c>
      <c r="E1" s="45" t="s">
        <v>881</v>
      </c>
      <c r="F1" s="45" t="s">
        <v>882</v>
      </c>
      <c r="G1" s="45" t="s">
        <v>880</v>
      </c>
      <c r="H1" s="45" t="s">
        <v>716</v>
      </c>
      <c r="I1" s="45" t="s">
        <v>717</v>
      </c>
      <c r="J1" s="54" t="s">
        <v>718</v>
      </c>
      <c r="K1" s="54" t="s">
        <v>889</v>
      </c>
      <c r="L1" s="54" t="s">
        <v>890</v>
      </c>
      <c r="M1" s="2" t="s">
        <v>891</v>
      </c>
      <c r="N1" s="2" t="s">
        <v>892</v>
      </c>
      <c r="O1" s="45" t="s">
        <v>721</v>
      </c>
      <c r="P1" s="2" t="s">
        <v>722</v>
      </c>
      <c r="Q1" s="2" t="s">
        <v>723</v>
      </c>
      <c r="R1" s="2" t="s">
        <v>724</v>
      </c>
    </row>
    <row r="2" spans="1:18">
      <c r="A2" t="s">
        <v>159</v>
      </c>
      <c r="B2" t="s">
        <v>150</v>
      </c>
      <c r="C2" t="s">
        <v>877</v>
      </c>
      <c r="D2" s="38" t="str">
        <f>transport!G1&amp;","&amp;ROUND(transport!G2,0)&amp;","&amp;transport!H1&amp;","&amp;ROUND(transport!H2,0)&amp;","&amp;transport!I1&amp;","&amp;ROUND(transport!I2,0)&amp;","&amp;transport!J1&amp;","&amp;ROUND(transport!J2,0)</f>
        <v>Plane,6049,Ship,6049,Truck,1125,Train,375</v>
      </c>
      <c r="E2" s="59">
        <f>(1-H2)*(3*12)</f>
        <v>0</v>
      </c>
      <c r="F2" s="59">
        <f>(1-I2)*(3*12)</f>
        <v>3.3322577481674553E-2</v>
      </c>
      <c r="G2" s="59">
        <v>-1</v>
      </c>
      <c r="H2" s="45">
        <v>1</v>
      </c>
      <c r="I2" s="59">
        <f>1-(15%/(3*12)*defects_new!I11)</f>
        <v>0.99907437284773126</v>
      </c>
      <c r="J2" s="61">
        <f t="shared" ref="J2:J15" si="0">3*12/(2*G2)</f>
        <v>-18</v>
      </c>
      <c r="K2" s="61">
        <f>product_data!H2*0.75</f>
        <v>375</v>
      </c>
      <c r="L2" s="61">
        <f>K2*(1-design_options!$F$13)</f>
        <v>325.08749999999998</v>
      </c>
      <c r="M2" s="62">
        <f>(1-K2/product_data!$H$2)</f>
        <v>0.25</v>
      </c>
      <c r="N2" s="62">
        <f>M2*(1+design_options!$F$13)</f>
        <v>0.283275</v>
      </c>
    </row>
    <row r="3" spans="1:18">
      <c r="A3" t="s">
        <v>40</v>
      </c>
      <c r="B3" t="s">
        <v>40</v>
      </c>
      <c r="C3" t="s">
        <v>566</v>
      </c>
      <c r="D3" s="38" t="str">
        <f>D2</f>
        <v>Plane,6049,Ship,6049,Truck,1125,Train,375</v>
      </c>
      <c r="E3" s="59">
        <f t="shared" ref="E3:F15" si="1">(1-H3)*(3*12)</f>
        <v>0.10693878270347357</v>
      </c>
      <c r="F3" s="59">
        <f t="shared" si="1"/>
        <v>0</v>
      </c>
      <c r="G3" s="59">
        <f>15%*defects_new!$J$13*defects_new!F5</f>
        <v>3.7389739896496091E-2</v>
      </c>
      <c r="H3" s="45">
        <f>1-(15%/(3*12)*defects_new!H13)</f>
        <v>0.99702947825823685</v>
      </c>
      <c r="I3" s="59">
        <v>1</v>
      </c>
      <c r="J3" s="61">
        <f t="shared" si="0"/>
        <v>481.41549125049772</v>
      </c>
      <c r="K3" s="61">
        <v>200</v>
      </c>
      <c r="L3" s="61">
        <f>K3*(1-design_options!$F$13)*(1-design_options!$F$12)</f>
        <v>147.37299999999999</v>
      </c>
      <c r="M3" s="62">
        <f>(1-K3/product_data!$H$2)</f>
        <v>0.6</v>
      </c>
      <c r="N3" s="62">
        <f>M3*(1+design_options!$F$13)*(1+design_options!$F$12)</f>
        <v>0.78183899999999995</v>
      </c>
    </row>
    <row r="4" spans="1:18">
      <c r="A4" t="s">
        <v>719</v>
      </c>
      <c r="B4" t="s">
        <v>40</v>
      </c>
      <c r="C4" t="s">
        <v>566</v>
      </c>
      <c r="D4" s="38" t="str">
        <f t="shared" ref="D4:D14" si="2">D3</f>
        <v>Plane,6049,Ship,6049,Truck,1125,Train,375</v>
      </c>
      <c r="E4" s="59">
        <f t="shared" si="1"/>
        <v>9.624490443312661E-2</v>
      </c>
      <c r="F4" s="59">
        <f t="shared" si="1"/>
        <v>0</v>
      </c>
      <c r="G4" s="59">
        <f>G3*(1-design_options!G3)</f>
        <v>3.3650765906846486E-2</v>
      </c>
      <c r="H4" s="45">
        <f>1-(1-H3)*(1-design_options!G2)</f>
        <v>0.99732653043241315</v>
      </c>
      <c r="I4" s="59">
        <v>1</v>
      </c>
      <c r="J4" s="61">
        <f t="shared" si="0"/>
        <v>534.90610138944191</v>
      </c>
      <c r="K4" s="61">
        <v>200</v>
      </c>
      <c r="L4" s="61">
        <f>K4*(1-design_options!$F$13)*(1-design_options!$F$12)</f>
        <v>147.37299999999999</v>
      </c>
      <c r="M4" s="62">
        <f>(1-K4/product_data!$H$2)</f>
        <v>0.6</v>
      </c>
      <c r="N4" s="62">
        <f>M4*(1+design_options!$F$13)*(1+design_options!$F$12)</f>
        <v>0.78183899999999995</v>
      </c>
    </row>
    <row r="5" spans="1:18">
      <c r="A5" t="s">
        <v>567</v>
      </c>
      <c r="B5" t="s">
        <v>569</v>
      </c>
      <c r="D5" s="38" t="str">
        <f t="shared" si="2"/>
        <v>Plane,6049,Ship,6049,Truck,1125,Train,375</v>
      </c>
      <c r="E5" s="59">
        <f t="shared" si="1"/>
        <v>0</v>
      </c>
      <c r="F5" s="59">
        <f t="shared" si="1"/>
        <v>0</v>
      </c>
      <c r="G5" s="59">
        <v>-1</v>
      </c>
      <c r="H5" s="45">
        <v>1</v>
      </c>
      <c r="I5" s="59">
        <v>1</v>
      </c>
      <c r="J5" s="61">
        <f t="shared" si="0"/>
        <v>-18</v>
      </c>
      <c r="K5" s="61">
        <v>0</v>
      </c>
      <c r="L5" s="61">
        <f>K5*(1-design_options!$F$13)</f>
        <v>0</v>
      </c>
      <c r="M5" s="62">
        <f>(1-K5/product_data!$H$2)</f>
        <v>1</v>
      </c>
      <c r="N5" s="62">
        <f>M5*(1+design_options!$F$13)</f>
        <v>1.1331</v>
      </c>
      <c r="O5" t="s">
        <v>885</v>
      </c>
      <c r="P5" s="2">
        <v>0</v>
      </c>
      <c r="Q5" s="2">
        <v>0</v>
      </c>
      <c r="R5" s="2">
        <v>0</v>
      </c>
    </row>
    <row r="6" spans="1:18">
      <c r="A6" t="s">
        <v>568</v>
      </c>
      <c r="B6" t="s">
        <v>569</v>
      </c>
      <c r="C6" s="38" t="s">
        <v>749</v>
      </c>
      <c r="D6" s="38" t="str">
        <f t="shared" si="2"/>
        <v>Plane,6049,Ship,6049,Truck,1125,Train,375</v>
      </c>
      <c r="E6" s="59">
        <v>0</v>
      </c>
      <c r="F6" s="59">
        <f t="shared" si="1"/>
        <v>0</v>
      </c>
      <c r="G6" s="59">
        <v>-1</v>
      </c>
      <c r="H6" s="45">
        <v>1</v>
      </c>
      <c r="I6" s="59">
        <v>1</v>
      </c>
      <c r="J6" s="61">
        <f t="shared" si="0"/>
        <v>-18</v>
      </c>
      <c r="K6" s="61">
        <v>5</v>
      </c>
      <c r="L6" s="61">
        <f>K6*(1-design_options!$F$13)</f>
        <v>4.3345000000000002</v>
      </c>
      <c r="M6" s="62">
        <f>(1-K6/product_data!$H$2)</f>
        <v>0.99</v>
      </c>
      <c r="N6" s="62">
        <f>M6*(1+design_options!$F$13)</f>
        <v>1.121769</v>
      </c>
      <c r="O6" t="s">
        <v>885</v>
      </c>
      <c r="P6" s="2">
        <f>design_options!G5</f>
        <v>0.24</v>
      </c>
      <c r="Q6" s="2">
        <v>0</v>
      </c>
      <c r="R6" s="2">
        <v>-2</v>
      </c>
    </row>
    <row r="7" spans="1:18">
      <c r="A7" t="s">
        <v>160</v>
      </c>
      <c r="B7" t="s">
        <v>151</v>
      </c>
      <c r="D7" s="38" t="str">
        <f>D14</f>
        <v>Plane,6049,Ship,6049,Truck,1125,Train,375</v>
      </c>
      <c r="E7" s="59">
        <f>(1-H7)*(3*12)</f>
        <v>0</v>
      </c>
      <c r="F7" s="59">
        <f>(1-I7)*(3*12)</f>
        <v>0</v>
      </c>
      <c r="G7" s="59">
        <v>-1</v>
      </c>
      <c r="H7" s="45">
        <v>1</v>
      </c>
      <c r="I7" s="59">
        <v>1</v>
      </c>
      <c r="J7" s="61">
        <f>3*12/(2*G7)</f>
        <v>-18</v>
      </c>
      <c r="K7" s="61">
        <v>0</v>
      </c>
      <c r="L7" s="61">
        <f>K7*(1-design_options!$F$13)</f>
        <v>0</v>
      </c>
      <c r="M7" s="62">
        <f>(1-K7/product_data!$H$2)</f>
        <v>1</v>
      </c>
      <c r="N7" s="62">
        <f>M7*(1+design_options!$F$13)</f>
        <v>1.1331</v>
      </c>
      <c r="O7" t="s">
        <v>887</v>
      </c>
      <c r="P7" s="2">
        <v>0</v>
      </c>
      <c r="Q7" s="2">
        <v>0</v>
      </c>
      <c r="R7" s="2">
        <v>0</v>
      </c>
    </row>
    <row r="8" spans="1:18">
      <c r="A8" t="s">
        <v>151</v>
      </c>
      <c r="B8" t="s">
        <v>151</v>
      </c>
      <c r="C8" s="38" t="s">
        <v>775</v>
      </c>
      <c r="D8" s="38" t="str">
        <f>D7</f>
        <v>Plane,6049,Ship,6049,Truck,1125,Train,375</v>
      </c>
      <c r="E8" s="59">
        <v>0</v>
      </c>
      <c r="F8" s="59">
        <f>(1-I8)*(3*12)</f>
        <v>0</v>
      </c>
      <c r="G8" s="45">
        <v>-1</v>
      </c>
      <c r="H8" s="45">
        <v>1</v>
      </c>
      <c r="I8" s="59">
        <v>1</v>
      </c>
      <c r="J8" s="61">
        <f>3*12/(2*G8)</f>
        <v>-18</v>
      </c>
      <c r="K8" s="61">
        <v>20</v>
      </c>
      <c r="L8" s="61">
        <f>K8*(1-design_options!$F$13)</f>
        <v>17.338000000000001</v>
      </c>
      <c r="M8" s="62">
        <f>(1-K8/product_data!$H$2)</f>
        <v>0.96</v>
      </c>
      <c r="N8" s="62">
        <f>M8*(1+design_options!$F$13)</f>
        <v>1.0877759999999999</v>
      </c>
      <c r="O8" t="s">
        <v>887</v>
      </c>
      <c r="P8" s="2">
        <f>design_options!G5</f>
        <v>0.24</v>
      </c>
      <c r="Q8" s="2">
        <v>0</v>
      </c>
      <c r="R8" s="2">
        <v>-2</v>
      </c>
    </row>
    <row r="9" spans="1:18">
      <c r="A9" t="s">
        <v>720</v>
      </c>
      <c r="B9" t="s">
        <v>37</v>
      </c>
      <c r="C9" t="s">
        <v>864</v>
      </c>
      <c r="D9" s="38" t="str">
        <f>D6</f>
        <v>Plane,6049,Ship,6049,Truck,1125,Train,375</v>
      </c>
      <c r="E9" s="59">
        <f t="shared" si="1"/>
        <v>1.281099196332347E-2</v>
      </c>
      <c r="F9" s="59">
        <f t="shared" si="1"/>
        <v>6.6645154963349107E-2</v>
      </c>
      <c r="G9" s="59">
        <v>-1</v>
      </c>
      <c r="H9" s="45">
        <f>1-(1-(1-(15%/(3*12)*defects_new!H12)))*(1-(1-defects_new!E7))</f>
        <v>0.9996441391121299</v>
      </c>
      <c r="I9" s="59">
        <f>1-(30%/(3*12)*defects_new!I11)</f>
        <v>0.99814874569546252</v>
      </c>
      <c r="J9" s="61">
        <f t="shared" si="0"/>
        <v>-18</v>
      </c>
      <c r="K9" s="61">
        <v>200</v>
      </c>
      <c r="L9" s="61">
        <f>K9*(1-design_options!$F$13)</f>
        <v>173.38</v>
      </c>
      <c r="M9" s="62">
        <f>(1-K9/product_data!$H$2)</f>
        <v>0.6</v>
      </c>
      <c r="N9" s="62">
        <f>M9*(1+design_options!$F$13)</f>
        <v>0.67986000000000002</v>
      </c>
    </row>
    <row r="10" spans="1:18">
      <c r="A10" t="s">
        <v>38</v>
      </c>
      <c r="B10" t="s">
        <v>38</v>
      </c>
      <c r="C10" t="s">
        <v>865</v>
      </c>
      <c r="D10" s="38" t="str">
        <f t="shared" si="2"/>
        <v>Plane,6049,Ship,6049,Truck,1125,Train,375</v>
      </c>
      <c r="E10" s="59">
        <f t="shared" si="1"/>
        <v>7.1073464428965671E-3</v>
      </c>
      <c r="F10" s="59">
        <f t="shared" si="1"/>
        <v>6.6645154963349107E-2</v>
      </c>
      <c r="G10" s="59">
        <f>(15%-(1-H10)*3*12-(1-I10)*3*12)</f>
        <v>7.624749859375432E-2</v>
      </c>
      <c r="H10" s="45">
        <f>1-(1-(1-(15%/(3*12)*defects_new!H11)))*(1-(1-defects_new!E8))</f>
        <v>0.99980257370991954</v>
      </c>
      <c r="I10" s="59">
        <f>1-(30%/(3*12)*defects_new!I11)</f>
        <v>0.99814874569546252</v>
      </c>
      <c r="J10" s="61">
        <f t="shared" si="0"/>
        <v>236.07331823308414</v>
      </c>
      <c r="K10" s="61">
        <v>60</v>
      </c>
      <c r="L10" s="61">
        <f>K10*(1-design_options!$F$13)*(1-design_options!$F$10)</f>
        <v>38.816417910447768</v>
      </c>
      <c r="M10" s="62">
        <f>(1-K10/product_data!$H$2)</f>
        <v>0.88</v>
      </c>
      <c r="N10" s="62">
        <f>M10*(1+design_options!$F$13)*(1+design_options!$F$10)</f>
        <v>1.2501306268656718</v>
      </c>
    </row>
    <row r="11" spans="1:18">
      <c r="A11" t="s">
        <v>773</v>
      </c>
      <c r="B11" t="s">
        <v>38</v>
      </c>
      <c r="C11" t="s">
        <v>865</v>
      </c>
      <c r="D11" s="38" t="str">
        <f t="shared" si="2"/>
        <v>Plane,6049,Ship,6049,Truck,1125,Train,375</v>
      </c>
      <c r="E11" s="59">
        <f t="shared" si="1"/>
        <v>7.1073464428965671E-3</v>
      </c>
      <c r="F11" s="59">
        <f t="shared" si="1"/>
        <v>6.6645154963349107E-2</v>
      </c>
      <c r="G11" s="59">
        <f>G10*(1-design_options!G9)</f>
        <v>6.458770728145409E-2</v>
      </c>
      <c r="H11" s="45">
        <f>1-(1-(1-(15%/(3*12)*defects_new!H11)))*(1-(1-defects_new!E8))</f>
        <v>0.99980257370991954</v>
      </c>
      <c r="I11" s="59">
        <f>1-(30%/(3*12)*defects_new!I11)</f>
        <v>0.99814874569546252</v>
      </c>
      <c r="J11" s="61">
        <f t="shared" si="0"/>
        <v>278.69080290404696</v>
      </c>
      <c r="K11" s="61">
        <v>60</v>
      </c>
      <c r="L11" s="61">
        <f>K11*(1-design_options!$F$13)*(1-design_options!$F$10)</f>
        <v>38.816417910447768</v>
      </c>
      <c r="M11" s="62">
        <f>(1-K11/product_data!$H$2)</f>
        <v>0.88</v>
      </c>
      <c r="N11" s="62">
        <f>M11*(1+design_options!$F$13)*(1+design_options!$F$10)</f>
        <v>1.2501306268656718</v>
      </c>
    </row>
    <row r="12" spans="1:18">
      <c r="A12" t="s">
        <v>148</v>
      </c>
      <c r="B12" t="s">
        <v>148</v>
      </c>
      <c r="C12" t="s">
        <v>883</v>
      </c>
      <c r="D12" s="38" t="str">
        <f t="shared" si="2"/>
        <v>Plane,6049,Ship,6049,Truck,1125,Train,375</v>
      </c>
      <c r="E12" s="59">
        <f t="shared" si="1"/>
        <v>5.5635240115350371E-2</v>
      </c>
      <c r="F12" s="59">
        <f t="shared" si="1"/>
        <v>0</v>
      </c>
      <c r="G12" s="59">
        <f>15%*defects_new!$J$11*defects_new!F6</f>
        <v>3.3495145631067952E-2</v>
      </c>
      <c r="H12" s="45">
        <f>1-(1-H3)*(1-(1-defects_new!E6))</f>
        <v>0.99845457666346249</v>
      </c>
      <c r="I12" s="59">
        <v>1</v>
      </c>
      <c r="J12" s="61">
        <f t="shared" si="0"/>
        <v>537.39130434782624</v>
      </c>
      <c r="K12" s="61">
        <v>55</v>
      </c>
      <c r="L12" s="61">
        <f>K12*(1-design_options!$F$13)</f>
        <v>47.679499999999997</v>
      </c>
      <c r="M12" s="62">
        <f>(1-K12/product_data!$H$2)</f>
        <v>0.89</v>
      </c>
      <c r="N12" s="62">
        <f>M12*(1+design_options!$F$13)</f>
        <v>1.008459</v>
      </c>
    </row>
    <row r="13" spans="1:18">
      <c r="A13" t="s">
        <v>725</v>
      </c>
      <c r="B13" t="s">
        <v>660</v>
      </c>
      <c r="D13" s="38" t="str">
        <f t="shared" si="2"/>
        <v>Plane,6049,Ship,6049,Truck,1125,Train,375</v>
      </c>
      <c r="E13" s="59">
        <f t="shared" si="1"/>
        <v>0</v>
      </c>
      <c r="F13" s="59">
        <f t="shared" si="1"/>
        <v>0</v>
      </c>
      <c r="G13" s="59">
        <v>-1</v>
      </c>
      <c r="H13" s="45">
        <v>1</v>
      </c>
      <c r="I13" s="59">
        <v>1</v>
      </c>
      <c r="J13" s="61">
        <f t="shared" si="0"/>
        <v>-18</v>
      </c>
      <c r="K13" s="61">
        <v>0</v>
      </c>
      <c r="L13" s="61">
        <f>K13*(1-design_options!$F$13)</f>
        <v>0</v>
      </c>
      <c r="M13" s="62">
        <f>(1-K13/product_data!$H$2)</f>
        <v>1</v>
      </c>
      <c r="N13" s="62">
        <f>M13*(1+design_options!$F$13)</f>
        <v>1.1331</v>
      </c>
    </row>
    <row r="14" spans="1:18">
      <c r="A14" t="s">
        <v>683</v>
      </c>
      <c r="B14" t="s">
        <v>660</v>
      </c>
      <c r="C14" t="s">
        <v>566</v>
      </c>
      <c r="D14" s="38" t="str">
        <f t="shared" si="2"/>
        <v>Plane,6049,Ship,6049,Truck,1125,Train,375</v>
      </c>
      <c r="E14" s="59">
        <f t="shared" si="1"/>
        <v>0.10693878270347357</v>
      </c>
      <c r="F14" s="59">
        <f t="shared" si="1"/>
        <v>0</v>
      </c>
      <c r="G14" s="59">
        <f>G3</f>
        <v>3.7389739896496091E-2</v>
      </c>
      <c r="H14" s="45">
        <f>H3</f>
        <v>0.99702947825823685</v>
      </c>
      <c r="I14" s="59">
        <v>1</v>
      </c>
      <c r="J14" s="61">
        <f t="shared" si="0"/>
        <v>481.41549125049772</v>
      </c>
      <c r="K14" s="61">
        <v>55</v>
      </c>
      <c r="L14" s="61">
        <f>K14*(1-design_options!$F$13)*(1-design_options!F11)</f>
        <v>28.607699999999998</v>
      </c>
      <c r="M14" s="62">
        <f>(1-K14/product_data!$H$2)</f>
        <v>0.89</v>
      </c>
      <c r="N14" s="62">
        <f>M14*(1+design_options!$F$13)*(1+design_options!F11)</f>
        <v>1.4118425999999999</v>
      </c>
    </row>
    <row r="15" spans="1:18">
      <c r="A15" t="s">
        <v>886</v>
      </c>
      <c r="B15" t="s">
        <v>878</v>
      </c>
      <c r="C15" t="s">
        <v>879</v>
      </c>
      <c r="D15" s="38" t="str">
        <f>D8</f>
        <v>Plane,6049,Ship,6049,Truck,1125,Train,375</v>
      </c>
      <c r="E15" s="59">
        <f t="shared" si="1"/>
        <v>1.281099196332347E-2</v>
      </c>
      <c r="F15" s="59">
        <f t="shared" si="1"/>
        <v>6.6645154963349107E-2</v>
      </c>
      <c r="G15" s="59">
        <v>-1</v>
      </c>
      <c r="H15" s="45">
        <f>1-(1-(1-(15%/(3*12)*defects_new!H12)))*(1-(1-defects_new!E7))</f>
        <v>0.9996441391121299</v>
      </c>
      <c r="I15" s="59">
        <f>1-(30%/(3*12)*defects_new!I11)</f>
        <v>0.99814874569546252</v>
      </c>
      <c r="J15" s="61">
        <f t="shared" si="0"/>
        <v>-18</v>
      </c>
      <c r="K15" s="61">
        <v>55</v>
      </c>
      <c r="L15" s="61">
        <f>K15*(1-design_options!$F$13)</f>
        <v>47.679499999999997</v>
      </c>
      <c r="M15" s="62">
        <f>(1-K15/product_data!$H$2)</f>
        <v>0.89</v>
      </c>
      <c r="N15" s="62">
        <f>M15*(1+design_options!$F$13)</f>
        <v>1.008459</v>
      </c>
    </row>
    <row r="16" spans="1:18">
      <c r="O16" s="3"/>
    </row>
    <row r="17" spans="10:19">
      <c r="O17" s="3"/>
      <c r="S17" s="2"/>
    </row>
    <row r="18" spans="10:19">
      <c r="J18"/>
      <c r="K18"/>
      <c r="L18"/>
      <c r="O18" s="3"/>
    </row>
    <row r="19" spans="10:19">
      <c r="J19" s="55"/>
      <c r="K19" s="55"/>
      <c r="L19" s="55"/>
      <c r="M19" s="63"/>
      <c r="N19" s="63"/>
    </row>
    <row r="20" spans="10:19">
      <c r="J20" s="55"/>
      <c r="K20" s="55"/>
      <c r="L20" s="55"/>
      <c r="M20" s="63"/>
      <c r="N20" s="63"/>
    </row>
    <row r="21" spans="10:19">
      <c r="O21" s="3"/>
      <c r="P21" s="4"/>
    </row>
    <row r="22" spans="10:19">
      <c r="J22" s="55"/>
      <c r="K22" s="55"/>
      <c r="L22" s="55"/>
      <c r="M22" s="63"/>
      <c r="N22" s="63"/>
    </row>
    <row r="23" spans="10:19">
      <c r="J23" s="55"/>
      <c r="K23" s="55"/>
      <c r="L23" s="55"/>
      <c r="M23" s="63"/>
      <c r="N23" s="63"/>
    </row>
    <row r="24" spans="10:19">
      <c r="J24" s="55"/>
      <c r="K24" s="55"/>
      <c r="L24" s="55"/>
      <c r="M24" s="63"/>
      <c r="N24" s="63"/>
    </row>
    <row r="25" spans="10:19">
      <c r="J25" s="55"/>
      <c r="K25" s="55"/>
      <c r="L25" s="55"/>
      <c r="M25" s="63"/>
      <c r="N25" s="63"/>
    </row>
    <row r="28" spans="10:19">
      <c r="J28" s="55"/>
      <c r="K28" s="55"/>
      <c r="L28" s="55"/>
      <c r="M28" s="63"/>
      <c r="N28" s="63"/>
    </row>
    <row r="29" spans="10:19">
      <c r="J29" s="55"/>
      <c r="K29" s="55"/>
      <c r="L29" s="55"/>
      <c r="M29" s="63"/>
      <c r="N29" s="63"/>
    </row>
    <row r="30" spans="10:19">
      <c r="J30" s="55"/>
      <c r="K30" s="55"/>
      <c r="L30" s="55"/>
      <c r="M30" s="63"/>
      <c r="N30" s="63"/>
    </row>
    <row r="31" spans="10:19">
      <c r="J31" s="55"/>
      <c r="K31" s="55"/>
      <c r="L31" s="55"/>
      <c r="M31" s="63"/>
      <c r="N31" s="63"/>
    </row>
    <row r="32" spans="10:19">
      <c r="J32" s="55"/>
      <c r="K32" s="55"/>
      <c r="L32" s="55"/>
      <c r="M32" s="63"/>
      <c r="N32" s="63"/>
    </row>
    <row r="33" spans="10:14">
      <c r="J33" s="55"/>
      <c r="K33" s="55"/>
      <c r="L33" s="55"/>
      <c r="M33" s="63"/>
      <c r="N33" s="63"/>
    </row>
    <row r="34" spans="10:14">
      <c r="J34" s="55"/>
      <c r="K34" s="55"/>
      <c r="L34" s="55"/>
      <c r="M34" s="63"/>
      <c r="N34" s="63"/>
    </row>
  </sheetData>
  <autoFilter ref="A1:S1" xr:uid="{9E52E0E8-3422-4EEE-B853-F0F10975A94C}"/>
  <phoneticPr fontId="8" type="noConversion"/>
  <pageMargins left="0.7" right="0.7" top="0.78740157499999996" bottom="0.78740157499999996" header="0.3" footer="0.3"/>
  <pageSetup orientation="portrait" r:id="rId1"/>
  <legacy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E959A3-45F0-4576-821C-1B7A545A57EC}">
  <dimension ref="A1:P19"/>
  <sheetViews>
    <sheetView workbookViewId="0">
      <pane xSplit="1" topLeftCell="B1" activePane="topRight" state="frozen"/>
      <selection pane="topRight" activeCell="G26" sqref="G26"/>
    </sheetView>
  </sheetViews>
  <sheetFormatPr baseColWidth="10" defaultColWidth="11.54296875" defaultRowHeight="14.5"/>
  <cols>
    <col min="13" max="13" width="12.453125" bestFit="1" customWidth="1"/>
    <col min="14" max="14" width="12.453125" customWidth="1"/>
    <col min="15" max="15" width="12.453125" bestFit="1" customWidth="1"/>
  </cols>
  <sheetData>
    <row r="1" spans="1:16">
      <c r="C1" t="s">
        <v>826</v>
      </c>
      <c r="P1" t="s">
        <v>851</v>
      </c>
    </row>
    <row r="2" spans="1:16">
      <c r="A2" t="s">
        <v>850</v>
      </c>
      <c r="C2">
        <f t="shared" ref="C2:L2" si="0">C3/10000000*C4</f>
        <v>4.2000000000000004E-5</v>
      </c>
      <c r="D2">
        <f t="shared" si="0"/>
        <v>3.1470000000000001E-4</v>
      </c>
      <c r="E2">
        <f t="shared" si="0"/>
        <v>2.3400000000000003E-5</v>
      </c>
      <c r="F2">
        <f t="shared" si="0"/>
        <v>9.3960000000000002E-5</v>
      </c>
      <c r="G2">
        <f t="shared" si="0"/>
        <v>3.0000000000000001E-6</v>
      </c>
      <c r="H2">
        <f t="shared" si="0"/>
        <v>3.5999999999999998E-6</v>
      </c>
      <c r="I2">
        <f t="shared" si="0"/>
        <v>3.0000000000000001E-6</v>
      </c>
      <c r="J2">
        <f t="shared" si="0"/>
        <v>1.0709999999999999E-5</v>
      </c>
      <c r="K2">
        <f t="shared" si="0"/>
        <v>5.2140000000000004E-6</v>
      </c>
      <c r="L2">
        <f t="shared" si="0"/>
        <v>2.9179500000000002E-4</v>
      </c>
      <c r="M2">
        <f>M3/10000000*M4</f>
        <v>7.3471889999999996E-5</v>
      </c>
      <c r="N2">
        <f>SUM(C2:M2)</f>
        <v>8.6485089000000004E-4</v>
      </c>
      <c r="O2">
        <f>N2*10000</f>
        <v>8.6485088999999995</v>
      </c>
    </row>
    <row r="3" spans="1:16">
      <c r="A3" t="s">
        <v>849</v>
      </c>
      <c r="C3">
        <f>material_composition!B3*material_composition!D3+material_composition!B5*material_composition!D5</f>
        <v>60</v>
      </c>
      <c r="D3">
        <f>material_composition!B4*material_composition!D4</f>
        <v>300</v>
      </c>
      <c r="E3">
        <f>material_composition!B6*material_composition!D6</f>
        <v>180</v>
      </c>
      <c r="F3">
        <f>material_composition!B7+material_composition!B8+material_composition!B9+material_composition!B15+material_composition!B16+material_composition!B17</f>
        <v>696</v>
      </c>
      <c r="G3">
        <f>material_composition!B10</f>
        <v>30</v>
      </c>
      <c r="H3">
        <f>material_composition!B11</f>
        <v>30</v>
      </c>
      <c r="I3">
        <f>material_composition!B12</f>
        <v>30</v>
      </c>
      <c r="J3">
        <f>material_composition!B13*material_composition!D13</f>
        <v>90</v>
      </c>
      <c r="K3">
        <f>material_composition!B14*material_composition!D14</f>
        <v>30</v>
      </c>
      <c r="L3">
        <f>material_composition!B18*material_composition!D18+material_composition!B20*material_composition!D20+material_composition!B22*material_composition!D22</f>
        <v>735</v>
      </c>
      <c r="M3">
        <f>material_composition!B19*material_composition!D19+material_composition!B21*material_composition!D21</f>
        <v>699</v>
      </c>
    </row>
    <row r="4" spans="1:16">
      <c r="A4" t="s">
        <v>818</v>
      </c>
      <c r="C4">
        <v>7</v>
      </c>
      <c r="D4">
        <v>10.49</v>
      </c>
      <c r="E4">
        <v>1.3</v>
      </c>
      <c r="F4">
        <v>1.35</v>
      </c>
      <c r="G4">
        <v>1</v>
      </c>
      <c r="H4">
        <v>1.2</v>
      </c>
      <c r="I4">
        <v>1</v>
      </c>
      <c r="J4">
        <v>1.19</v>
      </c>
      <c r="K4">
        <v>1.738</v>
      </c>
      <c r="L4">
        <v>3.97</v>
      </c>
      <c r="M4">
        <v>1.0510999999999999</v>
      </c>
      <c r="P4">
        <v>7.59</v>
      </c>
    </row>
    <row r="5" spans="1:16">
      <c r="B5" t="s">
        <v>820</v>
      </c>
      <c r="C5" t="s">
        <v>823</v>
      </c>
      <c r="D5" t="s">
        <v>507</v>
      </c>
      <c r="E5" t="s">
        <v>813</v>
      </c>
      <c r="F5" t="s">
        <v>811</v>
      </c>
      <c r="G5" t="s">
        <v>830</v>
      </c>
      <c r="H5" t="s">
        <v>831</v>
      </c>
      <c r="I5" t="s">
        <v>832</v>
      </c>
      <c r="J5" t="s">
        <v>814</v>
      </c>
      <c r="K5" t="s">
        <v>815</v>
      </c>
      <c r="L5" t="s">
        <v>797</v>
      </c>
      <c r="M5" t="s">
        <v>846</v>
      </c>
      <c r="P5" t="s">
        <v>851</v>
      </c>
    </row>
    <row r="6" spans="1:16">
      <c r="A6" t="s">
        <v>848</v>
      </c>
      <c r="C6">
        <f>SUM(C7:C16)</f>
        <v>264.94409999999999</v>
      </c>
      <c r="D6">
        <f t="shared" ref="D6:M6" si="1">SUM(D7:D16)</f>
        <v>107.87</v>
      </c>
      <c r="E6">
        <f t="shared" si="1"/>
        <v>897.13800000000003</v>
      </c>
      <c r="F6">
        <f t="shared" si="1"/>
        <v>588.75399999999991</v>
      </c>
      <c r="G6">
        <f t="shared" si="1"/>
        <v>531.27379999999994</v>
      </c>
      <c r="H6">
        <f t="shared" si="1"/>
        <v>498.21752000000004</v>
      </c>
      <c r="I6">
        <f t="shared" si="1"/>
        <v>608.19644999999991</v>
      </c>
      <c r="J6">
        <f t="shared" si="1"/>
        <v>459.44100000000003</v>
      </c>
      <c r="K6">
        <f t="shared" si="1"/>
        <v>350.92</v>
      </c>
      <c r="L6">
        <f t="shared" si="1"/>
        <v>101.961</v>
      </c>
      <c r="M6">
        <f t="shared" si="1"/>
        <v>72.063000000000002</v>
      </c>
      <c r="N6">
        <f>C6/SUM(C$6:C$16)*C$2+D6/SUM(D$6:D$16)*D$2+E6/SUM(E$6:E$16)*E$2+F6/SUM(F$6:F$16)*F$2+G6/SUM(G$6:G$16)*G$2+H6/SUM(H$6:H$16)*H$2+I6/SUM(I$6:I$16)*I$2+J6/SUM(J$6:J$16)*J$2+K6/SUM(K$6:K$16)*K$2+L6/SUM(L$6:L$16)*L$2+M6/SUM(M$6:M$16)*M$2</f>
        <v>4.3242544500000002E-4</v>
      </c>
      <c r="O6">
        <f>N6/SUM($N$7:$N$16)*100</f>
        <v>100</v>
      </c>
    </row>
    <row r="7" spans="1:16">
      <c r="A7" t="s">
        <v>368</v>
      </c>
      <c r="B7">
        <v>12.010999999999999</v>
      </c>
      <c r="E7">
        <f>66*B7</f>
        <v>792.726</v>
      </c>
      <c r="F7">
        <f>44*B7</f>
        <v>528.48399999999992</v>
      </c>
      <c r="G7">
        <f>(32*0.9+35*0.1)*B7</f>
        <v>387.95529999999997</v>
      </c>
      <c r="H7">
        <f>(36*0.92+33*0.08)*B7</f>
        <v>429.51336000000003</v>
      </c>
      <c r="I7">
        <f>(46*0.95+35*0.05)*B7</f>
        <v>545.89994999999988</v>
      </c>
      <c r="J7">
        <f>27*B7</f>
        <v>324.29699999999997</v>
      </c>
      <c r="M7">
        <f>3*B7</f>
        <v>36.033000000000001</v>
      </c>
      <c r="N7">
        <f t="shared" ref="N7:N16" si="2">C7/SUM(C$6:C$16)*C$2+D7/SUM(D$6:D$16)*D$2+E7/SUM(E$6:E$16)*E$2+F7/SUM(F$6:F$16)*F$2+G7/SUM(G$6:G$16)*G$2+H7/SUM(H$6:H$16)*H$2+I7/SUM(I$6:I$16)*I$2+J7/SUM(J$6:J$16)*J$2+K7/SUM(K$6:K$16)*K$2+L7/SUM(L$6:L$16)*L$2+M7/SUM(M$6:M$16)*M$2</f>
        <v>7.8651093280590015E-5</v>
      </c>
      <c r="O7">
        <f>N7/SUM($N$7:$N$16)*100</f>
        <v>18.188359216602066</v>
      </c>
    </row>
    <row r="8" spans="1:16">
      <c r="A8" t="s">
        <v>821</v>
      </c>
      <c r="B8">
        <v>1.008</v>
      </c>
      <c r="E8">
        <f>48*B8</f>
        <v>48.384</v>
      </c>
      <c r="F8">
        <f>32*B8</f>
        <v>32.256</v>
      </c>
      <c r="G8">
        <f>(25*0.9+27*0.1)*B8</f>
        <v>25.401599999999998</v>
      </c>
      <c r="H8">
        <f>24*B8</f>
        <v>24.192</v>
      </c>
      <c r="I8">
        <f>(36*0.95+24*0.05)*B8</f>
        <v>35.683199999999999</v>
      </c>
      <c r="J8">
        <f>18*B8</f>
        <v>18.143999999999998</v>
      </c>
      <c r="M8">
        <f>4*B8</f>
        <v>4.032</v>
      </c>
      <c r="N8">
        <f t="shared" si="2"/>
        <v>5.7189053800044071E-6</v>
      </c>
      <c r="O8">
        <f t="shared" ref="O8:O16" si="3">N8/SUM($N$7:$N$16)*100</f>
        <v>1.322518238954326</v>
      </c>
    </row>
    <row r="9" spans="1:16">
      <c r="A9" t="s">
        <v>822</v>
      </c>
      <c r="B9">
        <v>14.007</v>
      </c>
      <c r="E9">
        <f>4*B9</f>
        <v>56.027999999999999</v>
      </c>
      <c r="F9">
        <f>2*B9</f>
        <v>28.013999999999999</v>
      </c>
      <c r="G9">
        <f>(2*0.9+2*0.1)*B9</f>
        <v>28.013999999999999</v>
      </c>
      <c r="H9">
        <f>(2*0.92+3*0.08)*B9</f>
        <v>29.13456</v>
      </c>
      <c r="I9">
        <f>2*0.95*B9</f>
        <v>26.613299999999999</v>
      </c>
      <c r="J9">
        <f>3*B9</f>
        <v>42.021000000000001</v>
      </c>
      <c r="N9">
        <f t="shared" si="2"/>
        <v>3.7058480483956385E-6</v>
      </c>
      <c r="O9">
        <f t="shared" si="3"/>
        <v>0.85699120883037727</v>
      </c>
    </row>
    <row r="10" spans="1:16">
      <c r="A10" t="s">
        <v>373</v>
      </c>
      <c r="B10">
        <v>114.82</v>
      </c>
      <c r="C10">
        <f>2*0.9*B10</f>
        <v>206.67599999999999</v>
      </c>
      <c r="N10">
        <f t="shared" si="2"/>
        <v>1.6381553693779178E-5</v>
      </c>
      <c r="O10">
        <f t="shared" si="3"/>
        <v>3.7882955046225777</v>
      </c>
    </row>
    <row r="11" spans="1:16">
      <c r="A11" t="s">
        <v>825</v>
      </c>
      <c r="B11">
        <v>15.999000000000001</v>
      </c>
      <c r="C11">
        <f>(3*0.9+2*0.1)*B11</f>
        <v>46.397100000000009</v>
      </c>
      <c r="G11">
        <f>(3*0.9+2*0.1)*B11</f>
        <v>46.397100000000009</v>
      </c>
      <c r="J11">
        <f>3*B11</f>
        <v>47.997</v>
      </c>
      <c r="L11">
        <f>3*B11</f>
        <v>47.997</v>
      </c>
      <c r="M11">
        <f>2*B11</f>
        <v>31.998000000000001</v>
      </c>
      <c r="N11">
        <f t="shared" si="2"/>
        <v>8.9359361502907791E-5</v>
      </c>
      <c r="O11">
        <f t="shared" si="3"/>
        <v>20.664686256588759</v>
      </c>
    </row>
    <row r="12" spans="1:16">
      <c r="A12" t="s">
        <v>529</v>
      </c>
      <c r="B12">
        <v>118.71</v>
      </c>
      <c r="C12">
        <f>1*0.1*B12</f>
        <v>11.871</v>
      </c>
      <c r="N12">
        <f t="shared" si="2"/>
        <v>9.4091923541607472E-7</v>
      </c>
      <c r="O12">
        <f t="shared" si="3"/>
        <v>0.21759108912198141</v>
      </c>
    </row>
    <row r="13" spans="1:16">
      <c r="A13" t="s">
        <v>507</v>
      </c>
      <c r="B13">
        <v>107.87</v>
      </c>
      <c r="D13">
        <f>1*B13</f>
        <v>107.87</v>
      </c>
      <c r="K13">
        <f>1*B13</f>
        <v>107.87</v>
      </c>
      <c r="N13">
        <f t="shared" si="2"/>
        <v>1.5815137093924542E-4</v>
      </c>
      <c r="O13">
        <f t="shared" si="3"/>
        <v>36.573095493778219</v>
      </c>
    </row>
    <row r="14" spans="1:16">
      <c r="A14" t="s">
        <v>279</v>
      </c>
      <c r="B14">
        <v>26.981999999999999</v>
      </c>
      <c r="G14">
        <f>1*0.9*B14</f>
        <v>24.283799999999999</v>
      </c>
      <c r="J14">
        <f>1*B14</f>
        <v>26.981999999999999</v>
      </c>
      <c r="L14">
        <f>2*B14</f>
        <v>53.963999999999999</v>
      </c>
      <c r="N14">
        <f t="shared" si="2"/>
        <v>7.7600934987935046E-5</v>
      </c>
      <c r="O14">
        <f t="shared" si="3"/>
        <v>17.945506187300111</v>
      </c>
    </row>
    <row r="15" spans="1:16">
      <c r="A15" t="s">
        <v>838</v>
      </c>
      <c r="B15">
        <v>192.22</v>
      </c>
      <c r="G15">
        <f>1*0.1*B15</f>
        <v>19.222000000000001</v>
      </c>
      <c r="H15">
        <f>1*0.08*B15</f>
        <v>15.377600000000001</v>
      </c>
      <c r="N15">
        <f t="shared" si="2"/>
        <v>1.098288709718684E-7</v>
      </c>
      <c r="O15">
        <f t="shared" si="3"/>
        <v>2.5398336809682509E-2</v>
      </c>
    </row>
    <row r="16" spans="1:16">
      <c r="A16" t="s">
        <v>396</v>
      </c>
      <c r="B16">
        <v>24.305</v>
      </c>
      <c r="K16">
        <f>10*B16</f>
        <v>243.05</v>
      </c>
      <c r="N16">
        <f t="shared" si="2"/>
        <v>1.8056290607545881E-6</v>
      </c>
      <c r="O16">
        <f t="shared" si="3"/>
        <v>0.41755846739189645</v>
      </c>
    </row>
    <row r="17" spans="1:16">
      <c r="A17" t="s">
        <v>406</v>
      </c>
      <c r="B17">
        <v>144.24199999999999</v>
      </c>
      <c r="P17">
        <f>2*B17</f>
        <v>288.48399999999998</v>
      </c>
    </row>
    <row r="18" spans="1:16">
      <c r="A18" t="s">
        <v>516</v>
      </c>
      <c r="B18">
        <v>55.844999999999999</v>
      </c>
      <c r="P18">
        <f>14*B18</f>
        <v>781.82999999999993</v>
      </c>
    </row>
    <row r="19" spans="1:16">
      <c r="A19" t="s">
        <v>299</v>
      </c>
      <c r="B19">
        <v>10.81</v>
      </c>
      <c r="P19">
        <f>1*B19</f>
        <v>10.81</v>
      </c>
    </row>
  </sheetData>
  <pageMargins left="0.7" right="0.7" top="0.78740157499999996" bottom="0.78740157499999996"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10B2E4-F572-42B5-891A-6087BAC435E0}">
  <dimension ref="A1:F469"/>
  <sheetViews>
    <sheetView workbookViewId="0">
      <pane ySplit="1" topLeftCell="A437" activePane="bottomLeft" state="frozen"/>
      <selection sqref="A1:F467"/>
      <selection pane="bottomLeft" activeCell="F470" sqref="F470"/>
    </sheetView>
  </sheetViews>
  <sheetFormatPr baseColWidth="10" defaultColWidth="8.81640625" defaultRowHeight="14.5"/>
  <cols>
    <col min="1" max="1" width="8.26953125" bestFit="1" customWidth="1"/>
    <col min="2" max="2" width="24.453125" bestFit="1" customWidth="1"/>
    <col min="3" max="3" width="18.26953125" bestFit="1" customWidth="1"/>
    <col min="4" max="4" width="10.7265625" bestFit="1" customWidth="1"/>
    <col min="5" max="5" width="5.453125" bestFit="1" customWidth="1"/>
    <col min="6" max="6" width="8.7265625" bestFit="1" customWidth="1"/>
  </cols>
  <sheetData>
    <row r="1" spans="1:6">
      <c r="A1" t="s">
        <v>576</v>
      </c>
      <c r="B1" t="s">
        <v>577</v>
      </c>
      <c r="C1" t="s">
        <v>578</v>
      </c>
      <c r="D1" t="s">
        <v>280</v>
      </c>
      <c r="E1" t="s">
        <v>339</v>
      </c>
      <c r="F1" t="s">
        <v>268</v>
      </c>
    </row>
    <row r="2" spans="1:6">
      <c r="A2" t="s">
        <v>279</v>
      </c>
      <c r="B2" t="s">
        <v>576</v>
      </c>
      <c r="C2" t="s">
        <v>579</v>
      </c>
      <c r="D2" t="s">
        <v>279</v>
      </c>
      <c r="E2">
        <v>0</v>
      </c>
    </row>
    <row r="3" spans="1:6">
      <c r="A3" t="s">
        <v>279</v>
      </c>
      <c r="B3" t="s">
        <v>580</v>
      </c>
      <c r="C3" t="s">
        <v>581</v>
      </c>
      <c r="D3" t="s">
        <v>507</v>
      </c>
      <c r="E3">
        <v>0</v>
      </c>
    </row>
    <row r="4" spans="1:6">
      <c r="A4" t="s">
        <v>279</v>
      </c>
      <c r="B4" t="s">
        <v>580</v>
      </c>
      <c r="C4" t="s">
        <v>581</v>
      </c>
      <c r="D4" t="s">
        <v>365</v>
      </c>
      <c r="E4">
        <v>0</v>
      </c>
    </row>
    <row r="5" spans="1:6">
      <c r="A5" t="s">
        <v>279</v>
      </c>
      <c r="B5" t="s">
        <v>580</v>
      </c>
      <c r="C5" t="s">
        <v>581</v>
      </c>
      <c r="D5" t="s">
        <v>429</v>
      </c>
      <c r="E5">
        <v>0</v>
      </c>
    </row>
    <row r="6" spans="1:6">
      <c r="A6" t="s">
        <v>279</v>
      </c>
      <c r="B6" t="s">
        <v>580</v>
      </c>
      <c r="C6" t="s">
        <v>581</v>
      </c>
      <c r="D6" t="s">
        <v>419</v>
      </c>
      <c r="E6">
        <v>0</v>
      </c>
    </row>
    <row r="7" spans="1:6">
      <c r="A7" t="s">
        <v>279</v>
      </c>
      <c r="B7" t="s">
        <v>580</v>
      </c>
      <c r="C7" t="s">
        <v>582</v>
      </c>
      <c r="D7" t="s">
        <v>529</v>
      </c>
      <c r="E7">
        <v>0</v>
      </c>
    </row>
    <row r="8" spans="1:6">
      <c r="A8" t="s">
        <v>279</v>
      </c>
      <c r="B8" t="s">
        <v>580</v>
      </c>
      <c r="C8" t="s">
        <v>582</v>
      </c>
      <c r="D8" t="s">
        <v>410</v>
      </c>
      <c r="E8">
        <v>0</v>
      </c>
    </row>
    <row r="9" spans="1:6">
      <c r="A9" t="s">
        <v>279</v>
      </c>
      <c r="B9" t="s">
        <v>580</v>
      </c>
      <c r="C9" t="s">
        <v>582</v>
      </c>
      <c r="D9" t="s">
        <v>326</v>
      </c>
      <c r="E9">
        <v>0</v>
      </c>
    </row>
    <row r="10" spans="1:6">
      <c r="A10" t="s">
        <v>279</v>
      </c>
      <c r="B10" t="s">
        <v>580</v>
      </c>
      <c r="C10" t="s">
        <v>582</v>
      </c>
      <c r="D10" t="s">
        <v>516</v>
      </c>
      <c r="E10">
        <v>0</v>
      </c>
    </row>
    <row r="11" spans="1:6">
      <c r="A11" t="s">
        <v>279</v>
      </c>
      <c r="B11" t="s">
        <v>580</v>
      </c>
      <c r="C11" t="s">
        <v>582</v>
      </c>
      <c r="D11" t="s">
        <v>399</v>
      </c>
      <c r="E11">
        <v>0</v>
      </c>
    </row>
    <row r="12" spans="1:6">
      <c r="A12" t="s">
        <v>279</v>
      </c>
      <c r="B12" t="s">
        <v>580</v>
      </c>
      <c r="C12" t="s">
        <v>582</v>
      </c>
      <c r="D12" t="s">
        <v>499</v>
      </c>
      <c r="E12">
        <v>0</v>
      </c>
    </row>
    <row r="13" spans="1:6">
      <c r="A13" t="s">
        <v>279</v>
      </c>
      <c r="B13" t="s">
        <v>580</v>
      </c>
      <c r="C13" t="s">
        <v>582</v>
      </c>
      <c r="D13" t="s">
        <v>396</v>
      </c>
      <c r="E13">
        <v>0</v>
      </c>
    </row>
    <row r="14" spans="1:6">
      <c r="A14" t="s">
        <v>279</v>
      </c>
      <c r="B14" t="s">
        <v>583</v>
      </c>
      <c r="C14" t="s">
        <v>582</v>
      </c>
      <c r="D14" t="s">
        <v>552</v>
      </c>
      <c r="E14">
        <v>0</v>
      </c>
    </row>
    <row r="15" spans="1:6">
      <c r="A15" t="s">
        <v>279</v>
      </c>
      <c r="B15" t="s">
        <v>583</v>
      </c>
      <c r="C15" t="s">
        <v>582</v>
      </c>
      <c r="D15" t="s">
        <v>533</v>
      </c>
      <c r="E15">
        <v>0</v>
      </c>
    </row>
    <row r="16" spans="1:6">
      <c r="A16" t="s">
        <v>279</v>
      </c>
      <c r="B16" t="s">
        <v>583</v>
      </c>
      <c r="C16" t="s">
        <v>582</v>
      </c>
      <c r="D16" t="s">
        <v>584</v>
      </c>
      <c r="E16">
        <v>0</v>
      </c>
    </row>
    <row r="17" spans="1:5">
      <c r="A17" t="s">
        <v>279</v>
      </c>
      <c r="B17" t="s">
        <v>583</v>
      </c>
      <c r="C17" t="s">
        <v>582</v>
      </c>
      <c r="D17" t="s">
        <v>303</v>
      </c>
      <c r="E17">
        <v>0</v>
      </c>
    </row>
    <row r="18" spans="1:5">
      <c r="A18" t="s">
        <v>279</v>
      </c>
      <c r="B18" t="s">
        <v>583</v>
      </c>
      <c r="C18" t="s">
        <v>582</v>
      </c>
      <c r="D18" t="s">
        <v>585</v>
      </c>
      <c r="E18">
        <v>0</v>
      </c>
    </row>
    <row r="19" spans="1:5">
      <c r="A19" t="s">
        <v>279</v>
      </c>
      <c r="B19" t="s">
        <v>583</v>
      </c>
      <c r="C19" t="s">
        <v>582</v>
      </c>
      <c r="D19" t="s">
        <v>586</v>
      </c>
      <c r="E19">
        <v>0</v>
      </c>
    </row>
    <row r="20" spans="1:5">
      <c r="A20" t="s">
        <v>279</v>
      </c>
      <c r="B20" t="s">
        <v>583</v>
      </c>
      <c r="C20" t="s">
        <v>581</v>
      </c>
      <c r="D20" t="s">
        <v>284</v>
      </c>
      <c r="E20">
        <v>0</v>
      </c>
    </row>
    <row r="21" spans="1:5">
      <c r="A21" t="s">
        <v>279</v>
      </c>
      <c r="B21" t="s">
        <v>583</v>
      </c>
      <c r="C21" t="s">
        <v>581</v>
      </c>
      <c r="D21" t="s">
        <v>320</v>
      </c>
      <c r="E21">
        <v>0</v>
      </c>
    </row>
    <row r="22" spans="1:5">
      <c r="A22" t="s">
        <v>279</v>
      </c>
      <c r="B22" t="s">
        <v>583</v>
      </c>
      <c r="C22" t="s">
        <v>581</v>
      </c>
      <c r="D22" t="s">
        <v>587</v>
      </c>
      <c r="E22">
        <v>0</v>
      </c>
    </row>
    <row r="23" spans="1:5">
      <c r="A23" t="s">
        <v>279</v>
      </c>
      <c r="B23" t="s">
        <v>583</v>
      </c>
      <c r="C23" t="s">
        <v>581</v>
      </c>
      <c r="D23" t="s">
        <v>588</v>
      </c>
      <c r="E23">
        <v>0</v>
      </c>
    </row>
    <row r="24" spans="1:5">
      <c r="A24" t="s">
        <v>279</v>
      </c>
      <c r="B24" t="s">
        <v>583</v>
      </c>
      <c r="C24" t="s">
        <v>581</v>
      </c>
      <c r="D24" t="s">
        <v>589</v>
      </c>
      <c r="E24">
        <v>0</v>
      </c>
    </row>
    <row r="25" spans="1:5">
      <c r="A25" t="s">
        <v>279</v>
      </c>
      <c r="B25" t="s">
        <v>590</v>
      </c>
      <c r="C25" t="s">
        <v>581</v>
      </c>
      <c r="D25" t="s">
        <v>591</v>
      </c>
      <c r="E25">
        <v>1</v>
      </c>
    </row>
    <row r="26" spans="1:5">
      <c r="A26" t="s">
        <v>279</v>
      </c>
      <c r="B26" t="s">
        <v>590</v>
      </c>
      <c r="C26" t="s">
        <v>581</v>
      </c>
      <c r="D26" s="43" t="s">
        <v>592</v>
      </c>
      <c r="E26">
        <v>1</v>
      </c>
    </row>
    <row r="27" spans="1:5">
      <c r="A27" t="s">
        <v>279</v>
      </c>
      <c r="B27" t="s">
        <v>590</v>
      </c>
      <c r="C27" t="s">
        <v>581</v>
      </c>
      <c r="D27" s="43" t="s">
        <v>548</v>
      </c>
      <c r="E27">
        <v>1</v>
      </c>
    </row>
    <row r="28" spans="1:5">
      <c r="A28" t="s">
        <v>279</v>
      </c>
      <c r="B28" t="s">
        <v>590</v>
      </c>
      <c r="C28" t="s">
        <v>581</v>
      </c>
      <c r="D28" s="43" t="s">
        <v>593</v>
      </c>
      <c r="E28">
        <v>1</v>
      </c>
    </row>
    <row r="29" spans="1:5">
      <c r="A29" t="s">
        <v>279</v>
      </c>
      <c r="B29" t="s">
        <v>590</v>
      </c>
      <c r="C29" t="s">
        <v>581</v>
      </c>
      <c r="D29" s="43" t="s">
        <v>594</v>
      </c>
      <c r="E29">
        <v>1</v>
      </c>
    </row>
    <row r="30" spans="1:5">
      <c r="A30" t="s">
        <v>279</v>
      </c>
      <c r="B30" t="s">
        <v>590</v>
      </c>
      <c r="C30" t="s">
        <v>581</v>
      </c>
      <c r="D30" s="43" t="s">
        <v>461</v>
      </c>
      <c r="E30">
        <v>1</v>
      </c>
    </row>
    <row r="31" spans="1:5">
      <c r="A31" t="s">
        <v>279</v>
      </c>
      <c r="B31" t="s">
        <v>590</v>
      </c>
      <c r="C31" t="s">
        <v>581</v>
      </c>
      <c r="D31" s="43" t="s">
        <v>406</v>
      </c>
      <c r="E31">
        <v>1</v>
      </c>
    </row>
    <row r="32" spans="1:5">
      <c r="A32" t="s">
        <v>279</v>
      </c>
      <c r="B32" t="s">
        <v>590</v>
      </c>
      <c r="C32" t="s">
        <v>581</v>
      </c>
      <c r="D32" s="43" t="s">
        <v>595</v>
      </c>
      <c r="E32">
        <v>1</v>
      </c>
    </row>
    <row r="33" spans="1:5">
      <c r="A33" t="s">
        <v>279</v>
      </c>
      <c r="B33" t="s">
        <v>590</v>
      </c>
      <c r="C33" t="s">
        <v>581</v>
      </c>
      <c r="D33" s="43" t="s">
        <v>596</v>
      </c>
      <c r="E33">
        <v>1</v>
      </c>
    </row>
    <row r="34" spans="1:5">
      <c r="A34" t="s">
        <v>279</v>
      </c>
      <c r="B34" t="s">
        <v>590</v>
      </c>
      <c r="C34" t="s">
        <v>581</v>
      </c>
      <c r="D34" s="43" t="s">
        <v>597</v>
      </c>
      <c r="E34">
        <v>1</v>
      </c>
    </row>
    <row r="35" spans="1:5">
      <c r="A35" t="s">
        <v>279</v>
      </c>
      <c r="B35" t="s">
        <v>590</v>
      </c>
      <c r="C35" t="s">
        <v>581</v>
      </c>
      <c r="D35" s="43" t="s">
        <v>598</v>
      </c>
      <c r="E35">
        <v>1</v>
      </c>
    </row>
    <row r="36" spans="1:5">
      <c r="A36" t="s">
        <v>279</v>
      </c>
      <c r="B36" t="s">
        <v>590</v>
      </c>
      <c r="C36" t="s">
        <v>581</v>
      </c>
      <c r="D36" s="43" t="s">
        <v>599</v>
      </c>
      <c r="E36">
        <v>1</v>
      </c>
    </row>
    <row r="37" spans="1:5">
      <c r="A37" t="s">
        <v>279</v>
      </c>
      <c r="B37" t="s">
        <v>590</v>
      </c>
      <c r="C37" t="s">
        <v>581</v>
      </c>
      <c r="D37" s="43" t="s">
        <v>338</v>
      </c>
      <c r="E37">
        <v>1</v>
      </c>
    </row>
    <row r="38" spans="1:5">
      <c r="A38" t="s">
        <v>279</v>
      </c>
      <c r="B38" t="s">
        <v>590</v>
      </c>
      <c r="C38" t="s">
        <v>581</v>
      </c>
      <c r="D38" s="43" t="s">
        <v>600</v>
      </c>
      <c r="E38">
        <v>1</v>
      </c>
    </row>
    <row r="39" spans="1:5">
      <c r="A39" t="s">
        <v>279</v>
      </c>
      <c r="B39" t="s">
        <v>590</v>
      </c>
      <c r="C39" t="s">
        <v>581</v>
      </c>
      <c r="D39" s="43" t="s">
        <v>601</v>
      </c>
      <c r="E39">
        <v>1</v>
      </c>
    </row>
    <row r="40" spans="1:5">
      <c r="A40" t="s">
        <v>279</v>
      </c>
      <c r="B40" t="s">
        <v>590</v>
      </c>
      <c r="C40" t="s">
        <v>581</v>
      </c>
      <c r="D40" s="43" t="s">
        <v>602</v>
      </c>
      <c r="E40">
        <v>1</v>
      </c>
    </row>
    <row r="41" spans="1:5">
      <c r="A41" t="s">
        <v>279</v>
      </c>
      <c r="B41" t="s">
        <v>590</v>
      </c>
      <c r="C41" t="s">
        <v>581</v>
      </c>
      <c r="D41" s="43" t="s">
        <v>603</v>
      </c>
      <c r="E41">
        <v>1</v>
      </c>
    </row>
    <row r="42" spans="1:5">
      <c r="A42" t="s">
        <v>279</v>
      </c>
      <c r="B42" t="s">
        <v>590</v>
      </c>
      <c r="C42" t="s">
        <v>581</v>
      </c>
      <c r="D42" s="43" t="s">
        <v>604</v>
      </c>
      <c r="E42">
        <v>1</v>
      </c>
    </row>
    <row r="43" spans="1:5">
      <c r="A43" t="s">
        <v>279</v>
      </c>
      <c r="B43" t="s">
        <v>590</v>
      </c>
      <c r="C43" t="s">
        <v>581</v>
      </c>
      <c r="D43" s="43" t="s">
        <v>289</v>
      </c>
      <c r="E43">
        <v>1</v>
      </c>
    </row>
    <row r="44" spans="1:5">
      <c r="A44" t="s">
        <v>279</v>
      </c>
      <c r="B44" t="s">
        <v>590</v>
      </c>
      <c r="C44" t="s">
        <v>581</v>
      </c>
      <c r="D44" s="43" t="s">
        <v>396</v>
      </c>
      <c r="E44">
        <v>1</v>
      </c>
    </row>
    <row r="45" spans="1:5">
      <c r="A45" t="s">
        <v>279</v>
      </c>
      <c r="B45" t="s">
        <v>590</v>
      </c>
      <c r="C45" t="s">
        <v>581</v>
      </c>
      <c r="D45" s="43" t="s">
        <v>279</v>
      </c>
      <c r="E45">
        <v>1</v>
      </c>
    </row>
    <row r="46" spans="1:5">
      <c r="A46" t="s">
        <v>279</v>
      </c>
      <c r="B46" t="s">
        <v>590</v>
      </c>
      <c r="C46" t="s">
        <v>581</v>
      </c>
      <c r="D46" s="43" t="s">
        <v>556</v>
      </c>
      <c r="E46">
        <v>1</v>
      </c>
    </row>
    <row r="47" spans="1:5">
      <c r="A47" t="s">
        <v>279</v>
      </c>
      <c r="B47" t="s">
        <v>590</v>
      </c>
      <c r="C47" t="s">
        <v>581</v>
      </c>
      <c r="D47" s="43" t="s">
        <v>533</v>
      </c>
      <c r="E47">
        <v>1</v>
      </c>
    </row>
    <row r="48" spans="1:5">
      <c r="A48" t="s">
        <v>279</v>
      </c>
      <c r="B48" t="s">
        <v>590</v>
      </c>
      <c r="C48" t="s">
        <v>582</v>
      </c>
      <c r="D48" s="43" t="s">
        <v>545</v>
      </c>
      <c r="E48">
        <v>1</v>
      </c>
    </row>
    <row r="49" spans="1:6">
      <c r="A49" t="s">
        <v>279</v>
      </c>
      <c r="B49" t="s">
        <v>590</v>
      </c>
      <c r="C49" t="s">
        <v>582</v>
      </c>
      <c r="D49" s="43" t="s">
        <v>520</v>
      </c>
      <c r="E49">
        <v>1</v>
      </c>
    </row>
    <row r="50" spans="1:6">
      <c r="A50" t="s">
        <v>279</v>
      </c>
      <c r="B50" t="s">
        <v>590</v>
      </c>
      <c r="C50" t="s">
        <v>582</v>
      </c>
      <c r="D50" s="43" t="s">
        <v>588</v>
      </c>
      <c r="E50">
        <v>0</v>
      </c>
      <c r="F50" t="s">
        <v>605</v>
      </c>
    </row>
    <row r="51" spans="1:6">
      <c r="A51" t="s">
        <v>279</v>
      </c>
      <c r="B51" t="s">
        <v>590</v>
      </c>
      <c r="C51" t="s">
        <v>582</v>
      </c>
      <c r="D51" s="43" t="s">
        <v>606</v>
      </c>
      <c r="E51">
        <v>0</v>
      </c>
      <c r="F51" t="s">
        <v>605</v>
      </c>
    </row>
    <row r="52" spans="1:6">
      <c r="A52" t="s">
        <v>533</v>
      </c>
      <c r="B52" t="s">
        <v>576</v>
      </c>
      <c r="C52" t="s">
        <v>579</v>
      </c>
      <c r="D52" s="43" t="s">
        <v>533</v>
      </c>
      <c r="E52">
        <v>0</v>
      </c>
    </row>
    <row r="53" spans="1:6">
      <c r="A53" t="s">
        <v>533</v>
      </c>
      <c r="B53" t="s">
        <v>580</v>
      </c>
      <c r="C53" t="s">
        <v>582</v>
      </c>
      <c r="D53" s="43" t="s">
        <v>529</v>
      </c>
      <c r="E53">
        <v>0</v>
      </c>
    </row>
    <row r="54" spans="1:6">
      <c r="A54" t="s">
        <v>533</v>
      </c>
      <c r="B54" t="s">
        <v>580</v>
      </c>
      <c r="C54" t="s">
        <v>582</v>
      </c>
      <c r="D54" s="43" t="s">
        <v>279</v>
      </c>
      <c r="E54">
        <v>0</v>
      </c>
    </row>
    <row r="55" spans="1:6">
      <c r="A55" t="s">
        <v>533</v>
      </c>
      <c r="B55" t="s">
        <v>580</v>
      </c>
      <c r="C55" t="s">
        <v>582</v>
      </c>
      <c r="D55" s="43" t="s">
        <v>402</v>
      </c>
      <c r="E55">
        <v>0</v>
      </c>
    </row>
    <row r="56" spans="1:6">
      <c r="A56" t="s">
        <v>533</v>
      </c>
      <c r="B56" t="s">
        <v>580</v>
      </c>
      <c r="C56" t="s">
        <v>582</v>
      </c>
      <c r="D56" s="43" t="s">
        <v>499</v>
      </c>
      <c r="E56">
        <v>0</v>
      </c>
    </row>
    <row r="57" spans="1:6">
      <c r="A57" t="s">
        <v>533</v>
      </c>
      <c r="B57" t="s">
        <v>580</v>
      </c>
      <c r="C57" t="s">
        <v>582</v>
      </c>
      <c r="D57" s="43" t="s">
        <v>545</v>
      </c>
      <c r="E57">
        <v>0</v>
      </c>
    </row>
    <row r="58" spans="1:6">
      <c r="A58" t="s">
        <v>533</v>
      </c>
      <c r="B58" t="s">
        <v>580</v>
      </c>
      <c r="C58" t="s">
        <v>582</v>
      </c>
      <c r="D58" s="43" t="s">
        <v>320</v>
      </c>
      <c r="E58">
        <v>0</v>
      </c>
    </row>
    <row r="59" spans="1:6">
      <c r="A59" t="s">
        <v>533</v>
      </c>
      <c r="B59" t="s">
        <v>580</v>
      </c>
      <c r="C59" t="s">
        <v>582</v>
      </c>
      <c r="D59" s="43" t="s">
        <v>414</v>
      </c>
      <c r="E59">
        <v>0</v>
      </c>
    </row>
    <row r="60" spans="1:6">
      <c r="A60" t="s">
        <v>533</v>
      </c>
      <c r="B60" t="s">
        <v>580</v>
      </c>
      <c r="C60" t="s">
        <v>582</v>
      </c>
      <c r="D60" s="43" t="s">
        <v>556</v>
      </c>
      <c r="E60">
        <v>0</v>
      </c>
    </row>
    <row r="61" spans="1:6">
      <c r="A61" t="s">
        <v>533</v>
      </c>
      <c r="B61" t="s">
        <v>590</v>
      </c>
      <c r="C61" t="s">
        <v>581</v>
      </c>
      <c r="D61" t="s">
        <v>591</v>
      </c>
      <c r="E61">
        <v>1</v>
      </c>
    </row>
    <row r="62" spans="1:6">
      <c r="A62" t="s">
        <v>533</v>
      </c>
      <c r="B62" t="s">
        <v>590</v>
      </c>
      <c r="C62" t="s">
        <v>581</v>
      </c>
      <c r="D62" s="43" t="s">
        <v>592</v>
      </c>
      <c r="E62">
        <v>1</v>
      </c>
    </row>
    <row r="63" spans="1:6">
      <c r="A63" t="s">
        <v>533</v>
      </c>
      <c r="B63" t="s">
        <v>590</v>
      </c>
      <c r="C63" t="s">
        <v>581</v>
      </c>
      <c r="D63" s="43" t="s">
        <v>548</v>
      </c>
      <c r="E63">
        <v>1</v>
      </c>
    </row>
    <row r="64" spans="1:6">
      <c r="A64" t="s">
        <v>533</v>
      </c>
      <c r="B64" t="s">
        <v>590</v>
      </c>
      <c r="C64" t="s">
        <v>581</v>
      </c>
      <c r="D64" s="43" t="s">
        <v>593</v>
      </c>
      <c r="E64">
        <v>1</v>
      </c>
    </row>
    <row r="65" spans="1:5">
      <c r="A65" t="s">
        <v>533</v>
      </c>
      <c r="B65" t="s">
        <v>590</v>
      </c>
      <c r="C65" t="s">
        <v>581</v>
      </c>
      <c r="D65" s="43" t="s">
        <v>594</v>
      </c>
      <c r="E65">
        <v>1</v>
      </c>
    </row>
    <row r="66" spans="1:5">
      <c r="A66" t="s">
        <v>533</v>
      </c>
      <c r="B66" t="s">
        <v>590</v>
      </c>
      <c r="C66" t="s">
        <v>581</v>
      </c>
      <c r="D66" s="43" t="s">
        <v>461</v>
      </c>
      <c r="E66">
        <v>1</v>
      </c>
    </row>
    <row r="67" spans="1:5">
      <c r="A67" t="s">
        <v>533</v>
      </c>
      <c r="B67" t="s">
        <v>590</v>
      </c>
      <c r="C67" t="s">
        <v>581</v>
      </c>
      <c r="D67" s="43" t="s">
        <v>406</v>
      </c>
      <c r="E67">
        <v>1</v>
      </c>
    </row>
    <row r="68" spans="1:5">
      <c r="A68" t="s">
        <v>533</v>
      </c>
      <c r="B68" t="s">
        <v>590</v>
      </c>
      <c r="C68" t="s">
        <v>581</v>
      </c>
      <c r="D68" s="43" t="s">
        <v>595</v>
      </c>
      <c r="E68">
        <v>1</v>
      </c>
    </row>
    <row r="69" spans="1:5">
      <c r="A69" t="s">
        <v>533</v>
      </c>
      <c r="B69" t="s">
        <v>590</v>
      </c>
      <c r="C69" t="s">
        <v>581</v>
      </c>
      <c r="D69" s="43" t="s">
        <v>596</v>
      </c>
      <c r="E69">
        <v>1</v>
      </c>
    </row>
    <row r="70" spans="1:5">
      <c r="A70" t="s">
        <v>533</v>
      </c>
      <c r="B70" t="s">
        <v>590</v>
      </c>
      <c r="C70" t="s">
        <v>581</v>
      </c>
      <c r="D70" s="43" t="s">
        <v>597</v>
      </c>
      <c r="E70">
        <v>1</v>
      </c>
    </row>
    <row r="71" spans="1:5">
      <c r="A71" t="s">
        <v>533</v>
      </c>
      <c r="B71" t="s">
        <v>590</v>
      </c>
      <c r="C71" t="s">
        <v>581</v>
      </c>
      <c r="D71" s="43" t="s">
        <v>598</v>
      </c>
      <c r="E71">
        <v>1</v>
      </c>
    </row>
    <row r="72" spans="1:5">
      <c r="A72" t="s">
        <v>533</v>
      </c>
      <c r="B72" t="s">
        <v>590</v>
      </c>
      <c r="C72" t="s">
        <v>581</v>
      </c>
      <c r="D72" s="43" t="s">
        <v>599</v>
      </c>
      <c r="E72">
        <v>1</v>
      </c>
    </row>
    <row r="73" spans="1:5">
      <c r="A73" t="s">
        <v>533</v>
      </c>
      <c r="B73" t="s">
        <v>590</v>
      </c>
      <c r="C73" t="s">
        <v>581</v>
      </c>
      <c r="D73" s="43" t="s">
        <v>338</v>
      </c>
      <c r="E73">
        <v>1</v>
      </c>
    </row>
    <row r="74" spans="1:5">
      <c r="A74" t="s">
        <v>533</v>
      </c>
      <c r="B74" t="s">
        <v>590</v>
      </c>
      <c r="C74" t="s">
        <v>581</v>
      </c>
      <c r="D74" s="43" t="s">
        <v>600</v>
      </c>
      <c r="E74">
        <v>1</v>
      </c>
    </row>
    <row r="75" spans="1:5">
      <c r="A75" t="s">
        <v>533</v>
      </c>
      <c r="B75" t="s">
        <v>590</v>
      </c>
      <c r="C75" t="s">
        <v>581</v>
      </c>
      <c r="D75" s="43" t="s">
        <v>601</v>
      </c>
      <c r="E75">
        <v>1</v>
      </c>
    </row>
    <row r="76" spans="1:5">
      <c r="A76" t="s">
        <v>533</v>
      </c>
      <c r="B76" t="s">
        <v>590</v>
      </c>
      <c r="C76" t="s">
        <v>581</v>
      </c>
      <c r="D76" s="43" t="s">
        <v>602</v>
      </c>
      <c r="E76">
        <v>1</v>
      </c>
    </row>
    <row r="77" spans="1:5">
      <c r="A77" t="s">
        <v>533</v>
      </c>
      <c r="B77" t="s">
        <v>590</v>
      </c>
      <c r="C77" t="s">
        <v>581</v>
      </c>
      <c r="D77" s="43" t="s">
        <v>603</v>
      </c>
      <c r="E77">
        <v>1</v>
      </c>
    </row>
    <row r="78" spans="1:5">
      <c r="A78" t="s">
        <v>533</v>
      </c>
      <c r="B78" t="s">
        <v>590</v>
      </c>
      <c r="C78" t="s">
        <v>581</v>
      </c>
      <c r="D78" s="43" t="s">
        <v>604</v>
      </c>
      <c r="E78">
        <v>1</v>
      </c>
    </row>
    <row r="79" spans="1:5">
      <c r="A79" t="s">
        <v>533</v>
      </c>
      <c r="B79" t="s">
        <v>590</v>
      </c>
      <c r="C79" t="s">
        <v>581</v>
      </c>
      <c r="D79" s="43" t="s">
        <v>289</v>
      </c>
      <c r="E79">
        <v>1</v>
      </c>
    </row>
    <row r="80" spans="1:5">
      <c r="A80" t="s">
        <v>533</v>
      </c>
      <c r="B80" t="s">
        <v>590</v>
      </c>
      <c r="C80" t="s">
        <v>581</v>
      </c>
      <c r="D80" s="43" t="s">
        <v>396</v>
      </c>
      <c r="E80">
        <v>1</v>
      </c>
    </row>
    <row r="81" spans="1:6">
      <c r="A81" t="s">
        <v>533</v>
      </c>
      <c r="B81" t="s">
        <v>590</v>
      </c>
      <c r="C81" t="s">
        <v>581</v>
      </c>
      <c r="D81" s="43" t="s">
        <v>279</v>
      </c>
      <c r="E81">
        <v>1</v>
      </c>
    </row>
    <row r="82" spans="1:6">
      <c r="A82" t="s">
        <v>533</v>
      </c>
      <c r="B82" t="s">
        <v>590</v>
      </c>
      <c r="C82" t="s">
        <v>581</v>
      </c>
      <c r="D82" s="43" t="s">
        <v>556</v>
      </c>
      <c r="E82">
        <v>1</v>
      </c>
    </row>
    <row r="83" spans="1:6">
      <c r="A83" t="s">
        <v>533</v>
      </c>
      <c r="B83" t="s">
        <v>590</v>
      </c>
      <c r="C83" t="s">
        <v>581</v>
      </c>
      <c r="D83" s="43" t="s">
        <v>533</v>
      </c>
      <c r="E83">
        <v>1</v>
      </c>
    </row>
    <row r="84" spans="1:6">
      <c r="A84" t="s">
        <v>533</v>
      </c>
      <c r="B84" t="s">
        <v>590</v>
      </c>
      <c r="C84" t="s">
        <v>582</v>
      </c>
      <c r="D84" s="43" t="s">
        <v>545</v>
      </c>
      <c r="E84">
        <v>1</v>
      </c>
    </row>
    <row r="85" spans="1:6">
      <c r="A85" t="s">
        <v>533</v>
      </c>
      <c r="B85" t="s">
        <v>590</v>
      </c>
      <c r="C85" t="s">
        <v>582</v>
      </c>
      <c r="D85" s="43" t="s">
        <v>520</v>
      </c>
      <c r="E85">
        <v>1</v>
      </c>
    </row>
    <row r="86" spans="1:6">
      <c r="A86" t="s">
        <v>533</v>
      </c>
      <c r="B86" t="s">
        <v>590</v>
      </c>
      <c r="C86" t="s">
        <v>582</v>
      </c>
      <c r="D86" s="43" t="s">
        <v>588</v>
      </c>
      <c r="E86">
        <v>0</v>
      </c>
      <c r="F86" t="s">
        <v>605</v>
      </c>
    </row>
    <row r="87" spans="1:6">
      <c r="A87" t="s">
        <v>533</v>
      </c>
      <c r="B87" t="s">
        <v>590</v>
      </c>
      <c r="C87" t="s">
        <v>582</v>
      </c>
      <c r="D87" s="43" t="s">
        <v>606</v>
      </c>
      <c r="E87">
        <v>0</v>
      </c>
      <c r="F87" t="s">
        <v>605</v>
      </c>
    </row>
    <row r="88" spans="1:6">
      <c r="A88" t="s">
        <v>396</v>
      </c>
      <c r="B88" t="s">
        <v>576</v>
      </c>
      <c r="C88" t="s">
        <v>579</v>
      </c>
      <c r="D88" s="43" t="s">
        <v>396</v>
      </c>
      <c r="E88">
        <v>0</v>
      </c>
    </row>
    <row r="89" spans="1:6">
      <c r="A89" t="s">
        <v>396</v>
      </c>
      <c r="B89" t="s">
        <v>580</v>
      </c>
      <c r="C89" t="s">
        <v>582</v>
      </c>
      <c r="D89" s="43" t="s">
        <v>556</v>
      </c>
      <c r="E89">
        <v>0</v>
      </c>
    </row>
    <row r="90" spans="1:6">
      <c r="A90" t="s">
        <v>396</v>
      </c>
      <c r="B90" t="s">
        <v>580</v>
      </c>
      <c r="C90" t="s">
        <v>582</v>
      </c>
      <c r="D90" s="43" t="s">
        <v>279</v>
      </c>
      <c r="E90">
        <v>0</v>
      </c>
    </row>
    <row r="91" spans="1:6">
      <c r="A91" t="s">
        <v>396</v>
      </c>
      <c r="B91" t="s">
        <v>580</v>
      </c>
      <c r="C91" t="s">
        <v>582</v>
      </c>
      <c r="D91" s="43" t="s">
        <v>607</v>
      </c>
      <c r="E91">
        <v>0</v>
      </c>
    </row>
    <row r="92" spans="1:6">
      <c r="A92" t="s">
        <v>396</v>
      </c>
      <c r="B92" t="s">
        <v>580</v>
      </c>
      <c r="C92" t="s">
        <v>582</v>
      </c>
      <c r="D92" s="43" t="s">
        <v>499</v>
      </c>
      <c r="E92">
        <v>0</v>
      </c>
    </row>
    <row r="93" spans="1:6">
      <c r="A93" t="s">
        <v>396</v>
      </c>
      <c r="B93" t="s">
        <v>580</v>
      </c>
      <c r="C93" t="s">
        <v>582</v>
      </c>
      <c r="D93" s="43" t="s">
        <v>552</v>
      </c>
      <c r="E93">
        <v>0</v>
      </c>
    </row>
    <row r="94" spans="1:6">
      <c r="A94" t="s">
        <v>396</v>
      </c>
      <c r="B94" t="s">
        <v>580</v>
      </c>
      <c r="C94" t="s">
        <v>582</v>
      </c>
      <c r="D94" s="43" t="s">
        <v>592</v>
      </c>
      <c r="E94">
        <v>0</v>
      </c>
    </row>
    <row r="95" spans="1:6">
      <c r="A95" t="s">
        <v>396</v>
      </c>
      <c r="B95" t="s">
        <v>580</v>
      </c>
      <c r="C95" t="s">
        <v>582</v>
      </c>
      <c r="D95" s="43" t="s">
        <v>548</v>
      </c>
      <c r="E95">
        <v>0</v>
      </c>
    </row>
    <row r="96" spans="1:6">
      <c r="A96" t="s">
        <v>396</v>
      </c>
      <c r="B96" t="s">
        <v>580</v>
      </c>
      <c r="C96" t="s">
        <v>582</v>
      </c>
      <c r="D96" s="43" t="s">
        <v>593</v>
      </c>
      <c r="E96">
        <v>0</v>
      </c>
    </row>
    <row r="97" spans="1:5">
      <c r="A97" t="s">
        <v>396</v>
      </c>
      <c r="B97" t="s">
        <v>580</v>
      </c>
      <c r="C97" t="s">
        <v>582</v>
      </c>
      <c r="D97" s="43" t="s">
        <v>594</v>
      </c>
      <c r="E97">
        <v>0</v>
      </c>
    </row>
    <row r="98" spans="1:5">
      <c r="A98" t="s">
        <v>396</v>
      </c>
      <c r="B98" t="s">
        <v>580</v>
      </c>
      <c r="C98" t="s">
        <v>582</v>
      </c>
      <c r="D98" s="43" t="s">
        <v>461</v>
      </c>
      <c r="E98">
        <v>0</v>
      </c>
    </row>
    <row r="99" spans="1:5">
      <c r="A99" t="s">
        <v>396</v>
      </c>
      <c r="B99" t="s">
        <v>580</v>
      </c>
      <c r="C99" t="s">
        <v>582</v>
      </c>
      <c r="D99" s="43" t="s">
        <v>406</v>
      </c>
      <c r="E99">
        <v>0</v>
      </c>
    </row>
    <row r="100" spans="1:5">
      <c r="A100" t="s">
        <v>396</v>
      </c>
      <c r="B100" t="s">
        <v>580</v>
      </c>
      <c r="C100" t="s">
        <v>582</v>
      </c>
      <c r="D100" s="43" t="s">
        <v>595</v>
      </c>
      <c r="E100">
        <v>0</v>
      </c>
    </row>
    <row r="101" spans="1:5">
      <c r="A101" t="s">
        <v>396</v>
      </c>
      <c r="B101" t="s">
        <v>580</v>
      </c>
      <c r="C101" t="s">
        <v>582</v>
      </c>
      <c r="D101" s="43" t="s">
        <v>596</v>
      </c>
      <c r="E101">
        <v>0</v>
      </c>
    </row>
    <row r="102" spans="1:5">
      <c r="A102" t="s">
        <v>396</v>
      </c>
      <c r="B102" t="s">
        <v>580</v>
      </c>
      <c r="C102" t="s">
        <v>582</v>
      </c>
      <c r="D102" s="43" t="s">
        <v>597</v>
      </c>
      <c r="E102">
        <v>0</v>
      </c>
    </row>
    <row r="103" spans="1:5">
      <c r="A103" t="s">
        <v>396</v>
      </c>
      <c r="B103" t="s">
        <v>580</v>
      </c>
      <c r="C103" t="s">
        <v>582</v>
      </c>
      <c r="D103" s="43" t="s">
        <v>598</v>
      </c>
      <c r="E103">
        <v>0</v>
      </c>
    </row>
    <row r="104" spans="1:5">
      <c r="A104" t="s">
        <v>396</v>
      </c>
      <c r="B104" t="s">
        <v>580</v>
      </c>
      <c r="C104" t="s">
        <v>582</v>
      </c>
      <c r="D104" s="43" t="s">
        <v>599</v>
      </c>
      <c r="E104">
        <v>0</v>
      </c>
    </row>
    <row r="105" spans="1:5">
      <c r="A105" t="s">
        <v>396</v>
      </c>
      <c r="B105" t="s">
        <v>580</v>
      </c>
      <c r="C105" t="s">
        <v>582</v>
      </c>
      <c r="D105" s="43" t="s">
        <v>338</v>
      </c>
      <c r="E105">
        <v>0</v>
      </c>
    </row>
    <row r="106" spans="1:5">
      <c r="A106" t="s">
        <v>396</v>
      </c>
      <c r="B106" t="s">
        <v>580</v>
      </c>
      <c r="C106" t="s">
        <v>582</v>
      </c>
      <c r="D106" s="43" t="s">
        <v>600</v>
      </c>
      <c r="E106">
        <v>0</v>
      </c>
    </row>
    <row r="107" spans="1:5">
      <c r="A107" t="s">
        <v>396</v>
      </c>
      <c r="B107" t="s">
        <v>580</v>
      </c>
      <c r="C107" t="s">
        <v>582</v>
      </c>
      <c r="D107" s="43" t="s">
        <v>601</v>
      </c>
      <c r="E107">
        <v>0</v>
      </c>
    </row>
    <row r="108" spans="1:5">
      <c r="A108" t="s">
        <v>396</v>
      </c>
      <c r="B108" t="s">
        <v>580</v>
      </c>
      <c r="C108" t="s">
        <v>582</v>
      </c>
      <c r="D108" s="43" t="s">
        <v>602</v>
      </c>
      <c r="E108">
        <v>0</v>
      </c>
    </row>
    <row r="109" spans="1:5">
      <c r="A109" t="s">
        <v>396</v>
      </c>
      <c r="B109" t="s">
        <v>580</v>
      </c>
      <c r="C109" t="s">
        <v>582</v>
      </c>
      <c r="D109" s="43" t="s">
        <v>603</v>
      </c>
      <c r="E109">
        <v>0</v>
      </c>
    </row>
    <row r="110" spans="1:5">
      <c r="A110" t="s">
        <v>396</v>
      </c>
      <c r="B110" t="s">
        <v>580</v>
      </c>
      <c r="C110" t="s">
        <v>582</v>
      </c>
      <c r="D110" s="43" t="s">
        <v>604</v>
      </c>
      <c r="E110">
        <v>0</v>
      </c>
    </row>
    <row r="111" spans="1:5">
      <c r="A111" t="s">
        <v>396</v>
      </c>
      <c r="B111" t="s">
        <v>583</v>
      </c>
      <c r="C111" t="s">
        <v>579</v>
      </c>
      <c r="D111" s="43" t="s">
        <v>606</v>
      </c>
      <c r="E111">
        <v>0</v>
      </c>
    </row>
    <row r="112" spans="1:5">
      <c r="A112" t="s">
        <v>396</v>
      </c>
      <c r="B112" t="s">
        <v>590</v>
      </c>
      <c r="C112" t="s">
        <v>582</v>
      </c>
      <c r="D112" s="43" t="s">
        <v>299</v>
      </c>
      <c r="E112">
        <v>0</v>
      </c>
    </row>
    <row r="113" spans="1:5">
      <c r="A113" t="s">
        <v>396</v>
      </c>
      <c r="B113" t="s">
        <v>590</v>
      </c>
      <c r="C113" t="s">
        <v>582</v>
      </c>
      <c r="D113" s="43" t="s">
        <v>499</v>
      </c>
      <c r="E113">
        <v>1</v>
      </c>
    </row>
    <row r="114" spans="1:5">
      <c r="A114" t="s">
        <v>396</v>
      </c>
      <c r="B114" t="s">
        <v>590</v>
      </c>
      <c r="C114" t="s">
        <v>582</v>
      </c>
      <c r="D114" s="43" t="s">
        <v>279</v>
      </c>
      <c r="E114">
        <v>1</v>
      </c>
    </row>
    <row r="115" spans="1:5">
      <c r="A115" t="s">
        <v>396</v>
      </c>
      <c r="B115" t="s">
        <v>590</v>
      </c>
      <c r="C115" t="s">
        <v>582</v>
      </c>
      <c r="D115" s="43" t="s">
        <v>516</v>
      </c>
      <c r="E115">
        <v>1</v>
      </c>
    </row>
    <row r="116" spans="1:5">
      <c r="A116" t="s">
        <v>396</v>
      </c>
      <c r="B116" t="s">
        <v>590</v>
      </c>
      <c r="C116" t="s">
        <v>582</v>
      </c>
      <c r="D116" s="43" t="s">
        <v>396</v>
      </c>
      <c r="E116">
        <v>1</v>
      </c>
    </row>
    <row r="117" spans="1:5">
      <c r="A117" t="s">
        <v>396</v>
      </c>
      <c r="B117" t="s">
        <v>590</v>
      </c>
      <c r="C117" t="s">
        <v>582</v>
      </c>
      <c r="D117" s="43" t="s">
        <v>586</v>
      </c>
      <c r="E117">
        <v>0</v>
      </c>
    </row>
    <row r="118" spans="1:5">
      <c r="A118" t="s">
        <v>396</v>
      </c>
      <c r="B118" t="s">
        <v>590</v>
      </c>
      <c r="C118" t="s">
        <v>582</v>
      </c>
      <c r="D118" s="43" t="s">
        <v>606</v>
      </c>
      <c r="E118">
        <v>0</v>
      </c>
    </row>
    <row r="119" spans="1:5">
      <c r="A119" t="s">
        <v>396</v>
      </c>
      <c r="B119" t="s">
        <v>590</v>
      </c>
      <c r="C119" t="s">
        <v>582</v>
      </c>
      <c r="D119" s="43" t="s">
        <v>608</v>
      </c>
      <c r="E119">
        <v>0</v>
      </c>
    </row>
    <row r="120" spans="1:5">
      <c r="A120" t="s">
        <v>396</v>
      </c>
      <c r="B120" t="s">
        <v>590</v>
      </c>
      <c r="C120" t="s">
        <v>582</v>
      </c>
      <c r="D120" s="43" t="s">
        <v>591</v>
      </c>
      <c r="E120">
        <v>1</v>
      </c>
    </row>
    <row r="121" spans="1:5">
      <c r="A121" t="s">
        <v>396</v>
      </c>
      <c r="B121" t="s">
        <v>590</v>
      </c>
      <c r="C121" t="s">
        <v>582</v>
      </c>
      <c r="D121" s="43" t="s">
        <v>588</v>
      </c>
      <c r="E121">
        <v>0</v>
      </c>
    </row>
    <row r="122" spans="1:5">
      <c r="A122" t="s">
        <v>396</v>
      </c>
      <c r="B122" t="s">
        <v>590</v>
      </c>
      <c r="C122" t="s">
        <v>582</v>
      </c>
      <c r="D122" s="43" t="s">
        <v>589</v>
      </c>
      <c r="E122">
        <v>0</v>
      </c>
    </row>
    <row r="123" spans="1:5">
      <c r="A123" t="s">
        <v>396</v>
      </c>
      <c r="B123" t="s">
        <v>590</v>
      </c>
      <c r="C123" t="s">
        <v>582</v>
      </c>
      <c r="D123" s="43" t="s">
        <v>587</v>
      </c>
      <c r="E123">
        <v>1</v>
      </c>
    </row>
    <row r="124" spans="1:5">
      <c r="A124" t="s">
        <v>396</v>
      </c>
      <c r="B124" t="s">
        <v>590</v>
      </c>
      <c r="C124" t="s">
        <v>582</v>
      </c>
      <c r="D124" s="43" t="s">
        <v>399</v>
      </c>
      <c r="E124">
        <v>1</v>
      </c>
    </row>
    <row r="125" spans="1:5">
      <c r="A125" t="s">
        <v>390</v>
      </c>
      <c r="B125" t="s">
        <v>576</v>
      </c>
      <c r="C125" t="s">
        <v>579</v>
      </c>
      <c r="D125" s="43" t="s">
        <v>390</v>
      </c>
      <c r="E125">
        <v>0</v>
      </c>
    </row>
    <row r="126" spans="1:5">
      <c r="A126" t="s">
        <v>390</v>
      </c>
      <c r="B126" t="s">
        <v>590</v>
      </c>
      <c r="C126" t="s">
        <v>582</v>
      </c>
      <c r="D126" s="43" t="s">
        <v>299</v>
      </c>
      <c r="E126">
        <v>0</v>
      </c>
    </row>
    <row r="127" spans="1:5">
      <c r="A127" t="s">
        <v>390</v>
      </c>
      <c r="B127" t="s">
        <v>590</v>
      </c>
      <c r="C127" t="s">
        <v>582</v>
      </c>
      <c r="D127" s="43" t="s">
        <v>499</v>
      </c>
      <c r="E127">
        <v>1</v>
      </c>
    </row>
    <row r="128" spans="1:5">
      <c r="A128" t="s">
        <v>390</v>
      </c>
      <c r="B128" t="s">
        <v>590</v>
      </c>
      <c r="C128" t="s">
        <v>582</v>
      </c>
      <c r="D128" s="43" t="s">
        <v>279</v>
      </c>
      <c r="E128">
        <v>1</v>
      </c>
    </row>
    <row r="129" spans="1:6">
      <c r="A129" t="s">
        <v>390</v>
      </c>
      <c r="B129" t="s">
        <v>590</v>
      </c>
      <c r="C129" t="s">
        <v>582</v>
      </c>
      <c r="D129" s="43" t="s">
        <v>516</v>
      </c>
      <c r="E129">
        <v>1</v>
      </c>
    </row>
    <row r="130" spans="1:6">
      <c r="A130" t="s">
        <v>390</v>
      </c>
      <c r="B130" t="s">
        <v>590</v>
      </c>
      <c r="C130" t="s">
        <v>582</v>
      </c>
      <c r="D130" s="43" t="s">
        <v>396</v>
      </c>
      <c r="E130">
        <v>1</v>
      </c>
    </row>
    <row r="131" spans="1:6">
      <c r="A131" t="s">
        <v>390</v>
      </c>
      <c r="B131" t="s">
        <v>590</v>
      </c>
      <c r="C131" t="s">
        <v>582</v>
      </c>
      <c r="D131" s="43" t="s">
        <v>586</v>
      </c>
      <c r="E131">
        <v>0</v>
      </c>
    </row>
    <row r="132" spans="1:6">
      <c r="A132" t="s">
        <v>390</v>
      </c>
      <c r="B132" t="s">
        <v>590</v>
      </c>
      <c r="C132" t="s">
        <v>582</v>
      </c>
      <c r="D132" s="43" t="s">
        <v>606</v>
      </c>
      <c r="E132">
        <v>0</v>
      </c>
    </row>
    <row r="133" spans="1:6">
      <c r="A133" t="s">
        <v>390</v>
      </c>
      <c r="B133" t="s">
        <v>590</v>
      </c>
      <c r="C133" t="s">
        <v>582</v>
      </c>
      <c r="D133" s="43" t="s">
        <v>608</v>
      </c>
      <c r="E133">
        <v>0</v>
      </c>
    </row>
    <row r="134" spans="1:6">
      <c r="A134" t="s">
        <v>390</v>
      </c>
      <c r="B134" t="s">
        <v>590</v>
      </c>
      <c r="C134" t="s">
        <v>582</v>
      </c>
      <c r="D134" s="43" t="s">
        <v>591</v>
      </c>
      <c r="E134">
        <v>1</v>
      </c>
    </row>
    <row r="135" spans="1:6">
      <c r="A135" t="s">
        <v>390</v>
      </c>
      <c r="B135" t="s">
        <v>590</v>
      </c>
      <c r="C135" t="s">
        <v>582</v>
      </c>
      <c r="D135" s="43" t="s">
        <v>588</v>
      </c>
      <c r="E135">
        <v>0</v>
      </c>
    </row>
    <row r="136" spans="1:6">
      <c r="A136" t="s">
        <v>390</v>
      </c>
      <c r="B136" t="s">
        <v>590</v>
      </c>
      <c r="C136" t="s">
        <v>582</v>
      </c>
      <c r="D136" s="43" t="s">
        <v>589</v>
      </c>
      <c r="E136">
        <v>0</v>
      </c>
    </row>
    <row r="137" spans="1:6">
      <c r="A137" t="s">
        <v>390</v>
      </c>
      <c r="B137" t="s">
        <v>590</v>
      </c>
      <c r="C137" t="s">
        <v>582</v>
      </c>
      <c r="D137" s="43" t="s">
        <v>587</v>
      </c>
      <c r="E137">
        <v>1</v>
      </c>
    </row>
    <row r="138" spans="1:6">
      <c r="A138" t="s">
        <v>390</v>
      </c>
      <c r="B138" t="s">
        <v>590</v>
      </c>
      <c r="C138" t="s">
        <v>582</v>
      </c>
      <c r="D138" s="43" t="s">
        <v>399</v>
      </c>
      <c r="E138">
        <v>1</v>
      </c>
    </row>
    <row r="139" spans="1:6">
      <c r="A139" t="s">
        <v>609</v>
      </c>
      <c r="B139" t="s">
        <v>580</v>
      </c>
      <c r="C139" t="s">
        <v>579</v>
      </c>
      <c r="D139" s="43" t="s">
        <v>592</v>
      </c>
      <c r="E139">
        <v>0</v>
      </c>
      <c r="F139" t="s">
        <v>610</v>
      </c>
    </row>
    <row r="140" spans="1:6">
      <c r="A140" t="s">
        <v>609</v>
      </c>
      <c r="B140" t="s">
        <v>580</v>
      </c>
      <c r="C140" t="s">
        <v>579</v>
      </c>
      <c r="D140" s="43" t="s">
        <v>548</v>
      </c>
      <c r="E140">
        <v>0</v>
      </c>
      <c r="F140" t="s">
        <v>610</v>
      </c>
    </row>
    <row r="141" spans="1:6">
      <c r="A141" t="s">
        <v>609</v>
      </c>
      <c r="B141" t="s">
        <v>580</v>
      </c>
      <c r="C141" t="s">
        <v>579</v>
      </c>
      <c r="D141" s="43" t="s">
        <v>593</v>
      </c>
      <c r="E141">
        <v>0</v>
      </c>
      <c r="F141" t="s">
        <v>610</v>
      </c>
    </row>
    <row r="142" spans="1:6">
      <c r="A142" t="s">
        <v>609</v>
      </c>
      <c r="B142" t="s">
        <v>580</v>
      </c>
      <c r="C142" t="s">
        <v>579</v>
      </c>
      <c r="D142" s="43" t="s">
        <v>594</v>
      </c>
      <c r="E142">
        <v>0</v>
      </c>
      <c r="F142" t="s">
        <v>610</v>
      </c>
    </row>
    <row r="143" spans="1:6">
      <c r="A143" t="s">
        <v>609</v>
      </c>
      <c r="B143" t="s">
        <v>580</v>
      </c>
      <c r="C143" t="s">
        <v>579</v>
      </c>
      <c r="D143" s="43" t="s">
        <v>461</v>
      </c>
      <c r="E143">
        <v>0</v>
      </c>
      <c r="F143" t="s">
        <v>610</v>
      </c>
    </row>
    <row r="144" spans="1:6">
      <c r="A144" t="s">
        <v>609</v>
      </c>
      <c r="B144" t="s">
        <v>580</v>
      </c>
      <c r="C144" t="s">
        <v>579</v>
      </c>
      <c r="D144" s="43" t="s">
        <v>406</v>
      </c>
      <c r="E144">
        <v>0</v>
      </c>
      <c r="F144" t="s">
        <v>610</v>
      </c>
    </row>
    <row r="145" spans="1:6">
      <c r="A145" t="s">
        <v>609</v>
      </c>
      <c r="B145" t="s">
        <v>580</v>
      </c>
      <c r="C145" t="s">
        <v>579</v>
      </c>
      <c r="D145" s="43" t="s">
        <v>595</v>
      </c>
      <c r="E145">
        <v>0</v>
      </c>
      <c r="F145" t="s">
        <v>610</v>
      </c>
    </row>
    <row r="146" spans="1:6">
      <c r="A146" t="s">
        <v>609</v>
      </c>
      <c r="B146" t="s">
        <v>580</v>
      </c>
      <c r="C146" t="s">
        <v>579</v>
      </c>
      <c r="D146" s="43" t="s">
        <v>596</v>
      </c>
      <c r="E146">
        <v>0</v>
      </c>
      <c r="F146" t="s">
        <v>610</v>
      </c>
    </row>
    <row r="147" spans="1:6">
      <c r="A147" t="s">
        <v>609</v>
      </c>
      <c r="B147" t="s">
        <v>580</v>
      </c>
      <c r="C147" t="s">
        <v>579</v>
      </c>
      <c r="D147" s="43" t="s">
        <v>597</v>
      </c>
      <c r="E147">
        <v>0</v>
      </c>
      <c r="F147" t="s">
        <v>610</v>
      </c>
    </row>
    <row r="148" spans="1:6">
      <c r="A148" t="s">
        <v>609</v>
      </c>
      <c r="B148" t="s">
        <v>580</v>
      </c>
      <c r="C148" t="s">
        <v>579</v>
      </c>
      <c r="D148" s="43" t="s">
        <v>598</v>
      </c>
      <c r="E148">
        <v>0</v>
      </c>
      <c r="F148" t="s">
        <v>610</v>
      </c>
    </row>
    <row r="149" spans="1:6">
      <c r="A149" t="s">
        <v>609</v>
      </c>
      <c r="B149" t="s">
        <v>580</v>
      </c>
      <c r="C149" t="s">
        <v>579</v>
      </c>
      <c r="D149" s="43" t="s">
        <v>599</v>
      </c>
      <c r="E149">
        <v>0</v>
      </c>
      <c r="F149" t="s">
        <v>610</v>
      </c>
    </row>
    <row r="150" spans="1:6">
      <c r="A150" t="s">
        <v>609</v>
      </c>
      <c r="B150" t="s">
        <v>580</v>
      </c>
      <c r="C150" t="s">
        <v>579</v>
      </c>
      <c r="D150" s="43" t="s">
        <v>338</v>
      </c>
      <c r="E150">
        <v>0</v>
      </c>
      <c r="F150" t="s">
        <v>610</v>
      </c>
    </row>
    <row r="151" spans="1:6">
      <c r="A151" t="s">
        <v>609</v>
      </c>
      <c r="B151" t="s">
        <v>580</v>
      </c>
      <c r="C151" t="s">
        <v>579</v>
      </c>
      <c r="D151" s="43" t="s">
        <v>600</v>
      </c>
      <c r="E151">
        <v>0</v>
      </c>
      <c r="F151" t="s">
        <v>610</v>
      </c>
    </row>
    <row r="152" spans="1:6">
      <c r="A152" t="s">
        <v>609</v>
      </c>
      <c r="B152" t="s">
        <v>580</v>
      </c>
      <c r="C152" t="s">
        <v>579</v>
      </c>
      <c r="D152" s="43" t="s">
        <v>601</v>
      </c>
      <c r="E152">
        <v>0</v>
      </c>
      <c r="F152" t="s">
        <v>610</v>
      </c>
    </row>
    <row r="153" spans="1:6">
      <c r="A153" t="s">
        <v>609</v>
      </c>
      <c r="B153" t="s">
        <v>580</v>
      </c>
      <c r="C153" t="s">
        <v>579</v>
      </c>
      <c r="D153" s="43" t="s">
        <v>602</v>
      </c>
      <c r="E153">
        <v>0</v>
      </c>
      <c r="F153" t="s">
        <v>610</v>
      </c>
    </row>
    <row r="154" spans="1:6">
      <c r="A154" t="s">
        <v>609</v>
      </c>
      <c r="B154" t="s">
        <v>580</v>
      </c>
      <c r="C154" t="s">
        <v>579</v>
      </c>
      <c r="D154" s="43" t="s">
        <v>603</v>
      </c>
      <c r="E154">
        <v>0</v>
      </c>
      <c r="F154" t="s">
        <v>610</v>
      </c>
    </row>
    <row r="155" spans="1:6">
      <c r="A155" t="s">
        <v>609</v>
      </c>
      <c r="B155" t="s">
        <v>580</v>
      </c>
      <c r="C155" t="s">
        <v>579</v>
      </c>
      <c r="D155" s="43" t="s">
        <v>604</v>
      </c>
      <c r="E155">
        <v>0</v>
      </c>
      <c r="F155" t="s">
        <v>610</v>
      </c>
    </row>
    <row r="156" spans="1:6">
      <c r="A156" t="s">
        <v>609</v>
      </c>
      <c r="B156" t="s">
        <v>583</v>
      </c>
      <c r="C156" t="s">
        <v>582</v>
      </c>
      <c r="D156" s="43" t="s">
        <v>279</v>
      </c>
      <c r="E156">
        <v>0</v>
      </c>
      <c r="F156" t="s">
        <v>611</v>
      </c>
    </row>
    <row r="157" spans="1:6">
      <c r="A157" t="s">
        <v>609</v>
      </c>
      <c r="B157" t="s">
        <v>583</v>
      </c>
      <c r="C157" t="s">
        <v>582</v>
      </c>
      <c r="D157" s="43" t="s">
        <v>373</v>
      </c>
      <c r="E157">
        <v>0</v>
      </c>
    </row>
    <row r="158" spans="1:6">
      <c r="A158" t="s">
        <v>609</v>
      </c>
      <c r="B158" t="s">
        <v>583</v>
      </c>
      <c r="C158" t="s">
        <v>582</v>
      </c>
      <c r="D158" s="43" t="s">
        <v>587</v>
      </c>
      <c r="E158">
        <v>0</v>
      </c>
    </row>
    <row r="159" spans="1:6">
      <c r="A159" t="s">
        <v>609</v>
      </c>
      <c r="B159" t="s">
        <v>583</v>
      </c>
      <c r="C159" t="s">
        <v>582</v>
      </c>
      <c r="D159" s="43" t="s">
        <v>284</v>
      </c>
      <c r="E159">
        <v>1</v>
      </c>
    </row>
    <row r="160" spans="1:6">
      <c r="A160" t="s">
        <v>609</v>
      </c>
      <c r="B160" t="s">
        <v>583</v>
      </c>
      <c r="C160" t="s">
        <v>582</v>
      </c>
      <c r="D160" s="43" t="s">
        <v>347</v>
      </c>
      <c r="E160">
        <v>0</v>
      </c>
    </row>
    <row r="161" spans="1:6">
      <c r="A161" t="s">
        <v>609</v>
      </c>
      <c r="B161" t="s">
        <v>583</v>
      </c>
      <c r="C161" t="s">
        <v>582</v>
      </c>
      <c r="D161" s="43" t="s">
        <v>287</v>
      </c>
      <c r="E161">
        <v>0</v>
      </c>
    </row>
    <row r="162" spans="1:6">
      <c r="A162" t="s">
        <v>609</v>
      </c>
      <c r="B162" t="s">
        <v>583</v>
      </c>
      <c r="C162" t="s">
        <v>582</v>
      </c>
      <c r="D162" s="43" t="s">
        <v>326</v>
      </c>
      <c r="E162">
        <v>0</v>
      </c>
    </row>
    <row r="163" spans="1:6">
      <c r="A163" t="s">
        <v>609</v>
      </c>
      <c r="B163" t="s">
        <v>583</v>
      </c>
      <c r="C163" t="s">
        <v>582</v>
      </c>
      <c r="D163" s="43" t="s">
        <v>591</v>
      </c>
      <c r="E163">
        <v>0</v>
      </c>
      <c r="F163" t="s">
        <v>612</v>
      </c>
    </row>
    <row r="164" spans="1:6">
      <c r="A164" t="s">
        <v>609</v>
      </c>
      <c r="B164" t="s">
        <v>583</v>
      </c>
      <c r="C164" t="s">
        <v>582</v>
      </c>
      <c r="D164" s="43" t="s">
        <v>499</v>
      </c>
      <c r="E164">
        <v>0</v>
      </c>
      <c r="F164" t="s">
        <v>613</v>
      </c>
    </row>
    <row r="165" spans="1:6">
      <c r="A165" t="s">
        <v>609</v>
      </c>
      <c r="B165" t="s">
        <v>590</v>
      </c>
      <c r="C165" t="s">
        <v>582</v>
      </c>
      <c r="D165" s="43" t="s">
        <v>396</v>
      </c>
      <c r="E165">
        <v>1</v>
      </c>
    </row>
    <row r="166" spans="1:6">
      <c r="A166" t="s">
        <v>609</v>
      </c>
      <c r="B166" t="s">
        <v>590</v>
      </c>
      <c r="C166" t="s">
        <v>582</v>
      </c>
      <c r="D166" s="43" t="s">
        <v>520</v>
      </c>
      <c r="E166">
        <v>1</v>
      </c>
    </row>
    <row r="167" spans="1:6">
      <c r="A167" t="s">
        <v>609</v>
      </c>
      <c r="B167" t="s">
        <v>590</v>
      </c>
      <c r="C167" t="s">
        <v>582</v>
      </c>
      <c r="D167" s="43" t="s">
        <v>279</v>
      </c>
      <c r="E167">
        <v>1</v>
      </c>
    </row>
    <row r="168" spans="1:6">
      <c r="A168" t="s">
        <v>609</v>
      </c>
      <c r="B168" t="s">
        <v>590</v>
      </c>
      <c r="C168" t="s">
        <v>582</v>
      </c>
      <c r="D168" s="43" t="s">
        <v>499</v>
      </c>
      <c r="E168">
        <v>1</v>
      </c>
    </row>
    <row r="169" spans="1:6">
      <c r="A169" t="s">
        <v>609</v>
      </c>
      <c r="B169" t="s">
        <v>590</v>
      </c>
      <c r="C169" t="s">
        <v>582</v>
      </c>
      <c r="D169" s="43" t="s">
        <v>591</v>
      </c>
      <c r="E169">
        <v>1</v>
      </c>
    </row>
    <row r="170" spans="1:6">
      <c r="A170" t="s">
        <v>609</v>
      </c>
      <c r="B170" t="s">
        <v>590</v>
      </c>
      <c r="C170" t="s">
        <v>581</v>
      </c>
      <c r="D170" s="43" t="s">
        <v>587</v>
      </c>
      <c r="E170">
        <v>0</v>
      </c>
    </row>
    <row r="171" spans="1:6">
      <c r="A171" t="s">
        <v>614</v>
      </c>
      <c r="B171" t="s">
        <v>580</v>
      </c>
      <c r="C171" t="s">
        <v>579</v>
      </c>
      <c r="D171" s="43" t="s">
        <v>410</v>
      </c>
      <c r="E171">
        <v>0</v>
      </c>
    </row>
    <row r="172" spans="1:6">
      <c r="A172" t="s">
        <v>614</v>
      </c>
      <c r="B172" t="s">
        <v>580</v>
      </c>
      <c r="C172" t="s">
        <v>579</v>
      </c>
      <c r="D172" s="43" t="s">
        <v>323</v>
      </c>
      <c r="E172">
        <v>0</v>
      </c>
    </row>
    <row r="173" spans="1:6">
      <c r="A173" t="s">
        <v>614</v>
      </c>
      <c r="B173" t="s">
        <v>583</v>
      </c>
      <c r="C173" t="s">
        <v>579</v>
      </c>
      <c r="D173" s="43" t="s">
        <v>592</v>
      </c>
      <c r="E173">
        <v>1</v>
      </c>
    </row>
    <row r="174" spans="1:6">
      <c r="A174" t="s">
        <v>614</v>
      </c>
      <c r="B174" t="s">
        <v>583</v>
      </c>
      <c r="C174" t="s">
        <v>579</v>
      </c>
      <c r="D174" s="43" t="s">
        <v>548</v>
      </c>
      <c r="E174">
        <v>1</v>
      </c>
    </row>
    <row r="175" spans="1:6">
      <c r="A175" t="s">
        <v>614</v>
      </c>
      <c r="B175" t="s">
        <v>583</v>
      </c>
      <c r="C175" t="s">
        <v>579</v>
      </c>
      <c r="D175" s="43" t="s">
        <v>593</v>
      </c>
      <c r="E175">
        <v>1</v>
      </c>
    </row>
    <row r="176" spans="1:6">
      <c r="A176" t="s">
        <v>614</v>
      </c>
      <c r="B176" t="s">
        <v>583</v>
      </c>
      <c r="C176" t="s">
        <v>579</v>
      </c>
      <c r="D176" s="43" t="s">
        <v>594</v>
      </c>
      <c r="E176">
        <v>1</v>
      </c>
    </row>
    <row r="177" spans="1:5">
      <c r="A177" t="s">
        <v>614</v>
      </c>
      <c r="B177" t="s">
        <v>583</v>
      </c>
      <c r="C177" t="s">
        <v>579</v>
      </c>
      <c r="D177" s="43" t="s">
        <v>461</v>
      </c>
      <c r="E177">
        <v>1</v>
      </c>
    </row>
    <row r="178" spans="1:5">
      <c r="A178" t="s">
        <v>614</v>
      </c>
      <c r="B178" t="s">
        <v>583</v>
      </c>
      <c r="C178" t="s">
        <v>579</v>
      </c>
      <c r="D178" s="43" t="s">
        <v>406</v>
      </c>
      <c r="E178">
        <v>1</v>
      </c>
    </row>
    <row r="179" spans="1:5">
      <c r="A179" t="s">
        <v>614</v>
      </c>
      <c r="B179" t="s">
        <v>583</v>
      </c>
      <c r="C179" t="s">
        <v>579</v>
      </c>
      <c r="D179" s="43" t="s">
        <v>595</v>
      </c>
      <c r="E179">
        <v>1</v>
      </c>
    </row>
    <row r="180" spans="1:5">
      <c r="A180" t="s">
        <v>614</v>
      </c>
      <c r="B180" t="s">
        <v>583</v>
      </c>
      <c r="C180" t="s">
        <v>579</v>
      </c>
      <c r="D180" s="43" t="s">
        <v>596</v>
      </c>
      <c r="E180">
        <v>1</v>
      </c>
    </row>
    <row r="181" spans="1:5">
      <c r="A181" t="s">
        <v>614</v>
      </c>
      <c r="B181" t="s">
        <v>583</v>
      </c>
      <c r="C181" t="s">
        <v>579</v>
      </c>
      <c r="D181" s="43" t="s">
        <v>597</v>
      </c>
      <c r="E181">
        <v>1</v>
      </c>
    </row>
    <row r="182" spans="1:5">
      <c r="A182" t="s">
        <v>614</v>
      </c>
      <c r="B182" t="s">
        <v>583</v>
      </c>
      <c r="C182" t="s">
        <v>579</v>
      </c>
      <c r="D182" s="43" t="s">
        <v>598</v>
      </c>
      <c r="E182">
        <v>1</v>
      </c>
    </row>
    <row r="183" spans="1:5">
      <c r="A183" t="s">
        <v>614</v>
      </c>
      <c r="B183" t="s">
        <v>583</v>
      </c>
      <c r="C183" t="s">
        <v>579</v>
      </c>
      <c r="D183" s="43" t="s">
        <v>599</v>
      </c>
      <c r="E183">
        <v>1</v>
      </c>
    </row>
    <row r="184" spans="1:5">
      <c r="A184" t="s">
        <v>614</v>
      </c>
      <c r="B184" t="s">
        <v>583</v>
      </c>
      <c r="C184" t="s">
        <v>579</v>
      </c>
      <c r="D184" s="43" t="s">
        <v>338</v>
      </c>
      <c r="E184">
        <v>1</v>
      </c>
    </row>
    <row r="185" spans="1:5">
      <c r="A185" t="s">
        <v>614</v>
      </c>
      <c r="B185" t="s">
        <v>583</v>
      </c>
      <c r="C185" t="s">
        <v>579</v>
      </c>
      <c r="D185" s="43" t="s">
        <v>600</v>
      </c>
      <c r="E185">
        <v>1</v>
      </c>
    </row>
    <row r="186" spans="1:5">
      <c r="A186" t="s">
        <v>614</v>
      </c>
      <c r="B186" t="s">
        <v>583</v>
      </c>
      <c r="C186" t="s">
        <v>579</v>
      </c>
      <c r="D186" s="43" t="s">
        <v>601</v>
      </c>
      <c r="E186">
        <v>1</v>
      </c>
    </row>
    <row r="187" spans="1:5">
      <c r="A187" t="s">
        <v>614</v>
      </c>
      <c r="B187" t="s">
        <v>583</v>
      </c>
      <c r="C187" t="s">
        <v>579</v>
      </c>
      <c r="D187" s="43" t="s">
        <v>602</v>
      </c>
      <c r="E187">
        <v>1</v>
      </c>
    </row>
    <row r="188" spans="1:5">
      <c r="A188" t="s">
        <v>614</v>
      </c>
      <c r="B188" t="s">
        <v>583</v>
      </c>
      <c r="C188" t="s">
        <v>579</v>
      </c>
      <c r="D188" s="43" t="s">
        <v>603</v>
      </c>
      <c r="E188">
        <v>1</v>
      </c>
    </row>
    <row r="189" spans="1:5">
      <c r="A189" t="s">
        <v>614</v>
      </c>
      <c r="B189" t="s">
        <v>583</v>
      </c>
      <c r="C189" t="s">
        <v>579</v>
      </c>
      <c r="D189" s="43" t="s">
        <v>604</v>
      </c>
      <c r="E189">
        <v>1</v>
      </c>
    </row>
    <row r="190" spans="1:5">
      <c r="A190" t="s">
        <v>614</v>
      </c>
      <c r="B190" t="s">
        <v>583</v>
      </c>
      <c r="C190" t="s">
        <v>579</v>
      </c>
      <c r="D190" s="43" t="s">
        <v>390</v>
      </c>
      <c r="E190">
        <v>1</v>
      </c>
    </row>
    <row r="191" spans="1:5">
      <c r="A191" t="s">
        <v>614</v>
      </c>
      <c r="B191" t="s">
        <v>583</v>
      </c>
      <c r="C191" t="s">
        <v>582</v>
      </c>
      <c r="D191" s="43" t="s">
        <v>588</v>
      </c>
      <c r="E191">
        <v>0</v>
      </c>
    </row>
    <row r="192" spans="1:5">
      <c r="A192" t="s">
        <v>614</v>
      </c>
      <c r="B192" t="s">
        <v>590</v>
      </c>
      <c r="C192" t="s">
        <v>582</v>
      </c>
      <c r="D192" s="43" t="s">
        <v>396</v>
      </c>
      <c r="E192">
        <v>1</v>
      </c>
    </row>
    <row r="193" spans="1:5">
      <c r="A193" t="s">
        <v>614</v>
      </c>
      <c r="B193" t="s">
        <v>590</v>
      </c>
      <c r="C193" t="s">
        <v>582</v>
      </c>
      <c r="D193" s="43" t="s">
        <v>520</v>
      </c>
      <c r="E193">
        <v>1</v>
      </c>
    </row>
    <row r="194" spans="1:5">
      <c r="A194" t="s">
        <v>614</v>
      </c>
      <c r="B194" t="s">
        <v>590</v>
      </c>
      <c r="C194" t="s">
        <v>582</v>
      </c>
      <c r="D194" s="43" t="s">
        <v>279</v>
      </c>
      <c r="E194">
        <v>1</v>
      </c>
    </row>
    <row r="195" spans="1:5">
      <c r="A195" t="s">
        <v>614</v>
      </c>
      <c r="B195" t="s">
        <v>590</v>
      </c>
      <c r="C195" t="s">
        <v>582</v>
      </c>
      <c r="D195" s="43" t="s">
        <v>499</v>
      </c>
      <c r="E195">
        <v>1</v>
      </c>
    </row>
    <row r="196" spans="1:5">
      <c r="A196" t="s">
        <v>614</v>
      </c>
      <c r="B196" t="s">
        <v>590</v>
      </c>
      <c r="C196" t="s">
        <v>582</v>
      </c>
      <c r="D196" s="43" t="s">
        <v>591</v>
      </c>
      <c r="E196">
        <v>1</v>
      </c>
    </row>
    <row r="197" spans="1:5">
      <c r="A197" t="s">
        <v>614</v>
      </c>
      <c r="B197" t="s">
        <v>590</v>
      </c>
      <c r="C197" t="s">
        <v>581</v>
      </c>
      <c r="D197" s="43" t="s">
        <v>587</v>
      </c>
      <c r="E197">
        <v>0</v>
      </c>
    </row>
    <row r="198" spans="1:5">
      <c r="A198" t="s">
        <v>529</v>
      </c>
      <c r="B198" t="s">
        <v>576</v>
      </c>
      <c r="C198" t="s">
        <v>579</v>
      </c>
      <c r="D198" s="43" t="s">
        <v>529</v>
      </c>
      <c r="E198">
        <v>0</v>
      </c>
    </row>
    <row r="199" spans="1:5">
      <c r="A199" t="s">
        <v>529</v>
      </c>
      <c r="B199" t="s">
        <v>580</v>
      </c>
      <c r="C199" t="s">
        <v>579</v>
      </c>
      <c r="D199" s="43" t="s">
        <v>507</v>
      </c>
      <c r="E199">
        <v>0</v>
      </c>
    </row>
    <row r="200" spans="1:5">
      <c r="A200" t="s">
        <v>529</v>
      </c>
      <c r="B200" t="s">
        <v>583</v>
      </c>
      <c r="C200" t="s">
        <v>579</v>
      </c>
      <c r="D200" s="43" t="s">
        <v>326</v>
      </c>
      <c r="E200">
        <v>0</v>
      </c>
    </row>
    <row r="201" spans="1:5">
      <c r="A201" t="s">
        <v>529</v>
      </c>
      <c r="B201" t="s">
        <v>583</v>
      </c>
      <c r="C201" t="s">
        <v>579</v>
      </c>
      <c r="D201" s="43" t="s">
        <v>552</v>
      </c>
      <c r="E201">
        <v>0</v>
      </c>
    </row>
    <row r="202" spans="1:5">
      <c r="A202" t="s">
        <v>529</v>
      </c>
      <c r="B202" t="s">
        <v>583</v>
      </c>
      <c r="C202" t="s">
        <v>579</v>
      </c>
      <c r="D202" s="43" t="s">
        <v>584</v>
      </c>
      <c r="E202">
        <v>0</v>
      </c>
    </row>
    <row r="203" spans="1:5">
      <c r="A203" t="s">
        <v>529</v>
      </c>
      <c r="B203" t="s">
        <v>583</v>
      </c>
      <c r="C203" t="s">
        <v>579</v>
      </c>
      <c r="D203" s="43" t="s">
        <v>297</v>
      </c>
      <c r="E203">
        <v>0</v>
      </c>
    </row>
    <row r="204" spans="1:5">
      <c r="A204" t="s">
        <v>529</v>
      </c>
      <c r="B204" t="s">
        <v>583</v>
      </c>
      <c r="C204" t="s">
        <v>579</v>
      </c>
      <c r="D204" s="43" t="s">
        <v>373</v>
      </c>
      <c r="E204">
        <v>0</v>
      </c>
    </row>
    <row r="205" spans="1:5">
      <c r="A205" t="s">
        <v>529</v>
      </c>
      <c r="B205" t="s">
        <v>583</v>
      </c>
      <c r="C205" t="s">
        <v>582</v>
      </c>
      <c r="D205" s="43" t="s">
        <v>284</v>
      </c>
      <c r="E205">
        <v>0</v>
      </c>
    </row>
    <row r="206" spans="1:5">
      <c r="A206" t="s">
        <v>529</v>
      </c>
      <c r="B206" t="s">
        <v>583</v>
      </c>
      <c r="C206" t="s">
        <v>582</v>
      </c>
      <c r="D206" s="43" t="s">
        <v>287</v>
      </c>
      <c r="E206">
        <v>0</v>
      </c>
    </row>
    <row r="207" spans="1:5">
      <c r="A207" t="s">
        <v>529</v>
      </c>
      <c r="B207" t="s">
        <v>590</v>
      </c>
      <c r="C207" t="s">
        <v>579</v>
      </c>
      <c r="D207" s="43" t="s">
        <v>373</v>
      </c>
      <c r="E207">
        <v>1</v>
      </c>
    </row>
    <row r="208" spans="1:5">
      <c r="A208" t="s">
        <v>529</v>
      </c>
      <c r="B208" t="s">
        <v>590</v>
      </c>
      <c r="C208" t="s">
        <v>582</v>
      </c>
      <c r="D208" s="43" t="s">
        <v>591</v>
      </c>
      <c r="E208">
        <v>1</v>
      </c>
    </row>
    <row r="209" spans="1:5">
      <c r="A209" t="s">
        <v>529</v>
      </c>
      <c r="B209" t="s">
        <v>590</v>
      </c>
      <c r="C209" t="s">
        <v>582</v>
      </c>
      <c r="D209" s="43" t="s">
        <v>396</v>
      </c>
      <c r="E209">
        <v>1</v>
      </c>
    </row>
    <row r="210" spans="1:5">
      <c r="A210" t="s">
        <v>529</v>
      </c>
      <c r="B210" t="s">
        <v>590</v>
      </c>
      <c r="C210" t="s">
        <v>582</v>
      </c>
      <c r="D210" s="43" t="s">
        <v>399</v>
      </c>
      <c r="E210">
        <v>1</v>
      </c>
    </row>
    <row r="211" spans="1:5">
      <c r="A211" t="s">
        <v>529</v>
      </c>
      <c r="B211" t="s">
        <v>590</v>
      </c>
      <c r="C211" t="s">
        <v>582</v>
      </c>
      <c r="D211" s="43" t="s">
        <v>279</v>
      </c>
      <c r="E211">
        <v>1</v>
      </c>
    </row>
    <row r="212" spans="1:5">
      <c r="A212" t="s">
        <v>529</v>
      </c>
      <c r="B212" t="s">
        <v>590</v>
      </c>
      <c r="C212" t="s">
        <v>582</v>
      </c>
      <c r="D212" s="43" t="s">
        <v>499</v>
      </c>
      <c r="E212">
        <v>1</v>
      </c>
    </row>
    <row r="213" spans="1:5">
      <c r="A213" t="s">
        <v>529</v>
      </c>
      <c r="B213" t="s">
        <v>590</v>
      </c>
      <c r="C213" t="s">
        <v>582</v>
      </c>
      <c r="D213" s="43" t="s">
        <v>545</v>
      </c>
      <c r="E213">
        <v>1</v>
      </c>
    </row>
    <row r="214" spans="1:5">
      <c r="A214" t="s">
        <v>529</v>
      </c>
      <c r="B214" t="s">
        <v>590</v>
      </c>
      <c r="C214" t="s">
        <v>582</v>
      </c>
      <c r="D214" s="43" t="s">
        <v>516</v>
      </c>
      <c r="E214">
        <v>1</v>
      </c>
    </row>
    <row r="215" spans="1:5">
      <c r="A215" t="s">
        <v>529</v>
      </c>
      <c r="B215" t="s">
        <v>590</v>
      </c>
      <c r="C215" t="s">
        <v>581</v>
      </c>
      <c r="D215" s="43" t="s">
        <v>533</v>
      </c>
      <c r="E215">
        <v>1</v>
      </c>
    </row>
    <row r="216" spans="1:5">
      <c r="A216" t="s">
        <v>529</v>
      </c>
      <c r="B216" t="s">
        <v>590</v>
      </c>
      <c r="C216" t="s">
        <v>581</v>
      </c>
      <c r="D216" s="43" t="s">
        <v>525</v>
      </c>
      <c r="E216">
        <v>1</v>
      </c>
    </row>
    <row r="217" spans="1:5">
      <c r="A217" t="s">
        <v>529</v>
      </c>
      <c r="B217" t="s">
        <v>590</v>
      </c>
      <c r="C217" t="s">
        <v>581</v>
      </c>
      <c r="D217" s="43" t="s">
        <v>541</v>
      </c>
      <c r="E217">
        <v>1</v>
      </c>
    </row>
    <row r="218" spans="1:5">
      <c r="A218" t="s">
        <v>529</v>
      </c>
      <c r="B218" t="s">
        <v>590</v>
      </c>
      <c r="C218" t="s">
        <v>581</v>
      </c>
      <c r="D218" s="43" t="s">
        <v>556</v>
      </c>
      <c r="E218">
        <v>1</v>
      </c>
    </row>
    <row r="219" spans="1:5">
      <c r="A219" t="s">
        <v>529</v>
      </c>
      <c r="B219" t="s">
        <v>590</v>
      </c>
      <c r="C219" t="s">
        <v>581</v>
      </c>
      <c r="D219" s="43" t="s">
        <v>414</v>
      </c>
      <c r="E219">
        <v>1</v>
      </c>
    </row>
    <row r="220" spans="1:5">
      <c r="A220" t="s">
        <v>529</v>
      </c>
      <c r="B220" t="s">
        <v>590</v>
      </c>
      <c r="C220" t="s">
        <v>581</v>
      </c>
      <c r="D220" s="43" t="s">
        <v>592</v>
      </c>
      <c r="E220">
        <v>1</v>
      </c>
    </row>
    <row r="221" spans="1:5">
      <c r="A221" t="s">
        <v>529</v>
      </c>
      <c r="B221" t="s">
        <v>590</v>
      </c>
      <c r="C221" t="s">
        <v>581</v>
      </c>
      <c r="D221" s="43" t="s">
        <v>548</v>
      </c>
      <c r="E221">
        <v>1</v>
      </c>
    </row>
    <row r="222" spans="1:5">
      <c r="A222" t="s">
        <v>529</v>
      </c>
      <c r="B222" t="s">
        <v>590</v>
      </c>
      <c r="C222" t="s">
        <v>581</v>
      </c>
      <c r="D222" s="43" t="s">
        <v>593</v>
      </c>
      <c r="E222">
        <v>1</v>
      </c>
    </row>
    <row r="223" spans="1:5">
      <c r="A223" t="s">
        <v>529</v>
      </c>
      <c r="B223" t="s">
        <v>590</v>
      </c>
      <c r="C223" t="s">
        <v>581</v>
      </c>
      <c r="D223" s="43" t="s">
        <v>594</v>
      </c>
      <c r="E223">
        <v>1</v>
      </c>
    </row>
    <row r="224" spans="1:5">
      <c r="A224" t="s">
        <v>529</v>
      </c>
      <c r="B224" t="s">
        <v>590</v>
      </c>
      <c r="C224" t="s">
        <v>581</v>
      </c>
      <c r="D224" s="43" t="s">
        <v>461</v>
      </c>
      <c r="E224">
        <v>1</v>
      </c>
    </row>
    <row r="225" spans="1:5">
      <c r="A225" t="s">
        <v>529</v>
      </c>
      <c r="B225" t="s">
        <v>590</v>
      </c>
      <c r="C225" t="s">
        <v>581</v>
      </c>
      <c r="D225" s="43" t="s">
        <v>406</v>
      </c>
      <c r="E225">
        <v>1</v>
      </c>
    </row>
    <row r="226" spans="1:5">
      <c r="A226" t="s">
        <v>529</v>
      </c>
      <c r="B226" t="s">
        <v>590</v>
      </c>
      <c r="C226" t="s">
        <v>581</v>
      </c>
      <c r="D226" s="43" t="s">
        <v>595</v>
      </c>
      <c r="E226">
        <v>1</v>
      </c>
    </row>
    <row r="227" spans="1:5">
      <c r="A227" t="s">
        <v>529</v>
      </c>
      <c r="B227" t="s">
        <v>590</v>
      </c>
      <c r="C227" t="s">
        <v>581</v>
      </c>
      <c r="D227" s="43" t="s">
        <v>596</v>
      </c>
      <c r="E227">
        <v>1</v>
      </c>
    </row>
    <row r="228" spans="1:5">
      <c r="A228" t="s">
        <v>529</v>
      </c>
      <c r="B228" t="s">
        <v>590</v>
      </c>
      <c r="C228" t="s">
        <v>581</v>
      </c>
      <c r="D228" s="43" t="s">
        <v>597</v>
      </c>
      <c r="E228">
        <v>1</v>
      </c>
    </row>
    <row r="229" spans="1:5">
      <c r="A229" t="s">
        <v>529</v>
      </c>
      <c r="B229" t="s">
        <v>590</v>
      </c>
      <c r="C229" t="s">
        <v>581</v>
      </c>
      <c r="D229" s="43" t="s">
        <v>598</v>
      </c>
      <c r="E229">
        <v>1</v>
      </c>
    </row>
    <row r="230" spans="1:5">
      <c r="A230" t="s">
        <v>529</v>
      </c>
      <c r="B230" t="s">
        <v>590</v>
      </c>
      <c r="C230" t="s">
        <v>581</v>
      </c>
      <c r="D230" s="43" t="s">
        <v>599</v>
      </c>
      <c r="E230">
        <v>1</v>
      </c>
    </row>
    <row r="231" spans="1:5">
      <c r="A231" t="s">
        <v>529</v>
      </c>
      <c r="B231" t="s">
        <v>590</v>
      </c>
      <c r="C231" t="s">
        <v>581</v>
      </c>
      <c r="D231" s="43" t="s">
        <v>338</v>
      </c>
      <c r="E231">
        <v>1</v>
      </c>
    </row>
    <row r="232" spans="1:5">
      <c r="A232" t="s">
        <v>529</v>
      </c>
      <c r="B232" t="s">
        <v>590</v>
      </c>
      <c r="C232" t="s">
        <v>581</v>
      </c>
      <c r="D232" s="43" t="s">
        <v>600</v>
      </c>
      <c r="E232">
        <v>1</v>
      </c>
    </row>
    <row r="233" spans="1:5">
      <c r="A233" t="s">
        <v>529</v>
      </c>
      <c r="B233" t="s">
        <v>590</v>
      </c>
      <c r="C233" t="s">
        <v>581</v>
      </c>
      <c r="D233" s="43" t="s">
        <v>601</v>
      </c>
      <c r="E233">
        <v>1</v>
      </c>
    </row>
    <row r="234" spans="1:5">
      <c r="A234" t="s">
        <v>529</v>
      </c>
      <c r="B234" t="s">
        <v>590</v>
      </c>
      <c r="C234" t="s">
        <v>581</v>
      </c>
      <c r="D234" s="43" t="s">
        <v>602</v>
      </c>
      <c r="E234">
        <v>1</v>
      </c>
    </row>
    <row r="235" spans="1:5">
      <c r="A235" t="s">
        <v>529</v>
      </c>
      <c r="B235" t="s">
        <v>590</v>
      </c>
      <c r="C235" t="s">
        <v>581</v>
      </c>
      <c r="D235" s="43" t="s">
        <v>603</v>
      </c>
      <c r="E235">
        <v>1</v>
      </c>
    </row>
    <row r="236" spans="1:5">
      <c r="A236" t="s">
        <v>529</v>
      </c>
      <c r="B236" t="s">
        <v>590</v>
      </c>
      <c r="C236" t="s">
        <v>581</v>
      </c>
      <c r="D236" s="43" t="s">
        <v>604</v>
      </c>
      <c r="E236">
        <v>1</v>
      </c>
    </row>
    <row r="237" spans="1:5">
      <c r="A237" t="s">
        <v>615</v>
      </c>
      <c r="B237" t="s">
        <v>576</v>
      </c>
      <c r="C237" t="s">
        <v>579</v>
      </c>
      <c r="D237" s="43" t="s">
        <v>326</v>
      </c>
      <c r="E237">
        <v>0</v>
      </c>
    </row>
    <row r="238" spans="1:5">
      <c r="A238" t="s">
        <v>615</v>
      </c>
      <c r="B238" t="s">
        <v>576</v>
      </c>
      <c r="C238" t="s">
        <v>579</v>
      </c>
      <c r="D238" s="43" t="s">
        <v>410</v>
      </c>
      <c r="E238">
        <v>0</v>
      </c>
    </row>
    <row r="239" spans="1:5">
      <c r="A239" t="s">
        <v>615</v>
      </c>
      <c r="B239" t="s">
        <v>580</v>
      </c>
      <c r="C239" t="s">
        <v>579</v>
      </c>
      <c r="D239" s="43" t="s">
        <v>365</v>
      </c>
      <c r="E239">
        <v>0</v>
      </c>
    </row>
    <row r="240" spans="1:5">
      <c r="A240" t="s">
        <v>615</v>
      </c>
      <c r="B240" t="s">
        <v>580</v>
      </c>
      <c r="C240" t="s">
        <v>579</v>
      </c>
      <c r="D240" s="43" t="s">
        <v>429</v>
      </c>
      <c r="E240">
        <v>0</v>
      </c>
    </row>
    <row r="241" spans="1:5">
      <c r="A241" t="s">
        <v>615</v>
      </c>
      <c r="B241" t="s">
        <v>580</v>
      </c>
      <c r="C241" t="s">
        <v>579</v>
      </c>
      <c r="D241" s="43" t="s">
        <v>419</v>
      </c>
      <c r="E241">
        <v>0</v>
      </c>
    </row>
    <row r="242" spans="1:5">
      <c r="A242" t="s">
        <v>615</v>
      </c>
      <c r="B242" t="s">
        <v>580</v>
      </c>
      <c r="C242" t="s">
        <v>579</v>
      </c>
      <c r="D242" s="43" t="s">
        <v>616</v>
      </c>
      <c r="E242">
        <v>0</v>
      </c>
    </row>
    <row r="243" spans="1:5">
      <c r="A243" t="s">
        <v>615</v>
      </c>
      <c r="B243" t="s">
        <v>580</v>
      </c>
      <c r="C243" t="s">
        <v>579</v>
      </c>
      <c r="D243" s="43" t="s">
        <v>492</v>
      </c>
      <c r="E243">
        <v>0</v>
      </c>
    </row>
    <row r="244" spans="1:5">
      <c r="A244" t="s">
        <v>615</v>
      </c>
      <c r="B244" t="s">
        <v>580</v>
      </c>
      <c r="C244" t="s">
        <v>579</v>
      </c>
      <c r="D244" s="43" t="s">
        <v>617</v>
      </c>
      <c r="E244">
        <v>0</v>
      </c>
    </row>
    <row r="245" spans="1:5">
      <c r="A245" t="s">
        <v>615</v>
      </c>
      <c r="B245" t="s">
        <v>580</v>
      </c>
      <c r="C245" t="s">
        <v>579</v>
      </c>
      <c r="D245" s="43" t="s">
        <v>507</v>
      </c>
      <c r="E245">
        <v>0</v>
      </c>
    </row>
    <row r="246" spans="1:5">
      <c r="A246" t="s">
        <v>615</v>
      </c>
      <c r="B246" t="s">
        <v>580</v>
      </c>
      <c r="C246" t="s">
        <v>582</v>
      </c>
      <c r="D246" s="43" t="s">
        <v>287</v>
      </c>
      <c r="E246">
        <v>0</v>
      </c>
    </row>
    <row r="247" spans="1:5">
      <c r="A247" t="s">
        <v>615</v>
      </c>
      <c r="B247" t="s">
        <v>580</v>
      </c>
      <c r="C247" t="s">
        <v>581</v>
      </c>
      <c r="D247" s="43" t="s">
        <v>607</v>
      </c>
      <c r="E247">
        <v>0</v>
      </c>
    </row>
    <row r="248" spans="1:5">
      <c r="A248" t="s">
        <v>615</v>
      </c>
      <c r="B248" t="s">
        <v>583</v>
      </c>
      <c r="C248" t="s">
        <v>579</v>
      </c>
      <c r="D248" s="43" t="s">
        <v>584</v>
      </c>
      <c r="E248">
        <v>0</v>
      </c>
    </row>
    <row r="249" spans="1:5">
      <c r="A249" t="s">
        <v>615</v>
      </c>
      <c r="B249" t="s">
        <v>583</v>
      </c>
      <c r="C249" t="s">
        <v>579</v>
      </c>
      <c r="D249" s="43" t="s">
        <v>402</v>
      </c>
      <c r="E249">
        <v>0</v>
      </c>
    </row>
    <row r="250" spans="1:5">
      <c r="A250" t="s">
        <v>615</v>
      </c>
      <c r="B250" t="s">
        <v>583</v>
      </c>
      <c r="C250" t="s">
        <v>579</v>
      </c>
      <c r="D250" s="43" t="s">
        <v>323</v>
      </c>
      <c r="E250">
        <v>0</v>
      </c>
    </row>
    <row r="251" spans="1:5">
      <c r="A251" t="s">
        <v>615</v>
      </c>
      <c r="B251" t="s">
        <v>583</v>
      </c>
      <c r="C251" t="s">
        <v>579</v>
      </c>
      <c r="D251" s="43" t="s">
        <v>608</v>
      </c>
      <c r="E251">
        <v>0</v>
      </c>
    </row>
    <row r="252" spans="1:5">
      <c r="A252" t="s">
        <v>615</v>
      </c>
      <c r="B252" t="s">
        <v>583</v>
      </c>
      <c r="C252" t="s">
        <v>579</v>
      </c>
      <c r="D252" s="43" t="s">
        <v>552</v>
      </c>
      <c r="E252">
        <v>0</v>
      </c>
    </row>
    <row r="253" spans="1:5">
      <c r="A253" t="s">
        <v>615</v>
      </c>
      <c r="B253" t="s">
        <v>583</v>
      </c>
      <c r="C253" t="s">
        <v>579</v>
      </c>
      <c r="D253" s="43" t="s">
        <v>303</v>
      </c>
      <c r="E253">
        <v>0</v>
      </c>
    </row>
    <row r="254" spans="1:5">
      <c r="A254" t="s">
        <v>615</v>
      </c>
      <c r="B254" t="s">
        <v>583</v>
      </c>
      <c r="C254" t="s">
        <v>579</v>
      </c>
      <c r="D254" s="43" t="s">
        <v>585</v>
      </c>
      <c r="E254">
        <v>0</v>
      </c>
    </row>
    <row r="255" spans="1:5">
      <c r="A255" t="s">
        <v>615</v>
      </c>
      <c r="B255" t="s">
        <v>583</v>
      </c>
      <c r="C255" t="s">
        <v>579</v>
      </c>
      <c r="D255" s="43" t="s">
        <v>297</v>
      </c>
      <c r="E255">
        <v>0</v>
      </c>
    </row>
    <row r="256" spans="1:5">
      <c r="A256" t="s">
        <v>615</v>
      </c>
      <c r="B256" t="s">
        <v>583</v>
      </c>
      <c r="C256" t="s">
        <v>579</v>
      </c>
      <c r="D256" s="43" t="s">
        <v>529</v>
      </c>
      <c r="E256">
        <v>0</v>
      </c>
    </row>
    <row r="257" spans="1:5">
      <c r="A257" t="s">
        <v>615</v>
      </c>
      <c r="B257" t="s">
        <v>583</v>
      </c>
      <c r="C257" t="s">
        <v>579</v>
      </c>
      <c r="D257" s="43" t="s">
        <v>350</v>
      </c>
      <c r="E257">
        <v>0</v>
      </c>
    </row>
    <row r="258" spans="1:5">
      <c r="A258" t="s">
        <v>615</v>
      </c>
      <c r="B258" t="s">
        <v>583</v>
      </c>
      <c r="C258" t="s">
        <v>579</v>
      </c>
      <c r="D258" s="43" t="s">
        <v>606</v>
      </c>
      <c r="E258">
        <v>0</v>
      </c>
    </row>
    <row r="259" spans="1:5">
      <c r="A259" t="s">
        <v>615</v>
      </c>
      <c r="B259" t="s">
        <v>583</v>
      </c>
      <c r="C259" t="s">
        <v>579</v>
      </c>
      <c r="D259" s="43" t="s">
        <v>373</v>
      </c>
      <c r="E259">
        <v>0</v>
      </c>
    </row>
    <row r="260" spans="1:5">
      <c r="A260" t="s">
        <v>615</v>
      </c>
      <c r="B260" t="s">
        <v>583</v>
      </c>
      <c r="C260" t="s">
        <v>582</v>
      </c>
      <c r="D260" s="43" t="s">
        <v>586</v>
      </c>
      <c r="E260">
        <v>0</v>
      </c>
    </row>
    <row r="261" spans="1:5">
      <c r="A261" t="s">
        <v>615</v>
      </c>
      <c r="B261" t="s">
        <v>583</v>
      </c>
      <c r="C261" t="s">
        <v>582</v>
      </c>
      <c r="D261" s="43" t="s">
        <v>284</v>
      </c>
      <c r="E261">
        <v>0</v>
      </c>
    </row>
    <row r="262" spans="1:5">
      <c r="A262" t="s">
        <v>615</v>
      </c>
      <c r="B262" t="s">
        <v>583</v>
      </c>
      <c r="C262" t="s">
        <v>581</v>
      </c>
      <c r="D262" s="43" t="s">
        <v>592</v>
      </c>
      <c r="E262">
        <v>0</v>
      </c>
    </row>
    <row r="263" spans="1:5">
      <c r="A263" t="s">
        <v>615</v>
      </c>
      <c r="B263" t="s">
        <v>583</v>
      </c>
      <c r="C263" t="s">
        <v>581</v>
      </c>
      <c r="D263" s="43" t="s">
        <v>548</v>
      </c>
      <c r="E263">
        <v>0</v>
      </c>
    </row>
    <row r="264" spans="1:5">
      <c r="A264" t="s">
        <v>615</v>
      </c>
      <c r="B264" t="s">
        <v>583</v>
      </c>
      <c r="C264" t="s">
        <v>581</v>
      </c>
      <c r="D264" s="43" t="s">
        <v>593</v>
      </c>
      <c r="E264">
        <v>0</v>
      </c>
    </row>
    <row r="265" spans="1:5">
      <c r="A265" t="s">
        <v>615</v>
      </c>
      <c r="B265" t="s">
        <v>583</v>
      </c>
      <c r="C265" t="s">
        <v>581</v>
      </c>
      <c r="D265" s="43" t="s">
        <v>594</v>
      </c>
      <c r="E265">
        <v>0</v>
      </c>
    </row>
    <row r="266" spans="1:5">
      <c r="A266" t="s">
        <v>615</v>
      </c>
      <c r="B266" t="s">
        <v>583</v>
      </c>
      <c r="C266" t="s">
        <v>581</v>
      </c>
      <c r="D266" s="43" t="s">
        <v>461</v>
      </c>
      <c r="E266">
        <v>0</v>
      </c>
    </row>
    <row r="267" spans="1:5">
      <c r="A267" t="s">
        <v>615</v>
      </c>
      <c r="B267" t="s">
        <v>583</v>
      </c>
      <c r="C267" t="s">
        <v>581</v>
      </c>
      <c r="D267" s="43" t="s">
        <v>406</v>
      </c>
      <c r="E267">
        <v>0</v>
      </c>
    </row>
    <row r="268" spans="1:5">
      <c r="A268" t="s">
        <v>615</v>
      </c>
      <c r="B268" t="s">
        <v>583</v>
      </c>
      <c r="C268" t="s">
        <v>581</v>
      </c>
      <c r="D268" s="43" t="s">
        <v>595</v>
      </c>
      <c r="E268">
        <v>0</v>
      </c>
    </row>
    <row r="269" spans="1:5">
      <c r="A269" t="s">
        <v>615</v>
      </c>
      <c r="B269" t="s">
        <v>583</v>
      </c>
      <c r="C269" t="s">
        <v>581</v>
      </c>
      <c r="D269" s="43" t="s">
        <v>596</v>
      </c>
      <c r="E269">
        <v>0</v>
      </c>
    </row>
    <row r="270" spans="1:5">
      <c r="A270" t="s">
        <v>615</v>
      </c>
      <c r="B270" t="s">
        <v>583</v>
      </c>
      <c r="C270" t="s">
        <v>581</v>
      </c>
      <c r="D270" s="43" t="s">
        <v>597</v>
      </c>
      <c r="E270">
        <v>0</v>
      </c>
    </row>
    <row r="271" spans="1:5">
      <c r="A271" t="s">
        <v>615</v>
      </c>
      <c r="B271" t="s">
        <v>583</v>
      </c>
      <c r="C271" t="s">
        <v>581</v>
      </c>
      <c r="D271" s="43" t="s">
        <v>598</v>
      </c>
      <c r="E271">
        <v>0</v>
      </c>
    </row>
    <row r="272" spans="1:5">
      <c r="A272" t="s">
        <v>615</v>
      </c>
      <c r="B272" t="s">
        <v>583</v>
      </c>
      <c r="C272" t="s">
        <v>581</v>
      </c>
      <c r="D272" s="43" t="s">
        <v>599</v>
      </c>
      <c r="E272">
        <v>0</v>
      </c>
    </row>
    <row r="273" spans="1:5">
      <c r="A273" t="s">
        <v>615</v>
      </c>
      <c r="B273" t="s">
        <v>583</v>
      </c>
      <c r="C273" t="s">
        <v>581</v>
      </c>
      <c r="D273" s="43" t="s">
        <v>338</v>
      </c>
      <c r="E273">
        <v>0</v>
      </c>
    </row>
    <row r="274" spans="1:5">
      <c r="A274" t="s">
        <v>615</v>
      </c>
      <c r="B274" t="s">
        <v>583</v>
      </c>
      <c r="C274" t="s">
        <v>581</v>
      </c>
      <c r="D274" s="43" t="s">
        <v>600</v>
      </c>
      <c r="E274">
        <v>0</v>
      </c>
    </row>
    <row r="275" spans="1:5">
      <c r="A275" t="s">
        <v>615</v>
      </c>
      <c r="B275" t="s">
        <v>583</v>
      </c>
      <c r="C275" t="s">
        <v>581</v>
      </c>
      <c r="D275" s="43" t="s">
        <v>601</v>
      </c>
      <c r="E275">
        <v>0</v>
      </c>
    </row>
    <row r="276" spans="1:5">
      <c r="A276" t="s">
        <v>615</v>
      </c>
      <c r="B276" t="s">
        <v>583</v>
      </c>
      <c r="C276" t="s">
        <v>581</v>
      </c>
      <c r="D276" s="43" t="s">
        <v>602</v>
      </c>
      <c r="E276">
        <v>0</v>
      </c>
    </row>
    <row r="277" spans="1:5">
      <c r="A277" t="s">
        <v>615</v>
      </c>
      <c r="B277" t="s">
        <v>583</v>
      </c>
      <c r="C277" t="s">
        <v>581</v>
      </c>
      <c r="D277" s="43" t="s">
        <v>603</v>
      </c>
      <c r="E277">
        <v>0</v>
      </c>
    </row>
    <row r="278" spans="1:5">
      <c r="A278" t="s">
        <v>615</v>
      </c>
      <c r="B278" t="s">
        <v>583</v>
      </c>
      <c r="C278" t="s">
        <v>581</v>
      </c>
      <c r="D278" s="43" t="s">
        <v>604</v>
      </c>
      <c r="E278">
        <v>0</v>
      </c>
    </row>
    <row r="279" spans="1:5">
      <c r="A279" t="s">
        <v>615</v>
      </c>
      <c r="B279" t="s">
        <v>583</v>
      </c>
      <c r="C279" t="s">
        <v>581</v>
      </c>
      <c r="D279" s="43" t="s">
        <v>587</v>
      </c>
      <c r="E279">
        <v>0</v>
      </c>
    </row>
    <row r="280" spans="1:5">
      <c r="A280" t="s">
        <v>615</v>
      </c>
      <c r="B280" t="s">
        <v>583</v>
      </c>
      <c r="C280" t="s">
        <v>581</v>
      </c>
      <c r="D280" s="43" t="s">
        <v>589</v>
      </c>
      <c r="E280">
        <v>0</v>
      </c>
    </row>
    <row r="281" spans="1:5">
      <c r="A281" t="s">
        <v>615</v>
      </c>
      <c r="B281" t="s">
        <v>583</v>
      </c>
      <c r="C281" t="s">
        <v>581</v>
      </c>
      <c r="D281" s="43" t="s">
        <v>588</v>
      </c>
      <c r="E281">
        <v>0</v>
      </c>
    </row>
    <row r="282" spans="1:5">
      <c r="A282" t="s">
        <v>615</v>
      </c>
      <c r="B282" t="s">
        <v>590</v>
      </c>
      <c r="C282" t="s">
        <v>579</v>
      </c>
      <c r="D282" s="43" t="s">
        <v>373</v>
      </c>
      <c r="E282">
        <v>1</v>
      </c>
    </row>
    <row r="283" spans="1:5">
      <c r="A283" t="s">
        <v>615</v>
      </c>
      <c r="B283" t="s">
        <v>590</v>
      </c>
      <c r="C283" t="s">
        <v>579</v>
      </c>
      <c r="D283" s="43" t="s">
        <v>347</v>
      </c>
      <c r="E283">
        <v>1</v>
      </c>
    </row>
    <row r="284" spans="1:5">
      <c r="A284" t="s">
        <v>615</v>
      </c>
      <c r="B284" t="s">
        <v>590</v>
      </c>
      <c r="C284" t="s">
        <v>582</v>
      </c>
      <c r="D284" s="43" t="s">
        <v>545</v>
      </c>
      <c r="E284">
        <v>1</v>
      </c>
    </row>
    <row r="285" spans="1:5">
      <c r="A285" t="s">
        <v>615</v>
      </c>
      <c r="B285" t="s">
        <v>590</v>
      </c>
      <c r="C285" t="s">
        <v>582</v>
      </c>
      <c r="D285" s="43" t="s">
        <v>520</v>
      </c>
      <c r="E285">
        <v>1</v>
      </c>
    </row>
    <row r="286" spans="1:5">
      <c r="A286" t="s">
        <v>615</v>
      </c>
      <c r="B286" t="s">
        <v>590</v>
      </c>
      <c r="C286" t="s">
        <v>582</v>
      </c>
      <c r="D286" s="43" t="s">
        <v>396</v>
      </c>
      <c r="E286">
        <v>1</v>
      </c>
    </row>
    <row r="287" spans="1:5">
      <c r="A287" t="s">
        <v>615</v>
      </c>
      <c r="B287" t="s">
        <v>590</v>
      </c>
      <c r="C287" t="s">
        <v>582</v>
      </c>
      <c r="D287" s="43" t="s">
        <v>399</v>
      </c>
      <c r="E287">
        <v>1</v>
      </c>
    </row>
    <row r="288" spans="1:5">
      <c r="A288" t="s">
        <v>615</v>
      </c>
      <c r="B288" t="s">
        <v>590</v>
      </c>
      <c r="C288" t="s">
        <v>582</v>
      </c>
      <c r="D288" s="43" t="s">
        <v>279</v>
      </c>
      <c r="E288">
        <v>1</v>
      </c>
    </row>
    <row r="289" spans="1:5">
      <c r="A289" t="s">
        <v>615</v>
      </c>
      <c r="B289" t="s">
        <v>590</v>
      </c>
      <c r="C289" t="s">
        <v>582</v>
      </c>
      <c r="D289" s="43" t="s">
        <v>499</v>
      </c>
      <c r="E289">
        <v>1</v>
      </c>
    </row>
    <row r="290" spans="1:5">
      <c r="A290" t="s">
        <v>615</v>
      </c>
      <c r="B290" t="s">
        <v>590</v>
      </c>
      <c r="C290" t="s">
        <v>582</v>
      </c>
      <c r="D290" s="43" t="s">
        <v>516</v>
      </c>
      <c r="E290">
        <v>1</v>
      </c>
    </row>
    <row r="291" spans="1:5">
      <c r="A291" t="s">
        <v>615</v>
      </c>
      <c r="B291" t="s">
        <v>590</v>
      </c>
      <c r="C291" t="s">
        <v>582</v>
      </c>
      <c r="D291" s="43" t="s">
        <v>591</v>
      </c>
      <c r="E291">
        <v>1</v>
      </c>
    </row>
    <row r="292" spans="1:5">
      <c r="A292" t="s">
        <v>615</v>
      </c>
      <c r="B292" t="s">
        <v>590</v>
      </c>
      <c r="C292" t="s">
        <v>582</v>
      </c>
      <c r="D292" s="43" t="s">
        <v>326</v>
      </c>
      <c r="E292">
        <v>1</v>
      </c>
    </row>
    <row r="293" spans="1:5">
      <c r="A293" t="s">
        <v>615</v>
      </c>
      <c r="B293" t="s">
        <v>590</v>
      </c>
      <c r="C293" t="s">
        <v>582</v>
      </c>
      <c r="D293" s="43" t="s">
        <v>410</v>
      </c>
      <c r="E293">
        <v>1</v>
      </c>
    </row>
    <row r="294" spans="1:5">
      <c r="A294" t="s">
        <v>615</v>
      </c>
      <c r="B294" t="s">
        <v>590</v>
      </c>
      <c r="C294" t="s">
        <v>581</v>
      </c>
      <c r="D294" s="43" t="s">
        <v>533</v>
      </c>
      <c r="E294">
        <v>1</v>
      </c>
    </row>
    <row r="295" spans="1:5">
      <c r="A295" t="s">
        <v>615</v>
      </c>
      <c r="B295" t="s">
        <v>590</v>
      </c>
      <c r="C295" t="s">
        <v>581</v>
      </c>
      <c r="D295" s="43" t="s">
        <v>525</v>
      </c>
      <c r="E295">
        <v>1</v>
      </c>
    </row>
    <row r="296" spans="1:5">
      <c r="A296" t="s">
        <v>615</v>
      </c>
      <c r="B296" t="s">
        <v>590</v>
      </c>
      <c r="C296" t="s">
        <v>581</v>
      </c>
      <c r="D296" s="43" t="s">
        <v>414</v>
      </c>
      <c r="E296">
        <v>1</v>
      </c>
    </row>
    <row r="297" spans="1:5">
      <c r="A297" t="s">
        <v>615</v>
      </c>
      <c r="B297" t="s">
        <v>590</v>
      </c>
      <c r="C297" t="s">
        <v>581</v>
      </c>
      <c r="D297" s="43" t="s">
        <v>556</v>
      </c>
      <c r="E297">
        <v>1</v>
      </c>
    </row>
    <row r="298" spans="1:5">
      <c r="A298" t="s">
        <v>615</v>
      </c>
      <c r="B298" t="s">
        <v>590</v>
      </c>
      <c r="C298" t="s">
        <v>581</v>
      </c>
      <c r="D298" s="43" t="s">
        <v>541</v>
      </c>
      <c r="E298">
        <v>1</v>
      </c>
    </row>
    <row r="299" spans="1:5">
      <c r="A299" t="s">
        <v>615</v>
      </c>
      <c r="B299" t="s">
        <v>590</v>
      </c>
      <c r="C299" t="s">
        <v>581</v>
      </c>
      <c r="D299" s="43" t="s">
        <v>289</v>
      </c>
      <c r="E299">
        <v>1</v>
      </c>
    </row>
    <row r="300" spans="1:5">
      <c r="A300" t="s">
        <v>615</v>
      </c>
      <c r="B300" t="s">
        <v>590</v>
      </c>
      <c r="C300" t="s">
        <v>581</v>
      </c>
      <c r="D300" s="43" t="s">
        <v>592</v>
      </c>
      <c r="E300">
        <v>1</v>
      </c>
    </row>
    <row r="301" spans="1:5">
      <c r="A301" t="s">
        <v>615</v>
      </c>
      <c r="B301" t="s">
        <v>590</v>
      </c>
      <c r="C301" t="s">
        <v>581</v>
      </c>
      <c r="D301" s="43" t="s">
        <v>548</v>
      </c>
      <c r="E301">
        <v>1</v>
      </c>
    </row>
    <row r="302" spans="1:5">
      <c r="A302" t="s">
        <v>615</v>
      </c>
      <c r="B302" t="s">
        <v>590</v>
      </c>
      <c r="C302" t="s">
        <v>581</v>
      </c>
      <c r="D302" s="43" t="s">
        <v>593</v>
      </c>
      <c r="E302">
        <v>1</v>
      </c>
    </row>
    <row r="303" spans="1:5">
      <c r="A303" t="s">
        <v>615</v>
      </c>
      <c r="B303" t="s">
        <v>590</v>
      </c>
      <c r="C303" t="s">
        <v>581</v>
      </c>
      <c r="D303" s="43" t="s">
        <v>594</v>
      </c>
      <c r="E303">
        <v>1</v>
      </c>
    </row>
    <row r="304" spans="1:5">
      <c r="A304" t="s">
        <v>615</v>
      </c>
      <c r="B304" t="s">
        <v>590</v>
      </c>
      <c r="C304" t="s">
        <v>581</v>
      </c>
      <c r="D304" s="43" t="s">
        <v>461</v>
      </c>
      <c r="E304">
        <v>1</v>
      </c>
    </row>
    <row r="305" spans="1:5">
      <c r="A305" t="s">
        <v>615</v>
      </c>
      <c r="B305" t="s">
        <v>590</v>
      </c>
      <c r="C305" t="s">
        <v>581</v>
      </c>
      <c r="D305" s="43" t="s">
        <v>406</v>
      </c>
      <c r="E305">
        <v>1</v>
      </c>
    </row>
    <row r="306" spans="1:5">
      <c r="A306" t="s">
        <v>615</v>
      </c>
      <c r="B306" t="s">
        <v>590</v>
      </c>
      <c r="C306" t="s">
        <v>581</v>
      </c>
      <c r="D306" s="43" t="s">
        <v>595</v>
      </c>
      <c r="E306">
        <v>1</v>
      </c>
    </row>
    <row r="307" spans="1:5">
      <c r="A307" t="s">
        <v>615</v>
      </c>
      <c r="B307" t="s">
        <v>590</v>
      </c>
      <c r="C307" t="s">
        <v>581</v>
      </c>
      <c r="D307" s="43" t="s">
        <v>596</v>
      </c>
      <c r="E307">
        <v>1</v>
      </c>
    </row>
    <row r="308" spans="1:5">
      <c r="A308" t="s">
        <v>615</v>
      </c>
      <c r="B308" t="s">
        <v>590</v>
      </c>
      <c r="C308" t="s">
        <v>581</v>
      </c>
      <c r="D308" s="43" t="s">
        <v>597</v>
      </c>
      <c r="E308">
        <v>1</v>
      </c>
    </row>
    <row r="309" spans="1:5">
      <c r="A309" t="s">
        <v>615</v>
      </c>
      <c r="B309" t="s">
        <v>590</v>
      </c>
      <c r="C309" t="s">
        <v>581</v>
      </c>
      <c r="D309" s="43" t="s">
        <v>598</v>
      </c>
      <c r="E309">
        <v>1</v>
      </c>
    </row>
    <row r="310" spans="1:5">
      <c r="A310" t="s">
        <v>615</v>
      </c>
      <c r="B310" t="s">
        <v>590</v>
      </c>
      <c r="C310" t="s">
        <v>581</v>
      </c>
      <c r="D310" s="43" t="s">
        <v>599</v>
      </c>
      <c r="E310">
        <v>1</v>
      </c>
    </row>
    <row r="311" spans="1:5">
      <c r="A311" t="s">
        <v>615</v>
      </c>
      <c r="B311" t="s">
        <v>590</v>
      </c>
      <c r="C311" t="s">
        <v>581</v>
      </c>
      <c r="D311" s="43" t="s">
        <v>338</v>
      </c>
      <c r="E311">
        <v>1</v>
      </c>
    </row>
    <row r="312" spans="1:5">
      <c r="A312" t="s">
        <v>615</v>
      </c>
      <c r="B312" t="s">
        <v>590</v>
      </c>
      <c r="C312" t="s">
        <v>581</v>
      </c>
      <c r="D312" s="43" t="s">
        <v>600</v>
      </c>
      <c r="E312">
        <v>1</v>
      </c>
    </row>
    <row r="313" spans="1:5">
      <c r="A313" t="s">
        <v>615</v>
      </c>
      <c r="B313" t="s">
        <v>590</v>
      </c>
      <c r="C313" t="s">
        <v>581</v>
      </c>
      <c r="D313" s="43" t="s">
        <v>601</v>
      </c>
      <c r="E313">
        <v>1</v>
      </c>
    </row>
    <row r="314" spans="1:5">
      <c r="A314" t="s">
        <v>615</v>
      </c>
      <c r="B314" t="s">
        <v>590</v>
      </c>
      <c r="C314" t="s">
        <v>581</v>
      </c>
      <c r="D314" s="43" t="s">
        <v>602</v>
      </c>
      <c r="E314">
        <v>1</v>
      </c>
    </row>
    <row r="315" spans="1:5">
      <c r="A315" t="s">
        <v>615</v>
      </c>
      <c r="B315" t="s">
        <v>590</v>
      </c>
      <c r="C315" t="s">
        <v>581</v>
      </c>
      <c r="D315" s="43" t="s">
        <v>603</v>
      </c>
      <c r="E315">
        <v>1</v>
      </c>
    </row>
    <row r="316" spans="1:5">
      <c r="A316" t="s">
        <v>615</v>
      </c>
      <c r="B316" t="s">
        <v>590</v>
      </c>
      <c r="C316" t="s">
        <v>581</v>
      </c>
      <c r="D316" s="43" t="s">
        <v>604</v>
      </c>
      <c r="E316">
        <v>1</v>
      </c>
    </row>
    <row r="317" spans="1:5">
      <c r="A317" t="s">
        <v>615</v>
      </c>
      <c r="B317" t="s">
        <v>590</v>
      </c>
      <c r="C317" t="s">
        <v>581</v>
      </c>
      <c r="D317" s="43" t="s">
        <v>607</v>
      </c>
      <c r="E317">
        <v>1</v>
      </c>
    </row>
    <row r="318" spans="1:5">
      <c r="A318" t="s">
        <v>584</v>
      </c>
      <c r="B318" t="s">
        <v>576</v>
      </c>
      <c r="C318" t="s">
        <v>579</v>
      </c>
      <c r="D318" s="43" t="s">
        <v>584</v>
      </c>
      <c r="E318">
        <v>0</v>
      </c>
    </row>
    <row r="319" spans="1:5">
      <c r="A319" t="s">
        <v>584</v>
      </c>
      <c r="B319" t="s">
        <v>580</v>
      </c>
      <c r="C319" t="s">
        <v>579</v>
      </c>
      <c r="D319" s="43" t="s">
        <v>429</v>
      </c>
      <c r="E319">
        <v>0</v>
      </c>
    </row>
    <row r="320" spans="1:5">
      <c r="A320" t="s">
        <v>584</v>
      </c>
      <c r="B320" t="s">
        <v>580</v>
      </c>
      <c r="C320" t="s">
        <v>579</v>
      </c>
      <c r="D320" s="43" t="s">
        <v>297</v>
      </c>
      <c r="E320">
        <v>0</v>
      </c>
    </row>
    <row r="321" spans="1:5">
      <c r="A321" t="s">
        <v>584</v>
      </c>
      <c r="B321" t="s">
        <v>580</v>
      </c>
      <c r="C321" t="s">
        <v>579</v>
      </c>
      <c r="D321" s="43" t="s">
        <v>365</v>
      </c>
      <c r="E321">
        <v>0</v>
      </c>
    </row>
    <row r="322" spans="1:5">
      <c r="A322" t="s">
        <v>584</v>
      </c>
      <c r="B322" t="s">
        <v>580</v>
      </c>
      <c r="C322" t="s">
        <v>579</v>
      </c>
      <c r="D322" s="43" t="s">
        <v>284</v>
      </c>
      <c r="E322">
        <v>0</v>
      </c>
    </row>
    <row r="323" spans="1:5">
      <c r="A323" t="s">
        <v>584</v>
      </c>
      <c r="B323" t="s">
        <v>580</v>
      </c>
      <c r="C323" t="s">
        <v>579</v>
      </c>
      <c r="D323" s="43" t="s">
        <v>529</v>
      </c>
      <c r="E323">
        <v>0</v>
      </c>
    </row>
    <row r="324" spans="1:5">
      <c r="A324" t="s">
        <v>584</v>
      </c>
      <c r="B324" t="s">
        <v>583</v>
      </c>
      <c r="C324" t="s">
        <v>579</v>
      </c>
      <c r="D324" s="43" t="s">
        <v>323</v>
      </c>
      <c r="E324">
        <v>0</v>
      </c>
    </row>
    <row r="325" spans="1:5">
      <c r="A325" t="s">
        <v>584</v>
      </c>
      <c r="B325" t="s">
        <v>583</v>
      </c>
      <c r="C325" t="s">
        <v>579</v>
      </c>
      <c r="D325" s="43" t="s">
        <v>326</v>
      </c>
      <c r="E325">
        <v>0</v>
      </c>
    </row>
    <row r="326" spans="1:5">
      <c r="A326" t="s">
        <v>584</v>
      </c>
      <c r="B326" t="s">
        <v>583</v>
      </c>
      <c r="C326" t="s">
        <v>579</v>
      </c>
      <c r="D326" s="43" t="s">
        <v>373</v>
      </c>
      <c r="E326">
        <v>0</v>
      </c>
    </row>
    <row r="327" spans="1:5">
      <c r="A327" t="s">
        <v>584</v>
      </c>
      <c r="B327" t="s">
        <v>583</v>
      </c>
      <c r="C327" t="s">
        <v>579</v>
      </c>
      <c r="D327" s="43" t="s">
        <v>350</v>
      </c>
      <c r="E327">
        <v>0</v>
      </c>
    </row>
    <row r="328" spans="1:5">
      <c r="A328" t="s">
        <v>584</v>
      </c>
      <c r="B328" t="s">
        <v>583</v>
      </c>
      <c r="C328" t="s">
        <v>579</v>
      </c>
      <c r="D328" s="43" t="s">
        <v>303</v>
      </c>
      <c r="E328">
        <v>0</v>
      </c>
    </row>
    <row r="329" spans="1:5">
      <c r="A329" t="s">
        <v>584</v>
      </c>
      <c r="B329" t="s">
        <v>583</v>
      </c>
      <c r="C329" t="s">
        <v>579</v>
      </c>
      <c r="D329" s="43" t="s">
        <v>347</v>
      </c>
      <c r="E329">
        <v>0</v>
      </c>
    </row>
    <row r="330" spans="1:5">
      <c r="A330" t="s">
        <v>584</v>
      </c>
      <c r="B330" t="s">
        <v>590</v>
      </c>
      <c r="C330" t="s">
        <v>582</v>
      </c>
      <c r="D330" s="43" t="s">
        <v>279</v>
      </c>
      <c r="E330">
        <v>1</v>
      </c>
    </row>
    <row r="331" spans="1:5">
      <c r="A331" t="s">
        <v>584</v>
      </c>
      <c r="B331" t="s">
        <v>590</v>
      </c>
      <c r="C331" t="s">
        <v>582</v>
      </c>
      <c r="D331" s="43" t="s">
        <v>591</v>
      </c>
      <c r="E331">
        <v>1</v>
      </c>
    </row>
    <row r="332" spans="1:5">
      <c r="A332" t="s">
        <v>584</v>
      </c>
      <c r="B332" t="s">
        <v>590</v>
      </c>
      <c r="C332" t="s">
        <v>582</v>
      </c>
      <c r="D332" s="43" t="s">
        <v>499</v>
      </c>
      <c r="E332">
        <v>1</v>
      </c>
    </row>
    <row r="333" spans="1:5">
      <c r="A333" t="s">
        <v>584</v>
      </c>
      <c r="B333" t="s">
        <v>590</v>
      </c>
      <c r="C333" t="s">
        <v>582</v>
      </c>
      <c r="D333" s="43" t="s">
        <v>516</v>
      </c>
      <c r="E333">
        <v>1</v>
      </c>
    </row>
    <row r="334" spans="1:5">
      <c r="A334" t="s">
        <v>552</v>
      </c>
      <c r="B334" t="s">
        <v>576</v>
      </c>
      <c r="C334" t="s">
        <v>579</v>
      </c>
      <c r="D334" s="43" t="s">
        <v>552</v>
      </c>
      <c r="E334">
        <v>0</v>
      </c>
    </row>
    <row r="335" spans="1:5">
      <c r="A335" t="s">
        <v>552</v>
      </c>
      <c r="B335" t="s">
        <v>580</v>
      </c>
      <c r="C335" t="s">
        <v>579</v>
      </c>
      <c r="D335" s="43" t="s">
        <v>429</v>
      </c>
      <c r="E335">
        <v>0</v>
      </c>
    </row>
    <row r="336" spans="1:5">
      <c r="A336" t="s">
        <v>552</v>
      </c>
      <c r="B336" t="s">
        <v>580</v>
      </c>
      <c r="C336" t="s">
        <v>579</v>
      </c>
      <c r="D336" s="43" t="s">
        <v>297</v>
      </c>
      <c r="E336">
        <v>0</v>
      </c>
    </row>
    <row r="337" spans="1:5">
      <c r="A337" t="s">
        <v>552</v>
      </c>
      <c r="B337" t="s">
        <v>580</v>
      </c>
      <c r="C337" t="s">
        <v>579</v>
      </c>
      <c r="D337" s="43" t="s">
        <v>365</v>
      </c>
      <c r="E337">
        <v>0</v>
      </c>
    </row>
    <row r="338" spans="1:5">
      <c r="A338" t="s">
        <v>552</v>
      </c>
      <c r="B338" t="s">
        <v>580</v>
      </c>
      <c r="C338" t="s">
        <v>579</v>
      </c>
      <c r="D338" s="43" t="s">
        <v>284</v>
      </c>
      <c r="E338">
        <v>0</v>
      </c>
    </row>
    <row r="339" spans="1:5">
      <c r="A339" t="s">
        <v>552</v>
      </c>
      <c r="B339" t="s">
        <v>580</v>
      </c>
      <c r="C339" t="s">
        <v>579</v>
      </c>
      <c r="D339" s="43" t="s">
        <v>529</v>
      </c>
      <c r="E339">
        <v>0</v>
      </c>
    </row>
    <row r="340" spans="1:5">
      <c r="A340" t="s">
        <v>552</v>
      </c>
      <c r="B340" t="s">
        <v>583</v>
      </c>
      <c r="C340" t="s">
        <v>579</v>
      </c>
      <c r="D340" s="43" t="s">
        <v>323</v>
      </c>
      <c r="E340">
        <v>0</v>
      </c>
    </row>
    <row r="341" spans="1:5">
      <c r="A341" t="s">
        <v>552</v>
      </c>
      <c r="B341" t="s">
        <v>583</v>
      </c>
      <c r="C341" t="s">
        <v>579</v>
      </c>
      <c r="D341" s="43" t="s">
        <v>326</v>
      </c>
      <c r="E341">
        <v>0</v>
      </c>
    </row>
    <row r="342" spans="1:5">
      <c r="A342" t="s">
        <v>552</v>
      </c>
      <c r="B342" t="s">
        <v>583</v>
      </c>
      <c r="C342" t="s">
        <v>579</v>
      </c>
      <c r="D342" s="43" t="s">
        <v>373</v>
      </c>
      <c r="E342">
        <v>0</v>
      </c>
    </row>
    <row r="343" spans="1:5">
      <c r="A343" t="s">
        <v>552</v>
      </c>
      <c r="B343" t="s">
        <v>583</v>
      </c>
      <c r="C343" t="s">
        <v>579</v>
      </c>
      <c r="D343" s="43" t="s">
        <v>350</v>
      </c>
      <c r="E343">
        <v>0</v>
      </c>
    </row>
    <row r="344" spans="1:5">
      <c r="A344" t="s">
        <v>552</v>
      </c>
      <c r="B344" t="s">
        <v>583</v>
      </c>
      <c r="C344" t="s">
        <v>579</v>
      </c>
      <c r="D344" s="43" t="s">
        <v>303</v>
      </c>
      <c r="E344">
        <v>0</v>
      </c>
    </row>
    <row r="345" spans="1:5">
      <c r="A345" t="s">
        <v>552</v>
      </c>
      <c r="B345" t="s">
        <v>583</v>
      </c>
      <c r="C345" t="s">
        <v>579</v>
      </c>
      <c r="D345" s="43" t="s">
        <v>347</v>
      </c>
      <c r="E345">
        <v>0</v>
      </c>
    </row>
    <row r="346" spans="1:5">
      <c r="A346" t="s">
        <v>552</v>
      </c>
      <c r="B346" t="s">
        <v>590</v>
      </c>
      <c r="C346" t="s">
        <v>582</v>
      </c>
      <c r="D346" s="43" t="s">
        <v>279</v>
      </c>
      <c r="E346">
        <v>1</v>
      </c>
    </row>
    <row r="347" spans="1:5">
      <c r="A347" t="s">
        <v>552</v>
      </c>
      <c r="B347" t="s">
        <v>590</v>
      </c>
      <c r="C347" t="s">
        <v>582</v>
      </c>
      <c r="D347" s="43" t="s">
        <v>591</v>
      </c>
      <c r="E347">
        <v>1</v>
      </c>
    </row>
    <row r="348" spans="1:5">
      <c r="A348" t="s">
        <v>552</v>
      </c>
      <c r="B348" t="s">
        <v>590</v>
      </c>
      <c r="C348" t="s">
        <v>582</v>
      </c>
      <c r="D348" s="43" t="s">
        <v>499</v>
      </c>
      <c r="E348">
        <v>1</v>
      </c>
    </row>
    <row r="349" spans="1:5">
      <c r="A349" t="s">
        <v>552</v>
      </c>
      <c r="B349" t="s">
        <v>590</v>
      </c>
      <c r="C349" t="s">
        <v>582</v>
      </c>
      <c r="D349" s="43" t="s">
        <v>516</v>
      </c>
      <c r="E349">
        <v>1</v>
      </c>
    </row>
    <row r="350" spans="1:5">
      <c r="A350" t="s">
        <v>618</v>
      </c>
      <c r="B350" t="s">
        <v>580</v>
      </c>
      <c r="C350" t="s">
        <v>579</v>
      </c>
      <c r="D350" s="43" t="s">
        <v>410</v>
      </c>
      <c r="E350">
        <v>0</v>
      </c>
    </row>
    <row r="351" spans="1:5">
      <c r="A351" t="s">
        <v>618</v>
      </c>
      <c r="B351" t="s">
        <v>580</v>
      </c>
      <c r="C351" t="s">
        <v>579</v>
      </c>
      <c r="D351" s="43" t="s">
        <v>320</v>
      </c>
      <c r="E351">
        <v>0</v>
      </c>
    </row>
    <row r="352" spans="1:5">
      <c r="A352" t="s">
        <v>618</v>
      </c>
      <c r="B352" t="s">
        <v>580</v>
      </c>
      <c r="C352" t="s">
        <v>579</v>
      </c>
      <c r="D352" s="43" t="s">
        <v>516</v>
      </c>
      <c r="E352">
        <v>0</v>
      </c>
    </row>
    <row r="353" spans="1:6">
      <c r="A353" t="s">
        <v>618</v>
      </c>
      <c r="B353" t="s">
        <v>583</v>
      </c>
      <c r="C353" t="s">
        <v>582</v>
      </c>
      <c r="D353" s="43" t="s">
        <v>584</v>
      </c>
      <c r="E353">
        <v>0</v>
      </c>
    </row>
    <row r="354" spans="1:6">
      <c r="A354" t="s">
        <v>618</v>
      </c>
      <c r="B354" t="s">
        <v>583</v>
      </c>
      <c r="C354" t="s">
        <v>582</v>
      </c>
      <c r="D354" s="43" t="s">
        <v>586</v>
      </c>
      <c r="E354">
        <v>0</v>
      </c>
    </row>
    <row r="355" spans="1:6">
      <c r="A355" t="s">
        <v>618</v>
      </c>
      <c r="B355" t="s">
        <v>583</v>
      </c>
      <c r="C355" t="s">
        <v>582</v>
      </c>
      <c r="D355" s="43" t="s">
        <v>606</v>
      </c>
      <c r="E355">
        <v>0</v>
      </c>
    </row>
    <row r="356" spans="1:6">
      <c r="A356" t="s">
        <v>618</v>
      </c>
      <c r="B356" t="s">
        <v>583</v>
      </c>
      <c r="C356" t="s">
        <v>582</v>
      </c>
      <c r="D356" s="43" t="s">
        <v>552</v>
      </c>
      <c r="E356">
        <v>0</v>
      </c>
    </row>
    <row r="357" spans="1:6">
      <c r="A357" t="s">
        <v>618</v>
      </c>
      <c r="B357" t="s">
        <v>583</v>
      </c>
      <c r="C357" t="s">
        <v>582</v>
      </c>
      <c r="D357" s="43" t="s">
        <v>279</v>
      </c>
      <c r="E357">
        <v>0</v>
      </c>
    </row>
    <row r="358" spans="1:6">
      <c r="A358" t="s">
        <v>618</v>
      </c>
      <c r="B358" t="s">
        <v>590</v>
      </c>
      <c r="C358" t="s">
        <v>582</v>
      </c>
      <c r="D358" s="43" t="s">
        <v>591</v>
      </c>
      <c r="E358">
        <v>0</v>
      </c>
      <c r="F358" t="s">
        <v>619</v>
      </c>
    </row>
    <row r="359" spans="1:6">
      <c r="A359" t="s">
        <v>618</v>
      </c>
      <c r="B359" t="s">
        <v>590</v>
      </c>
      <c r="C359" t="s">
        <v>582</v>
      </c>
      <c r="D359" s="43" t="s">
        <v>586</v>
      </c>
      <c r="E359">
        <v>0</v>
      </c>
      <c r="F359" t="s">
        <v>619</v>
      </c>
    </row>
    <row r="360" spans="1:6">
      <c r="A360" t="s">
        <v>618</v>
      </c>
      <c r="B360" t="s">
        <v>590</v>
      </c>
      <c r="C360" t="s">
        <v>582</v>
      </c>
      <c r="D360" s="43" t="s">
        <v>279</v>
      </c>
      <c r="E360">
        <v>1</v>
      </c>
    </row>
    <row r="361" spans="1:6">
      <c r="A361" t="s">
        <v>618</v>
      </c>
      <c r="B361" t="s">
        <v>590</v>
      </c>
      <c r="C361" t="s">
        <v>582</v>
      </c>
      <c r="D361" s="43" t="s">
        <v>499</v>
      </c>
      <c r="E361">
        <v>1</v>
      </c>
    </row>
    <row r="362" spans="1:6">
      <c r="A362" t="s">
        <v>618</v>
      </c>
      <c r="B362" t="s">
        <v>590</v>
      </c>
      <c r="C362" t="s">
        <v>582</v>
      </c>
      <c r="D362" s="43" t="s">
        <v>591</v>
      </c>
      <c r="E362">
        <v>1</v>
      </c>
    </row>
    <row r="363" spans="1:6">
      <c r="A363" t="s">
        <v>618</v>
      </c>
      <c r="B363" t="s">
        <v>590</v>
      </c>
      <c r="C363" t="s">
        <v>582</v>
      </c>
      <c r="D363" s="43" t="s">
        <v>516</v>
      </c>
      <c r="E363">
        <v>1</v>
      </c>
    </row>
    <row r="364" spans="1:6">
      <c r="A364" t="s">
        <v>618</v>
      </c>
      <c r="B364" t="s">
        <v>590</v>
      </c>
      <c r="C364" t="s">
        <v>582</v>
      </c>
      <c r="D364" s="43" t="s">
        <v>396</v>
      </c>
      <c r="E364">
        <v>1</v>
      </c>
    </row>
    <row r="365" spans="1:6">
      <c r="A365" t="s">
        <v>399</v>
      </c>
      <c r="B365" t="s">
        <v>576</v>
      </c>
      <c r="C365" t="s">
        <v>579</v>
      </c>
      <c r="D365" s="43" t="s">
        <v>399</v>
      </c>
      <c r="E365">
        <v>0</v>
      </c>
    </row>
    <row r="366" spans="1:6">
      <c r="A366" t="s">
        <v>399</v>
      </c>
      <c r="B366" t="s">
        <v>580</v>
      </c>
      <c r="C366" t="s">
        <v>579</v>
      </c>
      <c r="D366" s="43" t="s">
        <v>516</v>
      </c>
      <c r="E366">
        <v>0</v>
      </c>
    </row>
    <row r="367" spans="1:6">
      <c r="A367" t="s">
        <v>399</v>
      </c>
      <c r="B367" t="s">
        <v>583</v>
      </c>
      <c r="C367" t="s">
        <v>582</v>
      </c>
      <c r="D367" s="43" t="s">
        <v>584</v>
      </c>
      <c r="E367">
        <v>0</v>
      </c>
    </row>
    <row r="368" spans="1:6">
      <c r="A368" t="s">
        <v>399</v>
      </c>
      <c r="B368" t="s">
        <v>583</v>
      </c>
      <c r="C368" t="s">
        <v>582</v>
      </c>
      <c r="D368" s="43" t="s">
        <v>586</v>
      </c>
      <c r="E368">
        <v>0</v>
      </c>
    </row>
    <row r="369" spans="1:6">
      <c r="A369" t="s">
        <v>399</v>
      </c>
      <c r="B369" t="s">
        <v>583</v>
      </c>
      <c r="C369" t="s">
        <v>582</v>
      </c>
      <c r="D369" s="43" t="s">
        <v>606</v>
      </c>
      <c r="E369">
        <v>0</v>
      </c>
    </row>
    <row r="370" spans="1:6">
      <c r="A370" t="s">
        <v>399</v>
      </c>
      <c r="B370" t="s">
        <v>583</v>
      </c>
      <c r="C370" t="s">
        <v>582</v>
      </c>
      <c r="D370" s="43" t="s">
        <v>552</v>
      </c>
      <c r="E370">
        <v>0</v>
      </c>
    </row>
    <row r="371" spans="1:6">
      <c r="A371" t="s">
        <v>399</v>
      </c>
      <c r="B371" t="s">
        <v>583</v>
      </c>
      <c r="C371" t="s">
        <v>582</v>
      </c>
      <c r="D371" s="43" t="s">
        <v>279</v>
      </c>
      <c r="E371">
        <v>0</v>
      </c>
    </row>
    <row r="372" spans="1:6">
      <c r="A372" t="s">
        <v>399</v>
      </c>
      <c r="B372" t="s">
        <v>590</v>
      </c>
      <c r="C372" t="s">
        <v>582</v>
      </c>
      <c r="D372" s="43" t="s">
        <v>591</v>
      </c>
      <c r="E372">
        <v>0</v>
      </c>
      <c r="F372" t="s">
        <v>619</v>
      </c>
    </row>
    <row r="373" spans="1:6">
      <c r="A373" t="s">
        <v>399</v>
      </c>
      <c r="B373" t="s">
        <v>590</v>
      </c>
      <c r="C373" t="s">
        <v>582</v>
      </c>
      <c r="D373" s="43" t="s">
        <v>586</v>
      </c>
      <c r="E373">
        <v>0</v>
      </c>
      <c r="F373" t="s">
        <v>619</v>
      </c>
    </row>
    <row r="374" spans="1:6">
      <c r="A374" t="s">
        <v>399</v>
      </c>
      <c r="B374" t="s">
        <v>590</v>
      </c>
      <c r="C374" t="s">
        <v>582</v>
      </c>
      <c r="D374" s="43" t="s">
        <v>279</v>
      </c>
      <c r="E374">
        <v>1</v>
      </c>
    </row>
    <row r="375" spans="1:6">
      <c r="A375" t="s">
        <v>399</v>
      </c>
      <c r="B375" t="s">
        <v>590</v>
      </c>
      <c r="C375" t="s">
        <v>582</v>
      </c>
      <c r="D375" s="43" t="s">
        <v>499</v>
      </c>
      <c r="E375">
        <v>1</v>
      </c>
    </row>
    <row r="376" spans="1:6">
      <c r="A376" t="s">
        <v>399</v>
      </c>
      <c r="B376" t="s">
        <v>590</v>
      </c>
      <c r="C376" t="s">
        <v>582</v>
      </c>
      <c r="D376" s="43" t="s">
        <v>591</v>
      </c>
      <c r="E376">
        <v>1</v>
      </c>
    </row>
    <row r="377" spans="1:6">
      <c r="A377" t="s">
        <v>399</v>
      </c>
      <c r="B377" t="s">
        <v>590</v>
      </c>
      <c r="C377" t="s">
        <v>582</v>
      </c>
      <c r="D377" s="43" t="s">
        <v>516</v>
      </c>
      <c r="E377">
        <v>1</v>
      </c>
    </row>
    <row r="378" spans="1:6">
      <c r="A378" t="s">
        <v>399</v>
      </c>
      <c r="B378" t="s">
        <v>590</v>
      </c>
      <c r="C378" t="s">
        <v>582</v>
      </c>
      <c r="D378" s="43" t="s">
        <v>396</v>
      </c>
      <c r="E378">
        <v>1</v>
      </c>
    </row>
    <row r="379" spans="1:6">
      <c r="A379" t="s">
        <v>516</v>
      </c>
      <c r="B379" t="s">
        <v>576</v>
      </c>
      <c r="C379" t="s">
        <v>579</v>
      </c>
      <c r="D379" s="43" t="s">
        <v>516</v>
      </c>
      <c r="E379">
        <v>0</v>
      </c>
    </row>
    <row r="380" spans="1:6">
      <c r="A380" t="s">
        <v>516</v>
      </c>
      <c r="B380" t="s">
        <v>580</v>
      </c>
      <c r="C380" t="s">
        <v>582</v>
      </c>
      <c r="D380" s="43" t="s">
        <v>402</v>
      </c>
      <c r="E380">
        <v>0</v>
      </c>
    </row>
    <row r="381" spans="1:6">
      <c r="A381" t="s">
        <v>516</v>
      </c>
      <c r="B381" t="s">
        <v>580</v>
      </c>
      <c r="C381" t="s">
        <v>582</v>
      </c>
      <c r="D381" s="43" t="s">
        <v>499</v>
      </c>
      <c r="E381">
        <v>0</v>
      </c>
    </row>
    <row r="382" spans="1:6">
      <c r="A382" t="s">
        <v>516</v>
      </c>
      <c r="B382" t="s">
        <v>580</v>
      </c>
      <c r="C382" t="s">
        <v>582</v>
      </c>
      <c r="D382" s="43" t="s">
        <v>410</v>
      </c>
      <c r="E382">
        <v>0</v>
      </c>
    </row>
    <row r="383" spans="1:6">
      <c r="A383" t="s">
        <v>516</v>
      </c>
      <c r="B383" t="s">
        <v>580</v>
      </c>
      <c r="C383" t="s">
        <v>582</v>
      </c>
      <c r="D383" s="43" t="s">
        <v>323</v>
      </c>
      <c r="E383">
        <v>0</v>
      </c>
    </row>
    <row r="384" spans="1:6">
      <c r="A384" t="s">
        <v>516</v>
      </c>
      <c r="B384" t="s">
        <v>580</v>
      </c>
      <c r="C384" t="s">
        <v>582</v>
      </c>
      <c r="D384" s="43" t="s">
        <v>525</v>
      </c>
      <c r="E384">
        <v>0</v>
      </c>
    </row>
    <row r="385" spans="1:5">
      <c r="A385" t="s">
        <v>516</v>
      </c>
      <c r="B385" t="s">
        <v>580</v>
      </c>
      <c r="C385" t="s">
        <v>582</v>
      </c>
      <c r="D385" s="43" t="s">
        <v>414</v>
      </c>
      <c r="E385">
        <v>0</v>
      </c>
    </row>
    <row r="386" spans="1:5">
      <c r="A386" t="s">
        <v>516</v>
      </c>
      <c r="B386" t="s">
        <v>580</v>
      </c>
      <c r="C386" t="s">
        <v>582</v>
      </c>
      <c r="D386" s="43" t="s">
        <v>545</v>
      </c>
      <c r="E386">
        <v>0</v>
      </c>
    </row>
    <row r="387" spans="1:5">
      <c r="A387" t="s">
        <v>516</v>
      </c>
      <c r="B387" t="s">
        <v>580</v>
      </c>
      <c r="C387" t="s">
        <v>582</v>
      </c>
      <c r="D387" s="43" t="s">
        <v>541</v>
      </c>
      <c r="E387">
        <v>0</v>
      </c>
    </row>
    <row r="388" spans="1:5">
      <c r="A388" t="s">
        <v>516</v>
      </c>
      <c r="B388" t="s">
        <v>580</v>
      </c>
      <c r="C388" t="s">
        <v>582</v>
      </c>
      <c r="D388" s="43" t="s">
        <v>533</v>
      </c>
      <c r="E388">
        <v>0</v>
      </c>
    </row>
    <row r="389" spans="1:5">
      <c r="A389" t="s">
        <v>516</v>
      </c>
      <c r="B389" t="s">
        <v>580</v>
      </c>
      <c r="C389" t="s">
        <v>582</v>
      </c>
      <c r="D389" s="43" t="s">
        <v>320</v>
      </c>
      <c r="E389">
        <v>0</v>
      </c>
    </row>
    <row r="390" spans="1:5">
      <c r="A390" t="s">
        <v>516</v>
      </c>
      <c r="B390" t="s">
        <v>580</v>
      </c>
      <c r="C390" t="s">
        <v>581</v>
      </c>
      <c r="D390" s="43" t="s">
        <v>429</v>
      </c>
      <c r="E390">
        <v>0</v>
      </c>
    </row>
    <row r="391" spans="1:5">
      <c r="A391" t="s">
        <v>516</v>
      </c>
      <c r="B391" t="s">
        <v>580</v>
      </c>
      <c r="C391" t="s">
        <v>581</v>
      </c>
      <c r="D391" s="43" t="s">
        <v>492</v>
      </c>
      <c r="E391">
        <v>0</v>
      </c>
    </row>
    <row r="392" spans="1:5">
      <c r="A392" t="s">
        <v>516</v>
      </c>
      <c r="B392" t="s">
        <v>580</v>
      </c>
      <c r="C392" t="s">
        <v>581</v>
      </c>
      <c r="D392" s="43" t="s">
        <v>419</v>
      </c>
      <c r="E392">
        <v>0</v>
      </c>
    </row>
    <row r="393" spans="1:5">
      <c r="A393" t="s">
        <v>516</v>
      </c>
      <c r="B393" t="s">
        <v>580</v>
      </c>
      <c r="C393" t="s">
        <v>581</v>
      </c>
      <c r="D393" s="43" t="s">
        <v>607</v>
      </c>
      <c r="E393">
        <v>0</v>
      </c>
    </row>
    <row r="394" spans="1:5">
      <c r="A394" t="s">
        <v>516</v>
      </c>
      <c r="B394" t="s">
        <v>583</v>
      </c>
      <c r="C394" t="s">
        <v>582</v>
      </c>
      <c r="D394" s="43" t="s">
        <v>552</v>
      </c>
      <c r="E394">
        <v>0</v>
      </c>
    </row>
    <row r="395" spans="1:5">
      <c r="A395" t="s">
        <v>516</v>
      </c>
      <c r="B395" t="s">
        <v>583</v>
      </c>
      <c r="C395" t="s">
        <v>582</v>
      </c>
      <c r="D395" s="43" t="s">
        <v>584</v>
      </c>
      <c r="E395">
        <v>0</v>
      </c>
    </row>
    <row r="396" spans="1:5">
      <c r="A396" t="s">
        <v>516</v>
      </c>
      <c r="B396" t="s">
        <v>583</v>
      </c>
      <c r="C396" t="s">
        <v>582</v>
      </c>
      <c r="D396" s="43" t="s">
        <v>592</v>
      </c>
      <c r="E396">
        <v>0</v>
      </c>
    </row>
    <row r="397" spans="1:5">
      <c r="A397" t="s">
        <v>516</v>
      </c>
      <c r="B397" t="s">
        <v>583</v>
      </c>
      <c r="C397" t="s">
        <v>582</v>
      </c>
      <c r="D397" s="43" t="s">
        <v>548</v>
      </c>
      <c r="E397">
        <v>0</v>
      </c>
    </row>
    <row r="398" spans="1:5">
      <c r="A398" t="s">
        <v>516</v>
      </c>
      <c r="B398" t="s">
        <v>583</v>
      </c>
      <c r="C398" t="s">
        <v>582</v>
      </c>
      <c r="D398" s="43" t="s">
        <v>593</v>
      </c>
      <c r="E398">
        <v>0</v>
      </c>
    </row>
    <row r="399" spans="1:5">
      <c r="A399" t="s">
        <v>516</v>
      </c>
      <c r="B399" t="s">
        <v>583</v>
      </c>
      <c r="C399" t="s">
        <v>582</v>
      </c>
      <c r="D399" s="43" t="s">
        <v>594</v>
      </c>
      <c r="E399">
        <v>0</v>
      </c>
    </row>
    <row r="400" spans="1:5">
      <c r="A400" t="s">
        <v>516</v>
      </c>
      <c r="B400" t="s">
        <v>583</v>
      </c>
      <c r="C400" t="s">
        <v>582</v>
      </c>
      <c r="D400" s="43" t="s">
        <v>461</v>
      </c>
      <c r="E400">
        <v>0</v>
      </c>
    </row>
    <row r="401" spans="1:5">
      <c r="A401" t="s">
        <v>516</v>
      </c>
      <c r="B401" t="s">
        <v>583</v>
      </c>
      <c r="C401" t="s">
        <v>582</v>
      </c>
      <c r="D401" s="43" t="s">
        <v>406</v>
      </c>
      <c r="E401">
        <v>0</v>
      </c>
    </row>
    <row r="402" spans="1:5">
      <c r="A402" t="s">
        <v>516</v>
      </c>
      <c r="B402" t="s">
        <v>583</v>
      </c>
      <c r="C402" t="s">
        <v>582</v>
      </c>
      <c r="D402" s="43" t="s">
        <v>595</v>
      </c>
      <c r="E402">
        <v>0</v>
      </c>
    </row>
    <row r="403" spans="1:5">
      <c r="A403" t="s">
        <v>516</v>
      </c>
      <c r="B403" t="s">
        <v>583</v>
      </c>
      <c r="C403" t="s">
        <v>582</v>
      </c>
      <c r="D403" s="43" t="s">
        <v>596</v>
      </c>
      <c r="E403">
        <v>0</v>
      </c>
    </row>
    <row r="404" spans="1:5">
      <c r="A404" t="s">
        <v>516</v>
      </c>
      <c r="B404" t="s">
        <v>583</v>
      </c>
      <c r="C404" t="s">
        <v>582</v>
      </c>
      <c r="D404" s="43" t="s">
        <v>597</v>
      </c>
      <c r="E404">
        <v>0</v>
      </c>
    </row>
    <row r="405" spans="1:5">
      <c r="A405" t="s">
        <v>516</v>
      </c>
      <c r="B405" t="s">
        <v>583</v>
      </c>
      <c r="C405" t="s">
        <v>582</v>
      </c>
      <c r="D405" s="43" t="s">
        <v>598</v>
      </c>
      <c r="E405">
        <v>0</v>
      </c>
    </row>
    <row r="406" spans="1:5">
      <c r="A406" t="s">
        <v>516</v>
      </c>
      <c r="B406" t="s">
        <v>583</v>
      </c>
      <c r="C406" t="s">
        <v>582</v>
      </c>
      <c r="D406" s="43" t="s">
        <v>599</v>
      </c>
      <c r="E406">
        <v>0</v>
      </c>
    </row>
    <row r="407" spans="1:5">
      <c r="A407" t="s">
        <v>516</v>
      </c>
      <c r="B407" t="s">
        <v>583</v>
      </c>
      <c r="C407" t="s">
        <v>582</v>
      </c>
      <c r="D407" s="43" t="s">
        <v>338</v>
      </c>
      <c r="E407">
        <v>0</v>
      </c>
    </row>
    <row r="408" spans="1:5">
      <c r="A408" t="s">
        <v>516</v>
      </c>
      <c r="B408" t="s">
        <v>583</v>
      </c>
      <c r="C408" t="s">
        <v>582</v>
      </c>
      <c r="D408" s="43" t="s">
        <v>600</v>
      </c>
      <c r="E408">
        <v>0</v>
      </c>
    </row>
    <row r="409" spans="1:5">
      <c r="A409" t="s">
        <v>516</v>
      </c>
      <c r="B409" t="s">
        <v>583</v>
      </c>
      <c r="C409" t="s">
        <v>582</v>
      </c>
      <c r="D409" s="43" t="s">
        <v>601</v>
      </c>
      <c r="E409">
        <v>0</v>
      </c>
    </row>
    <row r="410" spans="1:5">
      <c r="A410" t="s">
        <v>516</v>
      </c>
      <c r="B410" t="s">
        <v>583</v>
      </c>
      <c r="C410" t="s">
        <v>582</v>
      </c>
      <c r="D410" s="43" t="s">
        <v>602</v>
      </c>
      <c r="E410">
        <v>0</v>
      </c>
    </row>
    <row r="411" spans="1:5">
      <c r="A411" t="s">
        <v>516</v>
      </c>
      <c r="B411" t="s">
        <v>583</v>
      </c>
      <c r="C411" t="s">
        <v>582</v>
      </c>
      <c r="D411" s="43" t="s">
        <v>603</v>
      </c>
      <c r="E411">
        <v>0</v>
      </c>
    </row>
    <row r="412" spans="1:5">
      <c r="A412" t="s">
        <v>516</v>
      </c>
      <c r="B412" t="s">
        <v>583</v>
      </c>
      <c r="C412" t="s">
        <v>582</v>
      </c>
      <c r="D412" s="43" t="s">
        <v>604</v>
      </c>
      <c r="E412">
        <v>0</v>
      </c>
    </row>
    <row r="413" spans="1:5">
      <c r="A413" t="s">
        <v>516</v>
      </c>
      <c r="B413" t="s">
        <v>583</v>
      </c>
      <c r="C413" t="s">
        <v>581</v>
      </c>
      <c r="D413" s="43" t="s">
        <v>585</v>
      </c>
      <c r="E413">
        <v>0</v>
      </c>
    </row>
    <row r="414" spans="1:5">
      <c r="A414" t="s">
        <v>516</v>
      </c>
      <c r="B414" t="s">
        <v>583</v>
      </c>
      <c r="C414" t="s">
        <v>581</v>
      </c>
      <c r="D414" s="43" t="s">
        <v>606</v>
      </c>
      <c r="E414">
        <v>0</v>
      </c>
    </row>
    <row r="415" spans="1:5">
      <c r="A415" t="s">
        <v>516</v>
      </c>
      <c r="B415" t="s">
        <v>583</v>
      </c>
      <c r="C415" t="s">
        <v>581</v>
      </c>
      <c r="D415" s="43" t="s">
        <v>589</v>
      </c>
      <c r="E415">
        <v>0</v>
      </c>
    </row>
    <row r="416" spans="1:5">
      <c r="A416" t="s">
        <v>516</v>
      </c>
      <c r="B416" t="s">
        <v>583</v>
      </c>
      <c r="C416" t="s">
        <v>581</v>
      </c>
      <c r="D416" s="43" t="s">
        <v>588</v>
      </c>
      <c r="E416">
        <v>0</v>
      </c>
    </row>
    <row r="417" spans="1:6">
      <c r="A417" t="s">
        <v>516</v>
      </c>
      <c r="B417" t="s">
        <v>583</v>
      </c>
      <c r="C417" t="s">
        <v>581</v>
      </c>
      <c r="D417" s="43" t="s">
        <v>587</v>
      </c>
      <c r="E417">
        <v>0</v>
      </c>
    </row>
    <row r="418" spans="1:6">
      <c r="A418" t="s">
        <v>516</v>
      </c>
      <c r="B418" t="s">
        <v>583</v>
      </c>
      <c r="C418" t="s">
        <v>581</v>
      </c>
      <c r="D418" s="43" t="s">
        <v>608</v>
      </c>
      <c r="E418">
        <v>0</v>
      </c>
    </row>
    <row r="419" spans="1:6">
      <c r="A419" t="s">
        <v>516</v>
      </c>
      <c r="B419" t="s">
        <v>583</v>
      </c>
      <c r="C419" t="s">
        <v>581</v>
      </c>
      <c r="D419" s="43" t="s">
        <v>303</v>
      </c>
      <c r="E419">
        <v>0</v>
      </c>
    </row>
    <row r="420" spans="1:6">
      <c r="A420" t="s">
        <v>516</v>
      </c>
      <c r="B420" t="s">
        <v>583</v>
      </c>
      <c r="C420" t="s">
        <v>581</v>
      </c>
      <c r="D420" s="43" t="s">
        <v>287</v>
      </c>
      <c r="E420">
        <v>0</v>
      </c>
    </row>
    <row r="421" spans="1:6">
      <c r="A421" t="s">
        <v>516</v>
      </c>
      <c r="B421" t="s">
        <v>583</v>
      </c>
      <c r="C421" t="s">
        <v>581</v>
      </c>
      <c r="D421" s="43" t="s">
        <v>507</v>
      </c>
      <c r="E421">
        <v>0</v>
      </c>
    </row>
    <row r="422" spans="1:6">
      <c r="A422" t="s">
        <v>516</v>
      </c>
      <c r="B422" t="s">
        <v>583</v>
      </c>
      <c r="C422" t="s">
        <v>581</v>
      </c>
      <c r="D422" s="43" t="s">
        <v>297</v>
      </c>
      <c r="E422">
        <v>0</v>
      </c>
    </row>
    <row r="423" spans="1:6">
      <c r="A423" t="s">
        <v>516</v>
      </c>
      <c r="B423" t="s">
        <v>583</v>
      </c>
      <c r="C423" t="s">
        <v>581</v>
      </c>
      <c r="D423" s="43" t="s">
        <v>326</v>
      </c>
      <c r="E423">
        <v>0</v>
      </c>
    </row>
    <row r="424" spans="1:6">
      <c r="A424" t="s">
        <v>516</v>
      </c>
      <c r="B424" t="s">
        <v>583</v>
      </c>
      <c r="C424" t="s">
        <v>581</v>
      </c>
      <c r="D424" s="43" t="s">
        <v>284</v>
      </c>
      <c r="E424">
        <v>0</v>
      </c>
    </row>
    <row r="425" spans="1:6">
      <c r="A425" t="s">
        <v>516</v>
      </c>
      <c r="B425" t="s">
        <v>583</v>
      </c>
      <c r="C425" t="s">
        <v>581</v>
      </c>
      <c r="D425" s="43" t="s">
        <v>365</v>
      </c>
      <c r="E425">
        <v>0</v>
      </c>
    </row>
    <row r="426" spans="1:6">
      <c r="A426" t="s">
        <v>516</v>
      </c>
      <c r="B426" t="s">
        <v>583</v>
      </c>
      <c r="C426" t="s">
        <v>581</v>
      </c>
      <c r="D426" s="43" t="s">
        <v>529</v>
      </c>
      <c r="E426">
        <v>0</v>
      </c>
    </row>
    <row r="427" spans="1:6">
      <c r="A427" t="s">
        <v>516</v>
      </c>
      <c r="B427" t="s">
        <v>590</v>
      </c>
      <c r="C427" t="s">
        <v>582</v>
      </c>
      <c r="D427" s="43" t="s">
        <v>520</v>
      </c>
      <c r="E427">
        <v>1</v>
      </c>
    </row>
    <row r="428" spans="1:6">
      <c r="A428" t="s">
        <v>516</v>
      </c>
      <c r="B428" t="s">
        <v>590</v>
      </c>
      <c r="C428" t="s">
        <v>582</v>
      </c>
      <c r="D428" s="43" t="s">
        <v>396</v>
      </c>
      <c r="E428">
        <v>1</v>
      </c>
    </row>
    <row r="429" spans="1:6">
      <c r="A429" t="s">
        <v>516</v>
      </c>
      <c r="B429" t="s">
        <v>590</v>
      </c>
      <c r="C429" t="s">
        <v>582</v>
      </c>
      <c r="D429" s="43" t="s">
        <v>499</v>
      </c>
      <c r="E429">
        <v>1</v>
      </c>
    </row>
    <row r="430" spans="1:6">
      <c r="A430" t="s">
        <v>516</v>
      </c>
      <c r="B430" t="s">
        <v>590</v>
      </c>
      <c r="C430" t="s">
        <v>582</v>
      </c>
      <c r="D430" s="43" t="s">
        <v>279</v>
      </c>
      <c r="E430">
        <v>1</v>
      </c>
    </row>
    <row r="431" spans="1:6">
      <c r="A431" t="s">
        <v>516</v>
      </c>
      <c r="B431" t="s">
        <v>590</v>
      </c>
      <c r="C431" t="s">
        <v>582</v>
      </c>
      <c r="D431" s="43" t="s">
        <v>591</v>
      </c>
      <c r="E431">
        <v>0</v>
      </c>
      <c r="F431" t="s">
        <v>619</v>
      </c>
    </row>
    <row r="432" spans="1:6">
      <c r="A432" t="s">
        <v>516</v>
      </c>
      <c r="B432" t="s">
        <v>590</v>
      </c>
      <c r="C432" t="s">
        <v>582</v>
      </c>
      <c r="D432" s="43" t="s">
        <v>586</v>
      </c>
      <c r="E432">
        <v>0</v>
      </c>
      <c r="F432" t="s">
        <v>619</v>
      </c>
    </row>
    <row r="433" spans="1:5">
      <c r="A433" t="s">
        <v>516</v>
      </c>
      <c r="B433" t="s">
        <v>590</v>
      </c>
      <c r="C433" t="s">
        <v>582</v>
      </c>
      <c r="D433" s="43" t="s">
        <v>516</v>
      </c>
      <c r="E433">
        <v>1</v>
      </c>
    </row>
    <row r="434" spans="1:5">
      <c r="A434" t="s">
        <v>516</v>
      </c>
      <c r="B434" t="s">
        <v>590</v>
      </c>
      <c r="C434" t="s">
        <v>582</v>
      </c>
      <c r="D434" s="43" t="s">
        <v>591</v>
      </c>
      <c r="E434">
        <v>1</v>
      </c>
    </row>
    <row r="435" spans="1:5">
      <c r="A435" t="s">
        <v>516</v>
      </c>
      <c r="B435" t="s">
        <v>590</v>
      </c>
      <c r="C435" t="s">
        <v>581</v>
      </c>
      <c r="D435" s="43" t="s">
        <v>607</v>
      </c>
      <c r="E435">
        <v>1</v>
      </c>
    </row>
    <row r="436" spans="1:5">
      <c r="A436" t="s">
        <v>516</v>
      </c>
      <c r="B436" t="s">
        <v>590</v>
      </c>
      <c r="C436" t="s">
        <v>581</v>
      </c>
      <c r="D436" s="43" t="s">
        <v>533</v>
      </c>
      <c r="E436">
        <v>1</v>
      </c>
    </row>
    <row r="437" spans="1:5">
      <c r="A437" t="s">
        <v>516</v>
      </c>
      <c r="B437" t="s">
        <v>590</v>
      </c>
      <c r="C437" t="s">
        <v>581</v>
      </c>
      <c r="D437" s="43" t="s">
        <v>541</v>
      </c>
      <c r="E437">
        <v>1</v>
      </c>
    </row>
    <row r="438" spans="1:5">
      <c r="A438" t="s">
        <v>516</v>
      </c>
      <c r="B438" t="s">
        <v>590</v>
      </c>
      <c r="C438" t="s">
        <v>581</v>
      </c>
      <c r="D438" s="43" t="s">
        <v>525</v>
      </c>
      <c r="E438">
        <v>1</v>
      </c>
    </row>
    <row r="439" spans="1:5">
      <c r="A439" t="s">
        <v>516</v>
      </c>
      <c r="B439" t="s">
        <v>590</v>
      </c>
      <c r="C439" t="s">
        <v>581</v>
      </c>
      <c r="D439" s="43" t="s">
        <v>414</v>
      </c>
      <c r="E439">
        <v>1</v>
      </c>
    </row>
    <row r="440" spans="1:5">
      <c r="A440" t="s">
        <v>516</v>
      </c>
      <c r="B440" t="s">
        <v>590</v>
      </c>
      <c r="C440" t="s">
        <v>581</v>
      </c>
      <c r="D440" s="43" t="s">
        <v>592</v>
      </c>
      <c r="E440">
        <v>1</v>
      </c>
    </row>
    <row r="441" spans="1:5">
      <c r="A441" t="s">
        <v>516</v>
      </c>
      <c r="B441" t="s">
        <v>590</v>
      </c>
      <c r="C441" t="s">
        <v>581</v>
      </c>
      <c r="D441" s="43" t="s">
        <v>548</v>
      </c>
      <c r="E441">
        <v>1</v>
      </c>
    </row>
    <row r="442" spans="1:5">
      <c r="A442" t="s">
        <v>516</v>
      </c>
      <c r="B442" t="s">
        <v>590</v>
      </c>
      <c r="C442" t="s">
        <v>581</v>
      </c>
      <c r="D442" s="43" t="s">
        <v>593</v>
      </c>
      <c r="E442">
        <v>1</v>
      </c>
    </row>
    <row r="443" spans="1:5">
      <c r="A443" t="s">
        <v>516</v>
      </c>
      <c r="B443" t="s">
        <v>590</v>
      </c>
      <c r="C443" t="s">
        <v>581</v>
      </c>
      <c r="D443" s="43" t="s">
        <v>594</v>
      </c>
      <c r="E443">
        <v>1</v>
      </c>
    </row>
    <row r="444" spans="1:5">
      <c r="A444" t="s">
        <v>516</v>
      </c>
      <c r="B444" t="s">
        <v>590</v>
      </c>
      <c r="C444" t="s">
        <v>581</v>
      </c>
      <c r="D444" s="43" t="s">
        <v>461</v>
      </c>
      <c r="E444">
        <v>1</v>
      </c>
    </row>
    <row r="445" spans="1:5">
      <c r="A445" t="s">
        <v>516</v>
      </c>
      <c r="B445" t="s">
        <v>590</v>
      </c>
      <c r="C445" t="s">
        <v>581</v>
      </c>
      <c r="D445" s="43" t="s">
        <v>406</v>
      </c>
      <c r="E445">
        <v>1</v>
      </c>
    </row>
    <row r="446" spans="1:5">
      <c r="A446" t="s">
        <v>516</v>
      </c>
      <c r="B446" t="s">
        <v>590</v>
      </c>
      <c r="C446" t="s">
        <v>581</v>
      </c>
      <c r="D446" s="43" t="s">
        <v>595</v>
      </c>
      <c r="E446">
        <v>1</v>
      </c>
    </row>
    <row r="447" spans="1:5">
      <c r="A447" t="s">
        <v>516</v>
      </c>
      <c r="B447" t="s">
        <v>590</v>
      </c>
      <c r="C447" t="s">
        <v>581</v>
      </c>
      <c r="D447" s="43" t="s">
        <v>596</v>
      </c>
      <c r="E447">
        <v>1</v>
      </c>
    </row>
    <row r="448" spans="1:5">
      <c r="A448" t="s">
        <v>516</v>
      </c>
      <c r="B448" t="s">
        <v>590</v>
      </c>
      <c r="C448" t="s">
        <v>581</v>
      </c>
      <c r="D448" s="43" t="s">
        <v>597</v>
      </c>
      <c r="E448">
        <v>1</v>
      </c>
    </row>
    <row r="449" spans="1:6">
      <c r="A449" t="s">
        <v>516</v>
      </c>
      <c r="B449" t="s">
        <v>590</v>
      </c>
      <c r="C449" t="s">
        <v>581</v>
      </c>
      <c r="D449" s="43" t="s">
        <v>598</v>
      </c>
      <c r="E449">
        <v>1</v>
      </c>
    </row>
    <row r="450" spans="1:6">
      <c r="A450" t="s">
        <v>516</v>
      </c>
      <c r="B450" t="s">
        <v>590</v>
      </c>
      <c r="C450" t="s">
        <v>581</v>
      </c>
      <c r="D450" s="43" t="s">
        <v>599</v>
      </c>
      <c r="E450">
        <v>1</v>
      </c>
    </row>
    <row r="451" spans="1:6">
      <c r="A451" t="s">
        <v>516</v>
      </c>
      <c r="B451" t="s">
        <v>590</v>
      </c>
      <c r="C451" t="s">
        <v>581</v>
      </c>
      <c r="D451" s="43" t="s">
        <v>338</v>
      </c>
      <c r="E451">
        <v>1</v>
      </c>
    </row>
    <row r="452" spans="1:6">
      <c r="A452" t="s">
        <v>516</v>
      </c>
      <c r="B452" t="s">
        <v>590</v>
      </c>
      <c r="C452" t="s">
        <v>581</v>
      </c>
      <c r="D452" s="43" t="s">
        <v>600</v>
      </c>
      <c r="E452">
        <v>1</v>
      </c>
    </row>
    <row r="453" spans="1:6">
      <c r="A453" t="s">
        <v>516</v>
      </c>
      <c r="B453" t="s">
        <v>590</v>
      </c>
      <c r="C453" t="s">
        <v>581</v>
      </c>
      <c r="D453" s="43" t="s">
        <v>601</v>
      </c>
      <c r="E453">
        <v>1</v>
      </c>
    </row>
    <row r="454" spans="1:6">
      <c r="A454" t="s">
        <v>516</v>
      </c>
      <c r="B454" t="s">
        <v>590</v>
      </c>
      <c r="C454" t="s">
        <v>581</v>
      </c>
      <c r="D454" s="43" t="s">
        <v>602</v>
      </c>
      <c r="E454">
        <v>1</v>
      </c>
    </row>
    <row r="455" spans="1:6">
      <c r="A455" t="s">
        <v>516</v>
      </c>
      <c r="B455" t="s">
        <v>590</v>
      </c>
      <c r="C455" t="s">
        <v>581</v>
      </c>
      <c r="D455" s="43" t="s">
        <v>603</v>
      </c>
      <c r="E455">
        <v>1</v>
      </c>
    </row>
    <row r="456" spans="1:6">
      <c r="A456" t="s">
        <v>516</v>
      </c>
      <c r="B456" t="s">
        <v>590</v>
      </c>
      <c r="C456" t="s">
        <v>581</v>
      </c>
      <c r="D456" s="43" t="s">
        <v>604</v>
      </c>
      <c r="E456">
        <v>1</v>
      </c>
    </row>
    <row r="457" spans="1:6">
      <c r="A457" t="s">
        <v>516</v>
      </c>
      <c r="B457" t="s">
        <v>590</v>
      </c>
      <c r="C457" t="s">
        <v>581</v>
      </c>
      <c r="D457" s="43" t="s">
        <v>289</v>
      </c>
      <c r="E457">
        <v>1</v>
      </c>
    </row>
    <row r="458" spans="1:6">
      <c r="A458" t="s">
        <v>516</v>
      </c>
      <c r="B458" t="s">
        <v>590</v>
      </c>
      <c r="C458" t="s">
        <v>581</v>
      </c>
      <c r="D458" s="43" t="s">
        <v>373</v>
      </c>
      <c r="E458">
        <v>1</v>
      </c>
    </row>
    <row r="459" spans="1:6">
      <c r="A459" t="s">
        <v>516</v>
      </c>
      <c r="B459" t="s">
        <v>590</v>
      </c>
      <c r="C459" t="s">
        <v>581</v>
      </c>
      <c r="D459" s="43" t="s">
        <v>347</v>
      </c>
      <c r="E459">
        <v>1</v>
      </c>
    </row>
    <row r="460" spans="1:6">
      <c r="A460" t="s">
        <v>516</v>
      </c>
      <c r="B460" t="s">
        <v>590</v>
      </c>
      <c r="C460" t="s">
        <v>581</v>
      </c>
      <c r="D460" s="43" t="s">
        <v>556</v>
      </c>
      <c r="E460">
        <v>1</v>
      </c>
    </row>
    <row r="461" spans="1:6">
      <c r="A461" t="s">
        <v>352</v>
      </c>
      <c r="B461" t="s">
        <v>576</v>
      </c>
      <c r="C461" t="s">
        <v>579</v>
      </c>
      <c r="D461" s="43" t="str">
        <f>A461</f>
        <v>Glass</v>
      </c>
      <c r="E461">
        <v>0</v>
      </c>
    </row>
    <row r="462" spans="1:6">
      <c r="A462" t="s">
        <v>453</v>
      </c>
      <c r="B462" t="s">
        <v>576</v>
      </c>
      <c r="C462" t="s">
        <v>579</v>
      </c>
      <c r="D462" s="43" t="str">
        <f t="shared" ref="D462:D469" si="0">A462</f>
        <v>PET</v>
      </c>
      <c r="E462">
        <v>0</v>
      </c>
      <c r="F462" t="s">
        <v>620</v>
      </c>
    </row>
    <row r="463" spans="1:6">
      <c r="A463" t="s">
        <v>446</v>
      </c>
      <c r="B463" t="s">
        <v>576</v>
      </c>
      <c r="C463" t="s">
        <v>579</v>
      </c>
      <c r="D463" s="43" t="str">
        <f t="shared" si="0"/>
        <v>PE-HD</v>
      </c>
      <c r="E463">
        <v>0</v>
      </c>
      <c r="F463" t="s">
        <v>621</v>
      </c>
    </row>
    <row r="464" spans="1:6">
      <c r="A464" t="s">
        <v>622</v>
      </c>
      <c r="B464" t="s">
        <v>576</v>
      </c>
      <c r="C464" t="s">
        <v>579</v>
      </c>
      <c r="D464" s="43" t="str">
        <f t="shared" si="0"/>
        <v>PVC</v>
      </c>
      <c r="E464">
        <v>0</v>
      </c>
      <c r="F464" t="s">
        <v>623</v>
      </c>
    </row>
    <row r="465" spans="1:6">
      <c r="A465" t="s">
        <v>450</v>
      </c>
      <c r="B465" t="s">
        <v>576</v>
      </c>
      <c r="C465" t="s">
        <v>579</v>
      </c>
      <c r="D465" s="43" t="str">
        <f t="shared" si="0"/>
        <v>PE-LD</v>
      </c>
      <c r="E465">
        <v>0</v>
      </c>
      <c r="F465" t="s">
        <v>624</v>
      </c>
    </row>
    <row r="466" spans="1:6">
      <c r="A466" t="s">
        <v>457</v>
      </c>
      <c r="B466" t="s">
        <v>576</v>
      </c>
      <c r="C466" t="s">
        <v>579</v>
      </c>
      <c r="D466" s="43" t="str">
        <f t="shared" si="0"/>
        <v>PP</v>
      </c>
      <c r="E466">
        <v>0</v>
      </c>
      <c r="F466" t="s">
        <v>625</v>
      </c>
    </row>
    <row r="467" spans="1:6">
      <c r="A467" t="s">
        <v>626</v>
      </c>
      <c r="B467" t="s">
        <v>576</v>
      </c>
      <c r="C467" t="s">
        <v>579</v>
      </c>
      <c r="D467" s="43" t="str">
        <f t="shared" si="0"/>
        <v>PS</v>
      </c>
      <c r="E467">
        <v>0</v>
      </c>
      <c r="F467" t="s">
        <v>627</v>
      </c>
    </row>
    <row r="468" spans="1:6">
      <c r="A468" t="s">
        <v>636</v>
      </c>
      <c r="B468" t="s">
        <v>576</v>
      </c>
      <c r="C468" t="s">
        <v>579</v>
      </c>
      <c r="D468" s="43" t="str">
        <f t="shared" si="0"/>
        <v>Paper</v>
      </c>
      <c r="E468">
        <v>0</v>
      </c>
    </row>
    <row r="469" spans="1:6" ht="29">
      <c r="A469" t="s">
        <v>761</v>
      </c>
      <c r="B469" t="s">
        <v>576</v>
      </c>
      <c r="C469" t="s">
        <v>581</v>
      </c>
      <c r="D469" s="43" t="str">
        <f t="shared" si="0"/>
        <v>Incineration/Disposal</v>
      </c>
    </row>
  </sheetData>
  <pageMargins left="0.7" right="0.7" top="0.75" bottom="0.75" header="0.3" footer="0.3"/>
  <pageSetup orientation="portrait" r:id="rId1"/>
  <extLst>
    <ext xmlns:x14="http://schemas.microsoft.com/office/spreadsheetml/2009/9/main" uri="{78C0D931-6437-407d-A8EE-F0AAD7539E65}">
      <x14:conditionalFormattings>
        <x14:conditionalFormatting xmlns:xm="http://schemas.microsoft.com/office/excel/2006/main">
          <x14:cfRule type="cellIs" priority="4" operator="equal" id="{88FAD48D-70A3-4023-A8C4-F493069932C1}">
            <xm:f>routes_params!$A$4</xm:f>
            <x14:dxf>
              <font>
                <color theme="1"/>
              </font>
              <fill>
                <patternFill>
                  <bgColor theme="9" tint="0.59996337778862885"/>
                </patternFill>
              </fill>
            </x14:dxf>
          </x14:cfRule>
          <x14:cfRule type="cellIs" priority="5" operator="equal" id="{981A547B-4B40-4F0C-925E-A5D03586868C}">
            <xm:f>routes_params!$A$3</xm:f>
            <x14:dxf>
              <font>
                <color theme="1"/>
              </font>
              <fill>
                <patternFill>
                  <bgColor theme="0"/>
                </patternFill>
              </fill>
            </x14:dxf>
          </x14:cfRule>
          <x14:cfRule type="cellIs" priority="6" operator="equal" id="{D7DE082D-B40B-430A-9649-EFEB554C3E5B}">
            <xm:f>routes_params!$A$2</xm:f>
            <x14:dxf>
              <font>
                <color theme="1"/>
              </font>
              <fill>
                <patternFill>
                  <bgColor theme="4" tint="0.79998168889431442"/>
                </patternFill>
              </fill>
            </x14:dxf>
          </x14:cfRule>
          <x14:cfRule type="cellIs" priority="7" operator="equal" id="{C4A4E71C-4140-4DD0-9E79-4AEF06D72F4D}">
            <xm:f>routes_params!$A$1</xm:f>
            <x14:dxf>
              <font>
                <color theme="0"/>
              </font>
              <fill>
                <patternFill>
                  <bgColor theme="4" tint="0.39994506668294322"/>
                </patternFill>
              </fill>
            </x14:dxf>
          </x14:cfRule>
          <xm:sqref>B1:B1048576</xm:sqref>
        </x14:conditionalFormatting>
        <x14:conditionalFormatting xmlns:xm="http://schemas.microsoft.com/office/excel/2006/main">
          <x14:cfRule type="cellIs" priority="1" operator="equal" id="{87042A16-C92F-4ACD-A955-B0C6C80C1ACE}">
            <xm:f>routes_params!$B$3</xm:f>
            <x14:dxf>
              <font>
                <color theme="1"/>
              </font>
              <fill>
                <patternFill>
                  <bgColor rgb="FFFF0000"/>
                </patternFill>
              </fill>
            </x14:dxf>
          </x14:cfRule>
          <x14:cfRule type="cellIs" priority="2" operator="equal" id="{CF4DCD91-5657-4966-B6EA-04977489FCE2}">
            <xm:f>routes_params!$B$2</xm:f>
            <x14:dxf>
              <font>
                <color theme="1"/>
              </font>
              <fill>
                <patternFill>
                  <bgColor theme="7"/>
                </patternFill>
              </fill>
            </x14:dxf>
          </x14:cfRule>
          <x14:cfRule type="cellIs" priority="3" operator="equal" id="{FE3D6FCC-A4D9-4A95-9CFF-8ACD9F32A23C}">
            <xm:f>routes_params!$B$1</xm:f>
            <x14:dxf>
              <font>
                <color theme="1"/>
              </font>
              <fill>
                <patternFill>
                  <bgColor theme="9"/>
                </patternFill>
              </fill>
            </x14:dxf>
          </x14:cfRule>
          <xm:sqref>C1:C1048576</xm:sqref>
        </x14:conditionalFormatting>
        <x14:conditionalFormatting xmlns:xm="http://schemas.microsoft.com/office/excel/2006/main">
          <x14:cfRule type="cellIs" priority="36" operator="equal" id="{0DF5A8B9-9FF8-462F-89A6-4C1EEFC15995}">
            <xm:f>routes_params!$B$3</xm:f>
            <x14:dxf>
              <font>
                <color theme="1"/>
              </font>
              <fill>
                <patternFill>
                  <bgColor rgb="FFFF0000"/>
                </patternFill>
              </fill>
            </x14:dxf>
          </x14:cfRule>
          <x14:cfRule type="cellIs" priority="37" operator="equal" id="{E7E1BD6A-0C60-468C-B752-F8E8505F9002}">
            <xm:f>routes_params!$B$2</xm:f>
            <x14:dxf>
              <font>
                <color theme="1"/>
              </font>
              <fill>
                <patternFill>
                  <bgColor theme="7"/>
                </patternFill>
              </fill>
            </x14:dxf>
          </x14:cfRule>
          <x14:cfRule type="cellIs" priority="38" operator="equal" id="{B8AA39C5-5B90-4B79-97FD-1C3EB15D47A4}">
            <xm:f>routes_params!$B$1</xm:f>
            <x14:dxf>
              <font>
                <color theme="1"/>
              </font>
              <fill>
                <patternFill>
                  <bgColor theme="9"/>
                </patternFill>
              </fill>
            </x14:dxf>
          </x14:cfRule>
          <xm:sqref>D25</xm:sqref>
        </x14:conditionalFormatting>
        <x14:conditionalFormatting xmlns:xm="http://schemas.microsoft.com/office/excel/2006/main">
          <x14:cfRule type="cellIs" priority="29" operator="equal" id="{910DA220-691E-4C76-8139-DA61E6689E13}">
            <xm:f>routes_params!$B$3</xm:f>
            <x14:dxf>
              <font>
                <color theme="1"/>
              </font>
              <fill>
                <patternFill>
                  <bgColor rgb="FFFF0000"/>
                </patternFill>
              </fill>
            </x14:dxf>
          </x14:cfRule>
          <x14:cfRule type="cellIs" priority="30" operator="equal" id="{A9DFDB63-ED46-47C7-B0D6-0B9A3565B34F}">
            <xm:f>routes_params!$B$2</xm:f>
            <x14:dxf>
              <font>
                <color theme="1"/>
              </font>
              <fill>
                <patternFill>
                  <bgColor theme="7"/>
                </patternFill>
              </fill>
            </x14:dxf>
          </x14:cfRule>
          <x14:cfRule type="cellIs" priority="31" operator="equal" id="{E1E5F190-F025-4D33-AB3D-7B5E8097BE1C}">
            <xm:f>routes_params!$B$1</xm:f>
            <x14:dxf>
              <font>
                <color theme="1"/>
              </font>
              <fill>
                <patternFill>
                  <bgColor theme="9"/>
                </patternFill>
              </fill>
            </x14:dxf>
          </x14:cfRule>
          <xm:sqref>D61</xm:sqref>
        </x14:conditionalFormatting>
      </x14:conditionalFormatting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88E48A-0357-4CFB-81A0-C8F5D7FC4CBD}">
  <dimension ref="A1:D18"/>
  <sheetViews>
    <sheetView workbookViewId="0">
      <selection activeCell="I18" sqref="I18"/>
    </sheetView>
  </sheetViews>
  <sheetFormatPr baseColWidth="10" defaultColWidth="8.81640625" defaultRowHeight="14.5"/>
  <cols>
    <col min="1" max="1" width="24.453125" bestFit="1" customWidth="1"/>
    <col min="2" max="2" width="18.26953125" bestFit="1" customWidth="1"/>
  </cols>
  <sheetData>
    <row r="1" spans="1:4">
      <c r="A1" t="s">
        <v>576</v>
      </c>
      <c r="B1" t="s">
        <v>579</v>
      </c>
      <c r="D1" t="s">
        <v>628</v>
      </c>
    </row>
    <row r="2" spans="1:4">
      <c r="A2" t="s">
        <v>580</v>
      </c>
      <c r="B2" t="s">
        <v>582</v>
      </c>
      <c r="D2" s="43" t="s">
        <v>592</v>
      </c>
    </row>
    <row r="3" spans="1:4">
      <c r="A3" t="s">
        <v>583</v>
      </c>
      <c r="B3" t="s">
        <v>581</v>
      </c>
      <c r="D3" s="43" t="s">
        <v>548</v>
      </c>
    </row>
    <row r="4" spans="1:4">
      <c r="A4" t="s">
        <v>590</v>
      </c>
      <c r="D4" s="43" t="s">
        <v>593</v>
      </c>
    </row>
    <row r="5" spans="1:4">
      <c r="D5" s="43" t="s">
        <v>594</v>
      </c>
    </row>
    <row r="6" spans="1:4">
      <c r="D6" s="43" t="s">
        <v>461</v>
      </c>
    </row>
    <row r="7" spans="1:4">
      <c r="D7" s="43" t="s">
        <v>406</v>
      </c>
    </row>
    <row r="8" spans="1:4">
      <c r="D8" s="43" t="s">
        <v>595</v>
      </c>
    </row>
    <row r="9" spans="1:4">
      <c r="D9" s="43" t="s">
        <v>596</v>
      </c>
    </row>
    <row r="10" spans="1:4">
      <c r="D10" s="43" t="s">
        <v>597</v>
      </c>
    </row>
    <row r="11" spans="1:4">
      <c r="D11" s="43" t="s">
        <v>598</v>
      </c>
    </row>
    <row r="12" spans="1:4">
      <c r="D12" s="43" t="s">
        <v>599</v>
      </c>
    </row>
    <row r="13" spans="1:4">
      <c r="D13" s="43" t="s">
        <v>338</v>
      </c>
    </row>
    <row r="14" spans="1:4">
      <c r="D14" s="43" t="s">
        <v>600</v>
      </c>
    </row>
    <row r="15" spans="1:4">
      <c r="D15" s="43" t="s">
        <v>601</v>
      </c>
    </row>
    <row r="16" spans="1:4">
      <c r="D16" s="43" t="s">
        <v>602</v>
      </c>
    </row>
    <row r="17" spans="4:4">
      <c r="D17" s="43" t="s">
        <v>603</v>
      </c>
    </row>
    <row r="18" spans="4:4">
      <c r="D18" s="43" t="s">
        <v>604</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04A52-649A-43C5-800E-6841504577DF}">
  <dimension ref="A1:L48"/>
  <sheetViews>
    <sheetView topLeftCell="A25" workbookViewId="0">
      <selection activeCell="W16" sqref="W16"/>
    </sheetView>
  </sheetViews>
  <sheetFormatPr baseColWidth="10" defaultColWidth="11.54296875" defaultRowHeight="14.5"/>
  <cols>
    <col min="1" max="16384" width="11.54296875" style="58"/>
  </cols>
  <sheetData>
    <row r="1" spans="1:12">
      <c r="C1" s="58" t="s">
        <v>893</v>
      </c>
      <c r="D1" s="58" t="s">
        <v>894</v>
      </c>
      <c r="E1" s="58" t="s">
        <v>895</v>
      </c>
      <c r="F1" s="58" t="s">
        <v>896</v>
      </c>
    </row>
    <row r="2" spans="1:12">
      <c r="C2" s="58">
        <v>137</v>
      </c>
      <c r="D2" s="58">
        <f>F2</f>
        <v>110</v>
      </c>
      <c r="E2" s="58">
        <v>129</v>
      </c>
      <c r="F2" s="58">
        <v>110</v>
      </c>
      <c r="G2" s="58">
        <v>160</v>
      </c>
    </row>
    <row r="3" spans="1:12">
      <c r="A3" s="58" t="s">
        <v>280</v>
      </c>
      <c r="C3" s="58" t="s">
        <v>897</v>
      </c>
      <c r="D3" s="58" t="s">
        <v>898</v>
      </c>
      <c r="E3" s="58" t="s">
        <v>899</v>
      </c>
      <c r="F3" s="58" t="s">
        <v>900</v>
      </c>
      <c r="G3" s="58" t="s">
        <v>901</v>
      </c>
      <c r="H3" s="64" t="str">
        <f>C3</f>
        <v>(University of Plymouth, 2019)</v>
      </c>
      <c r="I3" s="64" t="str">
        <f>D3</f>
        <v>(US EPA, 2015)</v>
      </c>
      <c r="J3" s="64" t="str">
        <f>E3</f>
        <v>(Merchant, 2017)</v>
      </c>
      <c r="K3" s="64" t="str">
        <f>F3</f>
        <v>(Bookhagen et al., 2020)</v>
      </c>
      <c r="L3" s="64" t="str">
        <f>G3</f>
        <v>(Manhart et al., 2016)</v>
      </c>
    </row>
    <row r="4" spans="1:12">
      <c r="A4" s="58" t="s">
        <v>902</v>
      </c>
      <c r="B4" s="64">
        <f>MAX(H4:L4)</f>
        <v>0.24139534883720931</v>
      </c>
      <c r="C4" s="58">
        <v>2.5</v>
      </c>
      <c r="E4" s="58">
        <v>31.14</v>
      </c>
      <c r="F4" s="58">
        <v>6.68</v>
      </c>
      <c r="G4" s="58">
        <v>22.18</v>
      </c>
      <c r="H4" s="64">
        <f t="shared" ref="H4:H46" si="0">IF(C4&lt;&gt;"",C4/C$2,"-")</f>
        <v>1.824817518248175E-2</v>
      </c>
      <c r="I4" s="64" t="str">
        <f t="shared" ref="I4:I46" si="1">IF(D4&lt;&gt;"",D4/D$2,"-")</f>
        <v>-</v>
      </c>
      <c r="J4" s="64">
        <f t="shared" ref="J4:J46" si="2">IF(E4&lt;&gt;"",E4/E$2,"-")</f>
        <v>0.24139534883720931</v>
      </c>
      <c r="K4" s="64">
        <f t="shared" ref="K4:K46" si="3">IF(F4&lt;&gt;"",F4/F$2,"-")</f>
        <v>6.0727272727272727E-2</v>
      </c>
      <c r="L4" s="64">
        <f t="shared" ref="L4:L46" si="4">IF(G4&lt;&gt;"",G4/G$2,"-")</f>
        <v>0.138625</v>
      </c>
    </row>
    <row r="5" spans="1:12">
      <c r="A5" s="58" t="s">
        <v>903</v>
      </c>
      <c r="B5" s="64">
        <f t="shared" ref="B5:B48" si="5">MAX(H5:L5)</f>
        <v>5.1094890510948905E-5</v>
      </c>
      <c r="C5" s="58">
        <v>7.0000000000000001E-3</v>
      </c>
      <c r="H5" s="64">
        <f t="shared" si="0"/>
        <v>5.1094890510948905E-5</v>
      </c>
      <c r="I5" s="64" t="str">
        <f t="shared" si="1"/>
        <v>-</v>
      </c>
      <c r="J5" s="64" t="str">
        <f t="shared" si="2"/>
        <v>-</v>
      </c>
      <c r="K5" s="64" t="str">
        <f t="shared" si="3"/>
        <v>-</v>
      </c>
      <c r="L5" s="64" t="str">
        <f t="shared" si="4"/>
        <v>-</v>
      </c>
    </row>
    <row r="6" spans="1:12">
      <c r="A6" s="58" t="s">
        <v>904</v>
      </c>
      <c r="B6" s="64">
        <f t="shared" si="5"/>
        <v>7.7519379844961245E-5</v>
      </c>
      <c r="E6" s="58">
        <v>0.01</v>
      </c>
      <c r="H6" s="64" t="str">
        <f t="shared" si="0"/>
        <v>-</v>
      </c>
      <c r="I6" s="64" t="str">
        <f t="shared" si="1"/>
        <v>-</v>
      </c>
      <c r="J6" s="64">
        <f t="shared" si="2"/>
        <v>7.7519379844961245E-5</v>
      </c>
      <c r="K6" s="64" t="str">
        <f t="shared" si="3"/>
        <v>-</v>
      </c>
      <c r="L6" s="64" t="str">
        <f t="shared" si="4"/>
        <v>-</v>
      </c>
    </row>
    <row r="7" spans="1:12">
      <c r="A7" s="58" t="s">
        <v>905</v>
      </c>
      <c r="B7" s="64">
        <f t="shared" si="5"/>
        <v>1.5503875968992249E-4</v>
      </c>
      <c r="E7" s="58">
        <v>0.02</v>
      </c>
      <c r="H7" s="64" t="str">
        <f t="shared" si="0"/>
        <v>-</v>
      </c>
      <c r="I7" s="64" t="str">
        <f t="shared" si="1"/>
        <v>-</v>
      </c>
      <c r="J7" s="64">
        <f t="shared" si="2"/>
        <v>1.5503875968992249E-4</v>
      </c>
      <c r="K7" s="64" t="str">
        <f t="shared" si="3"/>
        <v>-</v>
      </c>
      <c r="L7" s="64" t="str">
        <f t="shared" si="4"/>
        <v>-</v>
      </c>
    </row>
    <row r="8" spans="1:12">
      <c r="A8" s="58" t="s">
        <v>906</v>
      </c>
      <c r="B8" s="64">
        <f t="shared" si="5"/>
        <v>1.1678832116788322E-2</v>
      </c>
      <c r="C8" s="58">
        <v>1.6</v>
      </c>
      <c r="E8" s="58">
        <v>0.44</v>
      </c>
      <c r="H8" s="64">
        <f t="shared" si="0"/>
        <v>1.1678832116788322E-2</v>
      </c>
      <c r="I8" s="64" t="str">
        <f t="shared" si="1"/>
        <v>-</v>
      </c>
      <c r="J8" s="64">
        <f t="shared" si="2"/>
        <v>3.4108527131782944E-3</v>
      </c>
      <c r="K8" s="64" t="str">
        <f t="shared" si="3"/>
        <v>-</v>
      </c>
      <c r="L8" s="64" t="str">
        <f t="shared" si="4"/>
        <v>-</v>
      </c>
    </row>
    <row r="9" spans="1:12">
      <c r="A9" s="58" t="s">
        <v>907</v>
      </c>
      <c r="B9" s="64">
        <f t="shared" si="5"/>
        <v>0.15387596899224806</v>
      </c>
      <c r="C9" s="58">
        <v>4</v>
      </c>
      <c r="E9" s="58">
        <v>19.850000000000001</v>
      </c>
      <c r="H9" s="64">
        <f t="shared" si="0"/>
        <v>2.9197080291970802E-2</v>
      </c>
      <c r="I9" s="64" t="str">
        <f t="shared" si="1"/>
        <v>-</v>
      </c>
      <c r="J9" s="64">
        <f t="shared" si="2"/>
        <v>0.15387596899224806</v>
      </c>
      <c r="K9" s="64" t="str">
        <f t="shared" si="3"/>
        <v>-</v>
      </c>
      <c r="L9" s="64" t="str">
        <f t="shared" si="4"/>
        <v>-</v>
      </c>
    </row>
    <row r="10" spans="1:12">
      <c r="A10" s="58" t="s">
        <v>908</v>
      </c>
      <c r="B10" s="64">
        <f t="shared" si="5"/>
        <v>1.875E-7</v>
      </c>
      <c r="G10" s="58">
        <v>3.0000000000000001E-5</v>
      </c>
      <c r="H10" s="64" t="str">
        <f t="shared" si="0"/>
        <v>-</v>
      </c>
      <c r="I10" s="64" t="str">
        <f t="shared" si="1"/>
        <v>-</v>
      </c>
      <c r="J10" s="64" t="str">
        <f t="shared" si="2"/>
        <v>-</v>
      </c>
      <c r="K10" s="64" t="str">
        <f t="shared" si="3"/>
        <v>-</v>
      </c>
      <c r="L10" s="64">
        <f t="shared" si="4"/>
        <v>1.875E-7</v>
      </c>
    </row>
    <row r="11" spans="1:12">
      <c r="A11" s="58" t="s">
        <v>909</v>
      </c>
      <c r="B11" s="64">
        <f t="shared" si="5"/>
        <v>7.7519379844961245E-5</v>
      </c>
      <c r="E11" s="58">
        <v>0.01</v>
      </c>
      <c r="H11" s="64" t="str">
        <f t="shared" si="0"/>
        <v>-</v>
      </c>
      <c r="I11" s="64" t="str">
        <f t="shared" si="1"/>
        <v>-</v>
      </c>
      <c r="J11" s="64">
        <f t="shared" si="2"/>
        <v>7.7519379844961245E-5</v>
      </c>
      <c r="K11" s="64" t="str">
        <f t="shared" si="3"/>
        <v>-</v>
      </c>
      <c r="L11" s="64" t="str">
        <f t="shared" si="4"/>
        <v>-</v>
      </c>
    </row>
    <row r="12" spans="1:12">
      <c r="A12" s="58" t="s">
        <v>910</v>
      </c>
      <c r="B12" s="64">
        <f t="shared" si="5"/>
        <v>5.1094890510948905E-2</v>
      </c>
      <c r="C12" s="58">
        <v>7</v>
      </c>
      <c r="E12" s="58">
        <v>4.9400000000000004</v>
      </c>
      <c r="H12" s="64">
        <f t="shared" si="0"/>
        <v>5.1094890510948905E-2</v>
      </c>
      <c r="I12" s="64" t="str">
        <f t="shared" si="1"/>
        <v>-</v>
      </c>
      <c r="J12" s="64">
        <f t="shared" si="2"/>
        <v>3.8294573643410858E-2</v>
      </c>
      <c r="K12" s="64" t="str">
        <f t="shared" si="3"/>
        <v>-</v>
      </c>
      <c r="L12" s="64" t="str">
        <f t="shared" si="4"/>
        <v>-</v>
      </c>
    </row>
    <row r="13" spans="1:12">
      <c r="A13" s="58" t="s">
        <v>911</v>
      </c>
      <c r="B13" s="64">
        <f t="shared" si="5"/>
        <v>5.1085271317829459E-2</v>
      </c>
      <c r="C13" s="58">
        <v>7.0000000000000007E-2</v>
      </c>
      <c r="E13" s="58">
        <v>6.59</v>
      </c>
      <c r="G13" s="58">
        <v>5.38</v>
      </c>
      <c r="H13" s="64">
        <f t="shared" si="0"/>
        <v>5.1094890510948909E-4</v>
      </c>
      <c r="I13" s="64" t="str">
        <f t="shared" si="1"/>
        <v>-</v>
      </c>
      <c r="J13" s="64">
        <f t="shared" si="2"/>
        <v>5.1085271317829459E-2</v>
      </c>
      <c r="K13" s="64" t="str">
        <f t="shared" si="3"/>
        <v>-</v>
      </c>
      <c r="L13" s="64">
        <f t="shared" si="4"/>
        <v>3.3625000000000002E-2</v>
      </c>
    </row>
    <row r="14" spans="1:12">
      <c r="A14" s="58" t="s">
        <v>912</v>
      </c>
      <c r="B14" s="64">
        <f t="shared" si="5"/>
        <v>0.14545470235800001</v>
      </c>
      <c r="C14" s="58">
        <v>6</v>
      </c>
      <c r="D14" s="58">
        <f>35274/1000000*[1]calculations!N2</f>
        <v>16.000017259380002</v>
      </c>
      <c r="E14" s="58">
        <v>7.84</v>
      </c>
      <c r="F14" s="58">
        <v>6.61</v>
      </c>
      <c r="G14" s="58">
        <v>15.12</v>
      </c>
      <c r="H14" s="64">
        <f t="shared" si="0"/>
        <v>4.3795620437956206E-2</v>
      </c>
      <c r="I14" s="64">
        <f t="shared" si="1"/>
        <v>0.14545470235800001</v>
      </c>
      <c r="J14" s="64">
        <f t="shared" si="2"/>
        <v>6.077519379844961E-2</v>
      </c>
      <c r="K14" s="64">
        <f t="shared" si="3"/>
        <v>6.0090909090909091E-2</v>
      </c>
      <c r="L14" s="64">
        <f t="shared" si="4"/>
        <v>9.4500000000000001E-2</v>
      </c>
    </row>
    <row r="15" spans="1:12">
      <c r="A15" s="58" t="s">
        <v>913</v>
      </c>
      <c r="B15" s="64">
        <f t="shared" si="5"/>
        <v>1.4598540145985402E-5</v>
      </c>
      <c r="C15" s="58">
        <v>2E-3</v>
      </c>
      <c r="H15" s="64">
        <f t="shared" si="0"/>
        <v>1.4598540145985402E-5</v>
      </c>
      <c r="I15" s="64" t="str">
        <f t="shared" si="1"/>
        <v>-</v>
      </c>
      <c r="J15" s="64" t="str">
        <f t="shared" si="2"/>
        <v>-</v>
      </c>
      <c r="K15" s="64" t="str">
        <f t="shared" si="3"/>
        <v>-</v>
      </c>
      <c r="L15" s="64" t="str">
        <f t="shared" si="4"/>
        <v>-</v>
      </c>
    </row>
    <row r="16" spans="1:12">
      <c r="A16" s="58" t="s">
        <v>914</v>
      </c>
      <c r="B16" s="64">
        <f t="shared" si="5"/>
        <v>6.2500000000000005E-7</v>
      </c>
      <c r="G16" s="58">
        <v>1E-4</v>
      </c>
      <c r="H16" s="64" t="str">
        <f t="shared" si="0"/>
        <v>-</v>
      </c>
      <c r="I16" s="64" t="str">
        <f t="shared" si="1"/>
        <v>-</v>
      </c>
      <c r="J16" s="64" t="str">
        <f t="shared" si="2"/>
        <v>-</v>
      </c>
      <c r="K16" s="64" t="str">
        <f t="shared" si="3"/>
        <v>-</v>
      </c>
      <c r="L16" s="64">
        <f t="shared" si="4"/>
        <v>6.2500000000000005E-7</v>
      </c>
    </row>
    <row r="17" spans="1:12">
      <c r="A17" s="58" t="s">
        <v>915</v>
      </c>
      <c r="B17" s="64">
        <f t="shared" si="5"/>
        <v>3.6496350364963507E-5</v>
      </c>
      <c r="C17" s="58">
        <v>5.0000000000000001E-3</v>
      </c>
      <c r="G17" s="58">
        <v>2.0000000000000001E-4</v>
      </c>
      <c r="H17" s="64">
        <f t="shared" si="0"/>
        <v>3.6496350364963507E-5</v>
      </c>
      <c r="I17" s="64" t="str">
        <f t="shared" si="1"/>
        <v>-</v>
      </c>
      <c r="J17" s="64" t="str">
        <f t="shared" si="2"/>
        <v>-</v>
      </c>
      <c r="K17" s="64" t="str">
        <f t="shared" si="3"/>
        <v>-</v>
      </c>
      <c r="L17" s="64">
        <f t="shared" si="4"/>
        <v>1.2500000000000001E-6</v>
      </c>
    </row>
    <row r="18" spans="1:12">
      <c r="A18" s="58" t="s">
        <v>916</v>
      </c>
      <c r="B18" s="64">
        <f t="shared" si="5"/>
        <v>7.7519379844961245E-5</v>
      </c>
      <c r="E18" s="58">
        <v>0.01</v>
      </c>
      <c r="G18" s="58">
        <v>4.0000000000000002E-4</v>
      </c>
      <c r="H18" s="64" t="str">
        <f t="shared" si="0"/>
        <v>-</v>
      </c>
      <c r="I18" s="64" t="str">
        <f t="shared" si="1"/>
        <v>-</v>
      </c>
      <c r="J18" s="64">
        <f t="shared" si="2"/>
        <v>7.7519379844961245E-5</v>
      </c>
      <c r="K18" s="64" t="str">
        <f t="shared" si="3"/>
        <v>-</v>
      </c>
      <c r="L18" s="64">
        <f t="shared" si="4"/>
        <v>2.5000000000000002E-6</v>
      </c>
    </row>
    <row r="19" spans="1:12">
      <c r="A19" s="58" t="s">
        <v>917</v>
      </c>
      <c r="B19" s="64">
        <f t="shared" si="5"/>
        <v>1.4598540145985402E-5</v>
      </c>
      <c r="C19" s="58">
        <v>2E-3</v>
      </c>
      <c r="H19" s="64">
        <f t="shared" si="0"/>
        <v>1.4598540145985402E-5</v>
      </c>
      <c r="I19" s="64" t="str">
        <f t="shared" si="1"/>
        <v>-</v>
      </c>
      <c r="J19" s="64" t="str">
        <f t="shared" si="2"/>
        <v>-</v>
      </c>
      <c r="K19" s="64" t="str">
        <f t="shared" si="3"/>
        <v>-</v>
      </c>
      <c r="L19" s="64" t="str">
        <f t="shared" si="4"/>
        <v>-</v>
      </c>
    </row>
    <row r="20" spans="1:12">
      <c r="A20" s="58" t="s">
        <v>918</v>
      </c>
      <c r="B20" s="64">
        <f t="shared" si="5"/>
        <v>3.0926752499999997E-4</v>
      </c>
      <c r="C20" s="58">
        <v>3.5999999999999997E-2</v>
      </c>
      <c r="D20" s="58">
        <f>75/1000000*[1]calculations!N2</f>
        <v>3.4019427749999998E-2</v>
      </c>
      <c r="E20" s="58">
        <v>1.4E-2</v>
      </c>
      <c r="F20" s="58">
        <v>1.7000000000000001E-2</v>
      </c>
      <c r="G20" s="58">
        <v>0.03</v>
      </c>
      <c r="H20" s="64">
        <f t="shared" si="0"/>
        <v>2.6277372262773722E-4</v>
      </c>
      <c r="I20" s="64">
        <f t="shared" si="1"/>
        <v>3.0926752499999997E-4</v>
      </c>
      <c r="J20" s="64">
        <f t="shared" si="2"/>
        <v>1.0852713178294573E-4</v>
      </c>
      <c r="K20" s="64">
        <f t="shared" si="3"/>
        <v>1.5454545454545454E-4</v>
      </c>
      <c r="L20" s="64">
        <f t="shared" si="4"/>
        <v>1.875E-4</v>
      </c>
    </row>
    <row r="21" spans="1:12">
      <c r="A21" s="58" t="s">
        <v>919</v>
      </c>
      <c r="B21" s="64">
        <f t="shared" si="5"/>
        <v>4.27906976744186E-2</v>
      </c>
      <c r="E21" s="58">
        <v>5.52</v>
      </c>
      <c r="H21" s="64" t="str">
        <f t="shared" si="0"/>
        <v>-</v>
      </c>
      <c r="I21" s="64" t="str">
        <f t="shared" si="1"/>
        <v>-</v>
      </c>
      <c r="J21" s="64">
        <f t="shared" si="2"/>
        <v>4.27906976744186E-2</v>
      </c>
      <c r="K21" s="64" t="str">
        <f t="shared" si="3"/>
        <v>-</v>
      </c>
      <c r="L21" s="64" t="str">
        <f t="shared" si="4"/>
        <v>-</v>
      </c>
    </row>
    <row r="22" spans="1:12">
      <c r="A22" s="58" t="s">
        <v>920</v>
      </c>
      <c r="B22" s="64">
        <f t="shared" si="5"/>
        <v>6.2500000000000001E-5</v>
      </c>
      <c r="C22" s="58">
        <v>2E-3</v>
      </c>
      <c r="F22" s="58">
        <f>0.0004+0.0022</f>
        <v>2.6000000000000003E-3</v>
      </c>
      <c r="G22" s="58">
        <v>0.01</v>
      </c>
      <c r="H22" s="64">
        <f t="shared" si="0"/>
        <v>1.4598540145985402E-5</v>
      </c>
      <c r="I22" s="64" t="str">
        <f t="shared" si="1"/>
        <v>-</v>
      </c>
      <c r="J22" s="64" t="str">
        <f t="shared" si="2"/>
        <v>-</v>
      </c>
      <c r="K22" s="64">
        <f t="shared" si="3"/>
        <v>2.3636363636363641E-5</v>
      </c>
      <c r="L22" s="64">
        <f t="shared" si="4"/>
        <v>6.2500000000000001E-5</v>
      </c>
    </row>
    <row r="23" spans="1:12">
      <c r="A23" s="58" t="s">
        <v>921</v>
      </c>
      <c r="B23" s="64">
        <f t="shared" si="5"/>
        <v>0.24087591240875914</v>
      </c>
      <c r="C23" s="58">
        <v>33</v>
      </c>
      <c r="E23" s="58">
        <v>18.63</v>
      </c>
      <c r="F23" s="58">
        <v>15.98</v>
      </c>
      <c r="G23" s="58">
        <v>0.88</v>
      </c>
      <c r="H23" s="64">
        <f t="shared" si="0"/>
        <v>0.24087591240875914</v>
      </c>
      <c r="I23" s="64" t="str">
        <f t="shared" si="1"/>
        <v>-</v>
      </c>
      <c r="J23" s="64">
        <f t="shared" si="2"/>
        <v>0.1444186046511628</v>
      </c>
      <c r="K23" s="64">
        <f t="shared" si="3"/>
        <v>0.14527272727272728</v>
      </c>
      <c r="L23" s="64">
        <f t="shared" si="4"/>
        <v>5.4999999999999997E-3</v>
      </c>
    </row>
    <row r="24" spans="1:12">
      <c r="A24" s="58" t="s">
        <v>922</v>
      </c>
      <c r="B24" s="64">
        <f t="shared" si="5"/>
        <v>3.1007751937984498E-4</v>
      </c>
      <c r="E24" s="58">
        <v>0.04</v>
      </c>
      <c r="H24" s="64" t="str">
        <f t="shared" si="0"/>
        <v>-</v>
      </c>
      <c r="I24" s="64" t="str">
        <f t="shared" si="1"/>
        <v>-</v>
      </c>
      <c r="J24" s="64">
        <f t="shared" si="2"/>
        <v>3.1007751937984498E-4</v>
      </c>
      <c r="K24" s="64" t="str">
        <f t="shared" si="3"/>
        <v>-</v>
      </c>
      <c r="L24" s="64" t="str">
        <f t="shared" si="4"/>
        <v>-</v>
      </c>
    </row>
    <row r="25" spans="1:12">
      <c r="A25" s="58" t="s">
        <v>923</v>
      </c>
      <c r="B25" s="64">
        <f t="shared" si="5"/>
        <v>6.744186046511628E-3</v>
      </c>
      <c r="E25" s="58">
        <v>0.87</v>
      </c>
      <c r="H25" s="64" t="str">
        <f t="shared" si="0"/>
        <v>-</v>
      </c>
      <c r="I25" s="64" t="str">
        <f t="shared" si="1"/>
        <v>-</v>
      </c>
      <c r="J25" s="64">
        <f t="shared" si="2"/>
        <v>6.744186046511628E-3</v>
      </c>
      <c r="K25" s="64" t="str">
        <f t="shared" si="3"/>
        <v>-</v>
      </c>
      <c r="L25" s="64" t="str">
        <f t="shared" si="4"/>
        <v>-</v>
      </c>
    </row>
    <row r="26" spans="1:12">
      <c r="A26" s="58" t="s">
        <v>924</v>
      </c>
      <c r="B26" s="64">
        <f t="shared" si="5"/>
        <v>6.5818181818181817E-2</v>
      </c>
      <c r="E26" s="58">
        <v>0.65</v>
      </c>
      <c r="F26" s="58">
        <v>7.24</v>
      </c>
      <c r="G26" s="58">
        <v>5.54</v>
      </c>
      <c r="H26" s="64" t="str">
        <f t="shared" si="0"/>
        <v>-</v>
      </c>
      <c r="I26" s="64" t="str">
        <f t="shared" si="1"/>
        <v>-</v>
      </c>
      <c r="J26" s="64">
        <f t="shared" si="2"/>
        <v>5.0387596899224806E-3</v>
      </c>
      <c r="K26" s="64">
        <f t="shared" si="3"/>
        <v>6.5818181818181817E-2</v>
      </c>
      <c r="L26" s="64">
        <f t="shared" si="4"/>
        <v>3.4625000000000003E-2</v>
      </c>
    </row>
    <row r="27" spans="1:12">
      <c r="A27" s="58" t="s">
        <v>925</v>
      </c>
      <c r="B27" s="64">
        <f t="shared" si="5"/>
        <v>2.2480620155038759E-3</v>
      </c>
      <c r="E27" s="58">
        <v>0.28999999999999998</v>
      </c>
      <c r="H27" s="64" t="str">
        <f t="shared" si="0"/>
        <v>-</v>
      </c>
      <c r="I27" s="64" t="str">
        <f t="shared" si="1"/>
        <v>-</v>
      </c>
      <c r="J27" s="64">
        <f t="shared" si="2"/>
        <v>2.2480620155038759E-3</v>
      </c>
      <c r="K27" s="64" t="str">
        <f t="shared" si="3"/>
        <v>-</v>
      </c>
      <c r="L27" s="64" t="str">
        <f t="shared" si="4"/>
        <v>-</v>
      </c>
    </row>
    <row r="28" spans="1:12">
      <c r="A28" s="58" t="s">
        <v>926</v>
      </c>
      <c r="B28" s="64">
        <f t="shared" si="5"/>
        <v>5.1094890510948909E-4</v>
      </c>
      <c r="C28" s="58">
        <v>7.0000000000000007E-2</v>
      </c>
      <c r="E28" s="58">
        <v>0.02</v>
      </c>
      <c r="H28" s="64">
        <f t="shared" si="0"/>
        <v>5.1094890510948909E-4</v>
      </c>
      <c r="I28" s="64" t="str">
        <f t="shared" si="1"/>
        <v>-</v>
      </c>
      <c r="J28" s="64">
        <f t="shared" si="2"/>
        <v>1.5503875968992249E-4</v>
      </c>
      <c r="K28" s="64" t="str">
        <f t="shared" si="3"/>
        <v>-</v>
      </c>
      <c r="L28" s="64" t="str">
        <f t="shared" si="4"/>
        <v>-</v>
      </c>
    </row>
    <row r="29" spans="1:12">
      <c r="A29" s="58" t="s">
        <v>927</v>
      </c>
      <c r="B29" s="64">
        <f t="shared" si="5"/>
        <v>1.9090909090909091E-3</v>
      </c>
      <c r="C29" s="58">
        <v>0.16</v>
      </c>
      <c r="F29" s="58">
        <v>0.21</v>
      </c>
      <c r="G29" s="58">
        <v>0.05</v>
      </c>
      <c r="H29" s="64">
        <f t="shared" si="0"/>
        <v>1.1678832116788322E-3</v>
      </c>
      <c r="I29" s="64" t="str">
        <f t="shared" si="1"/>
        <v>-</v>
      </c>
      <c r="J29" s="64" t="str">
        <f t="shared" si="2"/>
        <v>-</v>
      </c>
      <c r="K29" s="64">
        <f t="shared" si="3"/>
        <v>1.9090909090909091E-3</v>
      </c>
      <c r="L29" s="64">
        <f t="shared" si="4"/>
        <v>3.1250000000000001E-4</v>
      </c>
    </row>
    <row r="30" spans="1:12">
      <c r="A30" s="58" t="s">
        <v>928</v>
      </c>
      <c r="B30" s="64">
        <f t="shared" si="5"/>
        <v>2.3636363636363636E-2</v>
      </c>
      <c r="C30" s="58">
        <v>2.7</v>
      </c>
      <c r="E30" s="58">
        <v>2.72</v>
      </c>
      <c r="F30" s="58">
        <v>2.6</v>
      </c>
      <c r="H30" s="64">
        <f t="shared" si="0"/>
        <v>1.9708029197080295E-2</v>
      </c>
      <c r="I30" s="64" t="str">
        <f t="shared" si="1"/>
        <v>-</v>
      </c>
      <c r="J30" s="64">
        <f t="shared" si="2"/>
        <v>2.108527131782946E-2</v>
      </c>
      <c r="K30" s="64">
        <f t="shared" si="3"/>
        <v>2.3636363636363636E-2</v>
      </c>
      <c r="L30" s="64" t="str">
        <f t="shared" si="4"/>
        <v>-</v>
      </c>
    </row>
    <row r="31" spans="1:12">
      <c r="A31" s="58" t="s">
        <v>929</v>
      </c>
      <c r="B31" s="64">
        <f t="shared" si="5"/>
        <v>7.2992700729927014E-5</v>
      </c>
      <c r="C31" s="58">
        <v>0.01</v>
      </c>
      <c r="H31" s="64">
        <f t="shared" si="0"/>
        <v>7.2992700729927014E-5</v>
      </c>
      <c r="I31" s="64" t="str">
        <f t="shared" si="1"/>
        <v>-</v>
      </c>
      <c r="J31" s="64" t="str">
        <f t="shared" si="2"/>
        <v>-</v>
      </c>
      <c r="K31" s="64" t="str">
        <f t="shared" si="3"/>
        <v>-</v>
      </c>
      <c r="L31" s="64" t="str">
        <f t="shared" si="4"/>
        <v>-</v>
      </c>
    </row>
    <row r="32" spans="1:12">
      <c r="A32" s="58" t="s">
        <v>930</v>
      </c>
      <c r="B32" s="64">
        <f t="shared" si="5"/>
        <v>0.1450387596899225</v>
      </c>
      <c r="E32" s="58">
        <v>18.71</v>
      </c>
      <c r="H32" s="64" t="str">
        <f t="shared" si="0"/>
        <v>-</v>
      </c>
      <c r="I32" s="64" t="str">
        <f t="shared" si="1"/>
        <v>-</v>
      </c>
      <c r="J32" s="64">
        <f t="shared" si="2"/>
        <v>0.1450387596899225</v>
      </c>
      <c r="K32" s="64" t="str">
        <f t="shared" si="3"/>
        <v>-</v>
      </c>
      <c r="L32" s="64" t="str">
        <f t="shared" si="4"/>
        <v>-</v>
      </c>
    </row>
    <row r="33" spans="1:12">
      <c r="A33" s="58" t="s">
        <v>931</v>
      </c>
      <c r="B33" s="64">
        <f t="shared" si="5"/>
        <v>1.3607771100000002E-4</v>
      </c>
      <c r="D33" s="58">
        <f>33/1000000*[1]calculations!N2</f>
        <v>1.4968548210000002E-2</v>
      </c>
      <c r="F33" s="58">
        <v>1.9E-3</v>
      </c>
      <c r="G33" s="58">
        <v>0.01</v>
      </c>
      <c r="H33" s="64" t="str">
        <f t="shared" si="0"/>
        <v>-</v>
      </c>
      <c r="I33" s="64">
        <f t="shared" si="1"/>
        <v>1.3607771100000002E-4</v>
      </c>
      <c r="J33" s="64" t="str">
        <f t="shared" si="2"/>
        <v>-</v>
      </c>
      <c r="K33" s="64">
        <f t="shared" si="3"/>
        <v>1.7272727272727274E-5</v>
      </c>
      <c r="L33" s="64">
        <f t="shared" si="4"/>
        <v>6.2500000000000001E-5</v>
      </c>
    </row>
    <row r="34" spans="1:12">
      <c r="A34" s="58" t="s">
        <v>932</v>
      </c>
      <c r="B34" s="64">
        <f t="shared" si="5"/>
        <v>2.3255813953488371E-4</v>
      </c>
      <c r="E34" s="58">
        <v>0.03</v>
      </c>
      <c r="H34" s="64" t="str">
        <f t="shared" si="0"/>
        <v>-</v>
      </c>
      <c r="I34" s="64" t="str">
        <f t="shared" si="1"/>
        <v>-</v>
      </c>
      <c r="J34" s="64">
        <f t="shared" si="2"/>
        <v>2.3255813953488371E-4</v>
      </c>
      <c r="K34" s="64" t="str">
        <f t="shared" si="3"/>
        <v>-</v>
      </c>
      <c r="L34" s="64" t="str">
        <f t="shared" si="4"/>
        <v>-</v>
      </c>
    </row>
    <row r="35" spans="1:12">
      <c r="A35" s="58" t="s">
        <v>933</v>
      </c>
      <c r="B35" s="64">
        <f t="shared" si="5"/>
        <v>5.9562499999999997E-2</v>
      </c>
      <c r="G35" s="58">
        <v>9.5299999999999994</v>
      </c>
      <c r="H35" s="64" t="str">
        <f t="shared" si="0"/>
        <v>-</v>
      </c>
      <c r="I35" s="64" t="str">
        <f t="shared" si="1"/>
        <v>-</v>
      </c>
      <c r="J35" s="64" t="str">
        <f t="shared" si="2"/>
        <v>-</v>
      </c>
      <c r="K35" s="64" t="str">
        <f t="shared" si="3"/>
        <v>-</v>
      </c>
      <c r="L35" s="64">
        <f t="shared" si="4"/>
        <v>5.9562499999999997E-2</v>
      </c>
    </row>
    <row r="36" spans="1:12">
      <c r="A36" s="58" t="s">
        <v>934</v>
      </c>
      <c r="B36" s="64">
        <f t="shared" si="5"/>
        <v>4.5454545454545455E-6</v>
      </c>
      <c r="F36" s="58">
        <v>5.0000000000000001E-4</v>
      </c>
      <c r="H36" s="64" t="str">
        <f t="shared" si="0"/>
        <v>-</v>
      </c>
      <c r="I36" s="64" t="str">
        <f t="shared" si="1"/>
        <v>-</v>
      </c>
      <c r="J36" s="64" t="str">
        <f t="shared" si="2"/>
        <v>-</v>
      </c>
      <c r="K36" s="64">
        <f t="shared" si="3"/>
        <v>4.5454545454545455E-6</v>
      </c>
      <c r="L36" s="64" t="str">
        <f t="shared" si="4"/>
        <v>-</v>
      </c>
    </row>
    <row r="37" spans="1:12">
      <c r="A37" s="58" t="s">
        <v>935</v>
      </c>
      <c r="B37" s="64">
        <f t="shared" si="5"/>
        <v>2.5581395348837212E-3</v>
      </c>
      <c r="E37" s="58">
        <v>0.33</v>
      </c>
      <c r="H37" s="64" t="str">
        <f t="shared" si="0"/>
        <v>-</v>
      </c>
      <c r="I37" s="64" t="str">
        <f t="shared" si="1"/>
        <v>-</v>
      </c>
      <c r="J37" s="64">
        <f t="shared" si="2"/>
        <v>2.5581395348837212E-3</v>
      </c>
      <c r="K37" s="64" t="str">
        <f t="shared" si="3"/>
        <v>-</v>
      </c>
      <c r="L37" s="64" t="str">
        <f t="shared" si="4"/>
        <v>-</v>
      </c>
    </row>
    <row r="38" spans="1:12">
      <c r="A38" s="58" t="s">
        <v>936</v>
      </c>
      <c r="B38" s="64">
        <f t="shared" si="5"/>
        <v>2.1897810218978101E-4</v>
      </c>
      <c r="C38" s="58">
        <v>0.03</v>
      </c>
      <c r="G38" s="58">
        <v>0.01</v>
      </c>
      <c r="H38" s="64">
        <f t="shared" si="0"/>
        <v>2.1897810218978101E-4</v>
      </c>
      <c r="I38" s="64" t="str">
        <f t="shared" si="1"/>
        <v>-</v>
      </c>
      <c r="J38" s="64" t="str">
        <f t="shared" si="2"/>
        <v>-</v>
      </c>
      <c r="K38" s="64" t="str">
        <f t="shared" si="3"/>
        <v>-</v>
      </c>
      <c r="L38" s="64">
        <f t="shared" si="4"/>
        <v>6.2500000000000001E-5</v>
      </c>
    </row>
    <row r="39" spans="1:12">
      <c r="A39" s="58" t="s">
        <v>937</v>
      </c>
      <c r="B39" s="64">
        <f t="shared" si="5"/>
        <v>9.4890510948905105E-2</v>
      </c>
      <c r="C39" s="58">
        <v>13</v>
      </c>
      <c r="E39" s="58">
        <v>8.14</v>
      </c>
      <c r="F39" s="58">
        <v>9.27</v>
      </c>
      <c r="H39" s="64">
        <f t="shared" si="0"/>
        <v>9.4890510948905105E-2</v>
      </c>
      <c r="I39" s="64" t="str">
        <f t="shared" si="1"/>
        <v>-</v>
      </c>
      <c r="J39" s="64">
        <f t="shared" si="2"/>
        <v>6.3100775193798447E-2</v>
      </c>
      <c r="K39" s="64">
        <f t="shared" si="3"/>
        <v>8.4272727272727263E-2</v>
      </c>
      <c r="L39" s="64" t="str">
        <f t="shared" si="4"/>
        <v>-</v>
      </c>
    </row>
    <row r="40" spans="1:12">
      <c r="A40" s="58" t="s">
        <v>938</v>
      </c>
      <c r="B40" s="64">
        <f t="shared" si="5"/>
        <v>3.1833937240000002E-3</v>
      </c>
      <c r="C40" s="58">
        <v>0.09</v>
      </c>
      <c r="D40" s="58">
        <f>772/1000000*[1]calculations!N2</f>
        <v>0.35017330964000004</v>
      </c>
      <c r="G40" s="58">
        <v>0.31</v>
      </c>
      <c r="H40" s="64">
        <f t="shared" si="0"/>
        <v>6.5693430656934301E-4</v>
      </c>
      <c r="I40" s="64">
        <f t="shared" si="1"/>
        <v>3.1833937240000002E-3</v>
      </c>
      <c r="J40" s="64" t="str">
        <f t="shared" si="2"/>
        <v>-</v>
      </c>
      <c r="K40" s="64" t="str">
        <f t="shared" si="3"/>
        <v>-</v>
      </c>
      <c r="L40" s="64">
        <f t="shared" si="4"/>
        <v>1.9375E-3</v>
      </c>
    </row>
    <row r="41" spans="1:12">
      <c r="A41" s="58" t="s">
        <v>939</v>
      </c>
      <c r="B41" s="64">
        <f t="shared" si="5"/>
        <v>3.4108527131782944E-3</v>
      </c>
      <c r="E41" s="58">
        <v>0.44</v>
      </c>
      <c r="H41" s="64" t="str">
        <f t="shared" si="0"/>
        <v>-</v>
      </c>
      <c r="I41" s="64" t="str">
        <f t="shared" si="1"/>
        <v>-</v>
      </c>
      <c r="J41" s="64">
        <f t="shared" si="2"/>
        <v>3.4108527131782944E-3</v>
      </c>
      <c r="K41" s="64" t="str">
        <f t="shared" si="3"/>
        <v>-</v>
      </c>
      <c r="L41" s="64" t="str">
        <f t="shared" si="4"/>
        <v>-</v>
      </c>
    </row>
    <row r="42" spans="1:12">
      <c r="A42" s="58" t="s">
        <v>940</v>
      </c>
      <c r="B42" s="64">
        <f t="shared" si="5"/>
        <v>3.6363636363636367E-4</v>
      </c>
      <c r="C42" s="58">
        <v>0.02</v>
      </c>
      <c r="E42" s="58">
        <v>2.5000000000000001E-2</v>
      </c>
      <c r="F42" s="58">
        <v>0.04</v>
      </c>
      <c r="G42" s="58">
        <v>0.02</v>
      </c>
      <c r="H42" s="64">
        <f t="shared" si="0"/>
        <v>1.4598540145985403E-4</v>
      </c>
      <c r="I42" s="64" t="str">
        <f t="shared" si="1"/>
        <v>-</v>
      </c>
      <c r="J42" s="64">
        <f t="shared" si="2"/>
        <v>1.937984496124031E-4</v>
      </c>
      <c r="K42" s="64">
        <f t="shared" si="3"/>
        <v>3.6363636363636367E-4</v>
      </c>
      <c r="L42" s="64">
        <f t="shared" si="4"/>
        <v>1.25E-4</v>
      </c>
    </row>
    <row r="43" spans="1:12">
      <c r="A43" s="58" t="s">
        <v>941</v>
      </c>
      <c r="B43" s="64">
        <f t="shared" si="5"/>
        <v>7.5624999999999998E-3</v>
      </c>
      <c r="C43" s="58">
        <v>0.7</v>
      </c>
      <c r="E43" s="58">
        <v>0.66</v>
      </c>
      <c r="F43" s="58">
        <v>0.64</v>
      </c>
      <c r="G43" s="58">
        <v>1.21</v>
      </c>
      <c r="H43" s="64">
        <f t="shared" si="0"/>
        <v>5.1094890510948905E-3</v>
      </c>
      <c r="I43" s="64" t="str">
        <f t="shared" si="1"/>
        <v>-</v>
      </c>
      <c r="J43" s="64">
        <f t="shared" si="2"/>
        <v>5.1162790697674423E-3</v>
      </c>
      <c r="K43" s="64">
        <f t="shared" si="3"/>
        <v>5.8181818181818187E-3</v>
      </c>
      <c r="L43" s="64">
        <f t="shared" si="4"/>
        <v>7.5624999999999998E-3</v>
      </c>
    </row>
    <row r="44" spans="1:12">
      <c r="A44" s="58" t="s">
        <v>942</v>
      </c>
      <c r="B44" s="64">
        <f t="shared" si="5"/>
        <v>2.3255813953488372E-3</v>
      </c>
      <c r="E44" s="58">
        <v>0.3</v>
      </c>
      <c r="H44" s="64" t="str">
        <f t="shared" si="0"/>
        <v>-</v>
      </c>
      <c r="I44" s="64" t="str">
        <f t="shared" si="1"/>
        <v>-</v>
      </c>
      <c r="J44" s="64">
        <f t="shared" si="2"/>
        <v>2.3255813953488372E-3</v>
      </c>
      <c r="K44" s="64" t="str">
        <f t="shared" si="3"/>
        <v>-</v>
      </c>
      <c r="L44" s="64" t="str">
        <f t="shared" si="4"/>
        <v>-</v>
      </c>
    </row>
    <row r="45" spans="1:12">
      <c r="A45" s="58" t="s">
        <v>943</v>
      </c>
      <c r="B45" s="64">
        <f t="shared" si="5"/>
        <v>6.5693430656934308E-3</v>
      </c>
      <c r="C45" s="58">
        <v>0.9</v>
      </c>
      <c r="E45" s="58">
        <v>0.02</v>
      </c>
      <c r="H45" s="64">
        <f t="shared" si="0"/>
        <v>6.5693430656934308E-3</v>
      </c>
      <c r="I45" s="64" t="str">
        <f t="shared" si="1"/>
        <v>-</v>
      </c>
      <c r="J45" s="64">
        <f t="shared" si="2"/>
        <v>1.5503875968992249E-4</v>
      </c>
      <c r="K45" s="64" t="str">
        <f t="shared" si="3"/>
        <v>-</v>
      </c>
      <c r="L45" s="64" t="str">
        <f t="shared" si="4"/>
        <v>-</v>
      </c>
    </row>
    <row r="46" spans="1:12">
      <c r="A46" s="58" t="s">
        <v>944</v>
      </c>
      <c r="B46" s="64">
        <f t="shared" si="5"/>
        <v>3.1007751937984498E-4</v>
      </c>
      <c r="E46" s="58">
        <v>0.04</v>
      </c>
      <c r="H46" s="64" t="str">
        <f t="shared" si="0"/>
        <v>-</v>
      </c>
      <c r="I46" s="64" t="str">
        <f t="shared" si="1"/>
        <v>-</v>
      </c>
      <c r="J46" s="64">
        <f t="shared" si="2"/>
        <v>3.1007751937984498E-4</v>
      </c>
      <c r="K46" s="64" t="str">
        <f t="shared" si="3"/>
        <v>-</v>
      </c>
      <c r="L46" s="64" t="str">
        <f t="shared" si="4"/>
        <v>-</v>
      </c>
    </row>
    <row r="47" spans="1:12">
      <c r="A47" s="58" t="s">
        <v>945</v>
      </c>
      <c r="B47" s="64">
        <f t="shared" si="5"/>
        <v>2.5000000000000002E-6</v>
      </c>
      <c r="G47" s="58">
        <v>4.0000000000000002E-4</v>
      </c>
      <c r="H47" s="64" t="str">
        <f t="shared" ref="H47:J48" si="6">IF(C47&lt;&gt;"",C47/C$2,"-")</f>
        <v>-</v>
      </c>
      <c r="I47" s="64" t="str">
        <f t="shared" si="6"/>
        <v>-</v>
      </c>
      <c r="J47" s="64" t="str">
        <f t="shared" si="6"/>
        <v>-</v>
      </c>
      <c r="K47" s="64" t="str">
        <f>IF(F47&lt;&gt;"",F47/F$2,"-")</f>
        <v>-</v>
      </c>
      <c r="L47" s="64">
        <f>IF(G47&lt;&gt;"",G47/G$2,"-")</f>
        <v>2.5000000000000002E-6</v>
      </c>
    </row>
    <row r="48" spans="1:12">
      <c r="A48" s="58" t="s">
        <v>946</v>
      </c>
      <c r="B48" s="64">
        <f t="shared" si="5"/>
        <v>5.348837209302325E-3</v>
      </c>
      <c r="E48" s="58">
        <v>0.69</v>
      </c>
      <c r="H48" s="64" t="str">
        <f t="shared" si="6"/>
        <v>-</v>
      </c>
      <c r="I48" s="64" t="str">
        <f t="shared" si="6"/>
        <v>-</v>
      </c>
      <c r="J48" s="64">
        <f t="shared" si="6"/>
        <v>5.348837209302325E-3</v>
      </c>
      <c r="K48" s="64" t="str">
        <f>IF(F48&lt;&gt;"",F48/F$2,"-")</f>
        <v>-</v>
      </c>
      <c r="L48" s="64" t="str">
        <f>IF(G48&lt;&gt;"",G48/G$2,"-")</f>
        <v>-</v>
      </c>
    </row>
  </sheetData>
  <autoFilter ref="A3:L3" xr:uid="{EC24C639-04B5-45BD-9D74-EC89203D4019}">
    <sortState xmlns:xlrd2="http://schemas.microsoft.com/office/spreadsheetml/2017/richdata2" ref="A4:L48">
      <sortCondition ref="A3"/>
    </sortState>
  </autoFilter>
  <conditionalFormatting sqref="B4:B48">
    <cfRule type="cellIs" dxfId="0" priority="1" operator="greaterThan">
      <formula>0.01</formula>
    </cfRule>
  </conditionalFormatting>
  <pageMargins left="0.7" right="0.7" top="0.78740157499999996" bottom="0.78740157499999996" header="0.3" footer="0.3"/>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8D9CE7-AEEA-4C1D-A2A5-646CFAAD8BF6}">
  <dimension ref="A1:AU113"/>
  <sheetViews>
    <sheetView workbookViewId="0">
      <selection activeCell="F33" sqref="F33"/>
    </sheetView>
  </sheetViews>
  <sheetFormatPr baseColWidth="10" defaultColWidth="8.81640625" defaultRowHeight="14.5"/>
  <cols>
    <col min="1" max="1" width="8.81640625" style="40"/>
    <col min="2" max="2" width="8.81640625" style="28"/>
    <col min="3" max="5" width="8.81640625" style="40"/>
    <col min="6" max="6" width="17.453125" style="40" bestFit="1" customWidth="1"/>
    <col min="7" max="7" width="8.81640625" style="40"/>
    <col min="8" max="8" width="11.26953125" style="40" customWidth="1"/>
    <col min="9" max="20" width="8.81640625" style="40"/>
    <col min="21" max="38" width="15.7265625" style="2" customWidth="1"/>
    <col min="39" max="39" width="19.81640625" style="40" bestFit="1" customWidth="1"/>
    <col min="40" max="45" width="8.81640625" style="40"/>
    <col min="46" max="46" width="115.7265625" style="40" bestFit="1" customWidth="1"/>
    <col min="47" max="16384" width="8.81640625" style="40"/>
  </cols>
  <sheetData>
    <row r="1" spans="1:11" customFormat="1">
      <c r="A1" t="s">
        <v>720</v>
      </c>
    </row>
    <row r="2" spans="1:11" customFormat="1">
      <c r="A2" t="s">
        <v>810</v>
      </c>
      <c r="D2" t="s">
        <v>230</v>
      </c>
      <c r="E2" t="s">
        <v>638</v>
      </c>
      <c r="I2" t="s">
        <v>818</v>
      </c>
    </row>
    <row r="3" spans="1:11" customFormat="1">
      <c r="B3">
        <v>10</v>
      </c>
      <c r="C3" t="s">
        <v>809</v>
      </c>
      <c r="D3">
        <v>3</v>
      </c>
      <c r="E3" t="s">
        <v>812</v>
      </c>
    </row>
    <row r="4" spans="1:11" customFormat="1">
      <c r="B4">
        <v>100</v>
      </c>
      <c r="C4" t="s">
        <v>809</v>
      </c>
      <c r="D4">
        <v>3</v>
      </c>
      <c r="E4" t="s">
        <v>507</v>
      </c>
    </row>
    <row r="5" spans="1:11" customFormat="1">
      <c r="B5">
        <v>10</v>
      </c>
      <c r="C5" t="s">
        <v>809</v>
      </c>
      <c r="D5">
        <v>3</v>
      </c>
      <c r="E5" t="s">
        <v>812</v>
      </c>
      <c r="F5" t="s">
        <v>823</v>
      </c>
      <c r="G5" t="s">
        <v>824</v>
      </c>
    </row>
    <row r="6" spans="1:11" customFormat="1">
      <c r="B6">
        <v>60</v>
      </c>
      <c r="C6" t="s">
        <v>809</v>
      </c>
      <c r="D6">
        <v>3</v>
      </c>
      <c r="E6" t="s">
        <v>813</v>
      </c>
      <c r="F6" t="s">
        <v>816</v>
      </c>
      <c r="G6" t="s">
        <v>817</v>
      </c>
      <c r="H6" t="str">
        <f>"C,"&amp;66*material_elements!B7/(66*material_elements!B7+48*material_elements!B8+4*material_elements!B9)&amp;",H,"&amp;48*material_elements!B8/(66*material_elements!B7+48*material_elements!B8+4*material_elements!B9)&amp;",N,"&amp;4*material_elements!B9/(66*material_elements!B7+48*material_elements!B8+4*material_elements!B9)</f>
        <v>C,0.883616567350842,H,0.0539315021769226,N,0.062451930472235</v>
      </c>
      <c r="I6">
        <v>1.3</v>
      </c>
      <c r="J6" t="s">
        <v>819</v>
      </c>
    </row>
    <row r="7" spans="1:11" customFormat="1">
      <c r="A7" t="s">
        <v>798</v>
      </c>
      <c r="B7">
        <v>184</v>
      </c>
      <c r="C7" t="s">
        <v>809</v>
      </c>
      <c r="D7">
        <v>1</v>
      </c>
      <c r="E7" t="s">
        <v>811</v>
      </c>
      <c r="F7" t="s">
        <v>827</v>
      </c>
      <c r="G7" t="s">
        <v>828</v>
      </c>
      <c r="J7" t="s">
        <v>829</v>
      </c>
    </row>
    <row r="8" spans="1:11" customFormat="1">
      <c r="A8" t="s">
        <v>799</v>
      </c>
      <c r="B8">
        <v>114</v>
      </c>
      <c r="C8" t="s">
        <v>809</v>
      </c>
      <c r="D8">
        <v>1</v>
      </c>
      <c r="E8" t="s">
        <v>811</v>
      </c>
    </row>
    <row r="9" spans="1:11" customFormat="1">
      <c r="A9" t="s">
        <v>800</v>
      </c>
      <c r="B9">
        <v>69</v>
      </c>
      <c r="C9" t="s">
        <v>809</v>
      </c>
      <c r="D9">
        <v>1</v>
      </c>
      <c r="E9" t="s">
        <v>811</v>
      </c>
    </row>
    <row r="10" spans="1:11" customFormat="1">
      <c r="B10">
        <v>30</v>
      </c>
      <c r="C10" t="s">
        <v>809</v>
      </c>
      <c r="D10">
        <v>1</v>
      </c>
      <c r="E10" t="s">
        <v>830</v>
      </c>
      <c r="F10" t="s">
        <v>835</v>
      </c>
      <c r="G10" t="s">
        <v>837</v>
      </c>
      <c r="J10" t="s">
        <v>834</v>
      </c>
      <c r="K10" s="75" t="s">
        <v>836</v>
      </c>
    </row>
    <row r="11" spans="1:11" customFormat="1">
      <c r="B11">
        <v>30</v>
      </c>
      <c r="C11" t="s">
        <v>809</v>
      </c>
      <c r="D11">
        <v>1</v>
      </c>
      <c r="E11" t="s">
        <v>831</v>
      </c>
      <c r="F11" t="s">
        <v>841</v>
      </c>
      <c r="J11" t="s">
        <v>840</v>
      </c>
      <c r="K11" s="75" t="s">
        <v>839</v>
      </c>
    </row>
    <row r="12" spans="1:11" customFormat="1">
      <c r="B12">
        <v>30</v>
      </c>
      <c r="C12" t="s">
        <v>809</v>
      </c>
      <c r="D12">
        <v>1</v>
      </c>
      <c r="E12" t="s">
        <v>832</v>
      </c>
      <c r="F12" t="s">
        <v>842</v>
      </c>
      <c r="J12" t="s">
        <v>843</v>
      </c>
      <c r="K12" t="s">
        <v>844</v>
      </c>
    </row>
    <row r="13" spans="1:11" customFormat="1">
      <c r="B13">
        <v>30</v>
      </c>
      <c r="C13" t="s">
        <v>809</v>
      </c>
      <c r="D13">
        <v>3</v>
      </c>
      <c r="E13" t="s">
        <v>814</v>
      </c>
      <c r="F13" t="s">
        <v>1045</v>
      </c>
      <c r="G13" t="s">
        <v>1046</v>
      </c>
      <c r="J13" s="75" t="s">
        <v>845</v>
      </c>
    </row>
    <row r="14" spans="1:11" customFormat="1">
      <c r="B14">
        <v>10</v>
      </c>
      <c r="C14" t="s">
        <v>809</v>
      </c>
      <c r="D14">
        <v>3</v>
      </c>
      <c r="E14" t="s">
        <v>815</v>
      </c>
      <c r="G14" t="s">
        <v>833</v>
      </c>
    </row>
    <row r="15" spans="1:11" customFormat="1">
      <c r="A15" t="s">
        <v>801</v>
      </c>
      <c r="B15">
        <v>39</v>
      </c>
      <c r="C15" t="s">
        <v>809</v>
      </c>
      <c r="D15">
        <v>1</v>
      </c>
      <c r="E15" t="s">
        <v>811</v>
      </c>
    </row>
    <row r="16" spans="1:11" customFormat="1">
      <c r="A16" t="s">
        <v>802</v>
      </c>
      <c r="B16">
        <v>174</v>
      </c>
      <c r="C16" t="s">
        <v>809</v>
      </c>
      <c r="D16">
        <v>1</v>
      </c>
      <c r="E16" t="s">
        <v>811</v>
      </c>
    </row>
    <row r="17" spans="1:40" customFormat="1">
      <c r="A17" t="s">
        <v>803</v>
      </c>
      <c r="B17">
        <v>116</v>
      </c>
      <c r="C17" t="s">
        <v>809</v>
      </c>
      <c r="D17">
        <v>1</v>
      </c>
      <c r="E17" t="s">
        <v>811</v>
      </c>
    </row>
    <row r="18" spans="1:40" customFormat="1">
      <c r="A18" t="s">
        <v>804</v>
      </c>
      <c r="B18">
        <v>56</v>
      </c>
      <c r="C18" t="s">
        <v>809</v>
      </c>
      <c r="D18">
        <v>3</v>
      </c>
      <c r="E18" t="s">
        <v>797</v>
      </c>
    </row>
    <row r="19" spans="1:40" customFormat="1">
      <c r="A19" t="s">
        <v>805</v>
      </c>
      <c r="B19">
        <v>107</v>
      </c>
      <c r="C19" t="s">
        <v>809</v>
      </c>
      <c r="D19">
        <v>3</v>
      </c>
      <c r="E19" t="s">
        <v>846</v>
      </c>
      <c r="J19" t="s">
        <v>847</v>
      </c>
    </row>
    <row r="20" spans="1:40" customFormat="1">
      <c r="A20" t="s">
        <v>806</v>
      </c>
      <c r="B20">
        <v>77</v>
      </c>
      <c r="C20" t="s">
        <v>809</v>
      </c>
      <c r="D20">
        <v>3</v>
      </c>
      <c r="E20" t="s">
        <v>797</v>
      </c>
    </row>
    <row r="21" spans="1:40" customFormat="1">
      <c r="A21" t="s">
        <v>807</v>
      </c>
      <c r="B21">
        <v>126</v>
      </c>
      <c r="C21" t="s">
        <v>809</v>
      </c>
      <c r="D21">
        <v>3</v>
      </c>
      <c r="E21" t="s">
        <v>846</v>
      </c>
    </row>
    <row r="22" spans="1:40" customFormat="1">
      <c r="A22" t="s">
        <v>808</v>
      </c>
      <c r="B22">
        <v>112</v>
      </c>
      <c r="C22" t="s">
        <v>809</v>
      </c>
      <c r="D22">
        <v>3</v>
      </c>
      <c r="E22" t="s">
        <v>797</v>
      </c>
    </row>
    <row r="23" spans="1:40" customFormat="1"/>
    <row r="24" spans="1:40">
      <c r="B24" s="28" t="s">
        <v>947</v>
      </c>
      <c r="C24" s="40" t="s">
        <v>948</v>
      </c>
      <c r="D24" s="40" t="s">
        <v>949</v>
      </c>
      <c r="E24" s="40" t="s">
        <v>950</v>
      </c>
      <c r="F24" s="40" t="s">
        <v>951</v>
      </c>
      <c r="M24" t="s">
        <v>956</v>
      </c>
      <c r="N24" t="s">
        <v>957</v>
      </c>
    </row>
    <row r="25" spans="1:40">
      <c r="B25" s="28" t="s">
        <v>958</v>
      </c>
      <c r="C25" s="40" t="s">
        <v>959</v>
      </c>
      <c r="D25" s="40" t="s">
        <v>960</v>
      </c>
      <c r="E25" s="40" t="s">
        <v>961</v>
      </c>
      <c r="F25" s="40" t="s">
        <v>564</v>
      </c>
      <c r="M25">
        <v>1</v>
      </c>
      <c r="N25">
        <v>453.59237000000002</v>
      </c>
    </row>
    <row r="26" spans="1:40">
      <c r="A26" s="35" t="str">
        <f>[1]material_data_old!B15</f>
        <v>IC</v>
      </c>
      <c r="B26" s="28">
        <v>1</v>
      </c>
      <c r="C26" s="66">
        <v>7.7499999999999997E-4</v>
      </c>
      <c r="D26" s="40">
        <f>B26*C26</f>
        <v>7.7499999999999997E-4</v>
      </c>
      <c r="E26" s="66">
        <v>2330</v>
      </c>
      <c r="F26" s="40">
        <f>E26*D26/B26</f>
        <v>1.80575</v>
      </c>
    </row>
    <row r="27" spans="1:40">
      <c r="A27" s="35" t="str">
        <f>[1]material_data_old!B16</f>
        <v>PCB 1-layer</v>
      </c>
      <c r="B27" s="28">
        <v>1</v>
      </c>
      <c r="C27" s="40">
        <f>N51/1000</f>
        <v>4.2260000000000003E-4</v>
      </c>
      <c r="D27" s="40">
        <f>B27*C27</f>
        <v>4.2260000000000003E-4</v>
      </c>
      <c r="E27" s="40">
        <f>[1]material_data_old!E16</f>
        <v>1963.0442498816847</v>
      </c>
      <c r="F27" s="40">
        <f>E27*D27/B27</f>
        <v>0.8295825</v>
      </c>
    </row>
    <row r="28" spans="1:40">
      <c r="A28" s="35" t="str">
        <f>[1]material_data_old!B17</f>
        <v>PCB 8-layer</v>
      </c>
      <c r="B28" s="28">
        <v>1</v>
      </c>
      <c r="C28" s="40">
        <f>N54/1000</f>
        <v>9.5277999999999986E-4</v>
      </c>
      <c r="D28" s="40">
        <f>B28*C28</f>
        <v>9.5277999999999986E-4</v>
      </c>
      <c r="E28" s="40">
        <f>[1]material_data_old!E17</f>
        <v>1892.5867461533621</v>
      </c>
      <c r="F28" s="40">
        <f>E28*D28/B28</f>
        <v>1.8032188</v>
      </c>
    </row>
    <row r="29" spans="1:40">
      <c r="A29" s="35" t="str">
        <f>[1]material_data_old!B18</f>
        <v>PCB 12-layer</v>
      </c>
      <c r="B29" s="28">
        <v>1</v>
      </c>
      <c r="C29" s="40">
        <f>N55/1000</f>
        <v>2.0954599999999999E-3</v>
      </c>
      <c r="D29" s="40">
        <f>B29*C29</f>
        <v>2.0954599999999999E-3</v>
      </c>
      <c r="E29" s="40">
        <f>[1]material_data_old!E18</f>
        <v>1877.2755862674544</v>
      </c>
      <c r="F29" s="40">
        <f>E29*D29/B29</f>
        <v>3.9337559</v>
      </c>
    </row>
    <row r="30" spans="1:40">
      <c r="A30" s="35"/>
    </row>
    <row r="31" spans="1:40">
      <c r="A31" s="35" t="s">
        <v>562</v>
      </c>
      <c r="B31" s="28" t="s">
        <v>948</v>
      </c>
      <c r="C31" s="40" t="s">
        <v>950</v>
      </c>
      <c r="D31" s="40" t="s">
        <v>964</v>
      </c>
      <c r="E31" s="40" t="s">
        <v>965</v>
      </c>
      <c r="F31" s="40" t="s">
        <v>966</v>
      </c>
      <c r="G31" s="40" t="s">
        <v>952</v>
      </c>
      <c r="H31" s="40" t="s">
        <v>953</v>
      </c>
      <c r="I31" s="40" t="s">
        <v>954</v>
      </c>
      <c r="J31" s="40" t="s">
        <v>955</v>
      </c>
      <c r="U31" s="40"/>
      <c r="V31" s="40"/>
      <c r="AM31" s="2"/>
      <c r="AN31" s="2"/>
    </row>
    <row r="32" spans="1:40">
      <c r="A32" s="35"/>
      <c r="B32" s="28" t="s">
        <v>959</v>
      </c>
      <c r="C32" s="40" t="s">
        <v>961</v>
      </c>
      <c r="E32" s="40" t="s">
        <v>564</v>
      </c>
      <c r="F32" s="40" t="s">
        <v>967</v>
      </c>
      <c r="G32" s="40" t="s">
        <v>962</v>
      </c>
      <c r="H32" s="40" t="s">
        <v>962</v>
      </c>
      <c r="I32" s="40" t="s">
        <v>963</v>
      </c>
      <c r="J32" s="40" t="s">
        <v>963</v>
      </c>
      <c r="U32" s="40"/>
      <c r="V32" s="40"/>
      <c r="AM32" s="2"/>
      <c r="AN32" s="2"/>
    </row>
    <row r="33" spans="1:44">
      <c r="A33" s="35" t="s">
        <v>562</v>
      </c>
      <c r="B33" s="40"/>
      <c r="D33" s="1">
        <v>1</v>
      </c>
      <c r="E33" s="40">
        <f>SUM(E34:E36)</f>
        <v>4.2857500000000002</v>
      </c>
      <c r="F33" s="2">
        <f>E33/$E$33</f>
        <v>1</v>
      </c>
      <c r="G33" s="40">
        <v>19740</v>
      </c>
      <c r="H33" s="40">
        <v>54000</v>
      </c>
      <c r="I33" s="40">
        <f>G33/E33</f>
        <v>4605.9616169865249</v>
      </c>
      <c r="J33" s="40">
        <f>H33/E33</f>
        <v>12599.895000874993</v>
      </c>
      <c r="U33" s="40"/>
      <c r="V33" s="40"/>
      <c r="AM33" s="2"/>
      <c r="AN33" s="2"/>
    </row>
    <row r="34" spans="1:44">
      <c r="A34" s="40" t="s">
        <v>499</v>
      </c>
      <c r="B34" s="66">
        <v>7.7499999999999997E-4</v>
      </c>
      <c r="C34" s="40">
        <v>2330</v>
      </c>
      <c r="D34" s="1">
        <v>1</v>
      </c>
      <c r="E34" s="40">
        <f>B34*C34</f>
        <v>1.80575</v>
      </c>
      <c r="F34" s="2">
        <f t="shared" ref="F34:F35" si="0">E34/$E$33</f>
        <v>0.42133815551537068</v>
      </c>
      <c r="U34" s="40"/>
      <c r="V34" s="40"/>
      <c r="AM34" s="2"/>
      <c r="AN34" s="2"/>
    </row>
    <row r="35" spans="1:44">
      <c r="A35" s="40" t="s">
        <v>365</v>
      </c>
      <c r="B35" s="40"/>
      <c r="F35" s="2">
        <f t="shared" si="0"/>
        <v>0</v>
      </c>
      <c r="U35" s="40"/>
      <c r="V35" s="40"/>
      <c r="AM35" s="2"/>
      <c r="AN35" s="2"/>
    </row>
    <row r="36" spans="1:44">
      <c r="A36" s="40" t="s">
        <v>503</v>
      </c>
      <c r="B36" s="65">
        <v>1E-3</v>
      </c>
      <c r="C36" s="40">
        <v>1240</v>
      </c>
      <c r="D36" s="1">
        <v>2</v>
      </c>
      <c r="E36" s="40">
        <f>B36*C36*D36</f>
        <v>2.48</v>
      </c>
      <c r="F36" s="2">
        <f>E36/$E$33</f>
        <v>0.57866184448462932</v>
      </c>
      <c r="U36" s="40"/>
      <c r="V36" s="40"/>
      <c r="AM36" s="2"/>
      <c r="AN36" s="2"/>
    </row>
    <row r="37" spans="1:44">
      <c r="B37" s="65"/>
      <c r="D37" s="1"/>
      <c r="F37" s="2"/>
      <c r="U37" s="40"/>
      <c r="V37" s="40"/>
      <c r="AM37" s="2"/>
      <c r="AN37" s="2"/>
    </row>
    <row r="38" spans="1:44">
      <c r="G38" s="40" t="str">
        <f>"Si,"&amp;ROUND(F34*100,3)&amp;","&amp;"Silicone,"&amp;ROUND(F36*100,3)</f>
        <v>Si,42.134,Silicone,57.866</v>
      </c>
    </row>
    <row r="40" spans="1:44">
      <c r="A40" s="35" t="s">
        <v>561</v>
      </c>
      <c r="B40" s="28" t="s">
        <v>948</v>
      </c>
      <c r="C40" s="40" t="s">
        <v>950</v>
      </c>
      <c r="D40" s="40" t="s">
        <v>964</v>
      </c>
      <c r="E40" s="40" t="s">
        <v>965</v>
      </c>
      <c r="F40" s="40" t="s">
        <v>966</v>
      </c>
      <c r="G40" s="40" t="s">
        <v>954</v>
      </c>
      <c r="H40" s="40" t="s">
        <v>955</v>
      </c>
      <c r="U40" s="40"/>
      <c r="V40" s="40"/>
      <c r="AM40" s="2"/>
      <c r="AN40" s="2"/>
    </row>
    <row r="41" spans="1:44">
      <c r="A41" s="35"/>
      <c r="B41" s="28" t="s">
        <v>959</v>
      </c>
      <c r="C41" s="40" t="s">
        <v>961</v>
      </c>
      <c r="E41" s="40" t="s">
        <v>564</v>
      </c>
      <c r="F41" s="40" t="s">
        <v>967</v>
      </c>
      <c r="G41" s="40" t="s">
        <v>963</v>
      </c>
      <c r="H41" s="40" t="s">
        <v>963</v>
      </c>
      <c r="U41" s="40"/>
      <c r="V41" s="40"/>
      <c r="AM41" s="2"/>
      <c r="AN41" s="2"/>
    </row>
    <row r="42" spans="1:44">
      <c r="A42" s="35" t="s">
        <v>562</v>
      </c>
      <c r="B42" s="40"/>
      <c r="D42" s="1">
        <v>1</v>
      </c>
      <c r="E42" s="40">
        <f>SUM(E43:E45)</f>
        <v>9.3057499999999997</v>
      </c>
      <c r="F42" s="2">
        <f>E42/$E$42</f>
        <v>1</v>
      </c>
      <c r="G42" s="40">
        <v>12497.188889512208</v>
      </c>
      <c r="H42" s="37">
        <v>18039.995990153922</v>
      </c>
      <c r="U42" s="40"/>
      <c r="V42" s="40"/>
      <c r="AM42" s="2"/>
      <c r="AN42" s="2"/>
    </row>
    <row r="43" spans="1:44">
      <c r="A43" s="40" t="s">
        <v>499</v>
      </c>
      <c r="B43" s="66">
        <v>7.7499999999999997E-4</v>
      </c>
      <c r="C43" s="40">
        <v>2330</v>
      </c>
      <c r="D43" s="1">
        <v>1</v>
      </c>
      <c r="E43" s="40">
        <f>B43*C43</f>
        <v>1.80575</v>
      </c>
      <c r="F43" s="2">
        <f t="shared" ref="F43:F45" si="1">E43/$E$42</f>
        <v>0.19404669156166887</v>
      </c>
      <c r="U43" s="40"/>
      <c r="V43" s="40"/>
      <c r="AM43" s="2"/>
      <c r="AN43" s="2"/>
    </row>
    <row r="44" spans="1:44">
      <c r="A44" s="40" t="s">
        <v>365</v>
      </c>
      <c r="B44" s="40"/>
      <c r="F44" s="2">
        <f t="shared" si="1"/>
        <v>0</v>
      </c>
      <c r="U44" s="40"/>
      <c r="V44" s="40"/>
      <c r="AM44" s="2"/>
      <c r="AN44" s="2"/>
    </row>
    <row r="45" spans="1:44">
      <c r="A45" s="40" t="s">
        <v>342</v>
      </c>
      <c r="B45" s="65">
        <v>3.0000000000000001E-3</v>
      </c>
      <c r="C45" s="40">
        <v>1250</v>
      </c>
      <c r="D45" s="1">
        <v>2</v>
      </c>
      <c r="E45" s="40">
        <f>B45*C45*D45</f>
        <v>7.5</v>
      </c>
      <c r="F45" s="2">
        <f t="shared" si="1"/>
        <v>0.80595330843833113</v>
      </c>
      <c r="U45" s="40"/>
      <c r="V45" s="40"/>
      <c r="AM45" s="2"/>
      <c r="AN45" s="2"/>
    </row>
    <row r="46" spans="1:44">
      <c r="G46" s="40" t="str">
        <f>"Si,"&amp;ROUND(F43*100,3)&amp;","&amp;"Epoxy,"&amp;ROUND(F45*100,3)</f>
        <v>Si,19.405,Epoxy,80.595</v>
      </c>
    </row>
    <row r="47" spans="1:44">
      <c r="T47" s="40" t="s">
        <v>1053</v>
      </c>
      <c r="U47" s="42">
        <v>8940</v>
      </c>
      <c r="V47" s="42">
        <f>AVERAGE(1750,1970)</f>
        <v>1860</v>
      </c>
      <c r="X47" s="42">
        <v>19300</v>
      </c>
    </row>
    <row r="48" spans="1:44">
      <c r="AC48" s="2" t="s">
        <v>326</v>
      </c>
      <c r="AD48" s="2" t="s">
        <v>499</v>
      </c>
      <c r="AE48" s="2" t="s">
        <v>825</v>
      </c>
      <c r="AF48" s="2" t="s">
        <v>368</v>
      </c>
      <c r="AG48" s="2" t="s">
        <v>821</v>
      </c>
      <c r="AH48" s="2" t="s">
        <v>822</v>
      </c>
      <c r="AI48" s="2" t="s">
        <v>608</v>
      </c>
      <c r="AJ48" s="2" t="s">
        <v>284</v>
      </c>
      <c r="AK48" s="2" t="s">
        <v>516</v>
      </c>
      <c r="AL48" s="2" t="s">
        <v>529</v>
      </c>
      <c r="AM48" s="40" t="s">
        <v>410</v>
      </c>
      <c r="AN48" s="40" t="s">
        <v>552</v>
      </c>
      <c r="AO48" s="40" t="s">
        <v>584</v>
      </c>
      <c r="AP48" s="40" t="s">
        <v>365</v>
      </c>
      <c r="AQ48" s="40" t="s">
        <v>507</v>
      </c>
      <c r="AR48" s="40" t="s">
        <v>419</v>
      </c>
    </row>
    <row r="49" spans="1:47" s="67" customFormat="1" ht="58">
      <c r="A49" s="67" t="s">
        <v>968</v>
      </c>
      <c r="B49" s="68" t="s">
        <v>969</v>
      </c>
      <c r="C49" s="67" t="s">
        <v>970</v>
      </c>
      <c r="D49" s="67" t="s">
        <v>971</v>
      </c>
      <c r="E49" s="67" t="s">
        <v>972</v>
      </c>
      <c r="F49" s="67" t="s">
        <v>973</v>
      </c>
      <c r="G49" s="67" t="s">
        <v>974</v>
      </c>
      <c r="H49" s="67" t="s">
        <v>975</v>
      </c>
      <c r="I49" s="67" t="s">
        <v>976</v>
      </c>
      <c r="J49" s="67" t="s">
        <v>977</v>
      </c>
      <c r="K49" s="67" t="s">
        <v>978</v>
      </c>
      <c r="L49" s="67" t="s">
        <v>979</v>
      </c>
      <c r="M49" s="67" t="s">
        <v>980</v>
      </c>
      <c r="N49" s="67" t="s">
        <v>981</v>
      </c>
      <c r="O49" s="67" t="s">
        <v>982</v>
      </c>
      <c r="P49" s="67" t="s">
        <v>983</v>
      </c>
      <c r="Q49" s="67" t="s">
        <v>984</v>
      </c>
      <c r="R49" s="67" t="s">
        <v>985</v>
      </c>
      <c r="S49" s="67" t="s">
        <v>986</v>
      </c>
      <c r="T49" s="67" t="s">
        <v>987</v>
      </c>
      <c r="U49" s="67" t="s">
        <v>988</v>
      </c>
      <c r="V49" s="67" t="s">
        <v>989</v>
      </c>
      <c r="W49" s="67" t="s">
        <v>990</v>
      </c>
      <c r="X49" s="67" t="s">
        <v>991</v>
      </c>
      <c r="Y49" s="67" t="s">
        <v>992</v>
      </c>
      <c r="Z49" s="67" t="s">
        <v>993</v>
      </c>
      <c r="AA49" s="67" t="s">
        <v>994</v>
      </c>
      <c r="AB49" s="67" t="s">
        <v>995</v>
      </c>
      <c r="AC49" s="67" t="s">
        <v>996</v>
      </c>
      <c r="AD49" s="69" t="s">
        <v>997</v>
      </c>
      <c r="AE49" s="69" t="s">
        <v>998</v>
      </c>
      <c r="AF49" s="69" t="s">
        <v>999</v>
      </c>
      <c r="AG49" s="69" t="s">
        <v>1000</v>
      </c>
      <c r="AH49" s="69" t="s">
        <v>1001</v>
      </c>
      <c r="AI49" s="69" t="s">
        <v>1002</v>
      </c>
      <c r="AJ49" s="69" t="s">
        <v>1003</v>
      </c>
      <c r="AK49" s="69" t="s">
        <v>1004</v>
      </c>
      <c r="AL49" s="69" t="s">
        <v>1005</v>
      </c>
      <c r="AM49" s="69" t="s">
        <v>1006</v>
      </c>
      <c r="AN49" s="69" t="s">
        <v>1007</v>
      </c>
      <c r="AO49" s="69" t="s">
        <v>1008</v>
      </c>
      <c r="AP49" s="69" t="s">
        <v>1009</v>
      </c>
      <c r="AQ49" s="69" t="s">
        <v>1010</v>
      </c>
      <c r="AR49" s="69" t="s">
        <v>1011</v>
      </c>
      <c r="AS49" s="69" t="s">
        <v>1012</v>
      </c>
      <c r="AT49" s="67" t="s">
        <v>263</v>
      </c>
      <c r="AU49" s="67" t="s">
        <v>950</v>
      </c>
    </row>
    <row r="50" spans="1:47">
      <c r="C50" s="40" t="s">
        <v>1013</v>
      </c>
      <c r="D50" s="40" t="s">
        <v>1013</v>
      </c>
      <c r="E50" s="40" t="s">
        <v>1013</v>
      </c>
      <c r="F50" s="40" t="s">
        <v>1013</v>
      </c>
      <c r="G50" s="40" t="s">
        <v>1013</v>
      </c>
      <c r="H50" s="40" t="s">
        <v>1013</v>
      </c>
      <c r="I50" s="40" t="s">
        <v>959</v>
      </c>
      <c r="J50" s="40" t="s">
        <v>959</v>
      </c>
      <c r="K50" s="40" t="s">
        <v>959</v>
      </c>
      <c r="L50" s="40" t="s">
        <v>959</v>
      </c>
      <c r="M50" s="40" t="s">
        <v>959</v>
      </c>
      <c r="N50" s="40" t="s">
        <v>1014</v>
      </c>
      <c r="O50" s="40" t="s">
        <v>967</v>
      </c>
      <c r="P50" s="40" t="s">
        <v>960</v>
      </c>
      <c r="Q50" s="40" t="s">
        <v>960</v>
      </c>
      <c r="R50" s="40" t="s">
        <v>960</v>
      </c>
      <c r="S50" s="40" t="s">
        <v>960</v>
      </c>
      <c r="T50" s="40" t="s">
        <v>960</v>
      </c>
      <c r="U50" s="40" t="s">
        <v>276</v>
      </c>
      <c r="V50" s="40" t="s">
        <v>276</v>
      </c>
      <c r="W50" s="40" t="s">
        <v>276</v>
      </c>
      <c r="X50" s="40" t="s">
        <v>276</v>
      </c>
      <c r="Y50" s="40" t="s">
        <v>276</v>
      </c>
      <c r="Z50" s="40" t="s">
        <v>276</v>
      </c>
      <c r="AA50" s="40" t="s">
        <v>276</v>
      </c>
      <c r="AB50" s="40" t="s">
        <v>967</v>
      </c>
      <c r="AC50" s="40" t="s">
        <v>967</v>
      </c>
      <c r="AD50" s="2" t="s">
        <v>967</v>
      </c>
      <c r="AE50" s="2" t="s">
        <v>967</v>
      </c>
      <c r="AF50" s="2" t="s">
        <v>967</v>
      </c>
      <c r="AG50" s="2" t="s">
        <v>967</v>
      </c>
      <c r="AM50" s="2"/>
      <c r="AN50" s="2"/>
      <c r="AO50" s="2"/>
      <c r="AP50" s="2"/>
      <c r="AQ50" s="2"/>
      <c r="AR50" s="2"/>
      <c r="AS50" s="2"/>
      <c r="AU50" s="40" t="s">
        <v>961</v>
      </c>
    </row>
    <row r="51" spans="1:47">
      <c r="B51" s="28">
        <v>1</v>
      </c>
      <c r="C51" s="28">
        <v>35</v>
      </c>
      <c r="D51" s="28">
        <f>C51/2</f>
        <v>17.5</v>
      </c>
      <c r="E51" s="70">
        <v>400</v>
      </c>
      <c r="F51" s="70">
        <v>400</v>
      </c>
      <c r="G51" s="70">
        <v>0.05</v>
      </c>
      <c r="H51" s="70">
        <v>2.5</v>
      </c>
      <c r="I51" s="40">
        <f>D51/1000000*B51</f>
        <v>1.7499999999999998E-5</v>
      </c>
      <c r="J51" s="40">
        <f>E51/1000000</f>
        <v>4.0000000000000002E-4</v>
      </c>
      <c r="K51" s="40">
        <v>0</v>
      </c>
      <c r="L51" s="40">
        <f t="shared" ref="L51:M55" si="2">G51*2/1000000</f>
        <v>1.0000000000000001E-7</v>
      </c>
      <c r="M51" s="40">
        <f t="shared" si="2"/>
        <v>5.0000000000000004E-6</v>
      </c>
      <c r="N51" s="28">
        <f>SUM(I51:M51)*1000</f>
        <v>0.42260000000000003</v>
      </c>
      <c r="O51" s="71">
        <v>0.25</v>
      </c>
      <c r="P51" s="40">
        <f>I51*O51</f>
        <v>4.3749999999999996E-6</v>
      </c>
      <c r="Q51" s="40">
        <f>J51</f>
        <v>4.0000000000000002E-4</v>
      </c>
      <c r="R51" s="40">
        <v>0</v>
      </c>
      <c r="S51" s="40">
        <f t="shared" ref="S51:T55" si="3">L51</f>
        <v>1.0000000000000001E-7</v>
      </c>
      <c r="T51" s="40">
        <f t="shared" si="3"/>
        <v>5.0000000000000004E-6</v>
      </c>
      <c r="U51" s="40">
        <f>material_composition!$U$47*material_composition!P51</f>
        <v>3.9112499999999994E-2</v>
      </c>
      <c r="V51" s="40">
        <f>material_composition!$V$47*material_composition!Q51</f>
        <v>0.74399999999999999</v>
      </c>
      <c r="W51" s="40">
        <f>material_composition!$V$47*material_composition!R51</f>
        <v>0</v>
      </c>
      <c r="X51" s="40">
        <f>S51*material_composition!X47</f>
        <v>1.9300000000000001E-3</v>
      </c>
      <c r="Y51" s="40">
        <f>T51*8908</f>
        <v>4.4540000000000003E-2</v>
      </c>
      <c r="Z51" s="40">
        <f>SUM(U51:Y51)</f>
        <v>0.8295825</v>
      </c>
      <c r="AA51" s="40">
        <f>Z51/(1-SUM(AK51:AL51,AN51:AO51,AQ51,AR51))</f>
        <v>0.9244459030057941</v>
      </c>
      <c r="AB51" s="4">
        <f>(V51+W51)/AA51</f>
        <v>0.80480642250770718</v>
      </c>
      <c r="AC51" s="4">
        <f>U51/$AA51</f>
        <v>4.2309127957436417E-2</v>
      </c>
      <c r="AD51" s="4">
        <f>AB51*$H$61</f>
        <v>0.1869661334813871</v>
      </c>
      <c r="AE51" s="4">
        <f>AB51*$H$62</f>
        <v>0.24345159228908858</v>
      </c>
      <c r="AF51" s="4">
        <f>AB51*$H$63</f>
        <v>0.34270612559709196</v>
      </c>
      <c r="AG51" s="4">
        <f>AB51*$H$64</f>
        <v>2.6842626276462708E-2</v>
      </c>
      <c r="AH51" s="4">
        <f>AB51*$H$65</f>
        <v>3.226629909117899E-3</v>
      </c>
      <c r="AI51" s="4">
        <f>AB51*$H$66</f>
        <v>0</v>
      </c>
      <c r="AJ51" s="4">
        <f>AB51*$H$67</f>
        <v>1.6133149545589495E-3</v>
      </c>
      <c r="AK51" s="4">
        <v>4.8000000000000001E-2</v>
      </c>
      <c r="AL51" s="4">
        <v>4.1000000000000002E-2</v>
      </c>
      <c r="AM51" s="4">
        <f>Y51/AA51</f>
        <v>4.8180212444211397E-2</v>
      </c>
      <c r="AN51" s="4">
        <v>1.2999999999999999E-2</v>
      </c>
      <c r="AO51" s="4">
        <v>0</v>
      </c>
      <c r="AP51" s="64">
        <f>X51/AA51</f>
        <v>2.0877370906449929E-3</v>
      </c>
      <c r="AQ51" s="64">
        <f>498.7/1000000</f>
        <v>4.9870000000000003E-4</v>
      </c>
      <c r="AR51" s="64">
        <f>117.8/1000000</f>
        <v>1.178E-4</v>
      </c>
      <c r="AS51" s="64">
        <f>SUM(AC51:AR51)</f>
        <v>1.0000000000000002</v>
      </c>
      <c r="AT51" s="40" t="str">
        <f>"Cu,"&amp;ROUND(AC51*100,3)&amp;","&amp;"Glass,"&amp;ROUND((AD51+AE51)*100,3)&amp;","&amp;"C,"&amp;ROUND(AF51*100,3)&amp;","&amp;"H,"&amp;ROUND(AG51*100,3)&amp;","&amp;"N,"&amp;ROUND(AH51*100,3)&amp;","&amp;"Sb,"&amp;ROUND(AJ51*100,3)&amp;","&amp;"Fe,"&amp;ROUND(AK51*100,3)&amp;","&amp;"Sn,"&amp;ROUND(AL51*100,3)&amp;","&amp;"Ni,"&amp;ROUND(AM51*100,3)&amp;","&amp;"Zn,"&amp;ROUND(AN51*100,3)&amp;","&amp;"Au,"&amp;ROUND(AP51*100,3)&amp;","&amp;"Ag,"&amp;ROUND(AQ51*100,3)&amp;","&amp;"Pd,"&amp;ROUND(AR51*100,3)</f>
        <v>Cu,4.231,Glass,43.042,C,34.271,H,2.684,N,0.323,Sb,0.161,Fe,4.8,Sn,4.1,Ni,4.818,Zn,1.3,Au,0.209,Ag,0.05,Pd,0.012</v>
      </c>
      <c r="AU51" s="40">
        <f>Z51/(N51/1000)</f>
        <v>1963.0442498816847</v>
      </c>
    </row>
    <row r="52" spans="1:47">
      <c r="B52" s="28">
        <v>4</v>
      </c>
      <c r="C52" s="28">
        <v>35</v>
      </c>
      <c r="D52" s="28">
        <f>C52/2</f>
        <v>17.5</v>
      </c>
      <c r="E52" s="70">
        <v>300</v>
      </c>
      <c r="F52" s="70">
        <v>300</v>
      </c>
      <c r="G52" s="70">
        <f t="shared" ref="G52:G54" si="4">AVERAGE(0.05,0.23)</f>
        <v>0.14000000000000001</v>
      </c>
      <c r="H52" s="70">
        <f t="shared" ref="H52:H54" si="5">AVERAGE(2.5,5)</f>
        <v>3.75</v>
      </c>
      <c r="I52" s="40">
        <f>D52/1000000*B52</f>
        <v>6.9999999999999994E-5</v>
      </c>
      <c r="J52" s="40">
        <f>E52/1000000</f>
        <v>2.9999999999999997E-4</v>
      </c>
      <c r="K52" s="40">
        <f t="shared" ref="K52:K53" si="6">(B52/2-1)*F52/1000000</f>
        <v>2.9999999999999997E-4</v>
      </c>
      <c r="L52" s="40">
        <f t="shared" si="2"/>
        <v>2.8000000000000002E-7</v>
      </c>
      <c r="M52" s="40">
        <f t="shared" si="2"/>
        <v>7.5000000000000002E-6</v>
      </c>
      <c r="N52" s="28">
        <f>SUM(I52:M52)*1000</f>
        <v>0.67778000000000005</v>
      </c>
      <c r="O52" s="71">
        <v>0.25</v>
      </c>
      <c r="P52" s="40">
        <f>I52*O52</f>
        <v>1.7499999999999998E-5</v>
      </c>
      <c r="Q52" s="40">
        <f>J52</f>
        <v>2.9999999999999997E-4</v>
      </c>
      <c r="R52" s="40">
        <f t="shared" ref="R52:R53" si="7">K52-P52</f>
        <v>2.8249999999999998E-4</v>
      </c>
      <c r="S52" s="40">
        <f t="shared" si="3"/>
        <v>2.8000000000000002E-7</v>
      </c>
      <c r="T52" s="40">
        <f t="shared" si="3"/>
        <v>7.5000000000000002E-6</v>
      </c>
      <c r="U52" s="40">
        <f>material_composition!$U$47*material_composition!P52</f>
        <v>0.15644999999999998</v>
      </c>
      <c r="V52" s="40">
        <f>material_composition!$V$47*material_composition!Q52</f>
        <v>0.55799999999999994</v>
      </c>
      <c r="W52" s="40">
        <f>material_composition!$V$47*material_composition!R52</f>
        <v>0.52544999999999997</v>
      </c>
      <c r="X52" s="40">
        <f>S52*[1]material_data_old!E7</f>
        <v>7.5880000000000001E-4</v>
      </c>
      <c r="Y52" s="40">
        <f>T52*8908</f>
        <v>6.6810000000000008E-2</v>
      </c>
      <c r="Z52" s="40">
        <f>SUM(U52:Y52)</f>
        <v>1.3074688000000001</v>
      </c>
      <c r="AA52" s="40">
        <f>Z52/(1-SUM(AK52:AL52,AN52:AO52,AQ52,AR52))</f>
        <v>1.4569788724664541</v>
      </c>
      <c r="AB52" s="4">
        <f>(V52+W52)/AA52</f>
        <v>0.74362780440726373</v>
      </c>
      <c r="AC52" s="4">
        <f>U52/$AA52</f>
        <v>0.10737973141309373</v>
      </c>
      <c r="AD52" s="4">
        <f>AB52*$H$61</f>
        <v>0.17275361062112779</v>
      </c>
      <c r="AE52" s="4">
        <f>AB52*$H$62</f>
        <v>0.22494523899211749</v>
      </c>
      <c r="AF52" s="4">
        <f>AB52*$H$63</f>
        <v>0.31665478381821055</v>
      </c>
      <c r="AG52" s="4">
        <f>AB52*$H$64</f>
        <v>2.4802142085663503E-2</v>
      </c>
      <c r="AH52" s="4">
        <f>AB52*$H$65</f>
        <v>2.9813525934296011E-3</v>
      </c>
      <c r="AI52" s="4">
        <f>AB52*$H$66</f>
        <v>0</v>
      </c>
      <c r="AJ52" s="4">
        <f>AB52*$H$67</f>
        <v>1.4906762967148005E-3</v>
      </c>
      <c r="AK52" s="4">
        <v>4.8000000000000001E-2</v>
      </c>
      <c r="AL52" s="4">
        <v>4.1000000000000002E-2</v>
      </c>
      <c r="AM52" s="4">
        <f>Y52/AA52</f>
        <v>4.5855160471133229E-2</v>
      </c>
      <c r="AN52" s="4">
        <v>1.2999999999999999E-2</v>
      </c>
      <c r="AO52" s="4">
        <v>0</v>
      </c>
      <c r="AP52" s="64">
        <f>X52/AA52</f>
        <v>5.2080370850914374E-4</v>
      </c>
      <c r="AQ52" s="64">
        <f>498.7/1000000</f>
        <v>4.9870000000000003E-4</v>
      </c>
      <c r="AR52" s="64">
        <f>117.8/1000000</f>
        <v>1.178E-4</v>
      </c>
      <c r="AS52" s="64">
        <f>SUM(AC52:AR52)</f>
        <v>0.99999999999999978</v>
      </c>
      <c r="AT52" s="40" t="str">
        <f>"Cu,"&amp;ROUND(AC52*100,3)&amp;","&amp;"Glass,"&amp;ROUND((AD52+AE52)*100,3)&amp;","&amp;"C,"&amp;ROUND(AF52*100,3)&amp;","&amp;"H,"&amp;ROUND(AG52*100,3)&amp;","&amp;"N,"&amp;ROUND(AH52*100,3)&amp;","&amp;"Sb,"&amp;ROUND(AJ52*100,3)&amp;","&amp;"Fe,"&amp;ROUND(AK52*100,3)&amp;","&amp;"Sn,"&amp;ROUND(AL52*100,3)&amp;","&amp;"Ni,"&amp;ROUND(AM52*100,3)&amp;","&amp;"Zn,"&amp;ROUND(AN52*100,3)&amp;","&amp;"Au,"&amp;ROUND(AP52*100,3)&amp;","&amp;"Ag,"&amp;ROUND(AQ52*100,3)&amp;","&amp;"Pd,"&amp;ROUND(AR52*100,3)</f>
        <v>Cu,10.738,Glass,39.77,C,31.665,H,2.48,N,0.298,Sb,0.149,Fe,4.8,Sn,4.1,Ni,4.586,Zn,1.3,Au,0.052,Ag,0.05,Pd,0.012</v>
      </c>
      <c r="AU52" s="40">
        <f>Z52/(N52/1000)</f>
        <v>1929.0460031278587</v>
      </c>
    </row>
    <row r="53" spans="1:47">
      <c r="B53" s="28">
        <v>6</v>
      </c>
      <c r="C53" s="28">
        <v>35</v>
      </c>
      <c r="D53" s="28">
        <f>C53/2</f>
        <v>17.5</v>
      </c>
      <c r="E53" s="70">
        <v>200</v>
      </c>
      <c r="F53" s="70">
        <v>200</v>
      </c>
      <c r="G53" s="70">
        <f t="shared" si="4"/>
        <v>0.14000000000000001</v>
      </c>
      <c r="H53" s="70">
        <f t="shared" si="5"/>
        <v>3.75</v>
      </c>
      <c r="I53" s="40">
        <f>D53/1000000*B53</f>
        <v>1.0499999999999999E-4</v>
      </c>
      <c r="J53" s="40">
        <f>E53/1000000</f>
        <v>2.0000000000000001E-4</v>
      </c>
      <c r="K53" s="40">
        <f t="shared" si="6"/>
        <v>4.0000000000000002E-4</v>
      </c>
      <c r="L53" s="40">
        <f t="shared" si="2"/>
        <v>2.8000000000000002E-7</v>
      </c>
      <c r="M53" s="40">
        <f t="shared" si="2"/>
        <v>7.5000000000000002E-6</v>
      </c>
      <c r="N53" s="28">
        <f>SUM(I53:M53)*1000</f>
        <v>0.71277999999999997</v>
      </c>
      <c r="O53" s="71">
        <v>0.25</v>
      </c>
      <c r="P53" s="40">
        <f>I53*O53</f>
        <v>2.6249999999999998E-5</v>
      </c>
      <c r="Q53" s="40">
        <f>J53</f>
        <v>2.0000000000000001E-4</v>
      </c>
      <c r="R53" s="40">
        <f t="shared" si="7"/>
        <v>3.7375E-4</v>
      </c>
      <c r="S53" s="40">
        <f t="shared" si="3"/>
        <v>2.8000000000000002E-7</v>
      </c>
      <c r="T53" s="40">
        <f t="shared" si="3"/>
        <v>7.5000000000000002E-6</v>
      </c>
      <c r="U53" s="40">
        <f>material_composition!$U$47*material_composition!P53</f>
        <v>0.23467499999999997</v>
      </c>
      <c r="V53" s="40">
        <f>material_composition!$V$47*material_composition!Q53</f>
        <v>0.372</v>
      </c>
      <c r="W53" s="40">
        <f>material_composition!$V$47*material_composition!R53</f>
        <v>0.69517499999999999</v>
      </c>
      <c r="X53" s="40">
        <f>S53*[1]material_data_old!E8</f>
        <v>7.4620000000000003E-4</v>
      </c>
      <c r="Y53" s="40">
        <f>T53*8908</f>
        <v>6.6810000000000008E-2</v>
      </c>
      <c r="Z53" s="40">
        <f>SUM(U53:Y53)</f>
        <v>1.3694062</v>
      </c>
      <c r="AA53" s="40">
        <f>Z53/(1-SUM(AK53:AL53,AN53:AO53,AQ53,AR53))</f>
        <v>1.5259988622478573</v>
      </c>
      <c r="AB53" s="4">
        <f>(V53+W53)/AA53</f>
        <v>0.69932883070961704</v>
      </c>
      <c r="AC53" s="4">
        <f>U53/$AA53</f>
        <v>0.15378451832808993</v>
      </c>
      <c r="AD53" s="4">
        <f>AB53*$H$61</f>
        <v>0.16246243053382753</v>
      </c>
      <c r="AE53" s="4">
        <f>AB53*$H$62</f>
        <v>0.21154492882826406</v>
      </c>
      <c r="AF53" s="4">
        <f>AB53*$H$63</f>
        <v>0.29779120467759729</v>
      </c>
      <c r="AG53" s="4">
        <f>AB53*$H$64</f>
        <v>2.332464294780667E-2</v>
      </c>
      <c r="AH53" s="4">
        <f>AB53*$H$65</f>
        <v>2.8037491480809962E-3</v>
      </c>
      <c r="AI53" s="4">
        <f>AB53*$H$66</f>
        <v>0</v>
      </c>
      <c r="AJ53" s="4">
        <f>AB53*$H$67</f>
        <v>1.4018745740404981E-3</v>
      </c>
      <c r="AK53" s="4">
        <v>4.8000000000000001E-2</v>
      </c>
      <c r="AL53" s="4">
        <v>4.1000000000000002E-2</v>
      </c>
      <c r="AM53" s="4">
        <f>Y53/AA53</f>
        <v>4.378115977202382E-2</v>
      </c>
      <c r="AN53" s="4">
        <v>1.2999999999999999E-2</v>
      </c>
      <c r="AO53" s="4">
        <v>0</v>
      </c>
      <c r="AP53" s="64">
        <f>X53/AA53</f>
        <v>4.889911902691838E-4</v>
      </c>
      <c r="AQ53" s="64">
        <f>498.7/1000000</f>
        <v>4.9870000000000003E-4</v>
      </c>
      <c r="AR53" s="64">
        <f>117.8/1000000</f>
        <v>1.178E-4</v>
      </c>
      <c r="AS53" s="64">
        <f>SUM(AC53:AR53)</f>
        <v>1</v>
      </c>
      <c r="AT53" s="40" t="str">
        <f>"Cu,"&amp;ROUND(AC53*100,3)&amp;","&amp;"Glass,"&amp;ROUND((AD53+AE53)*100,3)&amp;","&amp;"C,"&amp;ROUND(AF53*100,3)&amp;","&amp;"H,"&amp;ROUND(AG53*100,3)&amp;","&amp;"N,"&amp;ROUND(AH53*100,3)&amp;","&amp;"Sb,"&amp;ROUND(AJ53*100,3)&amp;","&amp;"Fe,"&amp;ROUND(AK53*100,3)&amp;","&amp;"Sn,"&amp;ROUND(AL53*100,3)&amp;","&amp;"Ni,"&amp;ROUND(AM53*100,3)&amp;","&amp;"Zn,"&amp;ROUND(AN53*100,3)&amp;","&amp;"Au,"&amp;ROUND(AP53*100,3)&amp;","&amp;"Ag,"&amp;ROUND(AQ53*100,3)&amp;","&amp;"Pd,"&amp;ROUND(AR53*100,3)</f>
        <v>Cu,15.378,Glass,37.401,C,29.779,H,2.332,N,0.28,Sb,0.14,Fe,4.8,Sn,4.1,Ni,4.378,Zn,1.3,Au,0.049,Ag,0.05,Pd,0.012</v>
      </c>
      <c r="AU53" s="40">
        <f>Z53/(N53/1000)</f>
        <v>1921.2186088274082</v>
      </c>
    </row>
    <row r="54" spans="1:47">
      <c r="B54" s="28">
        <v>8</v>
      </c>
      <c r="C54" s="28">
        <v>35</v>
      </c>
      <c r="D54" s="28">
        <f>C54/2</f>
        <v>17.5</v>
      </c>
      <c r="E54" s="70">
        <v>100</v>
      </c>
      <c r="F54" s="70">
        <v>100</v>
      </c>
      <c r="G54" s="70">
        <f t="shared" si="4"/>
        <v>0.14000000000000001</v>
      </c>
      <c r="H54" s="70">
        <f t="shared" si="5"/>
        <v>3.75</v>
      </c>
      <c r="I54" s="40">
        <f>(2*D54+(B54-2)*C54)/1000000</f>
        <v>2.4499999999999999E-4</v>
      </c>
      <c r="J54" s="40">
        <f>B54/2*E54/1000000</f>
        <v>4.0000000000000002E-4</v>
      </c>
      <c r="K54" s="40">
        <f>(B54/2-1)*F54/1000000</f>
        <v>2.9999999999999997E-4</v>
      </c>
      <c r="L54" s="40">
        <f t="shared" si="2"/>
        <v>2.8000000000000002E-7</v>
      </c>
      <c r="M54" s="40">
        <f t="shared" si="2"/>
        <v>7.5000000000000002E-6</v>
      </c>
      <c r="N54" s="28">
        <f t="shared" ref="N54:N55" si="8">SUM(I54:M54)*1000</f>
        <v>0.95277999999999985</v>
      </c>
      <c r="O54" s="71">
        <v>0.25</v>
      </c>
      <c r="P54" s="40">
        <f>I54*O54</f>
        <v>6.1249999999999998E-5</v>
      </c>
      <c r="Q54" s="40">
        <f>J54</f>
        <v>4.0000000000000002E-4</v>
      </c>
      <c r="R54" s="40">
        <f>K54-P54</f>
        <v>2.3874999999999998E-4</v>
      </c>
      <c r="S54" s="40">
        <f t="shared" si="3"/>
        <v>2.8000000000000002E-7</v>
      </c>
      <c r="T54" s="40">
        <f t="shared" si="3"/>
        <v>7.5000000000000002E-6</v>
      </c>
      <c r="U54" s="40">
        <f>material_composition!$U$47*material_composition!P54</f>
        <v>0.54757500000000003</v>
      </c>
      <c r="V54" s="40">
        <f>material_composition!$V$47*material_composition!Q54</f>
        <v>0.74399999999999999</v>
      </c>
      <c r="W54" s="40">
        <f>material_composition!$V$47*material_composition!R54</f>
        <v>0.44407499999999994</v>
      </c>
      <c r="X54" s="40">
        <f>S54*[1]material_data_old!E7</f>
        <v>7.5880000000000001E-4</v>
      </c>
      <c r="Y54" s="40">
        <f t="shared" ref="Y54:Y55" si="9">T54*8908</f>
        <v>6.6810000000000008E-2</v>
      </c>
      <c r="Z54" s="40">
        <f t="shared" ref="Z54:Z55" si="10">SUM(U54:Y54)</f>
        <v>1.8032188</v>
      </c>
      <c r="AA54" s="40">
        <f>Z54/(1-SUM(AK54:AL54,AN54:AO54,AQ54,AR54))</f>
        <v>2.0094182698924152</v>
      </c>
      <c r="AB54" s="4">
        <f t="shared" ref="AB54:AB55" si="11">(V54+W54)/AA54</f>
        <v>0.59125320885213706</v>
      </c>
      <c r="AC54" s="4">
        <f t="shared" ref="AC54:AC55" si="12">U54/$AA54</f>
        <v>0.27250424075686208</v>
      </c>
      <c r="AD54" s="4">
        <f t="shared" ref="AD54:AD55" si="13">AB54*$H$61</f>
        <v>0.13735517420835255</v>
      </c>
      <c r="AE54" s="4">
        <f t="shared" ref="AE54:AE55" si="14">AB54*$H$62</f>
        <v>0.1788523688622867</v>
      </c>
      <c r="AF54" s="4">
        <f t="shared" ref="AF54:AF55" si="15">AB54*$H$63</f>
        <v>0.25176997944573892</v>
      </c>
      <c r="AG54" s="4">
        <f t="shared" ref="AG54:AG55" si="16">AB54*$H$64</f>
        <v>1.9720007788363893E-2</v>
      </c>
      <c r="AH54" s="4">
        <f t="shared" ref="AH54:AH55" si="17">AB54*$H$65</f>
        <v>2.3704523649299876E-3</v>
      </c>
      <c r="AI54" s="4">
        <f t="shared" ref="AI54:AI55" si="18">AB54*$H$66</f>
        <v>0</v>
      </c>
      <c r="AJ54" s="4">
        <f t="shared" ref="AJ54:AJ55" si="19">AB54*$H$67</f>
        <v>1.1852261824649938E-3</v>
      </c>
      <c r="AK54" s="4">
        <v>4.8000000000000001E-2</v>
      </c>
      <c r="AL54" s="4">
        <v>4.1000000000000002E-2</v>
      </c>
      <c r="AM54" s="4">
        <f t="shared" ref="AM54:AM55" si="20">Y54/AA54</f>
        <v>3.3248428662678096E-2</v>
      </c>
      <c r="AN54" s="4">
        <v>1.2999999999999999E-2</v>
      </c>
      <c r="AO54" s="4">
        <v>0</v>
      </c>
      <c r="AP54" s="64">
        <f t="shared" ref="AP54:AP55" si="21">X54/AA54</f>
        <v>3.7762172832270821E-4</v>
      </c>
      <c r="AQ54" s="64">
        <f t="shared" ref="AQ54:AQ56" si="22">498.7/1000000</f>
        <v>4.9870000000000003E-4</v>
      </c>
      <c r="AR54" s="64">
        <f t="shared" ref="AR54:AR56" si="23">117.8/1000000</f>
        <v>1.178E-4</v>
      </c>
      <c r="AS54" s="64">
        <f t="shared" ref="AS54:AS56" si="24">SUM(AC54:AR54)</f>
        <v>0.99999999999999978</v>
      </c>
      <c r="AT54" s="40" t="str">
        <f t="shared" ref="AT54:AT55" si="25">"Cu,"&amp;ROUND(AC54*100,3)&amp;","&amp;"Glass,"&amp;ROUND((AD54+AE54)*100,3)&amp;","&amp;"C,"&amp;ROUND(AF54*100,3)&amp;","&amp;"H,"&amp;ROUND(AG54*100,3)&amp;","&amp;"N,"&amp;ROUND(AH54*100,3)&amp;","&amp;"Sb,"&amp;ROUND(AJ54*100,3)&amp;","&amp;"Fe,"&amp;ROUND(AK54*100,3)&amp;","&amp;"Sn,"&amp;ROUND(AL54*100,3)&amp;","&amp;"Ni,"&amp;ROUND(AM54*100,3)&amp;","&amp;"Zn,"&amp;ROUND(AN54*100,3)&amp;","&amp;"Au,"&amp;ROUND(AP54*100,3)&amp;","&amp;"Ag,"&amp;ROUND(AQ54*100,3)&amp;","&amp;"Pd,"&amp;ROUND(AR54*100,3)</f>
        <v>Cu,27.25,Glass,31.621,C,25.177,H,1.972,N,0.237,Sb,0.119,Fe,4.8,Sn,4.1,Ni,3.325,Zn,1.3,Au,0.038,Ag,0.05,Pd,0.012</v>
      </c>
      <c r="AU54" s="40">
        <f>Z54/(N54/1000)</f>
        <v>1892.5867461533621</v>
      </c>
    </row>
    <row r="55" spans="1:47">
      <c r="B55" s="28">
        <v>12</v>
      </c>
      <c r="C55" s="28">
        <v>35</v>
      </c>
      <c r="D55" s="28">
        <f>C55/2</f>
        <v>17.5</v>
      </c>
      <c r="E55" s="70">
        <v>200</v>
      </c>
      <c r="F55" s="70">
        <v>100</v>
      </c>
      <c r="G55" s="70">
        <v>0.23</v>
      </c>
      <c r="H55" s="70">
        <v>5</v>
      </c>
      <c r="I55" s="40">
        <f>(2*D55+(B55-2)*C55)/1000000</f>
        <v>3.8499999999999998E-4</v>
      </c>
      <c r="J55" s="40">
        <f>B55/2*E55/1000000</f>
        <v>1.1999999999999999E-3</v>
      </c>
      <c r="K55" s="40">
        <f>(B55/2-1)*F55/1000000</f>
        <v>5.0000000000000001E-4</v>
      </c>
      <c r="L55" s="40">
        <f t="shared" si="2"/>
        <v>4.6000000000000004E-7</v>
      </c>
      <c r="M55" s="40">
        <f t="shared" si="2"/>
        <v>1.0000000000000001E-5</v>
      </c>
      <c r="N55" s="28">
        <f t="shared" si="8"/>
        <v>2.0954600000000001</v>
      </c>
      <c r="O55" s="71">
        <v>0.25</v>
      </c>
      <c r="P55" s="40">
        <f>I55*O55</f>
        <v>9.6249999999999995E-5</v>
      </c>
      <c r="Q55" s="40">
        <f>J55</f>
        <v>1.1999999999999999E-3</v>
      </c>
      <c r="R55" s="40">
        <f>K55-P55</f>
        <v>4.0375000000000003E-4</v>
      </c>
      <c r="S55" s="40">
        <f t="shared" si="3"/>
        <v>4.6000000000000004E-7</v>
      </c>
      <c r="T55" s="40">
        <f t="shared" si="3"/>
        <v>1.0000000000000001E-5</v>
      </c>
      <c r="U55" s="40">
        <f>material_composition!$U$47*material_composition!P55</f>
        <v>0.86047499999999999</v>
      </c>
      <c r="V55" s="40">
        <f>material_composition!$V$47*material_composition!Q55</f>
        <v>2.2319999999999998</v>
      </c>
      <c r="W55" s="40">
        <f>material_composition!$V$47*material_composition!R55</f>
        <v>0.75097500000000006</v>
      </c>
      <c r="X55" s="40">
        <f>S55*[1]material_data_old!E8</f>
        <v>1.2259E-3</v>
      </c>
      <c r="Y55" s="40">
        <f t="shared" si="9"/>
        <v>8.9080000000000006E-2</v>
      </c>
      <c r="Z55" s="40">
        <f t="shared" si="10"/>
        <v>3.9337559</v>
      </c>
      <c r="AA55" s="40">
        <f>Z55/(1-SUM(AK55:AL55,AN55:AO55,AQ55,AR55))</f>
        <v>4.3835839415367008</v>
      </c>
      <c r="AB55" s="4">
        <f t="shared" si="11"/>
        <v>0.68048771046330037</v>
      </c>
      <c r="AC55" s="4">
        <f t="shared" si="12"/>
        <v>0.19629486088918227</v>
      </c>
      <c r="AD55" s="4">
        <f t="shared" si="13"/>
        <v>0.15808541352154348</v>
      </c>
      <c r="AE55" s="4">
        <f t="shared" si="14"/>
        <v>0.2058455449811725</v>
      </c>
      <c r="AF55" s="4">
        <f t="shared" si="15"/>
        <v>0.2897681979756816</v>
      </c>
      <c r="AG55" s="4">
        <f t="shared" si="16"/>
        <v>2.2696236991718601E-2</v>
      </c>
      <c r="AH55" s="4">
        <f t="shared" si="17"/>
        <v>2.7282113287894635E-3</v>
      </c>
      <c r="AI55" s="4">
        <f t="shared" si="18"/>
        <v>0</v>
      </c>
      <c r="AJ55" s="4">
        <f t="shared" si="19"/>
        <v>1.3641056643947317E-3</v>
      </c>
      <c r="AK55" s="4">
        <v>4.8000000000000001E-2</v>
      </c>
      <c r="AL55" s="4">
        <v>4.1000000000000002E-2</v>
      </c>
      <c r="AM55" s="4">
        <f t="shared" si="20"/>
        <v>2.032127163253826E-2</v>
      </c>
      <c r="AN55" s="4">
        <v>1.2999999999999999E-2</v>
      </c>
      <c r="AO55" s="4">
        <v>0</v>
      </c>
      <c r="AP55" s="64">
        <f t="shared" si="21"/>
        <v>2.7965701497899249E-4</v>
      </c>
      <c r="AQ55" s="64">
        <f t="shared" si="22"/>
        <v>4.9870000000000003E-4</v>
      </c>
      <c r="AR55" s="64">
        <f t="shared" si="23"/>
        <v>1.178E-4</v>
      </c>
      <c r="AS55" s="64">
        <f t="shared" si="24"/>
        <v>0.99999999999999978</v>
      </c>
      <c r="AT55" s="40" t="str">
        <f t="shared" si="25"/>
        <v>Cu,19.629,Glass,36.393,C,28.977,H,2.27,N,0.273,Sb,0.136,Fe,4.8,Sn,4.1,Ni,2.032,Zn,1.3,Au,0.028,Ag,0.05,Pd,0.012</v>
      </c>
      <c r="AU55" s="40">
        <f>Z55/(N55/1000)</f>
        <v>1877.2755862674544</v>
      </c>
    </row>
    <row r="56" spans="1:47" s="4" customFormat="1">
      <c r="A56" s="4" t="s">
        <v>1015</v>
      </c>
      <c r="E56" s="72"/>
      <c r="F56" s="72"/>
      <c r="K56" s="72"/>
      <c r="AB56" s="4">
        <f>(21.4+1.6+0.6+5.3+0.3+37.62)/100</f>
        <v>0.66819999999999991</v>
      </c>
      <c r="AC56" s="4">
        <v>0.20200000000000001</v>
      </c>
      <c r="AD56" s="4">
        <f>37.62/100*E61</f>
        <v>0.17584901713093104</v>
      </c>
      <c r="AE56" s="4">
        <f>37.62/100*E62</f>
        <v>0.20035098286906897</v>
      </c>
      <c r="AF56" s="4">
        <v>0.214</v>
      </c>
      <c r="AG56" s="4">
        <v>1.6E-2</v>
      </c>
      <c r="AH56" s="4">
        <v>6.0000000000000001E-3</v>
      </c>
      <c r="AI56" s="73">
        <v>0</v>
      </c>
      <c r="AJ56" s="4">
        <v>3.0000000000000001E-3</v>
      </c>
      <c r="AK56" s="4">
        <v>4.8000000000000001E-2</v>
      </c>
      <c r="AL56" s="4">
        <v>4.1000000000000002E-2</v>
      </c>
      <c r="AM56" s="4">
        <v>0.01</v>
      </c>
      <c r="AN56" s="4">
        <v>1.2999999999999999E-2</v>
      </c>
      <c r="AO56" s="4">
        <v>0</v>
      </c>
      <c r="AP56" s="64">
        <f t="shared" ref="AP56" si="26">224.8/1000000</f>
        <v>2.2480000000000002E-4</v>
      </c>
      <c r="AQ56" s="64">
        <f t="shared" si="22"/>
        <v>4.9870000000000003E-4</v>
      </c>
      <c r="AR56" s="64">
        <f t="shared" si="23"/>
        <v>1.178E-4</v>
      </c>
      <c r="AS56" s="64">
        <f t="shared" si="24"/>
        <v>0.93004130000000007</v>
      </c>
      <c r="AT56" s="40" t="str">
        <f t="shared" ref="AT56" si="27">"Cu,"&amp;ROUND(AC56*100,3)&amp;","&amp;"Glass,"&amp;ROUND((AD56+AE56)*100,3)&amp;","&amp;"C,"&amp;ROUND(AF56*100,3)&amp;","&amp;"H,"&amp;ROUND(AG56*100,3)&amp;","&amp;"N,"&amp;ROUND(AH56*100,3)&amp;","&amp;"Sb,"&amp;ROUND(AJ56*100,3)&amp;","&amp;"Fe,"&amp;ROUND(AK56*100,3)&amp;","&amp;"Sn,"&amp;ROUND(AL56*100,3)&amp;","&amp;"Ni,"&amp;ROUND(AM56*100,3)&amp;","&amp;"Zn,"&amp;ROUND(AN56*100,3)&amp;","&amp;"Pb,"&amp;ROUND(AO56*100,3)&amp;","&amp;"Au,"&amp;ROUND(AP56*100,3)&amp;","&amp;"Ag,"&amp;ROUND(AQ56*100,3)&amp;","&amp;"Pd,"&amp;ROUND(AR56*100,3)</f>
        <v>Cu,20.2,Glass,37.62,C,21.4,H,1.6,N,0.6,Sb,0.3,Fe,4.8,Sn,4.1,Ni,1,Zn,1.3,Pb,0,Au,0.022,Ag,0.05,Pd,0.012</v>
      </c>
    </row>
    <row r="57" spans="1:47">
      <c r="C57" s="28"/>
      <c r="D57" s="28"/>
      <c r="E57" s="74"/>
      <c r="F57" s="74"/>
      <c r="J57" s="28"/>
      <c r="K57" s="44"/>
      <c r="S57" s="4"/>
      <c r="T57" s="4"/>
      <c r="U57" s="4"/>
      <c r="V57" s="4"/>
      <c r="W57" s="4"/>
      <c r="X57" s="4"/>
      <c r="Y57" s="4"/>
      <c r="Z57" s="4"/>
      <c r="AA57" s="4"/>
      <c r="AB57" s="4"/>
      <c r="AC57" s="4"/>
      <c r="AD57" s="4"/>
      <c r="AE57" s="4"/>
      <c r="AF57" s="4"/>
      <c r="AG57" s="4"/>
      <c r="AH57" s="4"/>
      <c r="AI57" s="4"/>
      <c r="AJ57" s="4"/>
      <c r="AK57" s="4"/>
      <c r="AL57" s="4"/>
    </row>
    <row r="59" spans="1:47">
      <c r="A59" s="40" t="s">
        <v>1016</v>
      </c>
    </row>
    <row r="60" spans="1:47">
      <c r="A60" s="40" t="s">
        <v>280</v>
      </c>
      <c r="B60" s="28" t="s">
        <v>1017</v>
      </c>
      <c r="C60" s="40" t="s">
        <v>1018</v>
      </c>
      <c r="D60" s="40" t="s">
        <v>1019</v>
      </c>
      <c r="E60" s="40" t="s">
        <v>1020</v>
      </c>
      <c r="F60" s="40" t="s">
        <v>1021</v>
      </c>
      <c r="G60" s="40" t="s">
        <v>1022</v>
      </c>
      <c r="H60" s="40" t="s">
        <v>1023</v>
      </c>
    </row>
    <row r="61" spans="1:47">
      <c r="A61" s="40" t="s">
        <v>499</v>
      </c>
      <c r="B61" s="28">
        <v>28.0855</v>
      </c>
      <c r="C61">
        <v>1</v>
      </c>
      <c r="D61">
        <v>0</v>
      </c>
      <c r="E61" s="2">
        <f>B61/$C$71*C61</f>
        <v>0.46743492060321917</v>
      </c>
      <c r="F61" s="2">
        <f>B61/$C$72*D61</f>
        <v>0</v>
      </c>
      <c r="G61" s="4">
        <f>E61*$D$71+F61*$D$72</f>
        <v>0.23371746030160959</v>
      </c>
      <c r="H61" s="4">
        <f>G61*(1-SUM($H$65:$H$67))</f>
        <v>0.23231193023884777</v>
      </c>
    </row>
    <row r="62" spans="1:47">
      <c r="A62" s="40" t="s">
        <v>825</v>
      </c>
      <c r="B62" s="28">
        <v>15.9994</v>
      </c>
      <c r="C62">
        <v>2</v>
      </c>
      <c r="D62">
        <v>1</v>
      </c>
      <c r="E62" s="2">
        <f>B62/$C$71*C62</f>
        <v>0.53256507939678088</v>
      </c>
      <c r="F62" s="2">
        <f>B62/$C$72*D62</f>
        <v>7.6089405741332147E-2</v>
      </c>
      <c r="G62" s="4">
        <f>E62*$D$71+F62*$D$72</f>
        <v>0.30432724256905652</v>
      </c>
      <c r="H62" s="4">
        <f>G62*(1-SUM($H$65:$H$67))</f>
        <v>0.30249707939769477</v>
      </c>
    </row>
    <row r="63" spans="1:47">
      <c r="A63" s="40" t="s">
        <v>368</v>
      </c>
      <c r="B63" s="28">
        <v>12.0107</v>
      </c>
      <c r="C63">
        <v>0</v>
      </c>
      <c r="D63">
        <v>15</v>
      </c>
      <c r="E63" s="2">
        <f>B63/$C$71*C63</f>
        <v>0</v>
      </c>
      <c r="F63" s="2">
        <f>B63/$C$72*D63</f>
        <v>0.85680121648694774</v>
      </c>
      <c r="G63" s="4">
        <f>E63*$D$71+F63*$D$72</f>
        <v>0.42840060824347387</v>
      </c>
      <c r="H63" s="4">
        <f>G63*(1-SUM($H$65:$H$67))</f>
        <v>0.42582429266561928</v>
      </c>
    </row>
    <row r="64" spans="1:47">
      <c r="A64" s="40" t="s">
        <v>821</v>
      </c>
      <c r="B64" s="28">
        <v>1.0079400000000001</v>
      </c>
      <c r="C64">
        <v>0</v>
      </c>
      <c r="D64">
        <v>14</v>
      </c>
      <c r="E64" s="2">
        <f>B64/$C$71*C64</f>
        <v>0</v>
      </c>
      <c r="F64" s="2">
        <f>B64/$C$72*D64</f>
        <v>6.7109377771719977E-2</v>
      </c>
      <c r="G64" s="4">
        <f>E64*$D$71+F64*$D$72</f>
        <v>3.3554688885859989E-2</v>
      </c>
      <c r="H64" s="4">
        <f>G64*(1-SUM($H$65:$H$67))</f>
        <v>3.3352897697838203E-2</v>
      </c>
    </row>
    <row r="65" spans="1:10">
      <c r="A65" s="40" t="s">
        <v>822</v>
      </c>
      <c r="C65"/>
      <c r="D65"/>
      <c r="E65" s="2"/>
      <c r="F65" s="2"/>
      <c r="H65" s="4">
        <f>AH56*AB56</f>
        <v>4.0091999999999992E-3</v>
      </c>
    </row>
    <row r="66" spans="1:10">
      <c r="A66" s="40" t="s">
        <v>608</v>
      </c>
      <c r="C66"/>
      <c r="D66"/>
      <c r="E66" s="2"/>
      <c r="F66" s="2"/>
      <c r="H66" s="4">
        <f>AI56*AB56</f>
        <v>0</v>
      </c>
    </row>
    <row r="67" spans="1:10">
      <c r="A67" s="40" t="s">
        <v>284</v>
      </c>
      <c r="C67"/>
      <c r="D67"/>
      <c r="E67" s="2"/>
      <c r="F67" s="2"/>
      <c r="H67" s="4">
        <f>AJ56*AB56</f>
        <v>2.0045999999999996E-3</v>
      </c>
    </row>
    <row r="68" spans="1:10">
      <c r="A68" s="40" t="s">
        <v>326</v>
      </c>
      <c r="B68" s="28">
        <v>63.545999999999999</v>
      </c>
      <c r="C68"/>
      <c r="D68"/>
      <c r="E68" s="2"/>
      <c r="F68" s="2"/>
      <c r="G68" s="2"/>
    </row>
    <row r="70" spans="1:10">
      <c r="A70" s="40" t="s">
        <v>638</v>
      </c>
      <c r="B70" s="40" t="s">
        <v>263</v>
      </c>
      <c r="C70" s="28" t="s">
        <v>1024</v>
      </c>
      <c r="D70" s="40" t="s">
        <v>1022</v>
      </c>
      <c r="E70" s="40" t="s">
        <v>263</v>
      </c>
    </row>
    <row r="71" spans="1:10">
      <c r="A71" s="40" t="s">
        <v>1025</v>
      </c>
      <c r="B71" s="40" t="s">
        <v>1026</v>
      </c>
      <c r="C71" s="28">
        <f>B61+2*B62</f>
        <v>60.084299999999999</v>
      </c>
      <c r="D71" s="1">
        <v>0.5</v>
      </c>
      <c r="E71" s="40" t="str">
        <f>"Si,"&amp;ROUND(E61*100,3)&amp;","&amp;"O,"&amp;ROUND(E62*100,3)</f>
        <v>Si,46.743,O,53.257</v>
      </c>
    </row>
    <row r="72" spans="1:10">
      <c r="A72" s="40" t="s">
        <v>1027</v>
      </c>
      <c r="B72" s="40" t="s">
        <v>1028</v>
      </c>
      <c r="C72" s="28">
        <f>1*B62+15*B63+14*B64</f>
        <v>210.27106000000003</v>
      </c>
      <c r="D72" s="1">
        <f>1-D71</f>
        <v>0.5</v>
      </c>
      <c r="E72" s="40" t="str">
        <f>"C,"&amp;ROUND(F63*100,3)&amp;","&amp;"O,"&amp;ROUND(F62*100,3)&amp;","&amp;"H,"&amp;ROUND(F64*100,3)</f>
        <v>C,85.68,O,7.609,H,6.711</v>
      </c>
    </row>
    <row r="73" spans="1:10">
      <c r="A73" s="40" t="s">
        <v>1029</v>
      </c>
      <c r="E73" s="40" t="str">
        <f>"Si,"&amp;ROUND(G61*100,3)&amp;","&amp;"O,"&amp;ROUND(G62*100,3)&amp;","&amp;"C"&amp;ROUND(G63*100,3)&amp;","&amp;"H"&amp;ROUND(G64*100,3)</f>
        <v>Si,23.372,O,30.433,C42.84,H3.355</v>
      </c>
    </row>
    <row r="75" spans="1:10">
      <c r="A75" s="40" t="s">
        <v>1030</v>
      </c>
    </row>
    <row r="76" spans="1:10">
      <c r="A76" s="40" t="s">
        <v>1031</v>
      </c>
      <c r="H76" s="40" t="s">
        <v>1032</v>
      </c>
      <c r="I76" s="40" t="s">
        <v>38</v>
      </c>
    </row>
    <row r="77" spans="1:10">
      <c r="A77" s="40" t="s">
        <v>516</v>
      </c>
      <c r="B77" s="4">
        <f>((5.7+3.3)*0.98)/100</f>
        <v>8.8200000000000001E-2</v>
      </c>
      <c r="C77" s="4">
        <f t="shared" ref="C77:C86" si="28">B77/$B$88</f>
        <v>9.6183206106870228E-2</v>
      </c>
      <c r="E77" s="65">
        <v>4.049586776859504E-4</v>
      </c>
      <c r="F77" s="65" t="s">
        <v>1033</v>
      </c>
      <c r="H77" s="40" t="s">
        <v>1034</v>
      </c>
      <c r="I77" s="40">
        <v>3040</v>
      </c>
      <c r="J77" s="40" t="s">
        <v>1035</v>
      </c>
    </row>
    <row r="78" spans="1:10">
      <c r="A78" s="40" t="s">
        <v>368</v>
      </c>
      <c r="B78" s="4">
        <f>((5.7+3.3)*0.02+(5.7+1.5+3.8)*F63+8.2)/100</f>
        <v>0.17804813381356424</v>
      </c>
      <c r="C78" s="4">
        <f t="shared" si="28"/>
        <v>0.19416372280650407</v>
      </c>
      <c r="H78" s="40" t="s">
        <v>965</v>
      </c>
      <c r="I78" s="40">
        <v>52</v>
      </c>
      <c r="J78" s="40" t="s">
        <v>747</v>
      </c>
    </row>
    <row r="79" spans="1:10">
      <c r="A79" s="40" t="s">
        <v>279</v>
      </c>
      <c r="B79" s="4">
        <f>(18+5.2+5.5+5.8)/100</f>
        <v>0.34499999999999997</v>
      </c>
      <c r="C79" s="4">
        <f t="shared" si="28"/>
        <v>0.37622682660850593</v>
      </c>
      <c r="H79" s="40" t="s">
        <v>1036</v>
      </c>
      <c r="I79" s="40">
        <f>(I78/1000)/(I77)</f>
        <v>1.7105263157894737E-5</v>
      </c>
      <c r="J79" s="40" t="s">
        <v>1037</v>
      </c>
    </row>
    <row r="80" spans="1:10">
      <c r="A80" s="40" t="s">
        <v>326</v>
      </c>
      <c r="B80" s="4">
        <f>(2.7+2.3+9.2)/100</f>
        <v>0.14199999999999999</v>
      </c>
      <c r="C80" s="4">
        <f t="shared" si="28"/>
        <v>0.15485278080697926</v>
      </c>
      <c r="H80" s="40" t="s">
        <v>1038</v>
      </c>
      <c r="I80" s="40">
        <v>1.54</v>
      </c>
      <c r="J80" s="40" t="s">
        <v>1039</v>
      </c>
    </row>
    <row r="81" spans="1:38">
      <c r="A81" s="40" t="s">
        <v>390</v>
      </c>
      <c r="B81" s="4">
        <v>0.01</v>
      </c>
      <c r="C81" s="4">
        <f t="shared" si="28"/>
        <v>1.0905125408942203E-2</v>
      </c>
      <c r="H81" s="40" t="s">
        <v>1040</v>
      </c>
      <c r="I81" s="40">
        <f>I80/I77</f>
        <v>5.0657894736842106E-4</v>
      </c>
      <c r="J81" s="40" t="s">
        <v>1033</v>
      </c>
    </row>
    <row r="82" spans="1:38">
      <c r="A82" s="40" t="s">
        <v>410</v>
      </c>
      <c r="B82" s="4">
        <v>3.1E-2</v>
      </c>
      <c r="C82" s="4">
        <f t="shared" si="28"/>
        <v>3.3805888767720831E-2</v>
      </c>
      <c r="H82" s="40" t="s">
        <v>1041</v>
      </c>
      <c r="I82" s="40">
        <f>I80/(I78/1000)</f>
        <v>29.615384615384617</v>
      </c>
      <c r="J82" s="40" t="s">
        <v>963</v>
      </c>
    </row>
    <row r="83" spans="1:38">
      <c r="A83" s="40" t="s">
        <v>323</v>
      </c>
      <c r="B83" s="4">
        <v>3.1E-2</v>
      </c>
      <c r="C83" s="4">
        <f t="shared" si="28"/>
        <v>3.3805888767720831E-2</v>
      </c>
    </row>
    <row r="84" spans="1:38">
      <c r="A84" s="40" t="s">
        <v>399</v>
      </c>
      <c r="B84" s="4">
        <v>2.8000000000000001E-2</v>
      </c>
      <c r="C84" s="4">
        <f t="shared" si="28"/>
        <v>3.0534351145038167E-2</v>
      </c>
    </row>
    <row r="85" spans="1:38">
      <c r="A85" s="40" t="s">
        <v>825</v>
      </c>
      <c r="B85" s="4">
        <f>(4.8+(5.7+1.5+3.8)*F62)/100</f>
        <v>5.6369834631546531E-2</v>
      </c>
      <c r="C85" s="4">
        <f t="shared" si="28"/>
        <v>6.1472011593834822E-2</v>
      </c>
    </row>
    <row r="86" spans="1:38">
      <c r="A86" s="40" t="s">
        <v>821</v>
      </c>
      <c r="B86" s="4">
        <f>(5.7+1.5+3.8)*F64/100</f>
        <v>7.3820315548891978E-3</v>
      </c>
      <c r="C86" s="4">
        <f t="shared" si="28"/>
        <v>8.0501979878835304E-3</v>
      </c>
    </row>
    <row r="87" spans="1:38" s="65" customFormat="1">
      <c r="A87" s="65" t="s">
        <v>1042</v>
      </c>
      <c r="B87" s="72">
        <v>8.3000000000000004E-2</v>
      </c>
      <c r="C87" s="72">
        <v>0</v>
      </c>
      <c r="U87" s="63"/>
      <c r="V87" s="63"/>
      <c r="W87" s="63"/>
      <c r="X87" s="63"/>
      <c r="Y87" s="63"/>
      <c r="Z87" s="63"/>
      <c r="AA87" s="63"/>
      <c r="AB87" s="63"/>
      <c r="AC87" s="63"/>
      <c r="AD87" s="63"/>
      <c r="AE87" s="63"/>
      <c r="AF87" s="63"/>
      <c r="AG87" s="63"/>
      <c r="AH87" s="63"/>
      <c r="AI87" s="63"/>
      <c r="AJ87" s="63"/>
      <c r="AK87" s="63"/>
      <c r="AL87" s="63"/>
    </row>
    <row r="88" spans="1:38">
      <c r="A88" s="40" t="s">
        <v>1012</v>
      </c>
      <c r="B88" s="4">
        <f>SUM(B77:B86)</f>
        <v>0.91700000000000004</v>
      </c>
      <c r="C88" s="4">
        <f>B88/$B$88</f>
        <v>1</v>
      </c>
    </row>
    <row r="89" spans="1:38">
      <c r="C89" s="40" t="str">
        <f>"Fe,"&amp;ROUND(C77*100,3)&amp;","&amp;"C,"&amp;ROUND(C78*100,3)&amp;","&amp;"Al,"&amp;ROUND(C79*100,3)&amp;","&amp;"Cu,"&amp;ROUND(C80*100,3)&amp;","&amp;"Li,"&amp;ROUND(C81*100,3)&amp;","&amp;"Ni,"&amp;ROUND(C82*100,3)&amp;","&amp;"Co,"&amp;ROUND(C83*100,3)&amp;","&amp;"Mn,"&amp;ROUND(C84*100,3)&amp;","&amp;"O,"&amp;ROUND(C85*100,3)&amp;","&amp;"H,"&amp;ROUND(C86*100,3)</f>
        <v>Fe,9.618,C,19.416,Al,37.623,Cu,15.485,Li,1.091,Ni,3.381,Co,3.381,Mn,3.053,O,6.147,H,0.805</v>
      </c>
    </row>
    <row r="91" spans="1:38">
      <c r="A91" s="40" t="s">
        <v>40</v>
      </c>
    </row>
    <row r="92" spans="1:38">
      <c r="A92" s="40" t="s">
        <v>499</v>
      </c>
      <c r="B92" s="4">
        <f>0.8*0.47</f>
        <v>0.376</v>
      </c>
    </row>
    <row r="93" spans="1:38">
      <c r="A93" s="40" t="s">
        <v>825</v>
      </c>
      <c r="B93" s="4">
        <f>0.8*0.53</f>
        <v>0.42400000000000004</v>
      </c>
    </row>
    <row r="94" spans="1:38">
      <c r="A94" s="40" t="s">
        <v>284</v>
      </c>
      <c r="B94" s="4">
        <f>(50/77)*(1-SUM($B$92:$B$93))</f>
        <v>0.12987012987012983</v>
      </c>
    </row>
    <row r="95" spans="1:38">
      <c r="A95" s="40" t="s">
        <v>373</v>
      </c>
      <c r="B95" s="4">
        <f>(25/77)*(1-SUM($B$92:$B$93))</f>
        <v>6.4935064935064915E-2</v>
      </c>
    </row>
    <row r="96" spans="1:38">
      <c r="A96" s="40" t="s">
        <v>529</v>
      </c>
      <c r="B96" s="4">
        <f>(2/77)*(1-SUM($B$92:$B$93))</f>
        <v>5.1948051948051939E-3</v>
      </c>
    </row>
    <row r="97" spans="1:8">
      <c r="A97" s="40" t="s">
        <v>1012</v>
      </c>
      <c r="B97" s="28">
        <f>SUM(B92:B96)</f>
        <v>1</v>
      </c>
    </row>
    <row r="98" spans="1:8">
      <c r="C98" s="40" t="str">
        <f>"Si,"&amp;ROUND(B92*100,3)&amp;","&amp;"O,"&amp;ROUND(B93*100,3)&amp;","&amp;"Sb,"&amp;ROUND(B94*100,3)&amp;","&amp;"In,"&amp;ROUND(B95*100,3)&amp;","&amp;"Sn,"&amp;ROUND(B96*100,3)</f>
        <v>Si,37.6,O,42.4,Sb,12.987,In,6.494,Sn,0.519</v>
      </c>
    </row>
    <row r="100" spans="1:8">
      <c r="A100" s="40" t="s">
        <v>1043</v>
      </c>
      <c r="B100" s="28" t="s">
        <v>948</v>
      </c>
      <c r="C100" s="40" t="s">
        <v>950</v>
      </c>
      <c r="D100" s="40" t="s">
        <v>949</v>
      </c>
      <c r="E100" s="40" t="s">
        <v>965</v>
      </c>
      <c r="F100" s="40" t="s">
        <v>1044</v>
      </c>
      <c r="G100" s="40" t="s">
        <v>966</v>
      </c>
    </row>
    <row r="101" spans="1:8">
      <c r="B101" s="28" t="s">
        <v>1014</v>
      </c>
      <c r="C101" s="40" t="s">
        <v>961</v>
      </c>
      <c r="D101" s="40" t="s">
        <v>960</v>
      </c>
      <c r="E101" s="40" t="s">
        <v>276</v>
      </c>
      <c r="F101" s="40" t="s">
        <v>967</v>
      </c>
      <c r="G101" s="40" t="s">
        <v>967</v>
      </c>
    </row>
    <row r="102" spans="1:8">
      <c r="A102" s="40" t="s">
        <v>515</v>
      </c>
      <c r="B102" s="28">
        <v>0.75</v>
      </c>
      <c r="C102" s="40">
        <v>7750</v>
      </c>
      <c r="D102" s="40">
        <f>B102/1000</f>
        <v>7.5000000000000002E-4</v>
      </c>
      <c r="E102" s="40">
        <f>C102*D102</f>
        <v>5.8125</v>
      </c>
      <c r="F102" s="20">
        <v>1</v>
      </c>
      <c r="G102" s="4">
        <f>E102/SUM($E$102,$E$105)</f>
        <v>0.97602135912548482</v>
      </c>
    </row>
    <row r="103" spans="1:8">
      <c r="A103" s="40" t="s">
        <v>516</v>
      </c>
      <c r="F103" s="20">
        <v>0.98</v>
      </c>
      <c r="G103" s="4">
        <f>F103*$G$102</f>
        <v>0.95650093194297514</v>
      </c>
    </row>
    <row r="104" spans="1:8">
      <c r="A104" s="40" t="s">
        <v>368</v>
      </c>
      <c r="F104" s="20">
        <v>0.02</v>
      </c>
      <c r="G104" s="4">
        <f>F104*$G$102</f>
        <v>1.9520427182509698E-2</v>
      </c>
    </row>
    <row r="105" spans="1:8">
      <c r="A105" s="40" t="s">
        <v>552</v>
      </c>
      <c r="B105" s="28">
        <v>0.01</v>
      </c>
      <c r="C105" s="40">
        <v>7140</v>
      </c>
      <c r="D105" s="40">
        <f>2*B105/1000</f>
        <v>2.0000000000000002E-5</v>
      </c>
      <c r="E105" s="40">
        <f>C105*D105</f>
        <v>0.14280000000000001</v>
      </c>
      <c r="F105" s="20">
        <v>0</v>
      </c>
      <c r="G105" s="4">
        <f>E105/SUM($E$102,$E$105)</f>
        <v>2.397864087451514E-2</v>
      </c>
    </row>
    <row r="106" spans="1:8">
      <c r="H106" s="40" t="str">
        <f>"Fe,"&amp;ROUND(G103*100,3)&amp;","&amp;"C,"&amp;ROUND(G104*100,3)&amp;","&amp;"Zn,"&amp;ROUND(G104*100,3)</f>
        <v>Fe,95.65,C,1.952,Zn,1.952</v>
      </c>
    </row>
    <row r="110" spans="1:8">
      <c r="C110" s="28"/>
    </row>
    <row r="111" spans="1:8">
      <c r="C111" s="28"/>
    </row>
    <row r="112" spans="1:8">
      <c r="C112" s="28"/>
    </row>
    <row r="113" spans="3:3">
      <c r="C113" s="28"/>
    </row>
  </sheetData>
  <hyperlinks>
    <hyperlink ref="K11" r:id="rId1" xr:uid="{11FD4EDB-FD1E-435A-B733-132AE31D1ADA}"/>
    <hyperlink ref="K10" r:id="rId2" xr:uid="{F4651BA1-7055-4CCA-B8F8-DD5C7C0954BA}"/>
    <hyperlink ref="J13" r:id="rId3" xr:uid="{3BDF4FD1-9E48-4FF0-A70F-57618B2209D6}"/>
  </hyperlinks>
  <pageMargins left="0.7" right="0.7" top="0.75" bottom="0.75" header="0.3" footer="0.3"/>
  <pageSetup orientation="portrait" r:id="rId4"/>
  <drawing r:id="rId5"/>
  <legacyDrawing r:id="rId6"/>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0B067E-F2D5-4B89-BD0B-771FA7D9CD7C}">
  <dimension ref="A1:E40"/>
  <sheetViews>
    <sheetView workbookViewId="0">
      <selection activeCell="N23" sqref="N23"/>
    </sheetView>
  </sheetViews>
  <sheetFormatPr baseColWidth="10" defaultColWidth="9.1796875" defaultRowHeight="14.5"/>
  <sheetData>
    <row r="1" spans="1:5">
      <c r="A1" s="100" t="s">
        <v>969</v>
      </c>
      <c r="B1" s="100">
        <v>1</v>
      </c>
      <c r="C1" s="100">
        <v>4</v>
      </c>
      <c r="D1" s="100">
        <v>6</v>
      </c>
      <c r="E1" s="100">
        <v>8</v>
      </c>
    </row>
    <row r="2" spans="1:5">
      <c r="A2" s="100"/>
      <c r="B2" s="100"/>
      <c r="C2" s="100"/>
      <c r="D2" s="100"/>
      <c r="E2" s="100"/>
    </row>
    <row r="3" spans="1:5" ht="28.9" customHeight="1">
      <c r="A3" s="100" t="s">
        <v>1054</v>
      </c>
      <c r="B3" s="100">
        <v>35</v>
      </c>
      <c r="C3" s="100">
        <v>35</v>
      </c>
      <c r="D3" s="100">
        <v>35</v>
      </c>
      <c r="E3" s="100">
        <v>35</v>
      </c>
    </row>
    <row r="4" spans="1:5">
      <c r="A4" s="100"/>
      <c r="B4" s="100"/>
      <c r="C4" s="100"/>
      <c r="D4" s="100"/>
      <c r="E4" s="100"/>
    </row>
    <row r="5" spans="1:5" ht="28.9" customHeight="1">
      <c r="A5" s="100" t="s">
        <v>1055</v>
      </c>
      <c r="B5" s="100">
        <v>17.5</v>
      </c>
      <c r="C5" s="100">
        <v>17.5</v>
      </c>
      <c r="D5" s="100">
        <v>17.5</v>
      </c>
      <c r="E5" s="100">
        <v>17.5</v>
      </c>
    </row>
    <row r="6" spans="1:5">
      <c r="A6" s="100"/>
      <c r="B6" s="100"/>
      <c r="C6" s="100"/>
      <c r="D6" s="100"/>
      <c r="E6" s="100"/>
    </row>
    <row r="7" spans="1:5">
      <c r="A7" s="100" t="s">
        <v>1056</v>
      </c>
      <c r="B7" s="100">
        <v>400</v>
      </c>
      <c r="C7" s="100">
        <v>300</v>
      </c>
      <c r="D7" s="100">
        <v>200</v>
      </c>
      <c r="E7" s="100">
        <v>100</v>
      </c>
    </row>
    <row r="8" spans="1:5">
      <c r="A8" s="100"/>
      <c r="B8" s="100"/>
      <c r="C8" s="100"/>
      <c r="D8" s="100"/>
      <c r="E8" s="100"/>
    </row>
    <row r="9" spans="1:5" ht="14.5" customHeight="1">
      <c r="A9" s="100" t="s">
        <v>1057</v>
      </c>
      <c r="B9" s="100">
        <v>400</v>
      </c>
      <c r="C9" s="100">
        <v>300</v>
      </c>
      <c r="D9" s="100">
        <v>200</v>
      </c>
      <c r="E9" s="100">
        <v>100</v>
      </c>
    </row>
    <row r="10" spans="1:5">
      <c r="A10" s="100"/>
      <c r="B10" s="100"/>
      <c r="C10" s="100"/>
      <c r="D10" s="100"/>
      <c r="E10" s="100"/>
    </row>
    <row r="11" spans="1:5">
      <c r="A11" s="100" t="s">
        <v>1058</v>
      </c>
      <c r="B11" s="100">
        <v>0.05</v>
      </c>
      <c r="C11" s="100">
        <v>0.14000000000000001</v>
      </c>
      <c r="D11" s="100">
        <v>0.14000000000000001</v>
      </c>
      <c r="E11" s="100">
        <v>0.14000000000000001</v>
      </c>
    </row>
    <row r="12" spans="1:5">
      <c r="A12" s="100"/>
      <c r="B12" s="100"/>
      <c r="C12" s="100"/>
      <c r="D12" s="100"/>
      <c r="E12" s="100"/>
    </row>
    <row r="13" spans="1:5" ht="14.5" customHeight="1">
      <c r="A13" s="100" t="s">
        <v>1060</v>
      </c>
      <c r="B13" s="100">
        <v>2.5</v>
      </c>
      <c r="C13" s="100">
        <v>3.75</v>
      </c>
      <c r="D13" s="100">
        <v>3.75</v>
      </c>
      <c r="E13" s="100">
        <v>3.75</v>
      </c>
    </row>
    <row r="14" spans="1:5">
      <c r="A14" s="100"/>
      <c r="B14" s="100"/>
      <c r="C14" s="100"/>
      <c r="D14" s="100"/>
      <c r="E14" s="100"/>
    </row>
    <row r="15" spans="1:5">
      <c r="A15" s="101" t="s">
        <v>326</v>
      </c>
      <c r="B15" s="102">
        <v>4.2000000000000003E-2</v>
      </c>
      <c r="C15" s="102">
        <v>0.107</v>
      </c>
      <c r="D15" s="102">
        <v>0.154</v>
      </c>
      <c r="E15" s="102">
        <v>0.27300000000000002</v>
      </c>
    </row>
    <row r="16" spans="1:5">
      <c r="A16" s="101"/>
      <c r="B16" s="102"/>
      <c r="C16" s="102"/>
      <c r="D16" s="102"/>
      <c r="E16" s="102"/>
    </row>
    <row r="17" spans="1:5">
      <c r="A17" s="101" t="s">
        <v>352</v>
      </c>
      <c r="B17" s="102">
        <v>0.43</v>
      </c>
      <c r="C17" s="102">
        <v>0.4</v>
      </c>
      <c r="D17" s="102">
        <v>0.374</v>
      </c>
      <c r="E17" s="102">
        <v>0.316</v>
      </c>
    </row>
    <row r="18" spans="1:5">
      <c r="A18" s="101"/>
      <c r="B18" s="102"/>
      <c r="C18" s="102"/>
      <c r="D18" s="102"/>
      <c r="E18" s="102"/>
    </row>
    <row r="19" spans="1:5">
      <c r="A19" s="101" t="s">
        <v>368</v>
      </c>
      <c r="B19" s="102">
        <v>0.34300000000000003</v>
      </c>
      <c r="C19" s="102">
        <v>0.317</v>
      </c>
      <c r="D19" s="102">
        <v>0.29799999999999999</v>
      </c>
      <c r="E19" s="102">
        <v>0.252</v>
      </c>
    </row>
    <row r="20" spans="1:5">
      <c r="A20" s="101"/>
      <c r="B20" s="102"/>
      <c r="C20" s="102"/>
      <c r="D20" s="102"/>
      <c r="E20" s="102"/>
    </row>
    <row r="21" spans="1:5">
      <c r="A21" s="101" t="s">
        <v>821</v>
      </c>
      <c r="B21" s="102">
        <v>2.7E-2</v>
      </c>
      <c r="C21" s="102">
        <v>2.5000000000000001E-2</v>
      </c>
      <c r="D21" s="102">
        <v>2.3E-2</v>
      </c>
      <c r="E21" s="101" t="s">
        <v>1059</v>
      </c>
    </row>
    <row r="22" spans="1:5">
      <c r="A22" s="101"/>
      <c r="B22" s="102"/>
      <c r="C22" s="102"/>
      <c r="D22" s="102"/>
      <c r="E22" s="101"/>
    </row>
    <row r="23" spans="1:5">
      <c r="A23" s="101" t="s">
        <v>822</v>
      </c>
      <c r="B23" s="102">
        <v>3.2000000000000002E-3</v>
      </c>
      <c r="C23" s="102">
        <v>3.0000000000000001E-3</v>
      </c>
      <c r="D23" s="102">
        <v>2.8E-3</v>
      </c>
      <c r="E23" s="102">
        <v>2.3999999999999998E-3</v>
      </c>
    </row>
    <row r="24" spans="1:5">
      <c r="A24" s="101"/>
      <c r="B24" s="102"/>
      <c r="C24" s="102"/>
      <c r="D24" s="102"/>
      <c r="E24" s="102"/>
    </row>
    <row r="25" spans="1:5">
      <c r="A25" s="101" t="s">
        <v>284</v>
      </c>
      <c r="B25" s="102">
        <v>1.6000000000000001E-3</v>
      </c>
      <c r="C25" s="102">
        <v>1.5E-3</v>
      </c>
      <c r="D25" s="102">
        <v>1.4E-3</v>
      </c>
      <c r="E25" s="102">
        <v>1.1999999999999999E-3</v>
      </c>
    </row>
    <row r="26" spans="1:5">
      <c r="A26" s="101"/>
      <c r="B26" s="102"/>
      <c r="C26" s="102"/>
      <c r="D26" s="102"/>
      <c r="E26" s="102"/>
    </row>
    <row r="27" spans="1:5">
      <c r="A27" s="101" t="s">
        <v>516</v>
      </c>
      <c r="B27" s="102">
        <v>4.8000000000000001E-2</v>
      </c>
      <c r="C27" s="102">
        <v>4.8000000000000001E-2</v>
      </c>
      <c r="D27" s="102">
        <v>4.8000000000000001E-2</v>
      </c>
      <c r="E27" s="102">
        <v>4.8000000000000001E-2</v>
      </c>
    </row>
    <row r="28" spans="1:5">
      <c r="A28" s="101"/>
      <c r="B28" s="102"/>
      <c r="C28" s="102"/>
      <c r="D28" s="102"/>
      <c r="E28" s="102"/>
    </row>
    <row r="29" spans="1:5">
      <c r="A29" s="101" t="s">
        <v>529</v>
      </c>
      <c r="B29" s="102">
        <v>4.1000000000000002E-2</v>
      </c>
      <c r="C29" s="102">
        <v>4.1000000000000002E-2</v>
      </c>
      <c r="D29" s="102">
        <v>4.1000000000000002E-2</v>
      </c>
      <c r="E29" s="102">
        <v>4.1000000000000002E-2</v>
      </c>
    </row>
    <row r="30" spans="1:5">
      <c r="A30" s="101"/>
      <c r="B30" s="102"/>
      <c r="C30" s="102"/>
      <c r="D30" s="102"/>
      <c r="E30" s="102"/>
    </row>
    <row r="31" spans="1:5">
      <c r="A31" s="101" t="s">
        <v>410</v>
      </c>
      <c r="B31" s="102">
        <v>4.8000000000000001E-2</v>
      </c>
      <c r="C31" s="102">
        <v>4.5999999999999999E-2</v>
      </c>
      <c r="D31" s="102">
        <v>4.3999999999999997E-2</v>
      </c>
      <c r="E31" s="102">
        <v>3.3000000000000002E-2</v>
      </c>
    </row>
    <row r="32" spans="1:5">
      <c r="A32" s="101"/>
      <c r="B32" s="102"/>
      <c r="C32" s="102"/>
      <c r="D32" s="102"/>
      <c r="E32" s="102"/>
    </row>
    <row r="33" spans="1:5">
      <c r="A33" s="101" t="s">
        <v>552</v>
      </c>
      <c r="B33" s="102">
        <v>1.2999999999999999E-2</v>
      </c>
      <c r="C33" s="102">
        <v>1.2999999999999999E-2</v>
      </c>
      <c r="D33" s="102">
        <v>1.2999999999999999E-2</v>
      </c>
      <c r="E33" s="102">
        <v>1.2999999999999999E-2</v>
      </c>
    </row>
    <row r="34" spans="1:5">
      <c r="A34" s="101"/>
      <c r="B34" s="102"/>
      <c r="C34" s="102"/>
      <c r="D34" s="102"/>
      <c r="E34" s="102"/>
    </row>
    <row r="35" spans="1:5">
      <c r="A35" s="101" t="s">
        <v>365</v>
      </c>
      <c r="B35" s="102">
        <v>2.0999999999999999E-3</v>
      </c>
      <c r="C35" s="102">
        <v>5.0000000000000001E-4</v>
      </c>
      <c r="D35" s="102">
        <v>5.0000000000000001E-4</v>
      </c>
      <c r="E35" s="102">
        <v>4.0000000000000002E-4</v>
      </c>
    </row>
    <row r="36" spans="1:5">
      <c r="A36" s="101"/>
      <c r="B36" s="102"/>
      <c r="C36" s="102"/>
      <c r="D36" s="102"/>
      <c r="E36" s="102"/>
    </row>
    <row r="37" spans="1:5">
      <c r="A37" s="101" t="s">
        <v>507</v>
      </c>
      <c r="B37" s="102">
        <v>5.0000000000000001E-4</v>
      </c>
      <c r="C37" s="102">
        <v>5.0000000000000001E-4</v>
      </c>
      <c r="D37" s="102">
        <v>5.0000000000000001E-4</v>
      </c>
      <c r="E37" s="102">
        <v>5.0000000000000001E-4</v>
      </c>
    </row>
    <row r="38" spans="1:5">
      <c r="A38" s="101"/>
      <c r="B38" s="102"/>
      <c r="C38" s="102"/>
      <c r="D38" s="102"/>
      <c r="E38" s="102"/>
    </row>
    <row r="39" spans="1:5">
      <c r="A39" s="101" t="s">
        <v>419</v>
      </c>
      <c r="B39" s="102">
        <v>1E-4</v>
      </c>
      <c r="C39" s="102">
        <v>1E-4</v>
      </c>
      <c r="D39" s="102">
        <v>1E-4</v>
      </c>
      <c r="E39" s="102">
        <v>1E-4</v>
      </c>
    </row>
    <row r="40" spans="1:5">
      <c r="A40" s="101"/>
      <c r="B40" s="102"/>
      <c r="C40" s="102"/>
      <c r="D40" s="102"/>
      <c r="E40" s="102"/>
    </row>
  </sheetData>
  <mergeCells count="100">
    <mergeCell ref="A3:A4"/>
    <mergeCell ref="B3:B4"/>
    <mergeCell ref="C3:C4"/>
    <mergeCell ref="D3:D4"/>
    <mergeCell ref="E3:E4"/>
    <mergeCell ref="A1:A2"/>
    <mergeCell ref="B1:B2"/>
    <mergeCell ref="C1:C2"/>
    <mergeCell ref="D1:D2"/>
    <mergeCell ref="E1:E2"/>
    <mergeCell ref="A7:A8"/>
    <mergeCell ref="B7:B8"/>
    <mergeCell ref="C7:C8"/>
    <mergeCell ref="D7:D8"/>
    <mergeCell ref="E7:E8"/>
    <mergeCell ref="A5:A6"/>
    <mergeCell ref="B5:B6"/>
    <mergeCell ref="C5:C6"/>
    <mergeCell ref="D5:D6"/>
    <mergeCell ref="E5:E6"/>
    <mergeCell ref="A11:A12"/>
    <mergeCell ref="B11:B12"/>
    <mergeCell ref="C11:C12"/>
    <mergeCell ref="D11:D12"/>
    <mergeCell ref="E11:E12"/>
    <mergeCell ref="A9:A10"/>
    <mergeCell ref="B9:B10"/>
    <mergeCell ref="C9:C10"/>
    <mergeCell ref="D9:D10"/>
    <mergeCell ref="E9:E10"/>
    <mergeCell ref="A17:A18"/>
    <mergeCell ref="B17:B18"/>
    <mergeCell ref="C17:C18"/>
    <mergeCell ref="D17:D18"/>
    <mergeCell ref="E17:E18"/>
    <mergeCell ref="A21:A22"/>
    <mergeCell ref="B21:B22"/>
    <mergeCell ref="C21:C22"/>
    <mergeCell ref="D21:D22"/>
    <mergeCell ref="E21:E22"/>
    <mergeCell ref="A19:A20"/>
    <mergeCell ref="B19:B20"/>
    <mergeCell ref="C19:C20"/>
    <mergeCell ref="D19:D20"/>
    <mergeCell ref="E19:E20"/>
    <mergeCell ref="A25:A26"/>
    <mergeCell ref="B25:B26"/>
    <mergeCell ref="C25:C26"/>
    <mergeCell ref="D25:D26"/>
    <mergeCell ref="E25:E26"/>
    <mergeCell ref="A23:A24"/>
    <mergeCell ref="B23:B24"/>
    <mergeCell ref="C23:C24"/>
    <mergeCell ref="D23:D24"/>
    <mergeCell ref="E23:E24"/>
    <mergeCell ref="A29:A30"/>
    <mergeCell ref="B29:B30"/>
    <mergeCell ref="C29:C30"/>
    <mergeCell ref="D29:D30"/>
    <mergeCell ref="E29:E30"/>
    <mergeCell ref="A27:A28"/>
    <mergeCell ref="B27:B28"/>
    <mergeCell ref="C27:C28"/>
    <mergeCell ref="D27:D28"/>
    <mergeCell ref="E27:E28"/>
    <mergeCell ref="A33:A34"/>
    <mergeCell ref="B33:B34"/>
    <mergeCell ref="C33:C34"/>
    <mergeCell ref="D33:D34"/>
    <mergeCell ref="E33:E34"/>
    <mergeCell ref="A31:A32"/>
    <mergeCell ref="B31:B32"/>
    <mergeCell ref="C31:C32"/>
    <mergeCell ref="D31:D32"/>
    <mergeCell ref="E31:E32"/>
    <mergeCell ref="A37:A38"/>
    <mergeCell ref="B37:B38"/>
    <mergeCell ref="C37:C38"/>
    <mergeCell ref="D37:D38"/>
    <mergeCell ref="E37:E38"/>
    <mergeCell ref="A35:A36"/>
    <mergeCell ref="B35:B36"/>
    <mergeCell ref="C35:C36"/>
    <mergeCell ref="D35:D36"/>
    <mergeCell ref="E35:E36"/>
    <mergeCell ref="A39:A40"/>
    <mergeCell ref="B39:B40"/>
    <mergeCell ref="C39:C40"/>
    <mergeCell ref="D39:D40"/>
    <mergeCell ref="E39:E40"/>
    <mergeCell ref="B13:B14"/>
    <mergeCell ref="C13:C14"/>
    <mergeCell ref="D13:D14"/>
    <mergeCell ref="E13:E14"/>
    <mergeCell ref="A15:A16"/>
    <mergeCell ref="B15:B16"/>
    <mergeCell ref="C15:C16"/>
    <mergeCell ref="D15:D16"/>
    <mergeCell ref="E15:E16"/>
    <mergeCell ref="A13:A14"/>
  </mergeCell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B6333-1694-4406-8825-266C72664CF3}">
  <dimension ref="A1:E24"/>
  <sheetViews>
    <sheetView workbookViewId="0">
      <selection activeCell="L11" sqref="L11"/>
    </sheetView>
  </sheetViews>
  <sheetFormatPr baseColWidth="10" defaultColWidth="9.1796875" defaultRowHeight="14.5"/>
  <sheetData>
    <row r="1" spans="1:5" ht="14.5" customHeight="1">
      <c r="A1" s="100" t="s">
        <v>1047</v>
      </c>
      <c r="B1" s="100" t="s">
        <v>849</v>
      </c>
      <c r="C1" s="100" t="s">
        <v>638</v>
      </c>
      <c r="D1" s="100" t="s">
        <v>263</v>
      </c>
      <c r="E1" s="100" t="s">
        <v>563</v>
      </c>
    </row>
    <row r="2" spans="1:5">
      <c r="A2" s="100"/>
      <c r="B2" s="100"/>
      <c r="C2" s="100"/>
      <c r="D2" s="100"/>
      <c r="E2" s="100"/>
    </row>
    <row r="3" spans="1:5">
      <c r="A3" s="100" t="s">
        <v>507</v>
      </c>
      <c r="B3" s="100">
        <v>300</v>
      </c>
      <c r="C3" s="100" t="s">
        <v>506</v>
      </c>
      <c r="D3" s="100"/>
      <c r="E3" s="100"/>
    </row>
    <row r="4" spans="1:5">
      <c r="A4" s="100"/>
      <c r="B4" s="100"/>
      <c r="C4" s="100"/>
      <c r="D4" s="100"/>
      <c r="E4" s="100"/>
    </row>
    <row r="5" spans="1:5" ht="28.9" customHeight="1">
      <c r="A5" s="100" t="s">
        <v>812</v>
      </c>
      <c r="B5" s="100">
        <v>60</v>
      </c>
      <c r="C5" s="100" t="s">
        <v>823</v>
      </c>
      <c r="D5" s="100" t="s">
        <v>824</v>
      </c>
      <c r="E5" s="100"/>
    </row>
    <row r="6" spans="1:5">
      <c r="A6" s="100"/>
      <c r="B6" s="100"/>
      <c r="C6" s="100"/>
      <c r="D6" s="100"/>
      <c r="E6" s="100"/>
    </row>
    <row r="7" spans="1:5" ht="100.9" customHeight="1">
      <c r="A7" s="100" t="s">
        <v>813</v>
      </c>
      <c r="B7" s="100">
        <v>180</v>
      </c>
      <c r="C7" s="100" t="s">
        <v>816</v>
      </c>
      <c r="D7" s="100" t="s">
        <v>817</v>
      </c>
      <c r="E7" s="100" t="s">
        <v>819</v>
      </c>
    </row>
    <row r="8" spans="1:5">
      <c r="A8" s="100"/>
      <c r="B8" s="100"/>
      <c r="C8" s="100"/>
      <c r="D8" s="100"/>
      <c r="E8" s="100"/>
    </row>
    <row r="9" spans="1:5" ht="144" customHeight="1">
      <c r="A9" s="100" t="s">
        <v>811</v>
      </c>
      <c r="B9" s="100">
        <v>696</v>
      </c>
      <c r="C9" s="100" t="s">
        <v>827</v>
      </c>
      <c r="D9" s="100" t="s">
        <v>828</v>
      </c>
      <c r="E9" s="100" t="s">
        <v>829</v>
      </c>
    </row>
    <row r="10" spans="1:5">
      <c r="A10" s="100"/>
      <c r="B10" s="100"/>
      <c r="C10" s="100"/>
      <c r="D10" s="100"/>
      <c r="E10" s="100"/>
    </row>
    <row r="11" spans="1:5" ht="172.9" customHeight="1">
      <c r="A11" s="100" t="s">
        <v>830</v>
      </c>
      <c r="B11" s="100">
        <v>30</v>
      </c>
      <c r="C11" s="100" t="s">
        <v>835</v>
      </c>
      <c r="D11" s="100" t="s">
        <v>837</v>
      </c>
      <c r="E11" s="100" t="s">
        <v>1048</v>
      </c>
    </row>
    <row r="12" spans="1:5">
      <c r="A12" s="100"/>
      <c r="B12" s="100"/>
      <c r="C12" s="100"/>
      <c r="D12" s="100"/>
      <c r="E12" s="100"/>
    </row>
    <row r="13" spans="1:5" ht="187.15" customHeight="1">
      <c r="A13" s="100" t="s">
        <v>831</v>
      </c>
      <c r="B13" s="100">
        <v>30</v>
      </c>
      <c r="C13" s="100" t="s">
        <v>841</v>
      </c>
      <c r="D13" s="100"/>
      <c r="E13" s="100" t="s">
        <v>1049</v>
      </c>
    </row>
    <row r="14" spans="1:5">
      <c r="A14" s="100"/>
      <c r="B14" s="100"/>
      <c r="C14" s="100"/>
      <c r="D14" s="100"/>
      <c r="E14" s="100"/>
    </row>
    <row r="15" spans="1:5" ht="72" customHeight="1">
      <c r="A15" s="100" t="s">
        <v>832</v>
      </c>
      <c r="B15" s="100">
        <v>30</v>
      </c>
      <c r="C15" s="100" t="s">
        <v>842</v>
      </c>
      <c r="D15" s="100"/>
      <c r="E15" s="100" t="s">
        <v>843</v>
      </c>
    </row>
    <row r="16" spans="1:5">
      <c r="A16" s="100"/>
      <c r="B16" s="100"/>
      <c r="C16" s="100"/>
      <c r="D16" s="100"/>
      <c r="E16" s="100"/>
    </row>
    <row r="17" spans="1:5" ht="57.65" customHeight="1">
      <c r="A17" s="100" t="s">
        <v>814</v>
      </c>
      <c r="B17" s="100">
        <v>90</v>
      </c>
      <c r="C17" s="100" t="s">
        <v>1045</v>
      </c>
      <c r="D17" s="100" t="s">
        <v>1046</v>
      </c>
      <c r="E17" s="100" t="s">
        <v>845</v>
      </c>
    </row>
    <row r="18" spans="1:5">
      <c r="A18" s="100"/>
      <c r="B18" s="100"/>
      <c r="C18" s="100"/>
      <c r="D18" s="100"/>
      <c r="E18" s="100"/>
    </row>
    <row r="19" spans="1:5" ht="28.9" customHeight="1">
      <c r="A19" s="100" t="s">
        <v>815</v>
      </c>
      <c r="B19" s="100">
        <v>30</v>
      </c>
      <c r="C19" s="100" t="s">
        <v>1050</v>
      </c>
      <c r="D19" s="100" t="s">
        <v>833</v>
      </c>
      <c r="E19" s="100"/>
    </row>
    <row r="20" spans="1:5">
      <c r="A20" s="100"/>
      <c r="B20" s="100"/>
      <c r="C20" s="100"/>
      <c r="D20" s="100"/>
      <c r="E20" s="100"/>
    </row>
    <row r="21" spans="1:5" ht="14.5" customHeight="1">
      <c r="A21" s="100" t="s">
        <v>797</v>
      </c>
      <c r="B21" s="100">
        <v>735</v>
      </c>
      <c r="C21" s="100" t="s">
        <v>1051</v>
      </c>
      <c r="D21" s="100" t="s">
        <v>797</v>
      </c>
      <c r="E21" s="100"/>
    </row>
    <row r="22" spans="1:5">
      <c r="A22" s="100"/>
      <c r="B22" s="100"/>
      <c r="C22" s="100"/>
      <c r="D22" s="100"/>
      <c r="E22" s="100"/>
    </row>
    <row r="23" spans="1:5" ht="86.5" customHeight="1">
      <c r="A23" s="100" t="s">
        <v>434</v>
      </c>
      <c r="B23" s="100">
        <v>699</v>
      </c>
      <c r="C23" s="100" t="s">
        <v>846</v>
      </c>
      <c r="D23" s="100" t="s">
        <v>1052</v>
      </c>
      <c r="E23" s="100" t="s">
        <v>847</v>
      </c>
    </row>
    <row r="24" spans="1:5">
      <c r="A24" s="100"/>
      <c r="B24" s="100"/>
      <c r="C24" s="100"/>
      <c r="D24" s="100"/>
      <c r="E24" s="100"/>
    </row>
  </sheetData>
  <mergeCells count="60">
    <mergeCell ref="A21:A22"/>
    <mergeCell ref="B21:B22"/>
    <mergeCell ref="C21:C22"/>
    <mergeCell ref="D21:D22"/>
    <mergeCell ref="E21:E22"/>
    <mergeCell ref="A23:A24"/>
    <mergeCell ref="B23:B24"/>
    <mergeCell ref="C23:C24"/>
    <mergeCell ref="D23:D24"/>
    <mergeCell ref="E23:E24"/>
    <mergeCell ref="A17:A18"/>
    <mergeCell ref="B17:B18"/>
    <mergeCell ref="C17:C18"/>
    <mergeCell ref="D17:D18"/>
    <mergeCell ref="E17:E18"/>
    <mergeCell ref="A19:A20"/>
    <mergeCell ref="B19:B20"/>
    <mergeCell ref="C19:C20"/>
    <mergeCell ref="D19:D20"/>
    <mergeCell ref="E19:E20"/>
    <mergeCell ref="A13:A14"/>
    <mergeCell ref="B13:B14"/>
    <mergeCell ref="C13:C14"/>
    <mergeCell ref="D13:D14"/>
    <mergeCell ref="E13:E14"/>
    <mergeCell ref="A15:A16"/>
    <mergeCell ref="B15:B16"/>
    <mergeCell ref="C15:C16"/>
    <mergeCell ref="D15:D16"/>
    <mergeCell ref="E15:E16"/>
    <mergeCell ref="A9:A10"/>
    <mergeCell ref="B9:B10"/>
    <mergeCell ref="C9:C10"/>
    <mergeCell ref="D9:D10"/>
    <mergeCell ref="E9:E10"/>
    <mergeCell ref="A11:A12"/>
    <mergeCell ref="B11:B12"/>
    <mergeCell ref="C11:C12"/>
    <mergeCell ref="D11:D12"/>
    <mergeCell ref="E11:E12"/>
    <mergeCell ref="A5:A6"/>
    <mergeCell ref="B5:B6"/>
    <mergeCell ref="C5:C6"/>
    <mergeCell ref="D5:D6"/>
    <mergeCell ref="E5:E6"/>
    <mergeCell ref="A7:A8"/>
    <mergeCell ref="B7:B8"/>
    <mergeCell ref="C7:C8"/>
    <mergeCell ref="D7:D8"/>
    <mergeCell ref="E7:E8"/>
    <mergeCell ref="A1:A2"/>
    <mergeCell ref="B1:B2"/>
    <mergeCell ref="C1:C2"/>
    <mergeCell ref="D1:D2"/>
    <mergeCell ref="E1:E2"/>
    <mergeCell ref="A3:A4"/>
    <mergeCell ref="B3:B4"/>
    <mergeCell ref="C3:C4"/>
    <mergeCell ref="D3:D4"/>
    <mergeCell ref="E3:E4"/>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D02DBA11-9D70-4786-AF98-F0170B7F57CF}">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24</vt:i4>
      </vt:variant>
    </vt:vector>
  </HeadingPairs>
  <TitlesOfParts>
    <vt:vector size="24" baseType="lpstr">
      <vt:lpstr>disposal</vt:lpstr>
      <vt:lpstr>dmg_causes</vt:lpstr>
      <vt:lpstr>defects</vt:lpstr>
      <vt:lpstr>lifetime</vt:lpstr>
      <vt:lpstr>lifetime_months</vt:lpstr>
      <vt:lpstr>purchase_criteria</vt:lpstr>
      <vt:lpstr>repair</vt:lpstr>
      <vt:lpstr>transport</vt:lpstr>
      <vt:lpstr>designs</vt:lpstr>
      <vt:lpstr>defects_new</vt:lpstr>
      <vt:lpstr>product_calc</vt:lpstr>
      <vt:lpstr>product_data</vt:lpstr>
      <vt:lpstr>components_calc</vt:lpstr>
      <vt:lpstr>design_options</vt:lpstr>
      <vt:lpstr>conversion</vt:lpstr>
      <vt:lpstr>processes_data</vt:lpstr>
      <vt:lpstr>components_data</vt:lpstr>
      <vt:lpstr>material_elements</vt:lpstr>
      <vt:lpstr>recycling_routes</vt:lpstr>
      <vt:lpstr>routes_params</vt:lpstr>
      <vt:lpstr>BoM</vt:lpstr>
      <vt:lpstr>material_composition</vt:lpstr>
      <vt:lpstr>pcb</vt:lpstr>
      <vt:lpstr>amoled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TU-Pseudonym 2728394425284875</cp:lastModifiedBy>
  <dcterms:created xsi:type="dcterms:W3CDTF">2022-04-22T19:49:19Z</dcterms:created>
  <dcterms:modified xsi:type="dcterms:W3CDTF">2024-02-05T10:28:42Z</dcterms:modified>
</cp:coreProperties>
</file>