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C:\Users\lesli\Documents\Publishing\Articles for Publishing\"/>
    </mc:Choice>
  </mc:AlternateContent>
  <xr:revisionPtr revIDLastSave="0" documentId="13_ncr:1_{6EF8D2E8-26AD-41AE-80D9-3110294496C8}" xr6:coauthVersionLast="47" xr6:coauthVersionMax="47" xr10:uidLastSave="{00000000-0000-0000-0000-000000000000}"/>
  <bookViews>
    <workbookView xWindow="4410" yWindow="195" windowWidth="24900" windowHeight="14655" tabRatio="865" xr2:uid="{00000000-000D-0000-FFFF-FFFF00000000}"/>
  </bookViews>
  <sheets>
    <sheet name="a) Tax-freeProfits" sheetId="5" r:id="rId1"/>
    <sheet name="b) ApplesToApples" sheetId="21" r:id="rId2"/>
    <sheet name="c) ChangeTaxRates" sheetId="7" r:id="rId3"/>
    <sheet name="d) Higher MER" sheetId="14" r:id="rId4"/>
    <sheet name="e) Company Match" sheetId="19" r:id="rId5"/>
    <sheet name="f) Time Matters" sheetId="1" r:id="rId6"/>
    <sheet name="g) CumulativeBenefit" sheetId="3" r:id="rId7"/>
    <sheet name="h) NonDeductible" sheetId="13" r:id="rId8"/>
    <sheet name="i) UK pension" sheetId="15" r:id="rId9"/>
    <sheet name="j) Biden" sheetId="18" r:id="rId10"/>
  </sheets>
  <definedNames>
    <definedName name="lookup">'h) NonDeductible'!$B$51:$P$91</definedName>
  </definedNames>
  <calcPr calcId="191029"/>
</workbook>
</file>

<file path=xl/calcChain.xml><?xml version="1.0" encoding="utf-8"?>
<calcChain xmlns="http://schemas.openxmlformats.org/spreadsheetml/2006/main">
  <c r="AS59" i="21" l="1"/>
  <c r="AS58" i="21"/>
  <c r="AS57" i="21"/>
  <c r="AS56" i="21"/>
  <c r="AT13" i="21" s="1"/>
  <c r="AS55" i="21"/>
  <c r="AZ58" i="21" l="1"/>
  <c r="AT14" i="21"/>
  <c r="AT15" i="21" s="1"/>
  <c r="AU16" i="21" s="1"/>
  <c r="AW16" i="21" s="1"/>
  <c r="AZ57" i="21"/>
  <c r="AZ56" i="21"/>
  <c r="AU17" i="21" l="1"/>
  <c r="AU18" i="21" s="1"/>
  <c r="AW17" i="21" l="1"/>
  <c r="AU19" i="21"/>
  <c r="AW19" i="21" s="1"/>
  <c r="AW18" i="21"/>
  <c r="AU20" i="21" l="1"/>
  <c r="AW20" i="21"/>
  <c r="AY20" i="21" l="1"/>
  <c r="AE60" i="21" l="1"/>
  <c r="AE59" i="21"/>
  <c r="AE58" i="21"/>
  <c r="AE57" i="21"/>
  <c r="AJ14" i="21" s="1"/>
  <c r="AE56" i="21"/>
  <c r="Q59" i="21"/>
  <c r="S31" i="21" s="1"/>
  <c r="Q58" i="21"/>
  <c r="Q57" i="21"/>
  <c r="Q56" i="21"/>
  <c r="Q55" i="21"/>
  <c r="R28" i="21" s="1"/>
  <c r="G10" i="5"/>
  <c r="G19" i="5"/>
  <c r="I46" i="21"/>
  <c r="I45" i="21"/>
  <c r="G19" i="21" s="1"/>
  <c r="I44" i="21"/>
  <c r="F27" i="21"/>
  <c r="E23" i="21"/>
  <c r="M19" i="21"/>
  <c r="K19" i="21"/>
  <c r="I19" i="21"/>
  <c r="E15" i="21"/>
  <c r="M14" i="21"/>
  <c r="M15" i="21" s="1"/>
  <c r="I14" i="21"/>
  <c r="G14" i="21"/>
  <c r="G15" i="21" s="1"/>
  <c r="M20" i="14"/>
  <c r="M25" i="14"/>
  <c r="M26" i="14"/>
  <c r="I26" i="14"/>
  <c r="M16" i="14"/>
  <c r="I16" i="14"/>
  <c r="G16" i="14"/>
  <c r="I34" i="19"/>
  <c r="M13" i="19" s="1"/>
  <c r="I33" i="19"/>
  <c r="G13" i="19" s="1"/>
  <c r="I32" i="19"/>
  <c r="G17" i="19" s="1"/>
  <c r="F21" i="19"/>
  <c r="E17" i="19"/>
  <c r="K13" i="19"/>
  <c r="I13" i="19"/>
  <c r="E9" i="19"/>
  <c r="I8" i="19"/>
  <c r="I9" i="19" s="1"/>
  <c r="G8" i="19"/>
  <c r="G9" i="19" s="1"/>
  <c r="AF28" i="21" l="1"/>
  <c r="V57" i="21"/>
  <c r="T23" i="21" s="1"/>
  <c r="AN14" i="21"/>
  <c r="AN17" i="21" s="1"/>
  <c r="AN19" i="21" s="1"/>
  <c r="AJ58" i="21"/>
  <c r="AH23" i="21" s="1"/>
  <c r="V56" i="21"/>
  <c r="AL23" i="21"/>
  <c r="AJ23" i="21"/>
  <c r="AN23" i="21"/>
  <c r="V23" i="21"/>
  <c r="V58" i="21"/>
  <c r="AH14" i="21"/>
  <c r="AH15" i="21" s="1"/>
  <c r="AJ59" i="21"/>
  <c r="AG31" i="21"/>
  <c r="AJ57" i="21"/>
  <c r="AJ15" i="21"/>
  <c r="AJ17" i="21" s="1"/>
  <c r="AJ28" i="21" s="1"/>
  <c r="AJ25" i="21" s="1"/>
  <c r="X23" i="21"/>
  <c r="Z23" i="21"/>
  <c r="AJ36" i="21"/>
  <c r="AJ37" i="21" s="1"/>
  <c r="Z36" i="21"/>
  <c r="Z37" i="21" s="1"/>
  <c r="AN36" i="21"/>
  <c r="AN37" i="21" s="1"/>
  <c r="T17" i="21"/>
  <c r="V17" i="21"/>
  <c r="G17" i="21"/>
  <c r="G23" i="21" s="1"/>
  <c r="G21" i="21" s="1"/>
  <c r="Z17" i="21"/>
  <c r="Z28" i="21" s="1"/>
  <c r="I32" i="21"/>
  <c r="I33" i="21" s="1"/>
  <c r="V36" i="21"/>
  <c r="V37" i="21" s="1"/>
  <c r="I15" i="21"/>
  <c r="I17" i="21" s="1"/>
  <c r="I23" i="21" s="1"/>
  <c r="M16" i="21"/>
  <c r="M17" i="21" s="1"/>
  <c r="M32" i="21"/>
  <c r="M33" i="21" s="1"/>
  <c r="M8" i="19"/>
  <c r="M9" i="19" s="1"/>
  <c r="M10" i="19" s="1"/>
  <c r="I17" i="19"/>
  <c r="I11" i="19"/>
  <c r="G11" i="19"/>
  <c r="AN28" i="21" l="1"/>
  <c r="AN25" i="21" s="1"/>
  <c r="AN21" i="21"/>
  <c r="Z19" i="21"/>
  <c r="V28" i="21"/>
  <c r="V32" i="21" s="1"/>
  <c r="T28" i="21"/>
  <c r="AH17" i="21"/>
  <c r="AJ32" i="21"/>
  <c r="AN31" i="21"/>
  <c r="AN32" i="21" s="1"/>
  <c r="X17" i="21"/>
  <c r="X28" i="21" s="1"/>
  <c r="X25" i="21" s="1"/>
  <c r="G28" i="21"/>
  <c r="I28" i="21"/>
  <c r="I21" i="21"/>
  <c r="K17" i="21"/>
  <c r="K23" i="21" s="1"/>
  <c r="K21" i="21" s="1"/>
  <c r="M11" i="19"/>
  <c r="M17" i="19" s="1"/>
  <c r="M15" i="19" s="1"/>
  <c r="G22" i="19"/>
  <c r="G15" i="19"/>
  <c r="I22" i="19"/>
  <c r="I15" i="19"/>
  <c r="AH28" i="21" l="1"/>
  <c r="AH25" i="21" s="1"/>
  <c r="T25" i="21"/>
  <c r="T32" i="21"/>
  <c r="Z20" i="21"/>
  <c r="Z21" i="21" s="1"/>
  <c r="V25" i="21"/>
  <c r="Z25" i="21" s="1"/>
  <c r="M21" i="21"/>
  <c r="Z31" i="21"/>
  <c r="M23" i="21"/>
  <c r="M27" i="21" s="1"/>
  <c r="M26" i="21" s="1"/>
  <c r="I25" i="19"/>
  <c r="K11" i="19"/>
  <c r="K17" i="19" s="1"/>
  <c r="K15" i="19" s="1"/>
  <c r="AH32" i="21" l="1"/>
  <c r="Z32" i="21"/>
  <c r="M28" i="21"/>
  <c r="M21" i="19"/>
  <c r="M20" i="19" s="1"/>
  <c r="M22" i="19" l="1"/>
  <c r="M25" i="19" s="1"/>
  <c r="T38" i="7" l="1"/>
  <c r="T37" i="7"/>
  <c r="T36" i="7"/>
  <c r="T35" i="7"/>
  <c r="Y34" i="7"/>
  <c r="V21" i="7" s="1"/>
  <c r="T34" i="7"/>
  <c r="U17" i="7"/>
  <c r="Y13" i="7"/>
  <c r="W9" i="7" l="1"/>
  <c r="Y37" i="7"/>
  <c r="W8" i="7"/>
  <c r="Y35" i="7"/>
  <c r="AC8" i="7"/>
  <c r="AA13" i="7"/>
  <c r="Y36" i="7"/>
  <c r="W13" i="7" s="1"/>
  <c r="AC13" i="7"/>
  <c r="W11" i="7" l="1"/>
  <c r="W17" i="7" s="1"/>
  <c r="AC9" i="7"/>
  <c r="AC10" i="7" s="1"/>
  <c r="AA11" i="7" s="1"/>
  <c r="AA17" i="7" s="1"/>
  <c r="AA15" i="7" s="1"/>
  <c r="AC11" i="7" l="1"/>
  <c r="AC17" i="7" s="1"/>
  <c r="W15" i="7"/>
  <c r="W23" i="7"/>
  <c r="AC21" i="7" l="1"/>
  <c r="AC20" i="7" s="1"/>
  <c r="AC15" i="7"/>
  <c r="Y11" i="7"/>
  <c r="Y17" i="7" s="1"/>
  <c r="Y15" i="7" s="1"/>
  <c r="AC23" i="7" l="1"/>
  <c r="AC27" i="7" s="1"/>
  <c r="AC29" i="7" s="1"/>
  <c r="Y23" i="7"/>
  <c r="U30" i="18"/>
  <c r="W29" i="18"/>
  <c r="S29" i="18"/>
  <c r="U26" i="18"/>
  <c r="U25" i="18"/>
  <c r="S25" i="18"/>
  <c r="F23" i="18"/>
  <c r="F21" i="18"/>
  <c r="S19" i="18"/>
  <c r="F18" i="18"/>
  <c r="S16" i="18"/>
  <c r="AA13" i="18"/>
  <c r="Y13" i="18"/>
  <c r="W13" i="18"/>
  <c r="U9" i="18"/>
  <c r="Y9" i="18" s="1"/>
  <c r="S9" i="18"/>
  <c r="U8" i="18"/>
  <c r="H8" i="18"/>
  <c r="H7" i="18"/>
  <c r="W24" i="18" s="1"/>
  <c r="U11" i="18" l="1"/>
  <c r="U16" i="18" s="1"/>
  <c r="U14" i="18" s="1"/>
  <c r="Y24" i="18"/>
  <c r="AA24" i="18"/>
  <c r="W27" i="18"/>
  <c r="W9" i="18"/>
  <c r="U13" i="18"/>
  <c r="AA9" i="18"/>
  <c r="W8" i="18"/>
  <c r="Y8" i="18"/>
  <c r="AA8" i="18"/>
  <c r="U20" i="18" l="1"/>
  <c r="Y10" i="18"/>
  <c r="Y11" i="18" s="1"/>
  <c r="Y16" i="18" s="1"/>
  <c r="W11" i="18"/>
  <c r="W16" i="18" s="1"/>
  <c r="AA10" i="18"/>
  <c r="AA11" i="18" s="1"/>
  <c r="AA16" i="18" s="1"/>
  <c r="Y19" i="18" l="1"/>
  <c r="Y20" i="18" s="1"/>
  <c r="Y33" i="18" s="1"/>
  <c r="Y25" i="18"/>
  <c r="Y27" i="18" s="1"/>
  <c r="Y14" i="18"/>
  <c r="AA26" i="18"/>
  <c r="AA27" i="18" s="1"/>
  <c r="AA19" i="18"/>
  <c r="AA20" i="18" s="1"/>
  <c r="AA33" i="18" s="1"/>
  <c r="AA14" i="18"/>
  <c r="W14" i="18"/>
  <c r="W20" i="18"/>
  <c r="W33" i="18" s="1"/>
  <c r="G7" i="15" l="1"/>
  <c r="G8" i="15" s="1"/>
  <c r="G10" i="15" s="1"/>
  <c r="G16" i="15" s="1"/>
  <c r="I7" i="15"/>
  <c r="I8" i="15" s="1"/>
  <c r="I10" i="15" s="1"/>
  <c r="I16" i="15" s="1"/>
  <c r="M7" i="15"/>
  <c r="M8" i="15" s="1"/>
  <c r="M9" i="15" s="1"/>
  <c r="E8" i="15"/>
  <c r="I12" i="15"/>
  <c r="K12" i="15"/>
  <c r="M12" i="15"/>
  <c r="E16" i="15"/>
  <c r="F20" i="15"/>
  <c r="F21" i="15"/>
  <c r="I35" i="15"/>
  <c r="I36" i="15"/>
  <c r="I37" i="15"/>
  <c r="I35" i="14"/>
  <c r="G7" i="14"/>
  <c r="G8" i="14" s="1"/>
  <c r="G10" i="14" s="1"/>
  <c r="G14" i="14" s="1"/>
  <c r="I7" i="14"/>
  <c r="I8" i="14" s="1"/>
  <c r="I10" i="14" s="1"/>
  <c r="M7" i="14"/>
  <c r="M8" i="14" s="1"/>
  <c r="E8" i="14"/>
  <c r="I12" i="14"/>
  <c r="E16" i="14"/>
  <c r="F20" i="14"/>
  <c r="I33" i="14"/>
  <c r="I34" i="14"/>
  <c r="G12" i="14" s="1"/>
  <c r="I36" i="14"/>
  <c r="L10" i="13"/>
  <c r="W8" i="13"/>
  <c r="W9" i="13" s="1"/>
  <c r="W10" i="13" s="1"/>
  <c r="W11" i="13" s="1"/>
  <c r="W12" i="13" s="1"/>
  <c r="W13" i="13" s="1"/>
  <c r="W14" i="13" s="1"/>
  <c r="W15" i="13" s="1"/>
  <c r="W16" i="13" s="1"/>
  <c r="W17" i="13" s="1"/>
  <c r="W18" i="13" s="1"/>
  <c r="W19" i="13" s="1"/>
  <c r="W20" i="13" s="1"/>
  <c r="W21" i="13" s="1"/>
  <c r="W22" i="13" s="1"/>
  <c r="W23" i="13" s="1"/>
  <c r="W24" i="13" s="1"/>
  <c r="W25" i="13" s="1"/>
  <c r="W26" i="13" s="1"/>
  <c r="W27" i="13" s="1"/>
  <c r="W28" i="13" s="1"/>
  <c r="W29" i="13" s="1"/>
  <c r="W30" i="13" s="1"/>
  <c r="W31" i="13" s="1"/>
  <c r="W32" i="13" s="1"/>
  <c r="W33" i="13" s="1"/>
  <c r="W34" i="13" s="1"/>
  <c r="W35" i="13" s="1"/>
  <c r="W36" i="13" s="1"/>
  <c r="W37" i="13" s="1"/>
  <c r="W38" i="13" s="1"/>
  <c r="W39" i="13" s="1"/>
  <c r="W40" i="13" s="1"/>
  <c r="W41" i="13" s="1"/>
  <c r="W42" i="13" s="1"/>
  <c r="W43" i="13" s="1"/>
  <c r="W44" i="13" s="1"/>
  <c r="W45" i="13" s="1"/>
  <c r="W46" i="13" s="1"/>
  <c r="D22" i="13"/>
  <c r="J15" i="13"/>
  <c r="J10" i="13"/>
  <c r="H37" i="13"/>
  <c r="F15" i="13" s="1"/>
  <c r="H36" i="13"/>
  <c r="D19" i="13"/>
  <c r="H15" i="13"/>
  <c r="D11" i="13"/>
  <c r="H10" i="13"/>
  <c r="F10" i="13"/>
  <c r="F11" i="13" s="1"/>
  <c r="K12" i="14" l="1"/>
  <c r="M12" i="14"/>
  <c r="I26" i="15"/>
  <c r="I29" i="15" s="1"/>
  <c r="M26" i="15"/>
  <c r="G12" i="15"/>
  <c r="M10" i="15"/>
  <c r="K10" i="15" s="1"/>
  <c r="K16" i="15" s="1"/>
  <c r="K14" i="15" s="1"/>
  <c r="G14" i="15"/>
  <c r="G22" i="15"/>
  <c r="I22" i="15"/>
  <c r="I14" i="15"/>
  <c r="M9" i="14"/>
  <c r="I27" i="14"/>
  <c r="G21" i="14"/>
  <c r="I21" i="14"/>
  <c r="I14" i="14"/>
  <c r="L11" i="13"/>
  <c r="L12" i="13" s="1"/>
  <c r="AA46" i="13"/>
  <c r="AA8" i="13"/>
  <c r="Y21" i="13"/>
  <c r="Y29" i="13"/>
  <c r="Y31" i="13"/>
  <c r="Y37" i="13"/>
  <c r="Y7" i="13"/>
  <c r="Y39" i="13"/>
  <c r="Y13" i="13"/>
  <c r="Y45" i="13"/>
  <c r="Y15" i="13"/>
  <c r="AA13" i="13"/>
  <c r="Y23" i="13"/>
  <c r="AA21" i="13"/>
  <c r="AA15" i="13"/>
  <c r="AA23" i="13"/>
  <c r="AA31" i="13"/>
  <c r="AA39" i="13"/>
  <c r="Y8" i="13"/>
  <c r="Y16" i="13"/>
  <c r="Y24" i="13"/>
  <c r="Y32" i="13"/>
  <c r="Y40" i="13"/>
  <c r="AA7" i="13"/>
  <c r="AA16" i="13"/>
  <c r="AA24" i="13"/>
  <c r="AA32" i="13"/>
  <c r="AA40" i="13"/>
  <c r="Y25" i="13"/>
  <c r="AA9" i="13"/>
  <c r="AA25" i="13"/>
  <c r="AA33" i="13"/>
  <c r="Y10" i="13"/>
  <c r="Y18" i="13"/>
  <c r="Y26" i="13"/>
  <c r="Y34" i="13"/>
  <c r="Y42" i="13"/>
  <c r="AA10" i="13"/>
  <c r="AA18" i="13"/>
  <c r="AA26" i="13"/>
  <c r="AA34" i="13"/>
  <c r="AA42" i="13"/>
  <c r="Y17" i="13"/>
  <c r="Y33" i="13"/>
  <c r="Y41" i="13"/>
  <c r="AA17" i="13"/>
  <c r="AA41" i="13"/>
  <c r="Y11" i="13"/>
  <c r="Y19" i="13"/>
  <c r="Y27" i="13"/>
  <c r="Y35" i="13"/>
  <c r="Y43" i="13"/>
  <c r="AA11" i="13"/>
  <c r="AA19" i="13"/>
  <c r="AA27" i="13"/>
  <c r="AA35" i="13"/>
  <c r="AA43" i="13"/>
  <c r="Y9" i="13"/>
  <c r="Y12" i="13"/>
  <c r="Y20" i="13"/>
  <c r="Y28" i="13"/>
  <c r="Y36" i="13"/>
  <c r="Y44" i="13"/>
  <c r="AA12" i="13"/>
  <c r="AA20" i="13"/>
  <c r="AA28" i="13"/>
  <c r="AA36" i="13"/>
  <c r="AA44" i="13"/>
  <c r="AA29" i="13"/>
  <c r="AA37" i="13"/>
  <c r="AA45" i="13"/>
  <c r="Y14" i="13"/>
  <c r="Y22" i="13"/>
  <c r="Y30" i="13"/>
  <c r="Y38" i="13"/>
  <c r="Y46" i="13"/>
  <c r="AA14" i="13"/>
  <c r="AA22" i="13"/>
  <c r="AA30" i="13"/>
  <c r="AA38" i="13"/>
  <c r="H27" i="13"/>
  <c r="H30" i="13" s="1"/>
  <c r="J11" i="13"/>
  <c r="J13" i="13" s="1"/>
  <c r="J19" i="13" s="1"/>
  <c r="F13" i="13"/>
  <c r="F19" i="13" s="1"/>
  <c r="F23" i="13" s="1"/>
  <c r="H11" i="13"/>
  <c r="H13" i="13" s="1"/>
  <c r="H19" i="13" s="1"/>
  <c r="M10" i="14" l="1"/>
  <c r="M14" i="14" s="1"/>
  <c r="K10" i="14"/>
  <c r="K16" i="14" s="1"/>
  <c r="L13" i="13"/>
  <c r="L19" i="13" s="1"/>
  <c r="I41" i="14"/>
  <c r="I42" i="15"/>
  <c r="M14" i="15"/>
  <c r="M16" i="15"/>
  <c r="K14" i="14"/>
  <c r="J22" i="13"/>
  <c r="J23" i="13" s="1"/>
  <c r="J41" i="13" s="1"/>
  <c r="J17" i="13"/>
  <c r="F17" i="13"/>
  <c r="H17" i="13"/>
  <c r="H23" i="13"/>
  <c r="H41" i="13" s="1"/>
  <c r="L17" i="13" l="1"/>
  <c r="L22" i="13"/>
  <c r="L23" i="13" s="1"/>
  <c r="L41" i="13" s="1"/>
  <c r="M27" i="15"/>
  <c r="M28" i="15"/>
  <c r="M21" i="15"/>
  <c r="M20" i="15"/>
  <c r="M19" i="15" s="1"/>
  <c r="M21" i="14"/>
  <c r="M41" i="14" s="1"/>
  <c r="M27" i="14"/>
  <c r="J28" i="13"/>
  <c r="L28" i="13" s="1"/>
  <c r="J29" i="13"/>
  <c r="L29" i="13" s="1"/>
  <c r="M29" i="15" l="1"/>
  <c r="L26" i="13"/>
  <c r="L30" i="13" s="1"/>
  <c r="M22" i="15"/>
  <c r="M42" i="15" s="1"/>
  <c r="M19" i="14"/>
  <c r="J30" i="13"/>
  <c r="I37" i="7" l="1"/>
  <c r="I36" i="7"/>
  <c r="G13" i="7" s="1"/>
  <c r="I35" i="7"/>
  <c r="F22" i="7"/>
  <c r="F21" i="7"/>
  <c r="E17" i="7"/>
  <c r="M13" i="7"/>
  <c r="K13" i="7"/>
  <c r="I13" i="7"/>
  <c r="E9" i="7"/>
  <c r="M8" i="7"/>
  <c r="M9" i="7" s="1"/>
  <c r="I8" i="7"/>
  <c r="I9" i="7" s="1"/>
  <c r="G8" i="7"/>
  <c r="G9" i="7" s="1"/>
  <c r="I37" i="5"/>
  <c r="I36" i="5"/>
  <c r="I35" i="5"/>
  <c r="F23" i="5"/>
  <c r="E19" i="5"/>
  <c r="M15" i="5"/>
  <c r="K15" i="5"/>
  <c r="I15" i="5"/>
  <c r="E11" i="5"/>
  <c r="M10" i="5"/>
  <c r="I10" i="5"/>
  <c r="I11" i="5" s="1"/>
  <c r="G11" i="5"/>
  <c r="M28" i="5" l="1"/>
  <c r="M29" i="5" s="1"/>
  <c r="I28" i="5"/>
  <c r="I29" i="5" s="1"/>
  <c r="G15" i="5"/>
  <c r="M27" i="7"/>
  <c r="I11" i="7"/>
  <c r="I17" i="7" s="1"/>
  <c r="I15" i="7" s="1"/>
  <c r="I27" i="7"/>
  <c r="I29" i="7" s="1"/>
  <c r="G11" i="7"/>
  <c r="G17" i="7" s="1"/>
  <c r="M10" i="7"/>
  <c r="M11" i="7" s="1"/>
  <c r="I13" i="5"/>
  <c r="M11" i="5"/>
  <c r="M12" i="5" s="1"/>
  <c r="G13" i="5"/>
  <c r="I19" i="5" l="1"/>
  <c r="I17" i="5" s="1"/>
  <c r="K11" i="7"/>
  <c r="K17" i="7" s="1"/>
  <c r="K15" i="7" s="1"/>
  <c r="M15" i="7" s="1"/>
  <c r="I23" i="7"/>
  <c r="G15" i="7"/>
  <c r="G23" i="7"/>
  <c r="G17" i="5"/>
  <c r="G24" i="5"/>
  <c r="M13" i="5"/>
  <c r="K13" i="5" s="1"/>
  <c r="K19" i="5" s="1"/>
  <c r="I24" i="5" l="1"/>
  <c r="I42" i="5" s="1"/>
  <c r="M17" i="7"/>
  <c r="M28" i="7" s="1"/>
  <c r="M29" i="7" s="1"/>
  <c r="I41" i="7"/>
  <c r="K17" i="5"/>
  <c r="M17" i="5" s="1"/>
  <c r="M19" i="5"/>
  <c r="M22" i="7" l="1"/>
  <c r="M21" i="7"/>
  <c r="M20" i="7" s="1"/>
  <c r="M23" i="5"/>
  <c r="M24" i="5" s="1"/>
  <c r="M23" i="7" l="1"/>
  <c r="M41" i="7" s="1"/>
  <c r="M22" i="5"/>
  <c r="M42" i="5"/>
  <c r="A40" i="3" l="1"/>
  <c r="N40" i="3" s="1"/>
  <c r="N39" i="3"/>
  <c r="H39" i="3"/>
  <c r="B39" i="3"/>
  <c r="D39" i="3" s="1"/>
  <c r="N33" i="3"/>
  <c r="O39" i="3" s="1"/>
  <c r="H33" i="3"/>
  <c r="H35" i="3" s="1"/>
  <c r="B33" i="3"/>
  <c r="B36" i="3" s="1"/>
  <c r="B35" i="3" l="1"/>
  <c r="N36" i="3"/>
  <c r="O40" i="3"/>
  <c r="H40" i="3"/>
  <c r="J39" i="3"/>
  <c r="R39" i="3"/>
  <c r="R40" i="3"/>
  <c r="P40" i="3"/>
  <c r="Q40" i="3" s="1"/>
  <c r="C40" i="3"/>
  <c r="C39" i="3"/>
  <c r="E39" i="3" s="1"/>
  <c r="I40" i="3"/>
  <c r="I39" i="3"/>
  <c r="L39" i="3" s="1"/>
  <c r="H36" i="3"/>
  <c r="N35" i="3"/>
  <c r="P39" i="3"/>
  <c r="Q39" i="3" s="1"/>
  <c r="A41" i="3"/>
  <c r="B40" i="3"/>
  <c r="L40" i="3" l="1"/>
  <c r="F39" i="3"/>
  <c r="J40" i="3"/>
  <c r="K40" i="3" s="1"/>
  <c r="N41" i="3"/>
  <c r="B41" i="3"/>
  <c r="A42" i="3"/>
  <c r="O41" i="3"/>
  <c r="H41" i="3"/>
  <c r="C41" i="3"/>
  <c r="D40" i="3"/>
  <c r="E40" i="3" s="1"/>
  <c r="F40" i="3"/>
  <c r="K39" i="3"/>
  <c r="I41" i="3"/>
  <c r="R41" i="3" l="1"/>
  <c r="P41" i="3"/>
  <c r="Q41" i="3" s="1"/>
  <c r="L41" i="3"/>
  <c r="J41" i="3"/>
  <c r="K41" i="3" s="1"/>
  <c r="N42" i="3"/>
  <c r="B42" i="3"/>
  <c r="A43" i="3"/>
  <c r="H42" i="3"/>
  <c r="O42" i="3"/>
  <c r="C42" i="3"/>
  <c r="I42" i="3"/>
  <c r="D41" i="3"/>
  <c r="E41" i="3" s="1"/>
  <c r="F41" i="3"/>
  <c r="N43" i="3" l="1"/>
  <c r="B43" i="3"/>
  <c r="A44" i="3"/>
  <c r="O43" i="3"/>
  <c r="H43" i="3"/>
  <c r="C43" i="3"/>
  <c r="I43" i="3"/>
  <c r="D42" i="3"/>
  <c r="E42" i="3" s="1"/>
  <c r="F42" i="3"/>
  <c r="R42" i="3"/>
  <c r="P42" i="3"/>
  <c r="Q42" i="3" s="1"/>
  <c r="L42" i="3"/>
  <c r="J42" i="3"/>
  <c r="K42" i="3" s="1"/>
  <c r="L43" i="3" l="1"/>
  <c r="J43" i="3"/>
  <c r="K43" i="3" s="1"/>
  <c r="N44" i="3"/>
  <c r="B44" i="3"/>
  <c r="A45" i="3"/>
  <c r="H44" i="3"/>
  <c r="O44" i="3"/>
  <c r="C44" i="3"/>
  <c r="I44" i="3"/>
  <c r="D43" i="3"/>
  <c r="E43" i="3" s="1"/>
  <c r="F43" i="3"/>
  <c r="R43" i="3"/>
  <c r="P43" i="3"/>
  <c r="Q43" i="3" s="1"/>
  <c r="N45" i="3" l="1"/>
  <c r="B45" i="3"/>
  <c r="A46" i="3"/>
  <c r="O45" i="3"/>
  <c r="H45" i="3"/>
  <c r="C45" i="3"/>
  <c r="I45" i="3"/>
  <c r="L44" i="3"/>
  <c r="J44" i="3"/>
  <c r="K44" i="3" s="1"/>
  <c r="D44" i="3"/>
  <c r="E44" i="3" s="1"/>
  <c r="F44" i="3"/>
  <c r="R44" i="3"/>
  <c r="P44" i="3"/>
  <c r="Q44" i="3" s="1"/>
  <c r="N46" i="3" l="1"/>
  <c r="B46" i="3"/>
  <c r="A47" i="3"/>
  <c r="H46" i="3"/>
  <c r="O46" i="3"/>
  <c r="C46" i="3"/>
  <c r="I46" i="3"/>
  <c r="D45" i="3"/>
  <c r="E45" i="3" s="1"/>
  <c r="F45" i="3"/>
  <c r="L45" i="3"/>
  <c r="J45" i="3"/>
  <c r="K45" i="3" s="1"/>
  <c r="R45" i="3"/>
  <c r="P45" i="3"/>
  <c r="Q45" i="3" s="1"/>
  <c r="L46" i="3" l="1"/>
  <c r="J46" i="3"/>
  <c r="K46" i="3" s="1"/>
  <c r="N47" i="3"/>
  <c r="B47" i="3"/>
  <c r="A48" i="3"/>
  <c r="O47" i="3"/>
  <c r="H47" i="3"/>
  <c r="C47" i="3"/>
  <c r="I47" i="3"/>
  <c r="D46" i="3"/>
  <c r="E46" i="3" s="1"/>
  <c r="F46" i="3"/>
  <c r="R46" i="3"/>
  <c r="P46" i="3"/>
  <c r="Q46" i="3" s="1"/>
  <c r="L47" i="3" l="1"/>
  <c r="J47" i="3"/>
  <c r="K47" i="3" s="1"/>
  <c r="N48" i="3"/>
  <c r="B48" i="3"/>
  <c r="A49" i="3"/>
  <c r="H48" i="3"/>
  <c r="O48" i="3"/>
  <c r="C48" i="3"/>
  <c r="I48" i="3"/>
  <c r="D47" i="3"/>
  <c r="E47" i="3" s="1"/>
  <c r="F47" i="3"/>
  <c r="R47" i="3"/>
  <c r="P47" i="3"/>
  <c r="Q47" i="3" s="1"/>
  <c r="N49" i="3" l="1"/>
  <c r="B49" i="3"/>
  <c r="A50" i="3"/>
  <c r="H49" i="3"/>
  <c r="O49" i="3"/>
  <c r="I49" i="3"/>
  <c r="C49" i="3"/>
  <c r="L48" i="3"/>
  <c r="J48" i="3"/>
  <c r="K48" i="3" s="1"/>
  <c r="D48" i="3"/>
  <c r="E48" i="3" s="1"/>
  <c r="F48" i="3"/>
  <c r="R48" i="3"/>
  <c r="P48" i="3"/>
  <c r="Q48" i="3" s="1"/>
  <c r="L49" i="3" l="1"/>
  <c r="J49" i="3"/>
  <c r="K49" i="3" s="1"/>
  <c r="N50" i="3"/>
  <c r="B50" i="3"/>
  <c r="H50" i="3"/>
  <c r="A51" i="3"/>
  <c r="C50" i="3"/>
  <c r="I50" i="3"/>
  <c r="O50" i="3"/>
  <c r="D49" i="3"/>
  <c r="E49" i="3" s="1"/>
  <c r="F49" i="3"/>
  <c r="R49" i="3"/>
  <c r="P49" i="3"/>
  <c r="Q49" i="3" s="1"/>
  <c r="L50" i="3" l="1"/>
  <c r="J50" i="3"/>
  <c r="K50" i="3" s="1"/>
  <c r="D50" i="3"/>
  <c r="E50" i="3" s="1"/>
  <c r="F50" i="3"/>
  <c r="B51" i="3"/>
  <c r="A52" i="3"/>
  <c r="H51" i="3"/>
  <c r="N51" i="3"/>
  <c r="C51" i="3"/>
  <c r="O51" i="3"/>
  <c r="I51" i="3"/>
  <c r="P50" i="3"/>
  <c r="Q50" i="3" s="1"/>
  <c r="R50" i="3"/>
  <c r="P51" i="3" l="1"/>
  <c r="Q51" i="3" s="1"/>
  <c r="R51" i="3"/>
  <c r="L51" i="3"/>
  <c r="J51" i="3"/>
  <c r="K51" i="3" s="1"/>
  <c r="F51" i="3"/>
  <c r="D51" i="3"/>
  <c r="E51" i="3" s="1"/>
  <c r="B52" i="3"/>
  <c r="N52" i="3"/>
  <c r="A53" i="3"/>
  <c r="H52" i="3"/>
  <c r="O52" i="3"/>
  <c r="I52" i="3"/>
  <c r="C52" i="3"/>
  <c r="P52" i="3" l="1"/>
  <c r="Q52" i="3" s="1"/>
  <c r="R52" i="3"/>
  <c r="F52" i="3"/>
  <c r="D52" i="3"/>
  <c r="E52" i="3" s="1"/>
  <c r="L52" i="3"/>
  <c r="J52" i="3"/>
  <c r="K52" i="3" s="1"/>
  <c r="B53" i="3"/>
  <c r="A54" i="3"/>
  <c r="H53" i="3"/>
  <c r="N53" i="3"/>
  <c r="C53" i="3"/>
  <c r="I53" i="3"/>
  <c r="O53" i="3"/>
  <c r="B54" i="3" l="1"/>
  <c r="N54" i="3"/>
  <c r="A55" i="3"/>
  <c r="H54" i="3"/>
  <c r="I54" i="3"/>
  <c r="C54" i="3"/>
  <c r="O54" i="3"/>
  <c r="F53" i="3"/>
  <c r="D53" i="3"/>
  <c r="E53" i="3" s="1"/>
  <c r="P53" i="3"/>
  <c r="Q53" i="3" s="1"/>
  <c r="R53" i="3"/>
  <c r="L53" i="3"/>
  <c r="J53" i="3"/>
  <c r="K53" i="3" s="1"/>
  <c r="L54" i="3" l="1"/>
  <c r="J54" i="3"/>
  <c r="K54" i="3" s="1"/>
  <c r="B55" i="3"/>
  <c r="H55" i="3"/>
  <c r="A56" i="3"/>
  <c r="N55" i="3"/>
  <c r="I55" i="3"/>
  <c r="O55" i="3"/>
  <c r="C55" i="3"/>
  <c r="P54" i="3"/>
  <c r="Q54" i="3" s="1"/>
  <c r="R54" i="3"/>
  <c r="F54" i="3"/>
  <c r="D54" i="3"/>
  <c r="E54" i="3" s="1"/>
  <c r="F55" i="3" l="1"/>
  <c r="D55" i="3"/>
  <c r="E55" i="3" s="1"/>
  <c r="H56" i="3"/>
  <c r="B56" i="3"/>
  <c r="A57" i="3"/>
  <c r="N56" i="3"/>
  <c r="I56" i="3"/>
  <c r="C56" i="3"/>
  <c r="O56" i="3"/>
  <c r="L55" i="3"/>
  <c r="J55" i="3"/>
  <c r="K55" i="3" s="1"/>
  <c r="P55" i="3"/>
  <c r="Q55" i="3" s="1"/>
  <c r="R55" i="3"/>
  <c r="P56" i="3" l="1"/>
  <c r="Q56" i="3" s="1"/>
  <c r="R56" i="3"/>
  <c r="F56" i="3"/>
  <c r="D56" i="3"/>
  <c r="E56" i="3" s="1"/>
  <c r="L56" i="3"/>
  <c r="J56" i="3"/>
  <c r="K56" i="3" s="1"/>
  <c r="H57" i="3"/>
  <c r="B57" i="3"/>
  <c r="N57" i="3"/>
  <c r="A58" i="3"/>
  <c r="C57" i="3"/>
  <c r="O57" i="3"/>
  <c r="I57" i="3"/>
  <c r="L57" i="3" l="1"/>
  <c r="J57" i="3"/>
  <c r="K57" i="3" s="1"/>
  <c r="H58" i="3"/>
  <c r="B58" i="3"/>
  <c r="A59" i="3"/>
  <c r="N58" i="3"/>
  <c r="C58" i="3"/>
  <c r="I58" i="3"/>
  <c r="O58" i="3"/>
  <c r="F57" i="3"/>
  <c r="D57" i="3"/>
  <c r="E57" i="3" s="1"/>
  <c r="P57" i="3"/>
  <c r="Q57" i="3" s="1"/>
  <c r="R57" i="3"/>
  <c r="F58" i="3" l="1"/>
  <c r="D58" i="3"/>
  <c r="E58" i="3" s="1"/>
  <c r="L58" i="3"/>
  <c r="J58" i="3"/>
  <c r="K58" i="3" s="1"/>
  <c r="P58" i="3"/>
  <c r="Q58" i="3" s="1"/>
  <c r="R58" i="3"/>
  <c r="H59" i="3"/>
  <c r="B59" i="3"/>
  <c r="A60" i="3"/>
  <c r="N59" i="3"/>
  <c r="C59" i="3"/>
  <c r="I59" i="3"/>
  <c r="O59" i="3"/>
  <c r="H60" i="3" l="1"/>
  <c r="B60" i="3"/>
  <c r="A61" i="3"/>
  <c r="N60" i="3"/>
  <c r="I60" i="3"/>
  <c r="O60" i="3"/>
  <c r="C60" i="3"/>
  <c r="F59" i="3"/>
  <c r="D59" i="3"/>
  <c r="E59" i="3" s="1"/>
  <c r="L59" i="3"/>
  <c r="J59" i="3"/>
  <c r="K59" i="3" s="1"/>
  <c r="P59" i="3"/>
  <c r="Q59" i="3" s="1"/>
  <c r="R59" i="3"/>
  <c r="P60" i="3" l="1"/>
  <c r="Q60" i="3" s="1"/>
  <c r="R60" i="3"/>
  <c r="F60" i="3"/>
  <c r="D60" i="3"/>
  <c r="E60" i="3" s="1"/>
  <c r="H61" i="3"/>
  <c r="B61" i="3"/>
  <c r="N61" i="3"/>
  <c r="A62" i="3"/>
  <c r="C61" i="3"/>
  <c r="O61" i="3"/>
  <c r="I61" i="3"/>
  <c r="L60" i="3"/>
  <c r="J60" i="3"/>
  <c r="K60" i="3" s="1"/>
  <c r="F61" i="3" l="1"/>
  <c r="D61" i="3"/>
  <c r="E61" i="3" s="1"/>
  <c r="L61" i="3"/>
  <c r="J61" i="3"/>
  <c r="K61" i="3" s="1"/>
  <c r="P61" i="3"/>
  <c r="Q61" i="3" s="1"/>
  <c r="R61" i="3"/>
  <c r="H62" i="3"/>
  <c r="B62" i="3"/>
  <c r="A63" i="3"/>
  <c r="N62" i="3"/>
  <c r="O62" i="3"/>
  <c r="C62" i="3"/>
  <c r="I62" i="3"/>
  <c r="P62" i="3" l="1"/>
  <c r="Q62" i="3" s="1"/>
  <c r="R62" i="3"/>
  <c r="L62" i="3"/>
  <c r="J62" i="3"/>
  <c r="K62" i="3" s="1"/>
  <c r="H63" i="3"/>
  <c r="B63" i="3"/>
  <c r="A64" i="3"/>
  <c r="N63" i="3"/>
  <c r="O63" i="3"/>
  <c r="C63" i="3"/>
  <c r="I63" i="3"/>
  <c r="F62" i="3"/>
  <c r="D62" i="3"/>
  <c r="E62" i="3" s="1"/>
  <c r="P63" i="3" l="1"/>
  <c r="Q63" i="3" s="1"/>
  <c r="R63" i="3"/>
  <c r="H64" i="3"/>
  <c r="B64" i="3"/>
  <c r="A65" i="3"/>
  <c r="N64" i="3"/>
  <c r="O64" i="3"/>
  <c r="C64" i="3"/>
  <c r="I64" i="3"/>
  <c r="F63" i="3"/>
  <c r="D63" i="3"/>
  <c r="E63" i="3" s="1"/>
  <c r="L63" i="3"/>
  <c r="J63" i="3"/>
  <c r="K63" i="3" s="1"/>
  <c r="P64" i="3" l="1"/>
  <c r="Q64" i="3" s="1"/>
  <c r="R64" i="3"/>
  <c r="H65" i="3"/>
  <c r="B65" i="3"/>
  <c r="N65" i="3"/>
  <c r="A66" i="3"/>
  <c r="C65" i="3"/>
  <c r="O65" i="3"/>
  <c r="I65" i="3"/>
  <c r="F64" i="3"/>
  <c r="D64" i="3"/>
  <c r="E64" i="3" s="1"/>
  <c r="L64" i="3"/>
  <c r="J64" i="3"/>
  <c r="K64" i="3" s="1"/>
  <c r="P65" i="3" l="1"/>
  <c r="Q65" i="3" s="1"/>
  <c r="R65" i="3"/>
  <c r="L65" i="3"/>
  <c r="J65" i="3"/>
  <c r="K65" i="3" s="1"/>
  <c r="H66" i="3"/>
  <c r="B66" i="3"/>
  <c r="A67" i="3"/>
  <c r="N66" i="3"/>
  <c r="C66" i="3"/>
  <c r="O66" i="3"/>
  <c r="I66" i="3"/>
  <c r="F65" i="3"/>
  <c r="D65" i="3"/>
  <c r="E65" i="3" s="1"/>
  <c r="P66" i="3" l="1"/>
  <c r="Q66" i="3" s="1"/>
  <c r="R66" i="3"/>
  <c r="H67" i="3"/>
  <c r="B67" i="3"/>
  <c r="A68" i="3"/>
  <c r="N67" i="3"/>
  <c r="O67" i="3"/>
  <c r="C67" i="3"/>
  <c r="I67" i="3"/>
  <c r="L66" i="3"/>
  <c r="J66" i="3"/>
  <c r="K66" i="3" s="1"/>
  <c r="F66" i="3"/>
  <c r="D66" i="3"/>
  <c r="E66" i="3" s="1"/>
  <c r="P67" i="3" l="1"/>
  <c r="Q67" i="3" s="1"/>
  <c r="R67" i="3"/>
  <c r="H68" i="3"/>
  <c r="B68" i="3"/>
  <c r="A69" i="3"/>
  <c r="N68" i="3"/>
  <c r="O68" i="3"/>
  <c r="C68" i="3"/>
  <c r="I68" i="3"/>
  <c r="L67" i="3"/>
  <c r="J67" i="3"/>
  <c r="K67" i="3" s="1"/>
  <c r="F67" i="3"/>
  <c r="D67" i="3"/>
  <c r="E67" i="3" s="1"/>
  <c r="P68" i="3" l="1"/>
  <c r="Q68" i="3" s="1"/>
  <c r="R68" i="3"/>
  <c r="H69" i="3"/>
  <c r="B69" i="3"/>
  <c r="N69" i="3"/>
  <c r="A70" i="3"/>
  <c r="C69" i="3"/>
  <c r="I69" i="3"/>
  <c r="O69" i="3"/>
  <c r="F68" i="3"/>
  <c r="D68" i="3"/>
  <c r="E68" i="3" s="1"/>
  <c r="L68" i="3"/>
  <c r="J68" i="3"/>
  <c r="K68" i="3" s="1"/>
  <c r="L69" i="3" l="1"/>
  <c r="J69" i="3"/>
  <c r="K69" i="3" s="1"/>
  <c r="H70" i="3"/>
  <c r="B70" i="3"/>
  <c r="A71" i="3"/>
  <c r="N70" i="3"/>
  <c r="C70" i="3"/>
  <c r="O70" i="3"/>
  <c r="I70" i="3"/>
  <c r="P69" i="3"/>
  <c r="Q69" i="3" s="1"/>
  <c r="R69" i="3"/>
  <c r="F69" i="3"/>
  <c r="D69" i="3"/>
  <c r="E69" i="3" s="1"/>
  <c r="F70" i="3" l="1"/>
  <c r="D70" i="3"/>
  <c r="E70" i="3" s="1"/>
  <c r="L70" i="3"/>
  <c r="J70" i="3"/>
  <c r="K70" i="3" s="1"/>
  <c r="P70" i="3"/>
  <c r="Q70" i="3" s="1"/>
  <c r="R70" i="3"/>
  <c r="H71" i="3"/>
  <c r="B71" i="3"/>
  <c r="A72" i="3"/>
  <c r="N71" i="3"/>
  <c r="O71" i="3"/>
  <c r="C71" i="3"/>
  <c r="I71" i="3"/>
  <c r="L71" i="3" l="1"/>
  <c r="J71" i="3"/>
  <c r="K71" i="3" s="1"/>
  <c r="F71" i="3"/>
  <c r="D71" i="3"/>
  <c r="E71" i="3" s="1"/>
  <c r="P71" i="3"/>
  <c r="Q71" i="3" s="1"/>
  <c r="R71" i="3"/>
  <c r="H72" i="3"/>
  <c r="B72" i="3"/>
  <c r="A73" i="3"/>
  <c r="N72" i="3"/>
  <c r="C72" i="3"/>
  <c r="O72" i="3"/>
  <c r="I72" i="3"/>
  <c r="F72" i="3" l="1"/>
  <c r="D72" i="3"/>
  <c r="E72" i="3" s="1"/>
  <c r="L72" i="3"/>
  <c r="J72" i="3"/>
  <c r="K72" i="3" s="1"/>
  <c r="P72" i="3"/>
  <c r="Q72" i="3" s="1"/>
  <c r="R72" i="3"/>
  <c r="H73" i="3"/>
  <c r="B73" i="3"/>
  <c r="N73" i="3"/>
  <c r="A74" i="3"/>
  <c r="O73" i="3"/>
  <c r="I73" i="3"/>
  <c r="C73" i="3"/>
  <c r="F73" i="3" l="1"/>
  <c r="D73" i="3"/>
  <c r="E73" i="3" s="1"/>
  <c r="L73" i="3"/>
  <c r="J73" i="3"/>
  <c r="K73" i="3" s="1"/>
  <c r="H74" i="3"/>
  <c r="B74" i="3"/>
  <c r="A75" i="3"/>
  <c r="N74" i="3"/>
  <c r="C74" i="3"/>
  <c r="O74" i="3"/>
  <c r="I74" i="3"/>
  <c r="P73" i="3"/>
  <c r="Q73" i="3" s="1"/>
  <c r="R73" i="3"/>
  <c r="P74" i="3" l="1"/>
  <c r="Q74" i="3" s="1"/>
  <c r="R74" i="3"/>
  <c r="H75" i="3"/>
  <c r="B75" i="3"/>
  <c r="A76" i="3"/>
  <c r="N75" i="3"/>
  <c r="C75" i="3"/>
  <c r="O75" i="3"/>
  <c r="I75" i="3"/>
  <c r="F74" i="3"/>
  <c r="D74" i="3"/>
  <c r="E74" i="3" s="1"/>
  <c r="L74" i="3"/>
  <c r="J74" i="3"/>
  <c r="K74" i="3" s="1"/>
  <c r="F75" i="3" l="1"/>
  <c r="D75" i="3"/>
  <c r="E75" i="3" s="1"/>
  <c r="P75" i="3"/>
  <c r="Q75" i="3" s="1"/>
  <c r="R75" i="3"/>
  <c r="H76" i="3"/>
  <c r="B76" i="3"/>
  <c r="A77" i="3"/>
  <c r="N76" i="3"/>
  <c r="C76" i="3"/>
  <c r="I76" i="3"/>
  <c r="O76" i="3"/>
  <c r="L75" i="3"/>
  <c r="J75" i="3"/>
  <c r="K75" i="3" s="1"/>
  <c r="H77" i="3" l="1"/>
  <c r="N77" i="3"/>
  <c r="B77" i="3"/>
  <c r="A78" i="3"/>
  <c r="C77" i="3"/>
  <c r="O77" i="3"/>
  <c r="I77" i="3"/>
  <c r="L76" i="3"/>
  <c r="J76" i="3"/>
  <c r="K76" i="3" s="1"/>
  <c r="P76" i="3"/>
  <c r="Q76" i="3" s="1"/>
  <c r="R76" i="3"/>
  <c r="F76" i="3"/>
  <c r="D76" i="3"/>
  <c r="E76" i="3" s="1"/>
  <c r="H78" i="3" l="1"/>
  <c r="N78" i="3"/>
  <c r="B78" i="3"/>
  <c r="A79" i="3"/>
  <c r="C78" i="3"/>
  <c r="O78" i="3"/>
  <c r="I78" i="3"/>
  <c r="P77" i="3"/>
  <c r="Q77" i="3" s="1"/>
  <c r="R77" i="3"/>
  <c r="F77" i="3"/>
  <c r="D77" i="3"/>
  <c r="E77" i="3" s="1"/>
  <c r="L77" i="3"/>
  <c r="J77" i="3"/>
  <c r="K77" i="3" s="1"/>
  <c r="H79" i="3" l="1"/>
  <c r="N79" i="3"/>
  <c r="B79" i="3"/>
  <c r="A80" i="3"/>
  <c r="I79" i="3"/>
  <c r="O79" i="3"/>
  <c r="C79" i="3"/>
  <c r="F78" i="3"/>
  <c r="D78" i="3"/>
  <c r="E78" i="3" s="1"/>
  <c r="P78" i="3"/>
  <c r="Q78" i="3" s="1"/>
  <c r="R78" i="3"/>
  <c r="L78" i="3"/>
  <c r="J78" i="3"/>
  <c r="K78" i="3" s="1"/>
  <c r="H80" i="3" l="1"/>
  <c r="N80" i="3"/>
  <c r="B80" i="3"/>
  <c r="A81" i="3"/>
  <c r="I80" i="3"/>
  <c r="C80" i="3"/>
  <c r="O80" i="3"/>
  <c r="F79" i="3"/>
  <c r="D79" i="3"/>
  <c r="E79" i="3" s="1"/>
  <c r="P79" i="3"/>
  <c r="Q79" i="3" s="1"/>
  <c r="R79" i="3"/>
  <c r="L79" i="3"/>
  <c r="J79" i="3"/>
  <c r="K79" i="3" s="1"/>
  <c r="H81" i="3" l="1"/>
  <c r="N81" i="3"/>
  <c r="B81" i="3"/>
  <c r="A82" i="3"/>
  <c r="O81" i="3"/>
  <c r="C81" i="3"/>
  <c r="I81" i="3"/>
  <c r="F80" i="3"/>
  <c r="D80" i="3"/>
  <c r="E80" i="3" s="1"/>
  <c r="P80" i="3"/>
  <c r="Q80" i="3" s="1"/>
  <c r="R80" i="3"/>
  <c r="L80" i="3"/>
  <c r="J80" i="3"/>
  <c r="K80" i="3" s="1"/>
  <c r="H82" i="3" l="1"/>
  <c r="N82" i="3"/>
  <c r="B82" i="3"/>
  <c r="A83" i="3"/>
  <c r="O82" i="3"/>
  <c r="I82" i="3"/>
  <c r="C82" i="3"/>
  <c r="F81" i="3"/>
  <c r="D81" i="3"/>
  <c r="E81" i="3" s="1"/>
  <c r="P81" i="3"/>
  <c r="Q81" i="3" s="1"/>
  <c r="R81" i="3"/>
  <c r="L81" i="3"/>
  <c r="J81" i="3"/>
  <c r="K81" i="3" s="1"/>
  <c r="H83" i="3" l="1"/>
  <c r="N83" i="3"/>
  <c r="B83" i="3"/>
  <c r="A84" i="3"/>
  <c r="I83" i="3"/>
  <c r="C83" i="3"/>
  <c r="O83" i="3"/>
  <c r="F82" i="3"/>
  <c r="D82" i="3"/>
  <c r="E82" i="3" s="1"/>
  <c r="P82" i="3"/>
  <c r="Q82" i="3" s="1"/>
  <c r="R82" i="3"/>
  <c r="L82" i="3"/>
  <c r="J82" i="3"/>
  <c r="K82" i="3" s="1"/>
  <c r="F83" i="3" l="1"/>
  <c r="D83" i="3"/>
  <c r="E83" i="3" s="1"/>
  <c r="P83" i="3"/>
  <c r="Q83" i="3" s="1"/>
  <c r="R83" i="3"/>
  <c r="H84" i="3"/>
  <c r="N84" i="3"/>
  <c r="B84" i="3"/>
  <c r="A85" i="3"/>
  <c r="I84" i="3"/>
  <c r="C84" i="3"/>
  <c r="O84" i="3"/>
  <c r="L83" i="3"/>
  <c r="J83" i="3"/>
  <c r="K83" i="3" s="1"/>
  <c r="F84" i="3" l="1"/>
  <c r="D84" i="3"/>
  <c r="E84" i="3" s="1"/>
  <c r="P84" i="3"/>
  <c r="Q84" i="3" s="1"/>
  <c r="R84" i="3"/>
  <c r="L84" i="3"/>
  <c r="J84" i="3"/>
  <c r="K84" i="3" s="1"/>
  <c r="H85" i="3"/>
  <c r="N85" i="3"/>
  <c r="B85" i="3"/>
  <c r="A86" i="3"/>
  <c r="C85" i="3"/>
  <c r="O85" i="3"/>
  <c r="I85" i="3"/>
  <c r="F85" i="3" l="1"/>
  <c r="D85" i="3"/>
  <c r="E85" i="3" s="1"/>
  <c r="P85" i="3"/>
  <c r="Q85" i="3" s="1"/>
  <c r="R85" i="3"/>
  <c r="L85" i="3"/>
  <c r="J85" i="3"/>
  <c r="K85" i="3" s="1"/>
  <c r="H86" i="3"/>
  <c r="N86" i="3"/>
  <c r="B86" i="3"/>
  <c r="A87" i="3"/>
  <c r="C86" i="3"/>
  <c r="O86" i="3"/>
  <c r="I86" i="3"/>
  <c r="P86" i="3" l="1"/>
  <c r="Q86" i="3" s="1"/>
  <c r="R86" i="3"/>
  <c r="L86" i="3"/>
  <c r="J86" i="3"/>
  <c r="K86" i="3" s="1"/>
  <c r="H87" i="3"/>
  <c r="N87" i="3"/>
  <c r="B87" i="3"/>
  <c r="A88" i="3"/>
  <c r="I87" i="3"/>
  <c r="O87" i="3"/>
  <c r="C87" i="3"/>
  <c r="F86" i="3"/>
  <c r="D86" i="3"/>
  <c r="E86" i="3" s="1"/>
  <c r="H88" i="3" l="1"/>
  <c r="N88" i="3"/>
  <c r="B88" i="3"/>
  <c r="A89" i="3"/>
  <c r="I88" i="3"/>
  <c r="C88" i="3"/>
  <c r="O88" i="3"/>
  <c r="F87" i="3"/>
  <c r="D87" i="3"/>
  <c r="E87" i="3" s="1"/>
  <c r="L87" i="3"/>
  <c r="J87" i="3"/>
  <c r="K87" i="3" s="1"/>
  <c r="P87" i="3"/>
  <c r="Q87" i="3" s="1"/>
  <c r="R87" i="3"/>
  <c r="H89" i="3" l="1"/>
  <c r="N89" i="3"/>
  <c r="B89" i="3"/>
  <c r="A90" i="3"/>
  <c r="O89" i="3"/>
  <c r="I89" i="3"/>
  <c r="C89" i="3"/>
  <c r="F88" i="3"/>
  <c r="D88" i="3"/>
  <c r="E88" i="3" s="1"/>
  <c r="P88" i="3"/>
  <c r="Q88" i="3" s="1"/>
  <c r="R88" i="3"/>
  <c r="L88" i="3"/>
  <c r="J88" i="3"/>
  <c r="K88" i="3" s="1"/>
  <c r="H90" i="3" l="1"/>
  <c r="N90" i="3"/>
  <c r="B90" i="3"/>
  <c r="A91" i="3"/>
  <c r="O90" i="3"/>
  <c r="I90" i="3"/>
  <c r="C90" i="3"/>
  <c r="F89" i="3"/>
  <c r="D89" i="3"/>
  <c r="E89" i="3" s="1"/>
  <c r="P89" i="3"/>
  <c r="Q89" i="3" s="1"/>
  <c r="R89" i="3"/>
  <c r="L89" i="3"/>
  <c r="J89" i="3"/>
  <c r="K89" i="3" s="1"/>
  <c r="H91" i="3" l="1"/>
  <c r="N91" i="3"/>
  <c r="B91" i="3"/>
  <c r="A92" i="3"/>
  <c r="I91" i="3"/>
  <c r="O91" i="3"/>
  <c r="C91" i="3"/>
  <c r="F90" i="3"/>
  <c r="D90" i="3"/>
  <c r="E90" i="3" s="1"/>
  <c r="P90" i="3"/>
  <c r="Q90" i="3" s="1"/>
  <c r="R90" i="3"/>
  <c r="L90" i="3"/>
  <c r="J90" i="3"/>
  <c r="K90" i="3" s="1"/>
  <c r="H92" i="3" l="1"/>
  <c r="N92" i="3"/>
  <c r="B92" i="3"/>
  <c r="I92" i="3"/>
  <c r="C92" i="3"/>
  <c r="O92" i="3"/>
  <c r="F91" i="3"/>
  <c r="D91" i="3"/>
  <c r="E91" i="3" s="1"/>
  <c r="P91" i="3"/>
  <c r="Q91" i="3" s="1"/>
  <c r="R91" i="3"/>
  <c r="L91" i="3"/>
  <c r="J91" i="3"/>
  <c r="K91" i="3" s="1"/>
  <c r="F92" i="3" l="1"/>
  <c r="D92" i="3"/>
  <c r="E92" i="3" s="1"/>
  <c r="P92" i="3"/>
  <c r="Q92" i="3" s="1"/>
  <c r="R92" i="3"/>
  <c r="L92" i="3"/>
  <c r="J92" i="3"/>
  <c r="K92" i="3" s="1"/>
  <c r="G28" i="1" l="1"/>
  <c r="G30" i="1"/>
  <c r="F38" i="1" s="1"/>
  <c r="G32" i="1"/>
  <c r="C39" i="1"/>
  <c r="C40" i="1" s="1"/>
  <c r="E38" i="1" l="1"/>
  <c r="H38" i="1" s="1"/>
  <c r="F39" i="1"/>
  <c r="I38" i="1"/>
  <c r="E39" i="1"/>
  <c r="F40" i="1"/>
  <c r="I40" i="1"/>
  <c r="C41" i="1"/>
  <c r="E40" i="1"/>
  <c r="I39" i="1"/>
  <c r="H40" i="1" l="1"/>
  <c r="H39" i="1"/>
  <c r="E41" i="1"/>
  <c r="F41" i="1"/>
  <c r="C42" i="1"/>
  <c r="I41" i="1"/>
  <c r="H41" i="1" l="1"/>
  <c r="I42" i="1"/>
  <c r="C43" i="1"/>
  <c r="F42" i="1"/>
  <c r="E42" i="1"/>
  <c r="H42" i="1" l="1"/>
  <c r="E43" i="1"/>
  <c r="F43" i="1"/>
  <c r="C44" i="1"/>
  <c r="I43" i="1"/>
  <c r="F44" i="1" l="1"/>
  <c r="I44" i="1"/>
  <c r="C45" i="1"/>
  <c r="E44" i="1"/>
  <c r="H43" i="1"/>
  <c r="H44" i="1" l="1"/>
  <c r="C46" i="1"/>
  <c r="E45" i="1"/>
  <c r="I45" i="1"/>
  <c r="F45" i="1"/>
  <c r="H45" i="1" l="1"/>
  <c r="I46" i="1"/>
  <c r="E46" i="1"/>
  <c r="F46" i="1"/>
  <c r="C47" i="1"/>
  <c r="F47" i="1" l="1"/>
  <c r="I47" i="1"/>
  <c r="E47" i="1"/>
  <c r="C48" i="1"/>
  <c r="H46" i="1"/>
  <c r="H47" i="1" l="1"/>
  <c r="I48" i="1"/>
  <c r="F48" i="1"/>
  <c r="E48" i="1"/>
  <c r="C49" i="1"/>
  <c r="E49" i="1" l="1"/>
  <c r="C50" i="1"/>
  <c r="F49" i="1"/>
  <c r="I49" i="1"/>
  <c r="H48" i="1"/>
  <c r="I50" i="1" l="1"/>
  <c r="C51" i="1"/>
  <c r="F50" i="1"/>
  <c r="E50" i="1"/>
  <c r="H49" i="1"/>
  <c r="H50" i="1" l="1"/>
  <c r="C52" i="1"/>
  <c r="E51" i="1"/>
  <c r="F51" i="1"/>
  <c r="I51" i="1"/>
  <c r="H51" i="1" l="1"/>
  <c r="F52" i="1"/>
  <c r="I52" i="1"/>
  <c r="C53" i="1"/>
  <c r="E52" i="1"/>
  <c r="C54" i="1" l="1"/>
  <c r="E53" i="1"/>
  <c r="I53" i="1"/>
  <c r="F53" i="1"/>
  <c r="H52" i="1"/>
  <c r="H53" i="1" l="1"/>
  <c r="E54" i="1"/>
  <c r="I54" i="1"/>
  <c r="F54" i="1"/>
  <c r="C55" i="1"/>
  <c r="H54" i="1" l="1"/>
  <c r="F55" i="1"/>
  <c r="I55" i="1"/>
  <c r="C56" i="1"/>
  <c r="E55" i="1"/>
  <c r="H55" i="1" l="1"/>
  <c r="F56" i="1"/>
  <c r="I56" i="1"/>
  <c r="E56" i="1"/>
  <c r="C57" i="1"/>
  <c r="E57" i="1" l="1"/>
  <c r="F57" i="1"/>
  <c r="C58" i="1"/>
  <c r="I57" i="1"/>
  <c r="H56" i="1"/>
  <c r="I58" i="1" l="1"/>
  <c r="C59" i="1"/>
  <c r="F58" i="1"/>
  <c r="E58" i="1"/>
  <c r="H57" i="1"/>
  <c r="C60" i="1" l="1"/>
  <c r="E59" i="1"/>
  <c r="F59" i="1"/>
  <c r="I59" i="1"/>
  <c r="H58" i="1"/>
  <c r="H59" i="1" l="1"/>
  <c r="F60" i="1"/>
  <c r="E60" i="1"/>
  <c r="I60" i="1"/>
  <c r="C61" i="1"/>
  <c r="H60" i="1" l="1"/>
  <c r="C62" i="1"/>
  <c r="E61" i="1"/>
  <c r="I61" i="1"/>
  <c r="F61" i="1"/>
  <c r="E62" i="1" l="1"/>
  <c r="I62" i="1"/>
  <c r="F62" i="1"/>
  <c r="C63" i="1"/>
  <c r="H61" i="1"/>
  <c r="H62" i="1" l="1"/>
  <c r="I63" i="1"/>
  <c r="E63" i="1"/>
  <c r="F63" i="1"/>
  <c r="C64" i="1"/>
  <c r="F64" i="1" l="1"/>
  <c r="C65" i="1"/>
  <c r="E64" i="1"/>
  <c r="I64" i="1"/>
  <c r="H63" i="1"/>
  <c r="H64" i="1" l="1"/>
  <c r="E65" i="1"/>
  <c r="F65" i="1"/>
  <c r="C66" i="1"/>
  <c r="I65" i="1"/>
  <c r="H65" i="1" l="1"/>
  <c r="I66" i="1"/>
  <c r="F66" i="1"/>
  <c r="C67" i="1"/>
  <c r="E66" i="1"/>
  <c r="H66" i="1" l="1"/>
  <c r="C68" i="1"/>
  <c r="E67" i="1"/>
  <c r="F67" i="1"/>
  <c r="I67" i="1"/>
  <c r="H67" i="1" l="1"/>
  <c r="F68" i="1"/>
  <c r="E68" i="1"/>
  <c r="I68" i="1"/>
  <c r="C69" i="1"/>
  <c r="C70" i="1" l="1"/>
  <c r="E69" i="1"/>
  <c r="I69" i="1"/>
  <c r="F69" i="1"/>
  <c r="H68" i="1"/>
  <c r="H69" i="1" l="1"/>
  <c r="E70" i="1"/>
  <c r="F70" i="1"/>
  <c r="I70" i="1"/>
  <c r="C71" i="1"/>
  <c r="E71" i="1" l="1"/>
  <c r="F71" i="1"/>
  <c r="I71" i="1"/>
  <c r="C72" i="1"/>
  <c r="H70" i="1"/>
  <c r="H71" i="1" l="1"/>
  <c r="F72" i="1"/>
  <c r="I72" i="1"/>
  <c r="E72" i="1"/>
  <c r="H72" i="1" l="1"/>
  <c r="AL25" i="21"/>
</calcChain>
</file>

<file path=xl/sharedStrings.xml><?xml version="1.0" encoding="utf-8"?>
<sst xmlns="http://schemas.openxmlformats.org/spreadsheetml/2006/main" count="753" uniqueCount="304">
  <si>
    <t>Variables</t>
  </si>
  <si>
    <t>Effective tax rate on profits in taxed accounts</t>
  </si>
  <si>
    <t>Year</t>
  </si>
  <si>
    <t>tax-free profits</t>
  </si>
  <si>
    <t>Rate of return earned =</t>
  </si>
  <si>
    <t>after-tax return</t>
  </si>
  <si>
    <t xml:space="preserve">Before-tax savings = </t>
  </si>
  <si>
    <t>after-tax savings</t>
  </si>
  <si>
    <t>Penalty fm</t>
  </si>
  <si>
    <t>tax rate incr</t>
  </si>
  <si>
    <t>Benefit fm</t>
  </si>
  <si>
    <t>tax rate change</t>
  </si>
  <si>
    <t>Total</t>
  </si>
  <si>
    <t>net benefit</t>
  </si>
  <si>
    <t>Check</t>
  </si>
  <si>
    <t>on calc</t>
  </si>
  <si>
    <t>Warning - Log-scale charts won't show negative benefits</t>
  </si>
  <si>
    <t>Asset A</t>
  </si>
  <si>
    <t>Asset B</t>
  </si>
  <si>
    <t>Asset C</t>
  </si>
  <si>
    <t>in early years</t>
  </si>
  <si>
    <t>After-Tax Savings t=0</t>
  </si>
  <si>
    <t>Rate of Return</t>
  </si>
  <si>
    <t>Tax rate on Profits</t>
  </si>
  <si>
    <t>Tax rate on Cont'n</t>
  </si>
  <si>
    <t>Tax rate on W/drawals</t>
  </si>
  <si>
    <t>After-tax Rate of Return</t>
  </si>
  <si>
    <t>Efficiency</t>
  </si>
  <si>
    <t>tax as % of $invested</t>
  </si>
  <si>
    <t>Metrics</t>
  </si>
  <si>
    <t>Taxed</t>
  </si>
  <si>
    <t>Benefit</t>
  </si>
  <si>
    <t>Def'd</t>
  </si>
  <si>
    <t>Exempt</t>
  </si>
  <si>
    <t>Deferred</t>
  </si>
  <si>
    <t>=</t>
  </si>
  <si>
    <t>TAXED</t>
  </si>
  <si>
    <t>+</t>
  </si>
  <si>
    <t>Difference</t>
  </si>
  <si>
    <t>Years until withdraw</t>
  </si>
  <si>
    <t>Wages saved</t>
  </si>
  <si>
    <t>= after-tax rate of return</t>
  </si>
  <si>
    <t>= tax on first year's profit</t>
  </si>
  <si>
    <t>GROW</t>
  </si>
  <si>
    <t>Cumulative Profits</t>
  </si>
  <si>
    <t>after-tx</t>
  </si>
  <si>
    <t>tax-free</t>
  </si>
  <si>
    <t>yrs</t>
  </si>
  <si>
    <t>Spend</t>
  </si>
  <si>
    <t xml:space="preserve">Bonus from lower w/d tax rate = </t>
  </si>
  <si>
    <t>Rate of return earned</t>
  </si>
  <si>
    <t>Contribute</t>
  </si>
  <si>
    <t xml:space="preserve">- at Contribution rate =  </t>
  </si>
  <si>
    <t>test correct</t>
  </si>
  <si>
    <t>= after-tax savings</t>
  </si>
  <si>
    <t xml:space="preserve">CONTRIBUTION                            </t>
  </si>
  <si>
    <t>Account Value after</t>
  </si>
  <si>
    <t>Income Tax         at</t>
  </si>
  <si>
    <t xml:space="preserve">- at Change in rates =   </t>
  </si>
  <si>
    <t>Tax rate on profits</t>
  </si>
  <si>
    <t>Tax rate at contribution</t>
  </si>
  <si>
    <t xml:space="preserve">cost of delay =  </t>
  </si>
  <si>
    <t>WITHDRAW tax</t>
  </si>
  <si>
    <t>Tax rate at contribution + draw</t>
  </si>
  <si>
    <t>Contribution Credit</t>
  </si>
  <si>
    <t>= Tax rate at withdrawal</t>
  </si>
  <si>
    <t>SAVER'S BENEFITS</t>
  </si>
  <si>
    <t xml:space="preserve">Benefit from tax-free profits = </t>
  </si>
  <si>
    <t>THE BENEFIT FROM TAX-FREE PROFITS</t>
  </si>
  <si>
    <t>OR</t>
  </si>
  <si>
    <t>THE PENALTY FROM A HIGHER WITHDRAWAL TAX RATE</t>
  </si>
  <si>
    <t>For short time frames what matters is the $tax saved (= tax rate * profit rate)</t>
  </si>
  <si>
    <t xml:space="preserve">TO OPTIMIZE ASSET LOCATION: </t>
  </si>
  <si>
    <t>In a long run what matters is the rate of return earned.</t>
  </si>
  <si>
    <t>Think of paying fees from inside the account as if you withdrew the funds tax-free</t>
  </si>
  <si>
    <t xml:space="preserve">The variable for the tax rate at contribution is the tax rate now,  </t>
  </si>
  <si>
    <t xml:space="preserve">       which would be the rate paid if the option to withdrawn today is chosen. </t>
  </si>
  <si>
    <t xml:space="preserve">This is the default example shown.  </t>
  </si>
  <si>
    <t xml:space="preserve">      (losing the future sheltering of profits from tax), or from funds already outside. </t>
  </si>
  <si>
    <t xml:space="preserve">If the fee is paid from outside, the funds in the account face a penalty from the </t>
  </si>
  <si>
    <t xml:space="preserve">    difference in tax rates between 0% now and the normal withdrawal rate later.  </t>
  </si>
  <si>
    <t xml:space="preserve">        But that results in future profits being taxed. </t>
  </si>
  <si>
    <t>Non-</t>
  </si>
  <si>
    <t>DEDUCTIBLE</t>
  </si>
  <si>
    <t xml:space="preserve">at </t>
  </si>
  <si>
    <t xml:space="preserve">   = Tax rate at withdrawal</t>
  </si>
  <si>
    <t xml:space="preserve">   = after-tax savings</t>
  </si>
  <si>
    <t xml:space="preserve">   = after-tax rate of return</t>
  </si>
  <si>
    <t xml:space="preserve">   = Tax rate at contribution</t>
  </si>
  <si>
    <t>Test Correct</t>
  </si>
  <si>
    <t>NON-DEDUCTIBLE IRA</t>
  </si>
  <si>
    <t>Benefit from deferral of tax on profits</t>
  </si>
  <si>
    <t>Penalty fm larger w/d tax rate</t>
  </si>
  <si>
    <t>The benefit from deferral of tax increases exponentially with the time frame.</t>
  </si>
  <si>
    <t>It is unlikely that the tax rate at withdrawal will be lower than the preferential</t>
  </si>
  <si>
    <t xml:space="preserve">    rate for investment profits in a Taxed account, so most always there will</t>
  </si>
  <si>
    <t xml:space="preserve">    be a Penalty from a higher w/d tax rate that offsets the benefit from deferral. </t>
  </si>
  <si>
    <t>The Penalty will start out higher so the account only has a net benefit after</t>
  </si>
  <si>
    <r>
      <t xml:space="preserve">     </t>
    </r>
    <r>
      <rPr>
        <sz val="11"/>
        <color rgb="FF000000"/>
        <rFont val="Arial"/>
        <family val="2"/>
      </rPr>
      <t>the lines cross in the chart.</t>
    </r>
  </si>
  <si>
    <t>The tax rate at contribution does not make much difference to WHEN the</t>
  </si>
  <si>
    <t>1)</t>
  </si>
  <si>
    <t>2)</t>
  </si>
  <si>
    <t xml:space="preserve">   net benefit becomes positive.  But the dollar benefit is greater when rate is low.</t>
  </si>
  <si>
    <t xml:space="preserve">       before paying the fee.  So the variable for the tax rate now (contribution) is 0%.</t>
  </si>
  <si>
    <t>WITHDRAW tax on profits</t>
  </si>
  <si>
    <t>Normal</t>
  </si>
  <si>
    <t>IRA</t>
  </si>
  <si>
    <t>**what***</t>
  </si>
  <si>
    <t>(taxes on profits only deferred until withdrawal) for normal IRAs .... can I</t>
  </si>
  <si>
    <t>deconstruct a normal IRA using this math?</t>
  </si>
  <si>
    <t>Unhide columns K-L and see if you can explain the ***what*** benefit</t>
  </si>
  <si>
    <t>Cost of higher MER</t>
  </si>
  <si>
    <t>= rate of return in def'd account</t>
  </si>
  <si>
    <t>Add'l MER in Def'd account</t>
  </si>
  <si>
    <t>401(k)</t>
  </si>
  <si>
    <t>UK pension with 1/4 draws tax-free</t>
  </si>
  <si>
    <t>PENSION</t>
  </si>
  <si>
    <t>SAVINGS</t>
  </si>
  <si>
    <t>1/4 draws tax free</t>
  </si>
  <si>
    <t>WITHDRAW tax - 1/4 tax-free</t>
  </si>
  <si>
    <t>BIDEN'S  ELECTION PROPOSAL FOR 26% / 20.63% TAX ON CONTRIBUTIONS</t>
  </si>
  <si>
    <t>CURRENT</t>
  </si>
  <si>
    <t>BIDEN</t>
  </si>
  <si>
    <t>$ Gross Wages saved</t>
  </si>
  <si>
    <t>ROTH</t>
  </si>
  <si>
    <t>TRAD</t>
  </si>
  <si>
    <t>Rate of return earned by investments</t>
  </si>
  <si>
    <t>ADD</t>
  </si>
  <si>
    <t>Tax rate on profits in taxable account</t>
  </si>
  <si>
    <t>Tax rate on contribution</t>
  </si>
  <si>
    <t>Income Tax at</t>
  </si>
  <si>
    <t>Tax rate on withdrawal</t>
  </si>
  <si>
    <t>Tax savings</t>
  </si>
  <si>
    <t>Invest in the account</t>
  </si>
  <si>
    <t>Gross wages</t>
  </si>
  <si>
    <t>Acount Value after</t>
  </si>
  <si>
    <t>times 20.63% deduction</t>
  </si>
  <si>
    <t>WITHDRAW</t>
  </si>
  <si>
    <t xml:space="preserve">Income Tax at </t>
  </si>
  <si>
    <t>After-tax cont'n</t>
  </si>
  <si>
    <t>times 26% credit</t>
  </si>
  <si>
    <t>SAVERS'S BENEFITS</t>
  </si>
  <si>
    <t xml:space="preserve">Benefit from tax-free growth = </t>
  </si>
  <si>
    <t xml:space="preserve">Current bonus = </t>
  </si>
  <si>
    <t>less</t>
  </si>
  <si>
    <t>Biden bonus =</t>
  </si>
  <si>
    <t xml:space="preserve">        Tax rate on withdrawal</t>
  </si>
  <si>
    <t xml:space="preserve">Tax rate on profits in taxable account         </t>
  </si>
  <si>
    <t>https://www.ifaq.gov.sg/mof/apps/fcd_faqmain.aspx#FAQ_1583</t>
  </si>
  <si>
    <t>50% of the withdrawal is tax-free.</t>
  </si>
  <si>
    <r>
      <rPr>
        <b/>
        <sz val="10"/>
        <color rgb="FF000000"/>
        <rFont val="Arial"/>
        <family val="2"/>
      </rPr>
      <t>Singapore's</t>
    </r>
    <r>
      <rPr>
        <sz val="10"/>
        <color rgb="FF000000"/>
        <rFont val="Arial"/>
        <family val="2"/>
      </rPr>
      <t xml:space="preserve"> Supplementary Retirement Scheme (SRS) is even more generous.  </t>
    </r>
  </si>
  <si>
    <t>https://www.iras.gov.sg/taxes/individual-income-tax/employees/deductions-for-individuals/special-tax-schemes/srs-contributions</t>
  </si>
  <si>
    <t>https://www.oecd.org/finance/private-pensions/42566048.pdf</t>
  </si>
  <si>
    <r>
      <rPr>
        <b/>
        <sz val="10"/>
        <rFont val="Arial"/>
        <family val="2"/>
      </rPr>
      <t>Hungary</t>
    </r>
    <r>
      <rPr>
        <sz val="10"/>
        <rFont val="Arial"/>
        <family val="2"/>
      </rPr>
      <t xml:space="preserve"> has a pre-set tax rate for contributions like the Biden plan, but at 30%.</t>
    </r>
  </si>
  <si>
    <t>After 20 years, all withdrawals are 100% tax free.</t>
  </si>
  <si>
    <t>But then in 2011 the government confiscated the funds.</t>
  </si>
  <si>
    <t>It is NOT measuring the additional cost of the higher fees on JUST</t>
  </si>
  <si>
    <t>Bob's $</t>
  </si>
  <si>
    <t>Your best friend Bob gives you his $300 to invest for him alongside your own after-tax $700.</t>
  </si>
  <si>
    <t>Benefit from Permanently Tax-free Profits on After-tax Savings</t>
  </si>
  <si>
    <t xml:space="preserve">  = $draw * difference in tax rates</t>
  </si>
  <si>
    <t>Your $</t>
  </si>
  <si>
    <t>Gov't $</t>
  </si>
  <si>
    <t>Income Tax</t>
  </si>
  <si>
    <t>@ withdrawal rate</t>
  </si>
  <si>
    <t xml:space="preserve">- at withdrawal rate =  </t>
  </si>
  <si>
    <t xml:space="preserve">The conceptual understanding here is:   The original wage income is taxed </t>
  </si>
  <si>
    <t>It equals the $draw multiplied by the difference in tax rates between contribution and withdrawal.</t>
  </si>
  <si>
    <t>The main factor determining the choice between Def'd and Exempt is this possible bonus/penalty.</t>
  </si>
  <si>
    <t xml:space="preserve">Benefit from tax-free profits on larger savings = </t>
  </si>
  <si>
    <t>fm Deferral</t>
  </si>
  <si>
    <t>Higher w/d % vs Tax % on Profits</t>
  </si>
  <si>
    <t xml:space="preserve">Are you now asking yourself ...  Since this spreadsheet measures industry's claim, </t>
  </si>
  <si>
    <t>EFFECTIVE WITHDRAWAL tax</t>
  </si>
  <si>
    <t>at</t>
  </si>
  <si>
    <t>with MATCH</t>
  </si>
  <si>
    <t>= rate of return in 401(k)</t>
  </si>
  <si>
    <t>Add'l MER in Def'd 401(k)</t>
  </si>
  <si>
    <t xml:space="preserve">Profits earned  by the larger after-tax savings, over time are tax-free.  </t>
  </si>
  <si>
    <t>contributions .. to offset this cost.</t>
  </si>
  <si>
    <t xml:space="preserve">Given these default assuptions, a choice to prefer the </t>
  </si>
  <si>
    <t>I did not break down the total saver's benefit into</t>
  </si>
  <si>
    <t>its factors because one factor impacts another so</t>
  </si>
  <si>
    <t>each cannot be measured in isolation.</t>
  </si>
  <si>
    <t>The variable for the withdrawal tax rate is the rate for retirement draws.</t>
  </si>
  <si>
    <t>Tax rate at contributions (ie.now)</t>
  </si>
  <si>
    <t>Tax rate on draws (ie.later)</t>
  </si>
  <si>
    <t>Q:  If you choose to leave the funds inside the account .....</t>
  </si>
  <si>
    <t>Is the expected timeframe long enough for the benefit from future tax-free profits</t>
  </si>
  <si>
    <t xml:space="preserve">     to exceed the penalty from a higher later withdrawal tax rate (vs today)?</t>
  </si>
  <si>
    <t>Example 1:</t>
  </si>
  <si>
    <t>Example 2:</t>
  </si>
  <si>
    <t xml:space="preserve">    But savings profits continue to be tax-free.</t>
  </si>
  <si>
    <t xml:space="preserve">Conclusion for these assumtpions :  If the remaining time frame for normal retirement </t>
  </si>
  <si>
    <t>draws is less than 26 years ...It is better to give up tax-free profits.</t>
  </si>
  <si>
    <t>So pay the fees from inside the account.</t>
  </si>
  <si>
    <t>Note :</t>
  </si>
  <si>
    <t>Cumulative Benefits</t>
  </si>
  <si>
    <t>do NOT get dynamically changed in the chart's legend</t>
  </si>
  <si>
    <t xml:space="preserve">Warning - the metric variables chosen in the spreadsheet </t>
  </si>
  <si>
    <t>for each asset. (Could not figure out how to do that.)</t>
  </si>
  <si>
    <t>- used to determine best Asset Location</t>
  </si>
  <si>
    <t>WHICH IS LARGER?  Time span matters</t>
  </si>
  <si>
    <t>... not a tax on your profits</t>
  </si>
  <si>
    <t xml:space="preserve"> Bob takes his money back (his principal and his profits) when you end the arrangement.</t>
  </si>
  <si>
    <t>This is an allocation of principal between owners</t>
  </si>
  <si>
    <t>The time span until withdrawal in retirement can only be an estimate of the average,</t>
  </si>
  <si>
    <t>Net Benefit Factors:</t>
  </si>
  <si>
    <t xml:space="preserve">  Penalty from higher withdrawal tax rate on profits (compared to the normally preferential rate of the taxed account).</t>
  </si>
  <si>
    <t xml:space="preserve">  Benefit from deferal of taxes on profits</t>
  </si>
  <si>
    <t>After-tax savings</t>
  </si>
  <si>
    <t>AfterTax Contribution$ ... multiplied by the tax% ... divided by (1 - tax%)</t>
  </si>
  <si>
    <t>Fund all with $700 after-tax savings</t>
  </si>
  <si>
    <t>Total Contribution</t>
  </si>
  <si>
    <t>Spend on vacation</t>
  </si>
  <si>
    <t>Set aside for spring vacation</t>
  </si>
  <si>
    <t>Tax refund received</t>
  </si>
  <si>
    <t xml:space="preserve"> </t>
  </si>
  <si>
    <t>As Modeled on Tab a)</t>
  </si>
  <si>
    <t>Before-tax Wages saved</t>
  </si>
  <si>
    <t>Borrowed Gross-up Contribution</t>
  </si>
  <si>
    <t>Repay emergency fund</t>
  </si>
  <si>
    <t>Tax refund received a month later</t>
  </si>
  <si>
    <t>Weighted Average Delay when Contributing with After-tax Savings</t>
  </si>
  <si>
    <t>Wages Saved</t>
  </si>
  <si>
    <t>Tax withheld</t>
  </si>
  <si>
    <t xml:space="preserve">Weighted </t>
  </si>
  <si>
    <t xml:space="preserve">After-tx Contribution </t>
  </si>
  <si>
    <t xml:space="preserve">   Contributions</t>
  </si>
  <si>
    <t>Average</t>
  </si>
  <si>
    <t>Refund contributed at year 1</t>
  </si>
  <si>
    <t xml:space="preserve">Average delay in </t>
  </si>
  <si>
    <t>Refund contributed at year 2</t>
  </si>
  <si>
    <t xml:space="preserve">recovering tax refund </t>
  </si>
  <si>
    <t>Refund contributed at year 3</t>
  </si>
  <si>
    <t>when contribute</t>
  </si>
  <si>
    <t>Refund contributed at year 4</t>
  </si>
  <si>
    <t>after-tax dollars</t>
  </si>
  <si>
    <t xml:space="preserve"> Years</t>
  </si>
  <si>
    <t>This is the critical area.</t>
  </si>
  <si>
    <t xml:space="preserve">It show where the </t>
  </si>
  <si>
    <t>the net benefit comes from.</t>
  </si>
  <si>
    <t>$ Gross wages saved</t>
  </si>
  <si>
    <t>Tax rate at contribution and withdrawal</t>
  </si>
  <si>
    <t>Etc.</t>
  </si>
  <si>
    <t xml:space="preserve">There is a growing cost to any delay collecting the tax refund ... just like you miss out when delaying </t>
  </si>
  <si>
    <t xml:space="preserve">quite large enough to fully pay the withdrawal tax.  </t>
  </si>
  <si>
    <t>So this method of funding is the least efficient ... although simple (as long as you don't just spend the refund</t>
  </si>
  <si>
    <t xml:space="preserve">when received). </t>
  </si>
  <si>
    <t>The refund (for the first refund) is contributed in the 3rd year.</t>
  </si>
  <si>
    <t>Any analysis must be an APPLES TO APPLES comparison</t>
  </si>
  <si>
    <t>the pay check funds the full $1000 right from the start.</t>
  </si>
  <si>
    <t>Total Contributions</t>
  </si>
  <si>
    <t>tax-free profits on after-tax savings.</t>
  </si>
  <si>
    <t>This is not a useful understanding of net benefits because the future withdrawal</t>
  </si>
  <si>
    <t xml:space="preserve"> tax rate is an unknown at the start ... a crucial decision metric.</t>
  </si>
  <si>
    <t>BENEFITS FROM TRADITIONAL IRA AND 401(k) ACCOUNTS</t>
  </si>
  <si>
    <t>This reflects a personal IRA account.</t>
  </si>
  <si>
    <t xml:space="preserve">       Borrow a Gross Up Contribution from your emergency fund in Feb.</t>
  </si>
  <si>
    <t>Fund all with $1,00 after-tax savings</t>
  </si>
  <si>
    <t xml:space="preserve">             E.g. a yearly vacation expense reduces savings no matter</t>
  </si>
  <si>
    <t xml:space="preserve">                              which account used.</t>
  </si>
  <si>
    <t xml:space="preserve">                     e.g., $700 * 30% / (1 - 30%) = $300 gross up</t>
  </si>
  <si>
    <t>Tax rates at contribution and withdrawal have no impact on the Tax-Exempt account.</t>
  </si>
  <si>
    <t xml:space="preserve">         AS IF at the tax rate that will be in effect in retirement withdrawal.</t>
  </si>
  <si>
    <t>An Alternate Understanding</t>
  </si>
  <si>
    <t>The hopefully lower tax rate increases the resulting after-tax portion of savings</t>
  </si>
  <si>
    <t xml:space="preserve">The withdrawal tax is always exactly funded by the government's 'ownership' </t>
  </si>
  <si>
    <t xml:space="preserve">           </t>
  </si>
  <si>
    <t xml:space="preserve"> ...  from $700 to $800 in the default assumption.</t>
  </si>
  <si>
    <t>% of the account. So there is never any bonus/penalty.</t>
  </si>
  <si>
    <t xml:space="preserve">   but higher MERs in 401(k) managed funds.</t>
  </si>
  <si>
    <t xml:space="preserve">The only benefit factor that everyone always gets (from both Traditional and Roth accounts) is the ... </t>
  </si>
  <si>
    <t>Gov't</t>
  </si>
  <si>
    <t>Think of Traditional accounts as .....</t>
  </si>
  <si>
    <t>This $300 is never 'yours'.  It is never 'a benefit' for you,</t>
  </si>
  <si>
    <t>or 'a reason' to save in this account.</t>
  </si>
  <si>
    <t>Profits are not taxed, ever; neither your $2,100 or Bob's $900.</t>
  </si>
  <si>
    <t>This reflects an employer sponsored TRAD 401(k) where</t>
  </si>
  <si>
    <t xml:space="preserve">                     Use the TRAD's refund to fund normal expenses</t>
  </si>
  <si>
    <t>The TRAD's refund is contributed with the next year's savings.</t>
  </si>
  <si>
    <t>collecting your IOUs.  The Government's money will not grow to quite equal the $1,200 modelled, so it won't be</t>
  </si>
  <si>
    <t>Traditional account's Bonus (Penalty) From Lower (Higher) Withdrawal Tax Rate</t>
  </si>
  <si>
    <t xml:space="preserve">BUT it reinforces the idea that the TRAD's main benefit is from permanently </t>
  </si>
  <si>
    <t>It also shows how the expectation of a different w/d tax rate changes asset</t>
  </si>
  <si>
    <t>allocations.  If the ROTH and TRAD accounts were presumed to hold different assets</t>
  </si>
  <si>
    <t xml:space="preserve"> ... what started as equal 700 / 700 weightings ... now are weighted 700 / 800.</t>
  </si>
  <si>
    <t>Cost of higher MERs charged on 401(k) TRADITIONAL account assets</t>
  </si>
  <si>
    <t>This model assumes cheap DIY investments in ROTH accounts,</t>
  </si>
  <si>
    <t xml:space="preserve"> the Gov's money (which is what some papers are measuring).</t>
  </si>
  <si>
    <t>The IRA  account is being modeled to grow at 8%,</t>
  </si>
  <si>
    <t xml:space="preserve">the basic rate of return ... while the 401(k) account </t>
  </si>
  <si>
    <t>has a higher MER and grows at 7%.</t>
  </si>
  <si>
    <t>withdrawal tax (when at the same rate as at contribution).</t>
  </si>
  <si>
    <t xml:space="preserve">The Government's money continues to fully pay the </t>
  </si>
  <si>
    <t xml:space="preserve">at a lower tax rate to create a bonus, or b) company matching </t>
  </si>
  <si>
    <t>401(k) TRADITIONAL account would require either a) withdrawals</t>
  </si>
  <si>
    <t>Higher MER investments, but gets COMPANY MATCH in the 401(k)</t>
  </si>
  <si>
    <t xml:space="preserve">IRA  </t>
  </si>
  <si>
    <t>401(k) TRAD</t>
  </si>
  <si>
    <t>You may choose between paying account fees from inside a DEFERRED account,</t>
  </si>
  <si>
    <t>You may choose an early withdrawal now to optimize the withdrawal tax rate.</t>
  </si>
  <si>
    <t>because draws are spread over decades. So a rough average must be used.</t>
  </si>
  <si>
    <t>Chart's legend is not dynamic if you change variables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</si>
</sst>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5" formatCode="&quot;$&quot;#,##0;\-&quot;$&quot;#,##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0.0%"/>
    <numFmt numFmtId="166" formatCode="_-* #,##0_-;\-* #,##0_-;_-* \-??_-;_-@_-"/>
    <numFmt numFmtId="167" formatCode="_-* #,##0.0_-;\-* #,##0.0_-;_-* \-??_-;_-@_-"/>
    <numFmt numFmtId="168" formatCode="#,##0;[Red]\(#,##0\)"/>
    <numFmt numFmtId="169" formatCode="#,##0;[Red]#,##0"/>
    <numFmt numFmtId="170" formatCode="&quot;$&quot;#,##0"/>
    <numFmt numFmtId="171" formatCode="&quot;$&quot;#,##0.00"/>
    <numFmt numFmtId="172" formatCode="&quot;$&quot;#,##0;[Red]&quot;$&quot;#,##0"/>
    <numFmt numFmtId="173" formatCode="0;[Red]0"/>
    <numFmt numFmtId="174" formatCode="#%;[Red]#%"/>
    <numFmt numFmtId="175" formatCode="_-* #,##0.0_-;\-* #,##0.0_-;_-* &quot;-&quot;??_-;_-@_-"/>
    <numFmt numFmtId="176" formatCode="0.0"/>
  </numFmts>
  <fonts count="37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632523"/>
      <name val="Arial"/>
      <family val="2"/>
    </font>
    <font>
      <i/>
      <sz val="11"/>
      <color rgb="FF000000"/>
      <name val="Arial"/>
      <family val="2"/>
    </font>
    <font>
      <b/>
      <i/>
      <sz val="11"/>
      <color rgb="FF000000"/>
      <name val="Arial"/>
      <family val="2"/>
    </font>
    <font>
      <sz val="10"/>
      <name val="Arial"/>
      <family val="2"/>
    </font>
    <font>
      <i/>
      <sz val="10"/>
      <color rgb="FF000000"/>
      <name val="Arial"/>
      <family val="2"/>
    </font>
    <font>
      <b/>
      <i/>
      <sz val="10"/>
      <color rgb="FF000000"/>
      <name val="Arial"/>
      <family val="2"/>
    </font>
    <font>
      <i/>
      <sz val="1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5" tint="-0.499984740745262"/>
      <name val="Arial"/>
      <family val="2"/>
    </font>
    <font>
      <i/>
      <sz val="10"/>
      <color theme="1"/>
      <name val="Arial"/>
      <family val="2"/>
    </font>
    <font>
      <i/>
      <sz val="8"/>
      <color theme="1"/>
      <name val="Arial"/>
      <family val="2"/>
    </font>
    <font>
      <b/>
      <sz val="12"/>
      <color rgb="FFFF0000"/>
      <name val="Arial"/>
      <family val="2"/>
    </font>
    <font>
      <sz val="10"/>
      <name val="Arial"/>
    </font>
    <font>
      <i/>
      <sz val="9"/>
      <color rgb="FF000000"/>
      <name val="Arial"/>
      <family val="2"/>
    </font>
    <font>
      <sz val="10"/>
      <color rgb="FFFF0000"/>
      <name val="Arial"/>
      <family val="2"/>
    </font>
    <font>
      <sz val="9"/>
      <color rgb="FFFF0000"/>
      <name val="Arial"/>
      <family val="2"/>
    </font>
    <font>
      <sz val="10"/>
      <color theme="5" tint="-0.499984740745262"/>
      <name val="Arial"/>
      <family val="2"/>
    </font>
    <font>
      <b/>
      <sz val="14"/>
      <color rgb="FF000000"/>
      <name val="Arial"/>
      <family val="2"/>
    </font>
    <font>
      <sz val="14"/>
      <name val="Arial"/>
      <family val="2"/>
    </font>
    <font>
      <b/>
      <sz val="10"/>
      <color rgb="FFFF0000"/>
      <name val="Arial"/>
      <family val="2"/>
    </font>
    <font>
      <sz val="12"/>
      <name val="Arial"/>
      <family val="2"/>
    </font>
    <font>
      <i/>
      <sz val="12"/>
      <color rgb="FF000000"/>
      <name val="Microsoft New Tai Lue"/>
      <family val="2"/>
    </font>
    <font>
      <b/>
      <sz val="11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26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4" fontId="26" fillId="0" borderId="0" applyFont="0" applyFill="0" applyBorder="0" applyAlignment="0" applyProtection="0"/>
  </cellStyleXfs>
  <cellXfs count="495">
    <xf numFmtId="0" fontId="0" fillId="0" borderId="0" xfId="0"/>
    <xf numFmtId="164" fontId="0" fillId="0" borderId="0" xfId="1" applyNumberFormat="1" applyFont="1" applyAlignment="1">
      <alignment horizontal="right"/>
    </xf>
    <xf numFmtId="164" fontId="0" fillId="0" borderId="0" xfId="1" applyNumberFormat="1" applyFont="1" applyAlignment="1">
      <alignment horizontal="left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38" fontId="3" fillId="0" borderId="0" xfId="0" applyNumberFormat="1" applyFont="1"/>
    <xf numFmtId="0" fontId="5" fillId="0" borderId="0" xfId="0" applyFont="1" applyAlignment="1">
      <alignment horizontal="right"/>
    </xf>
    <xf numFmtId="0" fontId="7" fillId="0" borderId="0" xfId="0" applyFont="1"/>
    <xf numFmtId="166" fontId="7" fillId="0" borderId="0" xfId="1" applyNumberFormat="1" applyFont="1" applyFill="1" applyBorder="1"/>
    <xf numFmtId="0" fontId="7" fillId="0" borderId="0" xfId="0" applyFont="1" applyAlignment="1">
      <alignment horizontal="center"/>
    </xf>
    <xf numFmtId="0" fontId="4" fillId="0" borderId="4" xfId="0" applyFont="1" applyBorder="1"/>
    <xf numFmtId="172" fontId="7" fillId="0" borderId="0" xfId="0" applyNumberFormat="1" applyFont="1"/>
    <xf numFmtId="172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169" fontId="7" fillId="0" borderId="0" xfId="0" applyNumberFormat="1" applyFont="1"/>
    <xf numFmtId="166" fontId="8" fillId="0" borderId="0" xfId="1" applyNumberFormat="1" applyFont="1" applyFill="1" applyBorder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8" fillId="0" borderId="0" xfId="0" applyFont="1" applyAlignment="1">
      <alignment horizontal="left"/>
    </xf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center"/>
    </xf>
    <xf numFmtId="164" fontId="3" fillId="0" borderId="0" xfId="1" applyNumberFormat="1" applyFont="1" applyAlignment="1">
      <alignment horizontal="right"/>
    </xf>
    <xf numFmtId="0" fontId="5" fillId="0" borderId="4" xfId="0" applyFont="1" applyBorder="1"/>
    <xf numFmtId="0" fontId="5" fillId="0" borderId="6" xfId="0" applyFont="1" applyBorder="1"/>
    <xf numFmtId="0" fontId="5" fillId="0" borderId="8" xfId="0" applyFont="1" applyBorder="1"/>
    <xf numFmtId="0" fontId="5" fillId="0" borderId="7" xfId="0" applyFont="1" applyBorder="1"/>
    <xf numFmtId="164" fontId="5" fillId="0" borderId="0" xfId="1" applyNumberFormat="1" applyFont="1" applyAlignment="1">
      <alignment horizontal="right"/>
    </xf>
    <xf numFmtId="0" fontId="5" fillId="0" borderId="1" xfId="0" applyFont="1" applyBorder="1"/>
    <xf numFmtId="0" fontId="5" fillId="0" borderId="2" xfId="0" applyFont="1" applyBorder="1"/>
    <xf numFmtId="164" fontId="5" fillId="0" borderId="2" xfId="1" applyNumberFormat="1" applyFont="1" applyBorder="1" applyAlignment="1">
      <alignment horizontal="right"/>
    </xf>
    <xf numFmtId="164" fontId="5" fillId="0" borderId="3" xfId="1" applyNumberFormat="1" applyFont="1" applyBorder="1" applyAlignment="1">
      <alignment horizontal="right"/>
    </xf>
    <xf numFmtId="164" fontId="5" fillId="0" borderId="0" xfId="1" applyNumberFormat="1" applyFont="1" applyBorder="1" applyAlignment="1">
      <alignment horizontal="right"/>
    </xf>
    <xf numFmtId="164" fontId="5" fillId="0" borderId="5" xfId="1" applyNumberFormat="1" applyFont="1" applyBorder="1" applyAlignment="1">
      <alignment horizontal="right"/>
    </xf>
    <xf numFmtId="164" fontId="5" fillId="2" borderId="0" xfId="1" applyNumberFormat="1" applyFont="1" applyFill="1" applyBorder="1"/>
    <xf numFmtId="164" fontId="5" fillId="0" borderId="0" xfId="1" applyNumberFormat="1" applyFont="1" applyBorder="1" applyAlignment="1">
      <alignment horizontal="left"/>
    </xf>
    <xf numFmtId="164" fontId="5" fillId="0" borderId="0" xfId="1" applyNumberFormat="1" applyFont="1" applyFill="1" applyBorder="1" applyAlignment="1">
      <alignment horizontal="right"/>
    </xf>
    <xf numFmtId="9" fontId="5" fillId="2" borderId="0" xfId="3" applyFont="1" applyFill="1" applyBorder="1"/>
    <xf numFmtId="9" fontId="5" fillId="0" borderId="0" xfId="3" applyFont="1" applyFill="1" applyBorder="1" applyAlignment="1">
      <alignment horizontal="right"/>
    </xf>
    <xf numFmtId="165" fontId="5" fillId="0" borderId="0" xfId="3" applyNumberFormat="1" applyFont="1" applyFill="1" applyBorder="1" applyAlignment="1">
      <alignment horizontal="right"/>
    </xf>
    <xf numFmtId="164" fontId="5" fillId="0" borderId="7" xfId="1" applyNumberFormat="1" applyFont="1" applyBorder="1" applyAlignment="1">
      <alignment horizontal="right"/>
    </xf>
    <xf numFmtId="164" fontId="5" fillId="0" borderId="8" xfId="1" applyNumberFormat="1" applyFont="1" applyBorder="1" applyAlignment="1">
      <alignment horizontal="right"/>
    </xf>
    <xf numFmtId="38" fontId="4" fillId="0" borderId="0" xfId="0" applyNumberFormat="1" applyFont="1"/>
    <xf numFmtId="38" fontId="4" fillId="4" borderId="7" xfId="0" applyNumberFormat="1" applyFont="1" applyFill="1" applyBorder="1" applyAlignment="1">
      <alignment horizontal="right"/>
    </xf>
    <xf numFmtId="38" fontId="4" fillId="5" borderId="7" xfId="0" applyNumberFormat="1" applyFont="1" applyFill="1" applyBorder="1" applyAlignment="1">
      <alignment horizontal="right"/>
    </xf>
    <xf numFmtId="38" fontId="4" fillId="6" borderId="7" xfId="0" applyNumberFormat="1" applyFont="1" applyFill="1" applyBorder="1" applyAlignment="1">
      <alignment horizontal="right"/>
    </xf>
    <xf numFmtId="166" fontId="5" fillId="4" borderId="0" xfId="1" applyNumberFormat="1" applyFont="1" applyFill="1" applyBorder="1"/>
    <xf numFmtId="166" fontId="5" fillId="0" borderId="0" xfId="1" applyNumberFormat="1" applyFont="1" applyBorder="1" applyAlignment="1">
      <alignment horizontal="left"/>
    </xf>
    <xf numFmtId="38" fontId="4" fillId="0" borderId="0" xfId="1" applyNumberFormat="1" applyFont="1" applyBorder="1"/>
    <xf numFmtId="166" fontId="5" fillId="0" borderId="0" xfId="1" applyNumberFormat="1" applyFont="1" applyBorder="1"/>
    <xf numFmtId="166" fontId="5" fillId="5" borderId="0" xfId="1" applyNumberFormat="1" applyFont="1" applyFill="1" applyBorder="1"/>
    <xf numFmtId="166" fontId="5" fillId="6" borderId="0" xfId="1" applyNumberFormat="1" applyFont="1" applyFill="1" applyBorder="1"/>
    <xf numFmtId="165" fontId="5" fillId="4" borderId="0" xfId="3" applyNumberFormat="1" applyFont="1" applyFill="1" applyBorder="1"/>
    <xf numFmtId="165" fontId="5" fillId="0" borderId="0" xfId="0" applyNumberFormat="1" applyFont="1"/>
    <xf numFmtId="165" fontId="5" fillId="5" borderId="0" xfId="3" applyNumberFormat="1" applyFont="1" applyFill="1" applyBorder="1"/>
    <xf numFmtId="165" fontId="5" fillId="6" borderId="0" xfId="3" applyNumberFormat="1" applyFont="1" applyFill="1" applyBorder="1"/>
    <xf numFmtId="9" fontId="5" fillId="4" borderId="0" xfId="3" applyFont="1" applyFill="1" applyBorder="1"/>
    <xf numFmtId="9" fontId="5" fillId="5" borderId="0" xfId="3" applyFont="1" applyFill="1" applyBorder="1"/>
    <xf numFmtId="9" fontId="5" fillId="6" borderId="0" xfId="3" applyFont="1" applyFill="1" applyBorder="1"/>
    <xf numFmtId="165" fontId="5" fillId="7" borderId="0" xfId="3" applyNumberFormat="1" applyFont="1" applyFill="1" applyBorder="1"/>
    <xf numFmtId="0" fontId="4" fillId="0" borderId="10" xfId="0" applyFont="1" applyBorder="1"/>
    <xf numFmtId="167" fontId="4" fillId="0" borderId="11" xfId="1" applyNumberFormat="1" applyFont="1" applyBorder="1"/>
    <xf numFmtId="10" fontId="5" fillId="0" borderId="12" xfId="0" applyNumberFormat="1" applyFont="1" applyBorder="1"/>
    <xf numFmtId="38" fontId="4" fillId="0" borderId="12" xfId="0" applyNumberFormat="1" applyFont="1" applyBorder="1"/>
    <xf numFmtId="0" fontId="5" fillId="0" borderId="12" xfId="0" applyFont="1" applyBorder="1"/>
    <xf numFmtId="38" fontId="4" fillId="0" borderId="13" xfId="0" applyNumberFormat="1" applyFont="1" applyBorder="1"/>
    <xf numFmtId="0" fontId="4" fillId="0" borderId="14" xfId="0" applyFont="1" applyBorder="1"/>
    <xf numFmtId="167" fontId="4" fillId="0" borderId="15" xfId="1" applyNumberFormat="1" applyFont="1" applyBorder="1"/>
    <xf numFmtId="10" fontId="5" fillId="0" borderId="16" xfId="0" applyNumberFormat="1" applyFont="1" applyBorder="1"/>
    <xf numFmtId="38" fontId="4" fillId="0" borderId="16" xfId="0" applyNumberFormat="1" applyFont="1" applyBorder="1"/>
    <xf numFmtId="0" fontId="5" fillId="0" borderId="16" xfId="0" applyFont="1" applyBorder="1"/>
    <xf numFmtId="38" fontId="4" fillId="0" borderId="17" xfId="0" applyNumberFormat="1" applyFont="1" applyBorder="1"/>
    <xf numFmtId="0" fontId="5" fillId="0" borderId="18" xfId="0" applyFont="1" applyBorder="1"/>
    <xf numFmtId="38" fontId="4" fillId="0" borderId="0" xfId="0" applyNumberFormat="1" applyFont="1" applyAlignment="1">
      <alignment horizontal="center"/>
    </xf>
    <xf numFmtId="0" fontId="5" fillId="0" borderId="8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38" fontId="5" fillId="0" borderId="7" xfId="0" applyNumberFormat="1" applyFont="1" applyBorder="1" applyAlignment="1">
      <alignment horizontal="right"/>
    </xf>
    <xf numFmtId="166" fontId="5" fillId="0" borderId="4" xfId="1" applyNumberFormat="1" applyFont="1" applyBorder="1"/>
    <xf numFmtId="166" fontId="5" fillId="0" borderId="0" xfId="0" applyNumberFormat="1" applyFont="1"/>
    <xf numFmtId="166" fontId="11" fillId="0" borderId="0" xfId="1" applyNumberFormat="1" applyFont="1" applyFill="1" applyBorder="1"/>
    <xf numFmtId="0" fontId="11" fillId="0" borderId="0" xfId="0" applyFont="1" applyAlignment="1">
      <alignment horizontal="left"/>
    </xf>
    <xf numFmtId="166" fontId="11" fillId="0" borderId="1" xfId="1" applyNumberFormat="1" applyFont="1" applyFill="1" applyBorder="1"/>
    <xf numFmtId="166" fontId="11" fillId="0" borderId="2" xfId="1" applyNumberFormat="1" applyFont="1" applyFill="1" applyBorder="1"/>
    <xf numFmtId="0" fontId="11" fillId="0" borderId="2" xfId="0" applyFont="1" applyBorder="1" applyAlignment="1">
      <alignment horizontal="left"/>
    </xf>
    <xf numFmtId="0" fontId="11" fillId="0" borderId="2" xfId="0" applyFont="1" applyBorder="1"/>
    <xf numFmtId="0" fontId="10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4" xfId="0" applyFont="1" applyBorder="1"/>
    <xf numFmtId="166" fontId="11" fillId="0" borderId="4" xfId="1" applyNumberFormat="1" applyFont="1" applyFill="1" applyBorder="1"/>
    <xf numFmtId="169" fontId="10" fillId="0" borderId="7" xfId="1" applyNumberFormat="1" applyFont="1" applyFill="1" applyBorder="1" applyAlignment="1">
      <alignment horizontal="center"/>
    </xf>
    <xf numFmtId="169" fontId="10" fillId="0" borderId="0" xfId="1" applyNumberFormat="1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169" fontId="11" fillId="0" borderId="0" xfId="1" applyNumberFormat="1" applyFont="1" applyFill="1" applyBorder="1"/>
    <xf numFmtId="169" fontId="11" fillId="0" borderId="0" xfId="1" applyNumberFormat="1" applyFont="1" applyFill="1" applyBorder="1" applyAlignment="1">
      <alignment horizontal="center"/>
    </xf>
    <xf numFmtId="169" fontId="11" fillId="0" borderId="0" xfId="1" applyNumberFormat="1" applyFont="1" applyFill="1" applyBorder="1" applyAlignment="1">
      <alignment horizontal="right"/>
    </xf>
    <xf numFmtId="169" fontId="10" fillId="0" borderId="0" xfId="1" applyNumberFormat="1" applyFont="1" applyFill="1" applyBorder="1" applyAlignment="1">
      <alignment horizontal="right"/>
    </xf>
    <xf numFmtId="9" fontId="13" fillId="0" borderId="0" xfId="3" quotePrefix="1" applyFont="1" applyFill="1" applyBorder="1" applyAlignment="1">
      <alignment horizontal="center"/>
    </xf>
    <xf numFmtId="0" fontId="11" fillId="0" borderId="7" xfId="0" applyFont="1" applyBorder="1"/>
    <xf numFmtId="169" fontId="11" fillId="0" borderId="7" xfId="1" applyNumberFormat="1" applyFont="1" applyFill="1" applyBorder="1" applyAlignment="1">
      <alignment horizontal="right"/>
    </xf>
    <xf numFmtId="165" fontId="13" fillId="0" borderId="0" xfId="0" applyNumberFormat="1" applyFont="1" applyAlignment="1">
      <alignment horizontal="right"/>
    </xf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horizontal="left" vertical="top"/>
    </xf>
    <xf numFmtId="169" fontId="13" fillId="0" borderId="0" xfId="1" applyNumberFormat="1" applyFont="1" applyFill="1" applyBorder="1" applyAlignment="1">
      <alignment horizontal="right" vertical="top"/>
    </xf>
    <xf numFmtId="169" fontId="11" fillId="0" borderId="0" xfId="0" applyNumberFormat="1" applyFont="1" applyAlignment="1">
      <alignment horizontal="right"/>
    </xf>
    <xf numFmtId="0" fontId="13" fillId="0" borderId="0" xfId="0" applyFont="1" applyAlignment="1">
      <alignment vertical="top"/>
    </xf>
    <xf numFmtId="169" fontId="13" fillId="0" borderId="7" xfId="1" applyNumberFormat="1" applyFont="1" applyFill="1" applyBorder="1" applyAlignment="1">
      <alignment horizontal="right" vertical="top"/>
    </xf>
    <xf numFmtId="169" fontId="14" fillId="0" borderId="7" xfId="1" applyNumberFormat="1" applyFont="1" applyFill="1" applyBorder="1" applyAlignment="1">
      <alignment horizontal="right" vertical="top"/>
    </xf>
    <xf numFmtId="166" fontId="13" fillId="0" borderId="0" xfId="0" quotePrefix="1" applyNumberFormat="1" applyFont="1" applyAlignment="1">
      <alignment horizontal="right"/>
    </xf>
    <xf numFmtId="0" fontId="13" fillId="0" borderId="0" xfId="0" applyFont="1" applyAlignment="1">
      <alignment horizontal="left"/>
    </xf>
    <xf numFmtId="0" fontId="11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9" fontId="11" fillId="0" borderId="0" xfId="3" applyFont="1" applyFill="1" applyBorder="1" applyAlignment="1">
      <alignment horizontal="right"/>
    </xf>
    <xf numFmtId="0" fontId="5" fillId="0" borderId="0" xfId="0" quotePrefix="1" applyFont="1" applyAlignment="1">
      <alignment horizontal="right"/>
    </xf>
    <xf numFmtId="9" fontId="13" fillId="0" borderId="0" xfId="3" applyFont="1" applyFill="1" applyBorder="1" applyAlignment="1">
      <alignment horizontal="left"/>
    </xf>
    <xf numFmtId="169" fontId="11" fillId="0" borderId="0" xfId="1" quotePrefix="1" applyNumberFormat="1" applyFont="1" applyFill="1" applyBorder="1" applyAlignment="1">
      <alignment horizontal="right"/>
    </xf>
    <xf numFmtId="0" fontId="11" fillId="0" borderId="0" xfId="0" quotePrefix="1" applyFont="1" applyAlignment="1">
      <alignment horizontal="right"/>
    </xf>
    <xf numFmtId="174" fontId="13" fillId="0" borderId="0" xfId="3" quotePrefix="1" applyNumberFormat="1" applyFont="1" applyFill="1" applyBorder="1" applyAlignment="1">
      <alignment horizontal="left"/>
    </xf>
    <xf numFmtId="169" fontId="11" fillId="0" borderId="9" xfId="1" applyNumberFormat="1" applyFont="1" applyFill="1" applyBorder="1" applyAlignment="1">
      <alignment horizontal="right"/>
    </xf>
    <xf numFmtId="164" fontId="11" fillId="0" borderId="0" xfId="1" applyNumberFormat="1" applyFont="1" applyFill="1" applyBorder="1" applyAlignment="1">
      <alignment horizontal="center"/>
    </xf>
    <xf numFmtId="164" fontId="11" fillId="0" borderId="0" xfId="0" applyNumberFormat="1" applyFont="1"/>
    <xf numFmtId="173" fontId="11" fillId="0" borderId="0" xfId="0" applyNumberFormat="1" applyFont="1"/>
    <xf numFmtId="0" fontId="11" fillId="0" borderId="0" xfId="0" quotePrefix="1" applyFont="1"/>
    <xf numFmtId="169" fontId="10" fillId="0" borderId="0" xfId="1" applyNumberFormat="1" applyFont="1" applyFill="1" applyBorder="1" applyAlignment="1">
      <alignment horizontal="left"/>
    </xf>
    <xf numFmtId="164" fontId="10" fillId="0" borderId="9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6" fontId="11" fillId="0" borderId="6" xfId="1" applyNumberFormat="1" applyFont="1" applyFill="1" applyBorder="1"/>
    <xf numFmtId="166" fontId="11" fillId="0" borderId="7" xfId="1" applyNumberFormat="1" applyFont="1" applyFill="1" applyBorder="1"/>
    <xf numFmtId="0" fontId="11" fillId="0" borderId="7" xfId="0" applyFont="1" applyBorder="1" applyAlignment="1">
      <alignment horizontal="left"/>
    </xf>
    <xf numFmtId="0" fontId="10" fillId="0" borderId="7" xfId="0" applyFont="1" applyBorder="1" applyAlignment="1">
      <alignment horizontal="center"/>
    </xf>
    <xf numFmtId="169" fontId="11" fillId="0" borderId="7" xfId="1" applyNumberFormat="1" applyFont="1" applyFill="1" applyBorder="1" applyAlignment="1">
      <alignment horizontal="center"/>
    </xf>
    <xf numFmtId="5" fontId="11" fillId="0" borderId="0" xfId="0" applyNumberFormat="1" applyFont="1"/>
    <xf numFmtId="165" fontId="11" fillId="0" borderId="0" xfId="3" applyNumberFormat="1" applyFont="1" applyFill="1" applyBorder="1" applyAlignment="1">
      <alignment horizontal="right"/>
    </xf>
    <xf numFmtId="171" fontId="11" fillId="0" borderId="0" xfId="2" applyNumberFormat="1" applyFont="1" applyFill="1" applyBorder="1"/>
    <xf numFmtId="166" fontId="11" fillId="0" borderId="2" xfId="1" applyNumberFormat="1" applyFont="1" applyFill="1" applyBorder="1" applyAlignment="1">
      <alignment horizontal="left"/>
    </xf>
    <xf numFmtId="0" fontId="11" fillId="0" borderId="3" xfId="0" applyFont="1" applyBorder="1"/>
    <xf numFmtId="168" fontId="11" fillId="0" borderId="0" xfId="0" applyNumberFormat="1" applyFont="1"/>
    <xf numFmtId="43" fontId="11" fillId="0" borderId="0" xfId="1" applyFont="1" applyFill="1" applyBorder="1"/>
    <xf numFmtId="0" fontId="11" fillId="0" borderId="5" xfId="0" applyFont="1" applyBorder="1"/>
    <xf numFmtId="165" fontId="10" fillId="0" borderId="0" xfId="3" applyNumberFormat="1" applyFont="1" applyFill="1" applyBorder="1" applyAlignment="1">
      <alignment horizontal="right"/>
    </xf>
    <xf numFmtId="171" fontId="10" fillId="0" borderId="0" xfId="2" applyNumberFormat="1" applyFont="1" applyFill="1" applyBorder="1"/>
    <xf numFmtId="0" fontId="11" fillId="0" borderId="6" xfId="0" applyFont="1" applyBorder="1"/>
    <xf numFmtId="168" fontId="11" fillId="0" borderId="7" xfId="0" applyNumberFormat="1" applyFont="1" applyBorder="1"/>
    <xf numFmtId="0" fontId="10" fillId="0" borderId="7" xfId="0" applyFont="1" applyBorder="1"/>
    <xf numFmtId="43" fontId="11" fillId="0" borderId="7" xfId="1" applyFont="1" applyFill="1" applyBorder="1"/>
    <xf numFmtId="0" fontId="11" fillId="0" borderId="8" xfId="0" applyFont="1" applyBorder="1"/>
    <xf numFmtId="169" fontId="11" fillId="0" borderId="0" xfId="0" applyNumberFormat="1" applyFont="1"/>
    <xf numFmtId="0" fontId="11" fillId="3" borderId="0" xfId="0" applyFont="1" applyFill="1" applyAlignment="1">
      <alignment horizontal="left"/>
    </xf>
    <xf numFmtId="169" fontId="11" fillId="3" borderId="0" xfId="1" applyNumberFormat="1" applyFont="1" applyFill="1" applyBorder="1" applyAlignment="1">
      <alignment horizontal="right"/>
    </xf>
    <xf numFmtId="169" fontId="10" fillId="3" borderId="0" xfId="1" applyNumberFormat="1" applyFont="1" applyFill="1" applyBorder="1" applyAlignment="1">
      <alignment horizontal="right"/>
    </xf>
    <xf numFmtId="0" fontId="11" fillId="3" borderId="0" xfId="0" applyFont="1" applyFill="1"/>
    <xf numFmtId="0" fontId="11" fillId="3" borderId="0" xfId="0" applyFont="1" applyFill="1" applyAlignment="1">
      <alignment horizontal="center"/>
    </xf>
    <xf numFmtId="0" fontId="10" fillId="3" borderId="0" xfId="0" applyFont="1" applyFill="1" applyAlignment="1">
      <alignment horizontal="center"/>
    </xf>
    <xf numFmtId="166" fontId="11" fillId="3" borderId="0" xfId="1" applyNumberFormat="1" applyFont="1" applyFill="1" applyBorder="1"/>
    <xf numFmtId="0" fontId="11" fillId="3" borderId="0" xfId="0" quotePrefix="1" applyFont="1" applyFill="1" applyAlignment="1">
      <alignment horizontal="right"/>
    </xf>
    <xf numFmtId="174" fontId="13" fillId="3" borderId="0" xfId="3" quotePrefix="1" applyNumberFormat="1" applyFont="1" applyFill="1" applyBorder="1" applyAlignment="1">
      <alignment horizontal="left"/>
    </xf>
    <xf numFmtId="173" fontId="11" fillId="3" borderId="0" xfId="1" applyNumberFormat="1" applyFont="1" applyFill="1" applyBorder="1" applyAlignment="1">
      <alignment horizontal="right"/>
    </xf>
    <xf numFmtId="164" fontId="11" fillId="3" borderId="0" xfId="1" applyNumberFormat="1" applyFont="1" applyFill="1" applyBorder="1" applyAlignment="1">
      <alignment horizontal="center"/>
    </xf>
    <xf numFmtId="0" fontId="10" fillId="0" borderId="2" xfId="0" applyFont="1" applyBorder="1" applyAlignment="1">
      <alignment horizontal="right"/>
    </xf>
    <xf numFmtId="169" fontId="11" fillId="0" borderId="2" xfId="1" applyNumberFormat="1" applyFont="1" applyFill="1" applyBorder="1" applyAlignment="1">
      <alignment horizontal="right"/>
    </xf>
    <xf numFmtId="169" fontId="10" fillId="0" borderId="2" xfId="1" applyNumberFormat="1" applyFont="1" applyFill="1" applyBorder="1" applyAlignment="1">
      <alignment horizontal="right"/>
    </xf>
    <xf numFmtId="169" fontId="11" fillId="0" borderId="3" xfId="1" applyNumberFormat="1" applyFont="1" applyFill="1" applyBorder="1" applyAlignment="1">
      <alignment horizontal="right"/>
    </xf>
    <xf numFmtId="169" fontId="11" fillId="0" borderId="5" xfId="1" applyNumberFormat="1" applyFont="1" applyFill="1" applyBorder="1"/>
    <xf numFmtId="169" fontId="10" fillId="3" borderId="0" xfId="1" applyNumberFormat="1" applyFont="1" applyFill="1" applyBorder="1" applyAlignment="1">
      <alignment horizontal="center"/>
    </xf>
    <xf numFmtId="169" fontId="11" fillId="3" borderId="0" xfId="1" applyNumberFormat="1" applyFont="1" applyFill="1" applyBorder="1"/>
    <xf numFmtId="169" fontId="11" fillId="3" borderId="0" xfId="1" applyNumberFormat="1" applyFont="1" applyFill="1" applyBorder="1" applyAlignment="1">
      <alignment horizontal="center"/>
    </xf>
    <xf numFmtId="0" fontId="11" fillId="3" borderId="0" xfId="0" quotePrefix="1" applyFont="1" applyFill="1"/>
    <xf numFmtId="0" fontId="11" fillId="0" borderId="7" xfId="0" applyFont="1" applyBorder="1" applyAlignment="1">
      <alignment horizontal="center"/>
    </xf>
    <xf numFmtId="0" fontId="11" fillId="0" borderId="0" xfId="0" quotePrefix="1" applyFont="1" applyAlignment="1">
      <alignment horizontal="left"/>
    </xf>
    <xf numFmtId="166" fontId="5" fillId="8" borderId="0" xfId="1" applyNumberFormat="1" applyFont="1" applyFill="1" applyBorder="1" applyAlignment="1" applyProtection="1"/>
    <xf numFmtId="170" fontId="5" fillId="8" borderId="0" xfId="2" applyNumberFormat="1" applyFont="1" applyFill="1" applyBorder="1" applyAlignment="1" applyProtection="1"/>
    <xf numFmtId="165" fontId="5" fillId="8" borderId="0" xfId="3" applyNumberFormat="1" applyFont="1" applyFill="1" applyBorder="1" applyAlignment="1" applyProtection="1"/>
    <xf numFmtId="168" fontId="4" fillId="8" borderId="7" xfId="0" applyNumberFormat="1" applyFont="1" applyFill="1" applyBorder="1" applyAlignment="1">
      <alignment horizontal="right"/>
    </xf>
    <xf numFmtId="0" fontId="15" fillId="0" borderId="0" xfId="0" applyFont="1"/>
    <xf numFmtId="164" fontId="15" fillId="0" borderId="0" xfId="1" applyNumberFormat="1" applyFont="1" applyAlignment="1">
      <alignment horizontal="right"/>
    </xf>
    <xf numFmtId="164" fontId="9" fillId="0" borderId="0" xfId="1" applyNumberFormat="1" applyFont="1"/>
    <xf numFmtId="175" fontId="0" fillId="0" borderId="0" xfId="1" applyNumberFormat="1" applyFont="1"/>
    <xf numFmtId="164" fontId="0" fillId="0" borderId="0" xfId="1" applyNumberFormat="1" applyFont="1"/>
    <xf numFmtId="43" fontId="0" fillId="0" borderId="0" xfId="1" applyFont="1"/>
    <xf numFmtId="164" fontId="9" fillId="0" borderId="0" xfId="1" applyNumberFormat="1" applyFont="1" applyBorder="1"/>
    <xf numFmtId="173" fontId="0" fillId="0" borderId="0" xfId="0" applyNumberFormat="1"/>
    <xf numFmtId="173" fontId="7" fillId="0" borderId="0" xfId="0" applyNumberFormat="1" applyFont="1"/>
    <xf numFmtId="0" fontId="7" fillId="0" borderId="3" xfId="0" applyFont="1" applyBorder="1"/>
    <xf numFmtId="0" fontId="7" fillId="0" borderId="5" xfId="0" applyFont="1" applyBorder="1"/>
    <xf numFmtId="0" fontId="11" fillId="0" borderId="8" xfId="0" applyFont="1" applyBorder="1" applyAlignment="1">
      <alignment horizontal="center"/>
    </xf>
    <xf numFmtId="164" fontId="5" fillId="8" borderId="0" xfId="1" applyNumberFormat="1" applyFont="1" applyFill="1" applyBorder="1" applyAlignment="1" applyProtection="1"/>
    <xf numFmtId="169" fontId="9" fillId="0" borderId="2" xfId="1" applyNumberFormat="1" applyFont="1" applyBorder="1"/>
    <xf numFmtId="169" fontId="10" fillId="0" borderId="0" xfId="1" applyNumberFormat="1" applyFont="1" applyBorder="1" applyAlignment="1">
      <alignment horizontal="center"/>
    </xf>
    <xf numFmtId="169" fontId="10" fillId="0" borderId="7" xfId="1" applyNumberFormat="1" applyFont="1" applyBorder="1" applyAlignment="1">
      <alignment horizontal="center"/>
    </xf>
    <xf numFmtId="169" fontId="9" fillId="0" borderId="0" xfId="1" applyNumberFormat="1" applyFont="1" applyBorder="1"/>
    <xf numFmtId="169" fontId="9" fillId="0" borderId="7" xfId="1" applyNumberFormat="1" applyFont="1" applyBorder="1"/>
    <xf numFmtId="169" fontId="11" fillId="0" borderId="0" xfId="0" quotePrefix="1" applyNumberFormat="1" applyFont="1" applyAlignment="1">
      <alignment horizontal="left"/>
    </xf>
    <xf numFmtId="169" fontId="11" fillId="0" borderId="0" xfId="0" quotePrefix="1" applyNumberFormat="1" applyFont="1"/>
    <xf numFmtId="169" fontId="11" fillId="0" borderId="7" xfId="0" applyNumberFormat="1" applyFont="1" applyBorder="1"/>
    <xf numFmtId="169" fontId="11" fillId="0" borderId="0" xfId="1" applyNumberFormat="1" applyFont="1"/>
    <xf numFmtId="169" fontId="0" fillId="0" borderId="0" xfId="0" applyNumberFormat="1"/>
    <xf numFmtId="165" fontId="16" fillId="0" borderId="0" xfId="0" applyNumberFormat="1" applyFont="1" applyAlignment="1">
      <alignment horizontal="right"/>
    </xf>
    <xf numFmtId="0" fontId="16" fillId="0" borderId="0" xfId="0" applyFont="1" applyAlignment="1">
      <alignment horizontal="right"/>
    </xf>
    <xf numFmtId="165" fontId="16" fillId="0" borderId="0" xfId="3" applyNumberFormat="1" applyFont="1" applyBorder="1"/>
    <xf numFmtId="169" fontId="16" fillId="0" borderId="0" xfId="1" applyNumberFormat="1" applyFont="1" applyFill="1" applyBorder="1" applyAlignment="1">
      <alignment horizontal="right" vertical="top"/>
    </xf>
    <xf numFmtId="0" fontId="17" fillId="0" borderId="0" xfId="0" applyFont="1" applyAlignment="1">
      <alignment horizontal="right"/>
    </xf>
    <xf numFmtId="169" fontId="17" fillId="0" borderId="0" xfId="1" applyNumberFormat="1" applyFont="1" applyFill="1" applyBorder="1" applyAlignment="1">
      <alignment horizontal="right" vertical="top"/>
    </xf>
    <xf numFmtId="9" fontId="18" fillId="0" borderId="0" xfId="0" applyNumberFormat="1" applyFont="1"/>
    <xf numFmtId="169" fontId="11" fillId="0" borderId="0" xfId="1" applyNumberFormat="1" applyFont="1" applyBorder="1"/>
    <xf numFmtId="169" fontId="11" fillId="0" borderId="9" xfId="1" applyNumberFormat="1" applyFont="1" applyBorder="1"/>
    <xf numFmtId="0" fontId="10" fillId="0" borderId="7" xfId="0" applyFont="1" applyBorder="1" applyAlignment="1">
      <alignment horizontal="right"/>
    </xf>
    <xf numFmtId="0" fontId="7" fillId="0" borderId="8" xfId="0" applyFont="1" applyBorder="1"/>
    <xf numFmtId="169" fontId="9" fillId="0" borderId="20" xfId="1" applyNumberFormat="1" applyFont="1" applyBorder="1"/>
    <xf numFmtId="0" fontId="7" fillId="0" borderId="19" xfId="0" applyFont="1" applyBorder="1"/>
    <xf numFmtId="169" fontId="10" fillId="0" borderId="9" xfId="1" applyNumberFormat="1" applyFont="1" applyFill="1" applyBorder="1" applyAlignment="1">
      <alignment horizontal="right"/>
    </xf>
    <xf numFmtId="164" fontId="11" fillId="0" borderId="0" xfId="1" applyNumberFormat="1" applyFont="1" applyFill="1" applyBorder="1"/>
    <xf numFmtId="164" fontId="11" fillId="0" borderId="0" xfId="1" applyNumberFormat="1" applyFont="1"/>
    <xf numFmtId="164" fontId="11" fillId="0" borderId="0" xfId="1" applyNumberFormat="1" applyFont="1" applyAlignment="1">
      <alignment horizontal="right"/>
    </xf>
    <xf numFmtId="164" fontId="11" fillId="0" borderId="7" xfId="1" applyNumberFormat="1" applyFont="1" applyBorder="1"/>
    <xf numFmtId="164" fontId="11" fillId="0" borderId="7" xfId="1" applyNumberFormat="1" applyFont="1" applyBorder="1" applyAlignment="1">
      <alignment horizontal="right"/>
    </xf>
    <xf numFmtId="169" fontId="6" fillId="0" borderId="0" xfId="0" applyNumberFormat="1" applyFont="1" applyAlignment="1">
      <alignment horizontal="right"/>
    </xf>
    <xf numFmtId="169" fontId="10" fillId="0" borderId="0" xfId="0" applyNumberFormat="1" applyFont="1" applyAlignment="1">
      <alignment horizontal="right"/>
    </xf>
    <xf numFmtId="0" fontId="0" fillId="0" borderId="4" xfId="0" applyBorder="1" applyAlignment="1">
      <alignment horizontal="right"/>
    </xf>
    <xf numFmtId="164" fontId="11" fillId="0" borderId="0" xfId="1" applyNumberFormat="1" applyFont="1" applyBorder="1"/>
    <xf numFmtId="164" fontId="11" fillId="0" borderId="0" xfId="1" applyNumberFormat="1" applyFont="1" applyBorder="1" applyAlignment="1">
      <alignment horizontal="right"/>
    </xf>
    <xf numFmtId="164" fontId="11" fillId="0" borderId="5" xfId="1" applyNumberFormat="1" applyFont="1" applyBorder="1"/>
    <xf numFmtId="0" fontId="0" fillId="0" borderId="4" xfId="0" applyBorder="1"/>
    <xf numFmtId="0" fontId="7" fillId="0" borderId="4" xfId="0" applyFont="1" applyBorder="1"/>
    <xf numFmtId="0" fontId="7" fillId="0" borderId="6" xfId="0" applyFont="1" applyBorder="1"/>
    <xf numFmtId="164" fontId="11" fillId="0" borderId="8" xfId="1" applyNumberFormat="1" applyFont="1" applyBorder="1"/>
    <xf numFmtId="169" fontId="9" fillId="3" borderId="0" xfId="1" applyNumberFormat="1" applyFont="1" applyFill="1" applyBorder="1"/>
    <xf numFmtId="173" fontId="7" fillId="0" borderId="0" xfId="0" quotePrefix="1" applyNumberFormat="1" applyFont="1"/>
    <xf numFmtId="9" fontId="7" fillId="0" borderId="0" xfId="3" applyFont="1" applyAlignment="1">
      <alignment horizontal="center"/>
    </xf>
    <xf numFmtId="173" fontId="11" fillId="0" borderId="0" xfId="1" applyNumberFormat="1" applyFont="1" applyFill="1" applyBorder="1" applyAlignment="1">
      <alignment horizontal="right"/>
    </xf>
    <xf numFmtId="166" fontId="1" fillId="0" borderId="0" xfId="1" applyNumberFormat="1"/>
    <xf numFmtId="0" fontId="20" fillId="0" borderId="0" xfId="0" applyFont="1"/>
    <xf numFmtId="0" fontId="0" fillId="0" borderId="1" xfId="0" applyBorder="1"/>
    <xf numFmtId="168" fontId="3" fillId="9" borderId="2" xfId="0" applyNumberFormat="1" applyFont="1" applyFill="1" applyBorder="1" applyAlignment="1">
      <alignment horizontal="right"/>
    </xf>
    <xf numFmtId="168" fontId="0" fillId="0" borderId="2" xfId="0" applyNumberFormat="1" applyBorder="1"/>
    <xf numFmtId="0" fontId="0" fillId="0" borderId="2" xfId="0" applyBorder="1"/>
    <xf numFmtId="168" fontId="0" fillId="0" borderId="3" xfId="0" applyNumberFormat="1" applyBorder="1"/>
    <xf numFmtId="0" fontId="0" fillId="0" borderId="2" xfId="0" applyBorder="1" applyAlignment="1">
      <alignment horizontal="right"/>
    </xf>
    <xf numFmtId="43" fontId="0" fillId="0" borderId="3" xfId="1" applyFont="1" applyBorder="1"/>
    <xf numFmtId="43" fontId="0" fillId="0" borderId="0" xfId="1" applyFont="1" applyBorder="1"/>
    <xf numFmtId="0" fontId="0" fillId="0" borderId="7" xfId="0" applyBorder="1"/>
    <xf numFmtId="166" fontId="1" fillId="9" borderId="0" xfId="1" applyNumberFormat="1" applyFont="1" applyFill="1" applyBorder="1" applyAlignment="1" applyProtection="1"/>
    <xf numFmtId="0" fontId="0" fillId="0" borderId="5" xfId="0" applyBorder="1"/>
    <xf numFmtId="43" fontId="0" fillId="0" borderId="5" xfId="1" applyFont="1" applyBorder="1"/>
    <xf numFmtId="166" fontId="1" fillId="0" borderId="1" xfId="1" applyNumberFormat="1" applyBorder="1"/>
    <xf numFmtId="166" fontId="1" fillId="0" borderId="2" xfId="1" applyNumberFormat="1" applyBorder="1"/>
    <xf numFmtId="0" fontId="21" fillId="0" borderId="2" xfId="0" applyFont="1" applyBorder="1" applyAlignment="1">
      <alignment horizontal="center"/>
    </xf>
    <xf numFmtId="0" fontId="21" fillId="0" borderId="0" xfId="0" applyFont="1" applyAlignment="1">
      <alignment horizontal="center"/>
    </xf>
    <xf numFmtId="170" fontId="1" fillId="9" borderId="0" xfId="2" applyNumberFormat="1" applyFont="1" applyFill="1" applyBorder="1" applyAlignment="1" applyProtection="1"/>
    <xf numFmtId="168" fontId="0" fillId="0" borderId="5" xfId="0" applyNumberFormat="1" applyBorder="1"/>
    <xf numFmtId="166" fontId="1" fillId="0" borderId="4" xfId="1" applyNumberFormat="1" applyBorder="1"/>
    <xf numFmtId="169" fontId="21" fillId="0" borderId="7" xfId="1" applyNumberFormat="1" applyFont="1" applyBorder="1" applyAlignment="1">
      <alignment horizontal="center"/>
    </xf>
    <xf numFmtId="169" fontId="21" fillId="0" borderId="0" xfId="1" applyNumberFormat="1" applyFont="1" applyBorder="1" applyAlignment="1">
      <alignment horizontal="center"/>
    </xf>
    <xf numFmtId="169" fontId="21" fillId="0" borderId="7" xfId="1" applyNumberFormat="1" applyFont="1" applyFill="1" applyBorder="1" applyAlignment="1">
      <alignment horizontal="center"/>
    </xf>
    <xf numFmtId="165" fontId="1" fillId="9" borderId="0" xfId="3" applyNumberFormat="1" applyFont="1" applyFill="1" applyBorder="1" applyAlignment="1" applyProtection="1"/>
    <xf numFmtId="168" fontId="19" fillId="0" borderId="0" xfId="3" applyNumberFormat="1" applyFont="1" applyFill="1" applyBorder="1" applyAlignment="1" applyProtection="1"/>
    <xf numFmtId="165" fontId="0" fillId="0" borderId="0" xfId="3" applyNumberFormat="1" applyFont="1" applyBorder="1" applyAlignment="1">
      <alignment horizontal="right"/>
    </xf>
    <xf numFmtId="0" fontId="0" fillId="0" borderId="0" xfId="0" quotePrefix="1"/>
    <xf numFmtId="0" fontId="22" fillId="0" borderId="0" xfId="0" applyFont="1" applyAlignment="1">
      <alignment horizontal="left"/>
    </xf>
    <xf numFmtId="169" fontId="19" fillId="0" borderId="0" xfId="1" applyNumberFormat="1" applyFont="1" applyBorder="1"/>
    <xf numFmtId="169" fontId="19" fillId="0" borderId="0" xfId="1" applyNumberFormat="1" applyFont="1" applyFill="1" applyBorder="1"/>
    <xf numFmtId="171" fontId="0" fillId="0" borderId="0" xfId="2" applyNumberFormat="1" applyFont="1" applyBorder="1"/>
    <xf numFmtId="169" fontId="19" fillId="0" borderId="0" xfId="1" applyNumberFormat="1" applyFont="1" applyBorder="1" applyAlignment="1">
      <alignment horizontal="right"/>
    </xf>
    <xf numFmtId="169" fontId="19" fillId="0" borderId="0" xfId="1" applyNumberFormat="1" applyFont="1" applyFill="1" applyBorder="1" applyAlignment="1">
      <alignment horizontal="right"/>
    </xf>
    <xf numFmtId="10" fontId="1" fillId="9" borderId="0" xfId="3" applyNumberFormat="1" applyFont="1" applyFill="1" applyBorder="1" applyAlignment="1" applyProtection="1"/>
    <xf numFmtId="10" fontId="23" fillId="0" borderId="0" xfId="3" quotePrefix="1" applyNumberFormat="1" applyFont="1" applyBorder="1" applyAlignment="1">
      <alignment horizontal="center"/>
    </xf>
    <xf numFmtId="169" fontId="19" fillId="0" borderId="7" xfId="1" applyNumberFormat="1" applyFont="1" applyBorder="1" applyAlignment="1">
      <alignment horizontal="right"/>
    </xf>
    <xf numFmtId="169" fontId="19" fillId="0" borderId="7" xfId="1" applyNumberFormat="1" applyFont="1" applyFill="1" applyBorder="1" applyAlignment="1">
      <alignment horizontal="right"/>
    </xf>
    <xf numFmtId="0" fontId="0" fillId="0" borderId="4" xfId="0" quotePrefix="1" applyBorder="1"/>
    <xf numFmtId="10" fontId="0" fillId="0" borderId="0" xfId="3" applyNumberFormat="1" applyFont="1"/>
    <xf numFmtId="0" fontId="0" fillId="0" borderId="0" xfId="0" applyAlignment="1">
      <alignment horizontal="center"/>
    </xf>
    <xf numFmtId="0" fontId="0" fillId="0" borderId="6" xfId="0" applyBorder="1"/>
    <xf numFmtId="168" fontId="0" fillId="0" borderId="7" xfId="0" applyNumberFormat="1" applyBorder="1"/>
    <xf numFmtId="168" fontId="0" fillId="0" borderId="8" xfId="0" applyNumberFormat="1" applyBorder="1"/>
    <xf numFmtId="43" fontId="0" fillId="0" borderId="8" xfId="1" applyFont="1" applyBorder="1"/>
    <xf numFmtId="1" fontId="0" fillId="0" borderId="0" xfId="0" applyNumberFormat="1"/>
    <xf numFmtId="168" fontId="0" fillId="0" borderId="0" xfId="0" applyNumberFormat="1"/>
    <xf numFmtId="165" fontId="24" fillId="0" borderId="0" xfId="0" applyNumberFormat="1" applyFont="1" applyAlignment="1">
      <alignment horizontal="right"/>
    </xf>
    <xf numFmtId="0" fontId="24" fillId="0" borderId="0" xfId="0" applyFont="1" applyAlignment="1">
      <alignment horizontal="right"/>
    </xf>
    <xf numFmtId="169" fontId="0" fillId="0" borderId="0" xfId="0" applyNumberFormat="1" applyAlignment="1">
      <alignment horizontal="right"/>
    </xf>
    <xf numFmtId="10" fontId="0" fillId="0" borderId="0" xfId="0" applyNumberFormat="1"/>
    <xf numFmtId="165" fontId="0" fillId="0" borderId="0" xfId="0" applyNumberFormat="1" applyAlignment="1">
      <alignment horizontal="left"/>
    </xf>
    <xf numFmtId="0" fontId="23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169" fontId="23" fillId="0" borderId="7" xfId="1" applyNumberFormat="1" applyFont="1" applyBorder="1" applyAlignment="1">
      <alignment horizontal="right" vertical="top"/>
    </xf>
    <xf numFmtId="169" fontId="23" fillId="0" borderId="0" xfId="1" applyNumberFormat="1" applyFont="1" applyBorder="1" applyAlignment="1">
      <alignment horizontal="right" vertical="top"/>
    </xf>
    <xf numFmtId="169" fontId="23" fillId="0" borderId="7" xfId="1" applyNumberFormat="1" applyFont="1" applyFill="1" applyBorder="1" applyAlignment="1">
      <alignment horizontal="right" vertical="top"/>
    </xf>
    <xf numFmtId="44" fontId="0" fillId="0" borderId="0" xfId="2" applyFont="1"/>
    <xf numFmtId="166" fontId="23" fillId="0" borderId="0" xfId="0" quotePrefix="1" applyNumberFormat="1" applyFont="1" applyAlignment="1">
      <alignment horizontal="right"/>
    </xf>
    <xf numFmtId="0" fontId="23" fillId="0" borderId="0" xfId="0" applyFont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44" fontId="0" fillId="0" borderId="20" xfId="2" applyFont="1" applyBorder="1"/>
    <xf numFmtId="166" fontId="0" fillId="0" borderId="0" xfId="1" applyNumberFormat="1" applyFont="1" applyBorder="1"/>
    <xf numFmtId="9" fontId="23" fillId="0" borderId="0" xfId="3" applyFont="1" applyBorder="1" applyAlignment="1">
      <alignment horizontal="center"/>
    </xf>
    <xf numFmtId="0" fontId="21" fillId="0" borderId="0" xfId="0" applyFont="1" applyAlignment="1">
      <alignment horizontal="right"/>
    </xf>
    <xf numFmtId="169" fontId="19" fillId="0" borderId="9" xfId="1" applyNumberFormat="1" applyFont="1" applyBorder="1" applyAlignment="1">
      <alignment horizontal="right"/>
    </xf>
    <xf numFmtId="44" fontId="0" fillId="0" borderId="0" xfId="2" applyFont="1" applyBorder="1"/>
    <xf numFmtId="166" fontId="1" fillId="0" borderId="6" xfId="1" applyNumberFormat="1" applyBorder="1"/>
    <xf numFmtId="0" fontId="21" fillId="0" borderId="7" xfId="0" applyFont="1" applyBorder="1" applyAlignment="1">
      <alignment horizontal="right"/>
    </xf>
    <xf numFmtId="0" fontId="0" fillId="0" borderId="8" xfId="0" applyBorder="1"/>
    <xf numFmtId="0" fontId="21" fillId="0" borderId="0" xfId="0" applyFont="1"/>
    <xf numFmtId="164" fontId="19" fillId="0" borderId="0" xfId="1" applyNumberFormat="1" applyFont="1" applyBorder="1" applyAlignment="1">
      <alignment horizontal="center"/>
    </xf>
    <xf numFmtId="1" fontId="0" fillId="0" borderId="0" xfId="0" applyNumberFormat="1" applyAlignment="1">
      <alignment horizontal="right"/>
    </xf>
    <xf numFmtId="164" fontId="0" fillId="0" borderId="0" xfId="0" applyNumberFormat="1"/>
    <xf numFmtId="165" fontId="0" fillId="0" borderId="0" xfId="3" applyNumberFormat="1" applyFont="1" applyBorder="1"/>
    <xf numFmtId="10" fontId="0" fillId="0" borderId="0" xfId="3" applyNumberFormat="1" applyFont="1" applyBorder="1" applyAlignment="1">
      <alignment horizontal="left"/>
    </xf>
    <xf numFmtId="10" fontId="0" fillId="0" borderId="0" xfId="3" applyNumberFormat="1" applyFont="1" applyBorder="1"/>
    <xf numFmtId="10" fontId="0" fillId="0" borderId="0" xfId="0" applyNumberFormat="1" applyAlignment="1">
      <alignment horizontal="left"/>
    </xf>
    <xf numFmtId="166" fontId="1" fillId="0" borderId="0" xfId="1" applyNumberFormat="1" applyBorder="1"/>
    <xf numFmtId="169" fontId="21" fillId="0" borderId="0" xfId="1" applyNumberFormat="1" applyFont="1" applyBorder="1" applyAlignment="1">
      <alignment horizontal="right"/>
    </xf>
    <xf numFmtId="169" fontId="19" fillId="0" borderId="0" xfId="1" applyNumberFormat="1" applyFont="1" applyBorder="1" applyAlignment="1">
      <alignment horizontal="center"/>
    </xf>
    <xf numFmtId="164" fontId="21" fillId="0" borderId="9" xfId="1" applyNumberFormat="1" applyFont="1" applyBorder="1" applyAlignment="1">
      <alignment horizontal="center"/>
    </xf>
    <xf numFmtId="166" fontId="1" fillId="0" borderId="7" xfId="1" applyNumberFormat="1" applyBorder="1"/>
    <xf numFmtId="165" fontId="1" fillId="9" borderId="2" xfId="3" applyNumberFormat="1" applyFont="1" applyFill="1" applyBorder="1" applyAlignment="1" applyProtection="1"/>
    <xf numFmtId="10" fontId="1" fillId="9" borderId="2" xfId="3" applyNumberFormat="1" applyFont="1" applyFill="1" applyBorder="1" applyAlignment="1" applyProtection="1"/>
    <xf numFmtId="0" fontId="0" fillId="0" borderId="2" xfId="0" applyBorder="1" applyAlignment="1">
      <alignment horizontal="center"/>
    </xf>
    <xf numFmtId="0" fontId="0" fillId="0" borderId="3" xfId="0" applyBorder="1"/>
    <xf numFmtId="165" fontId="1" fillId="9" borderId="7" xfId="3" applyNumberFormat="1" applyFont="1" applyFill="1" applyBorder="1" applyAlignment="1" applyProtection="1"/>
    <xf numFmtId="0" fontId="0" fillId="0" borderId="7" xfId="0" applyBorder="1" applyAlignment="1">
      <alignment horizontal="center"/>
    </xf>
    <xf numFmtId="169" fontId="0" fillId="0" borderId="7" xfId="0" applyNumberFormat="1" applyBorder="1"/>
    <xf numFmtId="0" fontId="1" fillId="0" borderId="0" xfId="0" applyFont="1"/>
    <xf numFmtId="165" fontId="1" fillId="0" borderId="0" xfId="0" applyNumberFormat="1" applyFont="1"/>
    <xf numFmtId="166" fontId="9" fillId="0" borderId="0" xfId="1" applyNumberFormat="1" applyFont="1" applyFill="1" applyBorder="1"/>
    <xf numFmtId="166" fontId="25" fillId="0" borderId="0" xfId="1" applyNumberFormat="1" applyFont="1" applyFill="1" applyBorder="1"/>
    <xf numFmtId="169" fontId="10" fillId="0" borderId="23" xfId="1" applyNumberFormat="1" applyFont="1" applyFill="1" applyBorder="1" applyAlignment="1">
      <alignment horizontal="center"/>
    </xf>
    <xf numFmtId="169" fontId="10" fillId="0" borderId="7" xfId="1" applyNumberFormat="1" applyFont="1" applyFill="1" applyBorder="1" applyAlignment="1">
      <alignment horizontal="right"/>
    </xf>
    <xf numFmtId="169" fontId="10" fillId="0" borderId="22" xfId="1" applyNumberFormat="1" applyFont="1" applyFill="1" applyBorder="1" applyAlignment="1">
      <alignment horizontal="center"/>
    </xf>
    <xf numFmtId="169" fontId="11" fillId="0" borderId="21" xfId="1" applyNumberFormat="1" applyFont="1" applyFill="1" applyBorder="1"/>
    <xf numFmtId="9" fontId="13" fillId="0" borderId="0" xfId="6" quotePrefix="1" applyFont="1" applyFill="1" applyBorder="1" applyAlignment="1">
      <alignment horizontal="center"/>
    </xf>
    <xf numFmtId="9" fontId="11" fillId="0" borderId="0" xfId="6" applyFont="1" applyFill="1" applyBorder="1" applyAlignment="1">
      <alignment horizontal="right"/>
    </xf>
    <xf numFmtId="9" fontId="13" fillId="0" borderId="0" xfId="6" applyFont="1" applyFill="1" applyBorder="1" applyAlignment="1">
      <alignment horizontal="left"/>
    </xf>
    <xf numFmtId="165" fontId="11" fillId="0" borderId="0" xfId="6" applyNumberFormat="1" applyFont="1" applyFill="1" applyBorder="1" applyAlignment="1">
      <alignment horizontal="right"/>
    </xf>
    <xf numFmtId="165" fontId="10" fillId="0" borderId="0" xfId="6" applyNumberFormat="1" applyFont="1" applyFill="1" applyBorder="1" applyAlignment="1">
      <alignment horizontal="right"/>
    </xf>
    <xf numFmtId="0" fontId="0" fillId="0" borderId="21" xfId="0" applyBorder="1"/>
    <xf numFmtId="9" fontId="13" fillId="0" borderId="0" xfId="0" applyNumberFormat="1" applyFont="1" applyAlignment="1">
      <alignment horizontal="center"/>
    </xf>
    <xf numFmtId="0" fontId="11" fillId="0" borderId="11" xfId="0" applyFont="1" applyBorder="1"/>
    <xf numFmtId="0" fontId="11" fillId="0" borderId="12" xfId="0" applyFont="1" applyBorder="1" applyAlignment="1">
      <alignment horizontal="center"/>
    </xf>
    <xf numFmtId="0" fontId="11" fillId="0" borderId="12" xfId="0" applyFont="1" applyBorder="1"/>
    <xf numFmtId="0" fontId="11" fillId="0" borderId="13" xfId="0" applyFont="1" applyBorder="1"/>
    <xf numFmtId="165" fontId="16" fillId="0" borderId="21" xfId="0" applyNumberFormat="1" applyFont="1" applyBorder="1" applyAlignment="1">
      <alignment horizontal="right"/>
    </xf>
    <xf numFmtId="165" fontId="13" fillId="0" borderId="22" xfId="0" applyNumberFormat="1" applyFont="1" applyBorder="1" applyAlignment="1">
      <alignment horizontal="right"/>
    </xf>
    <xf numFmtId="169" fontId="11" fillId="0" borderId="21" xfId="0" applyNumberFormat="1" applyFont="1" applyBorder="1" applyAlignment="1">
      <alignment horizontal="right"/>
    </xf>
    <xf numFmtId="169" fontId="11" fillId="0" borderId="22" xfId="0" applyNumberFormat="1" applyFont="1" applyBorder="1" applyAlignment="1">
      <alignment horizontal="right"/>
    </xf>
    <xf numFmtId="0" fontId="11" fillId="0" borderId="21" xfId="0" applyFont="1" applyBorder="1" applyAlignment="1">
      <alignment horizontal="right"/>
    </xf>
    <xf numFmtId="0" fontId="11" fillId="0" borderId="22" xfId="0" applyFont="1" applyBorder="1" applyAlignment="1">
      <alignment horizontal="right"/>
    </xf>
    <xf numFmtId="0" fontId="11" fillId="0" borderId="21" xfId="0" applyFont="1" applyBorder="1"/>
    <xf numFmtId="164" fontId="11" fillId="0" borderId="22" xfId="0" applyNumberFormat="1" applyFont="1" applyBorder="1"/>
    <xf numFmtId="0" fontId="11" fillId="0" borderId="15" xfId="0" applyFont="1" applyBorder="1"/>
    <xf numFmtId="0" fontId="11" fillId="0" borderId="16" xfId="0" applyFont="1" applyBorder="1"/>
    <xf numFmtId="0" fontId="11" fillId="0" borderId="17" xfId="0" applyFont="1" applyBorder="1"/>
    <xf numFmtId="165" fontId="5" fillId="0" borderId="0" xfId="6" applyNumberFormat="1" applyFont="1" applyFill="1" applyBorder="1" applyAlignment="1" applyProtection="1"/>
    <xf numFmtId="0" fontId="28" fillId="0" borderId="0" xfId="0" applyFont="1" applyAlignment="1">
      <alignment horizontal="left"/>
    </xf>
    <xf numFmtId="0" fontId="28" fillId="0" borderId="0" xfId="0" applyFont="1"/>
    <xf numFmtId="0" fontId="10" fillId="0" borderId="12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0" fillId="0" borderId="16" xfId="0" applyFont="1" applyBorder="1" applyAlignment="1">
      <alignment horizontal="center"/>
    </xf>
    <xf numFmtId="0" fontId="29" fillId="0" borderId="0" xfId="0" quotePrefix="1" applyFont="1" applyAlignment="1">
      <alignment horizontal="right"/>
    </xf>
    <xf numFmtId="169" fontId="11" fillId="0" borderId="22" xfId="1" applyNumberFormat="1" applyFont="1" applyFill="1" applyBorder="1"/>
    <xf numFmtId="169" fontId="11" fillId="0" borderId="21" xfId="1" applyNumberFormat="1" applyFont="1" applyFill="1" applyBorder="1" applyAlignment="1">
      <alignment horizontal="right"/>
    </xf>
    <xf numFmtId="169" fontId="11" fillId="0" borderId="22" xfId="1" applyNumberFormat="1" applyFont="1" applyFill="1" applyBorder="1" applyAlignment="1">
      <alignment horizontal="right"/>
    </xf>
    <xf numFmtId="169" fontId="27" fillId="0" borderId="0" xfId="1" applyNumberFormat="1" applyFont="1" applyFill="1" applyBorder="1" applyAlignment="1">
      <alignment horizontal="left"/>
    </xf>
    <xf numFmtId="169" fontId="11" fillId="0" borderId="23" xfId="1" applyNumberFormat="1" applyFont="1" applyFill="1" applyBorder="1" applyAlignment="1">
      <alignment horizontal="right"/>
    </xf>
    <xf numFmtId="169" fontId="16" fillId="0" borderId="21" xfId="1" applyNumberFormat="1" applyFont="1" applyFill="1" applyBorder="1" applyAlignment="1">
      <alignment horizontal="right" vertical="top"/>
    </xf>
    <xf numFmtId="169" fontId="16" fillId="0" borderId="0" xfId="1" applyNumberFormat="1" applyFont="1" applyFill="1" applyBorder="1" applyAlignment="1">
      <alignment horizontal="center" vertical="top"/>
    </xf>
    <xf numFmtId="169" fontId="13" fillId="0" borderId="22" xfId="1" applyNumberFormat="1" applyFont="1" applyFill="1" applyBorder="1" applyAlignment="1">
      <alignment horizontal="right" vertical="top"/>
    </xf>
    <xf numFmtId="169" fontId="13" fillId="0" borderId="23" xfId="1" applyNumberFormat="1" applyFont="1" applyFill="1" applyBorder="1" applyAlignment="1">
      <alignment horizontal="right" vertical="top"/>
    </xf>
    <xf numFmtId="169" fontId="13" fillId="0" borderId="7" xfId="1" applyNumberFormat="1" applyFont="1" applyFill="1" applyBorder="1" applyAlignment="1">
      <alignment horizontal="center" vertical="top"/>
    </xf>
    <xf numFmtId="169" fontId="11" fillId="0" borderId="22" xfId="1" quotePrefix="1" applyNumberFormat="1" applyFont="1" applyFill="1" applyBorder="1" applyAlignment="1">
      <alignment horizontal="right"/>
    </xf>
    <xf numFmtId="169" fontId="11" fillId="0" borderId="26" xfId="1" applyNumberFormat="1" applyFont="1" applyFill="1" applyBorder="1" applyAlignment="1">
      <alignment horizontal="right"/>
    </xf>
    <xf numFmtId="169" fontId="11" fillId="0" borderId="24" xfId="1" applyNumberFormat="1" applyFont="1" applyFill="1" applyBorder="1" applyAlignment="1">
      <alignment horizontal="right"/>
    </xf>
    <xf numFmtId="169" fontId="11" fillId="0" borderId="25" xfId="1" applyNumberFormat="1" applyFont="1" applyFill="1" applyBorder="1" applyAlignment="1">
      <alignment horizontal="right"/>
    </xf>
    <xf numFmtId="164" fontId="11" fillId="0" borderId="22" xfId="1" applyNumberFormat="1" applyFont="1" applyFill="1" applyBorder="1" applyAlignment="1">
      <alignment horizontal="center"/>
    </xf>
    <xf numFmtId="164" fontId="10" fillId="0" borderId="22" xfId="1" applyNumberFormat="1" applyFont="1" applyFill="1" applyBorder="1" applyAlignment="1">
      <alignment horizontal="center"/>
    </xf>
    <xf numFmtId="169" fontId="11" fillId="0" borderId="16" xfId="1" applyNumberFormat="1" applyFont="1" applyFill="1" applyBorder="1" applyAlignment="1">
      <alignment horizontal="center"/>
    </xf>
    <xf numFmtId="166" fontId="5" fillId="0" borderId="0" xfId="1" applyNumberFormat="1" applyFont="1" applyFill="1" applyBorder="1" applyAlignment="1" applyProtection="1"/>
    <xf numFmtId="170" fontId="5" fillId="0" borderId="0" xfId="2" applyNumberFormat="1" applyFont="1" applyFill="1" applyBorder="1" applyAlignment="1" applyProtection="1"/>
    <xf numFmtId="166" fontId="28" fillId="0" borderId="0" xfId="1" applyNumberFormat="1" applyFont="1" applyFill="1" applyBorder="1"/>
    <xf numFmtId="166" fontId="25" fillId="0" borderId="0" xfId="1" quotePrefix="1" applyNumberFormat="1" applyFont="1" applyFill="1" applyBorder="1"/>
    <xf numFmtId="0" fontId="15" fillId="0" borderId="6" xfId="0" applyFont="1" applyBorder="1" applyAlignment="1">
      <alignment horizontal="right"/>
    </xf>
    <xf numFmtId="164" fontId="11" fillId="0" borderId="7" xfId="1" applyNumberFormat="1" applyFont="1" applyBorder="1" applyAlignment="1">
      <alignment horizontal="left"/>
    </xf>
    <xf numFmtId="164" fontId="11" fillId="0" borderId="2" xfId="1" applyNumberFormat="1" applyFont="1" applyBorder="1"/>
    <xf numFmtId="164" fontId="11" fillId="0" borderId="2" xfId="1" applyNumberFormat="1" applyFont="1" applyBorder="1" applyAlignment="1">
      <alignment horizontal="right"/>
    </xf>
    <xf numFmtId="164" fontId="11" fillId="0" borderId="2" xfId="1" applyNumberFormat="1" applyFont="1" applyBorder="1" applyAlignment="1">
      <alignment horizontal="left"/>
    </xf>
    <xf numFmtId="0" fontId="7" fillId="0" borderId="1" xfId="0" applyFont="1" applyBorder="1" applyAlignment="1">
      <alignment horizontal="right"/>
    </xf>
    <xf numFmtId="166" fontId="7" fillId="0" borderId="0" xfId="4" applyNumberFormat="1" applyFont="1" applyFill="1" applyBorder="1"/>
    <xf numFmtId="166" fontId="9" fillId="0" borderId="0" xfId="4" applyNumberFormat="1" applyFont="1" applyFill="1" applyBorder="1"/>
    <xf numFmtId="166" fontId="8" fillId="0" borderId="0" xfId="4" applyNumberFormat="1" applyFont="1" applyFill="1" applyBorder="1"/>
    <xf numFmtId="165" fontId="5" fillId="8" borderId="0" xfId="6" applyNumberFormat="1" applyFont="1" applyFill="1" applyBorder="1" applyAlignment="1" applyProtection="1"/>
    <xf numFmtId="0" fontId="30" fillId="0" borderId="0" xfId="0" applyFont="1"/>
    <xf numFmtId="165" fontId="16" fillId="3" borderId="0" xfId="0" applyNumberFormat="1" applyFont="1" applyFill="1" applyAlignment="1">
      <alignment horizontal="right"/>
    </xf>
    <xf numFmtId="169" fontId="11" fillId="3" borderId="0" xfId="0" applyNumberFormat="1" applyFont="1" applyFill="1" applyAlignment="1">
      <alignment horizontal="right"/>
    </xf>
    <xf numFmtId="0" fontId="7" fillId="0" borderId="7" xfId="0" applyFont="1" applyBorder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9" fontId="11" fillId="8" borderId="0" xfId="6" applyFont="1" applyFill="1" applyBorder="1"/>
    <xf numFmtId="166" fontId="11" fillId="0" borderId="0" xfId="4" applyNumberFormat="1" applyFont="1" applyFill="1" applyBorder="1"/>
    <xf numFmtId="166" fontId="11" fillId="0" borderId="1" xfId="4" applyNumberFormat="1" applyFont="1" applyFill="1" applyBorder="1"/>
    <xf numFmtId="166" fontId="11" fillId="0" borderId="2" xfId="4" applyNumberFormat="1" applyFont="1" applyFill="1" applyBorder="1"/>
    <xf numFmtId="166" fontId="11" fillId="0" borderId="4" xfId="4" applyNumberFormat="1" applyFont="1" applyFill="1" applyBorder="1"/>
    <xf numFmtId="169" fontId="10" fillId="0" borderId="7" xfId="4" applyNumberFormat="1" applyFont="1" applyFill="1" applyBorder="1" applyAlignment="1">
      <alignment horizontal="center"/>
    </xf>
    <xf numFmtId="169" fontId="10" fillId="0" borderId="0" xfId="4" applyNumberFormat="1" applyFont="1" applyFill="1" applyBorder="1" applyAlignment="1">
      <alignment horizontal="center"/>
    </xf>
    <xf numFmtId="169" fontId="11" fillId="0" borderId="0" xfId="4" applyNumberFormat="1" applyFont="1" applyFill="1" applyBorder="1"/>
    <xf numFmtId="169" fontId="11" fillId="0" borderId="0" xfId="4" applyNumberFormat="1" applyFont="1" applyFill="1" applyBorder="1" applyAlignment="1">
      <alignment horizontal="center"/>
    </xf>
    <xf numFmtId="169" fontId="11" fillId="0" borderId="0" xfId="4" applyNumberFormat="1" applyFont="1" applyFill="1" applyBorder="1" applyAlignment="1">
      <alignment horizontal="right"/>
    </xf>
    <xf numFmtId="169" fontId="10" fillId="0" borderId="0" xfId="4" applyNumberFormat="1" applyFont="1" applyFill="1" applyBorder="1" applyAlignment="1">
      <alignment horizontal="right"/>
    </xf>
    <xf numFmtId="169" fontId="11" fillId="0" borderId="7" xfId="4" applyNumberFormat="1" applyFont="1" applyFill="1" applyBorder="1" applyAlignment="1">
      <alignment horizontal="right"/>
    </xf>
    <xf numFmtId="169" fontId="11" fillId="3" borderId="0" xfId="4" applyNumberFormat="1" applyFont="1" applyFill="1" applyBorder="1" applyAlignment="1">
      <alignment horizontal="right"/>
    </xf>
    <xf numFmtId="169" fontId="16" fillId="0" borderId="0" xfId="4" applyNumberFormat="1" applyFont="1" applyFill="1" applyBorder="1" applyAlignment="1">
      <alignment horizontal="right" vertical="top"/>
    </xf>
    <xf numFmtId="169" fontId="17" fillId="0" borderId="0" xfId="4" applyNumberFormat="1" applyFont="1" applyFill="1" applyBorder="1" applyAlignment="1">
      <alignment horizontal="right" vertical="top"/>
    </xf>
    <xf numFmtId="169" fontId="16" fillId="3" borderId="0" xfId="4" applyNumberFormat="1" applyFont="1" applyFill="1" applyBorder="1" applyAlignment="1">
      <alignment horizontal="right" vertical="top"/>
    </xf>
    <xf numFmtId="169" fontId="13" fillId="0" borderId="0" xfId="4" applyNumberFormat="1" applyFont="1" applyFill="1" applyBorder="1" applyAlignment="1">
      <alignment horizontal="right" vertical="top"/>
    </xf>
    <xf numFmtId="169" fontId="13" fillId="0" borderId="7" xfId="4" applyNumberFormat="1" applyFont="1" applyFill="1" applyBorder="1" applyAlignment="1">
      <alignment horizontal="right" vertical="top"/>
    </xf>
    <xf numFmtId="169" fontId="14" fillId="0" borderId="7" xfId="4" applyNumberFormat="1" applyFont="1" applyFill="1" applyBorder="1" applyAlignment="1">
      <alignment horizontal="right" vertical="top"/>
    </xf>
    <xf numFmtId="169" fontId="13" fillId="3" borderId="7" xfId="4" applyNumberFormat="1" applyFont="1" applyFill="1" applyBorder="1" applyAlignment="1">
      <alignment horizontal="right" vertical="top"/>
    </xf>
    <xf numFmtId="169" fontId="11" fillId="0" borderId="0" xfId="4" quotePrefix="1" applyNumberFormat="1" applyFont="1" applyFill="1" applyBorder="1" applyAlignment="1">
      <alignment horizontal="right"/>
    </xf>
    <xf numFmtId="169" fontId="11" fillId="0" borderId="9" xfId="4" applyNumberFormat="1" applyFont="1" applyFill="1" applyBorder="1" applyAlignment="1">
      <alignment horizontal="right"/>
    </xf>
    <xf numFmtId="166" fontId="11" fillId="0" borderId="6" xfId="4" applyNumberFormat="1" applyFont="1" applyFill="1" applyBorder="1"/>
    <xf numFmtId="169" fontId="11" fillId="0" borderId="8" xfId="4" applyNumberFormat="1" applyFont="1" applyFill="1" applyBorder="1" applyAlignment="1">
      <alignment horizontal="right"/>
    </xf>
    <xf numFmtId="43" fontId="11" fillId="0" borderId="0" xfId="4" applyFont="1" applyFill="1" applyBorder="1"/>
    <xf numFmtId="166" fontId="5" fillId="8" borderId="0" xfId="4" applyNumberFormat="1" applyFont="1" applyFill="1" applyBorder="1" applyAlignment="1" applyProtection="1"/>
    <xf numFmtId="170" fontId="5" fillId="8" borderId="0" xfId="5" applyNumberFormat="1" applyFont="1" applyFill="1" applyBorder="1" applyAlignment="1" applyProtection="1"/>
    <xf numFmtId="171" fontId="11" fillId="0" borderId="0" xfId="5" applyNumberFormat="1" applyFont="1" applyFill="1" applyBorder="1"/>
    <xf numFmtId="171" fontId="10" fillId="0" borderId="0" xfId="5" applyNumberFormat="1" applyFont="1" applyFill="1" applyBorder="1"/>
    <xf numFmtId="43" fontId="11" fillId="0" borderId="7" xfId="4" applyFont="1" applyFill="1" applyBorder="1"/>
    <xf numFmtId="169" fontId="10" fillId="0" borderId="7" xfId="4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left"/>
    </xf>
    <xf numFmtId="0" fontId="2" fillId="0" borderId="0" xfId="0" quotePrefix="1" applyFont="1"/>
    <xf numFmtId="0" fontId="10" fillId="0" borderId="0" xfId="0" applyFont="1" applyAlignment="1">
      <alignment horizontal="left"/>
    </xf>
    <xf numFmtId="0" fontId="5" fillId="0" borderId="0" xfId="0" quotePrefix="1" applyFont="1"/>
    <xf numFmtId="0" fontId="7" fillId="0" borderId="1" xfId="0" applyFont="1" applyBorder="1"/>
    <xf numFmtId="0" fontId="7" fillId="0" borderId="2" xfId="0" applyFont="1" applyBorder="1"/>
    <xf numFmtId="0" fontId="31" fillId="0" borderId="0" xfId="0" applyFont="1"/>
    <xf numFmtId="0" fontId="11" fillId="0" borderId="27" xfId="0" applyFont="1" applyBorder="1"/>
    <xf numFmtId="169" fontId="10" fillId="0" borderId="27" xfId="1" applyNumberFormat="1" applyFont="1" applyFill="1" applyBorder="1" applyAlignment="1">
      <alignment horizontal="center"/>
    </xf>
    <xf numFmtId="169" fontId="11" fillId="0" borderId="27" xfId="1" applyNumberFormat="1" applyFont="1" applyFill="1" applyBorder="1"/>
    <xf numFmtId="169" fontId="11" fillId="0" borderId="27" xfId="1" applyNumberFormat="1" applyFont="1" applyFill="1" applyBorder="1" applyAlignment="1">
      <alignment horizontal="right"/>
    </xf>
    <xf numFmtId="165" fontId="13" fillId="0" borderId="27" xfId="0" applyNumberFormat="1" applyFont="1" applyBorder="1" applyAlignment="1">
      <alignment horizontal="right"/>
    </xf>
    <xf numFmtId="169" fontId="13" fillId="0" borderId="27" xfId="1" applyNumberFormat="1" applyFont="1" applyFill="1" applyBorder="1" applyAlignment="1">
      <alignment horizontal="right" vertical="top"/>
    </xf>
    <xf numFmtId="169" fontId="11" fillId="0" borderId="27" xfId="0" applyNumberFormat="1" applyFont="1" applyBorder="1" applyAlignment="1">
      <alignment horizontal="right"/>
    </xf>
    <xf numFmtId="0" fontId="11" fillId="0" borderId="27" xfId="0" applyFont="1" applyBorder="1" applyAlignment="1">
      <alignment horizontal="right"/>
    </xf>
    <xf numFmtId="169" fontId="11" fillId="0" borderId="27" xfId="1" quotePrefix="1" applyNumberFormat="1" applyFont="1" applyFill="1" applyBorder="1" applyAlignment="1">
      <alignment horizontal="right"/>
    </xf>
    <xf numFmtId="164" fontId="11" fillId="0" borderId="27" xfId="0" applyNumberFormat="1" applyFont="1" applyBorder="1"/>
    <xf numFmtId="164" fontId="10" fillId="0" borderId="27" xfId="1" applyNumberFormat="1" applyFont="1" applyFill="1" applyBorder="1" applyAlignment="1">
      <alignment horizontal="center"/>
    </xf>
    <xf numFmtId="168" fontId="4" fillId="0" borderId="7" xfId="0" applyNumberFormat="1" applyFont="1" applyBorder="1" applyAlignment="1">
      <alignment horizontal="right"/>
    </xf>
    <xf numFmtId="9" fontId="5" fillId="0" borderId="0" xfId="3" applyFont="1" applyFill="1" applyBorder="1" applyAlignment="1" applyProtection="1"/>
    <xf numFmtId="0" fontId="32" fillId="0" borderId="0" xfId="0" applyFont="1"/>
    <xf numFmtId="0" fontId="11" fillId="0" borderId="1" xfId="0" applyFont="1" applyBorder="1"/>
    <xf numFmtId="169" fontId="11" fillId="0" borderId="8" xfId="1" applyNumberFormat="1" applyFont="1" applyFill="1" applyBorder="1" applyAlignment="1">
      <alignment horizontal="right"/>
    </xf>
    <xf numFmtId="169" fontId="14" fillId="0" borderId="0" xfId="1" applyNumberFormat="1" applyFont="1" applyFill="1" applyBorder="1" applyAlignment="1">
      <alignment horizontal="right" vertical="top"/>
    </xf>
    <xf numFmtId="164" fontId="11" fillId="0" borderId="5" xfId="0" applyNumberFormat="1" applyFont="1" applyBorder="1"/>
    <xf numFmtId="164" fontId="10" fillId="0" borderId="5" xfId="1" applyNumberFormat="1" applyFont="1" applyFill="1" applyBorder="1" applyAlignment="1">
      <alignment horizontal="center"/>
    </xf>
    <xf numFmtId="0" fontId="22" fillId="0" borderId="0" xfId="0" applyFont="1"/>
    <xf numFmtId="166" fontId="7" fillId="0" borderId="0" xfId="1" applyNumberFormat="1" applyFont="1" applyFill="1" applyBorder="1" applyAlignment="1">
      <alignment horizontal="left"/>
    </xf>
    <xf numFmtId="168" fontId="7" fillId="0" borderId="0" xfId="0" applyNumberFormat="1" applyFont="1"/>
    <xf numFmtId="0" fontId="7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3" fontId="7" fillId="0" borderId="0" xfId="1" applyFont="1" applyFill="1" applyBorder="1"/>
    <xf numFmtId="0" fontId="6" fillId="0" borderId="0" xfId="0" applyFont="1"/>
    <xf numFmtId="168" fontId="4" fillId="0" borderId="0" xfId="0" applyNumberFormat="1" applyFont="1" applyAlignment="1">
      <alignment horizontal="right"/>
    </xf>
    <xf numFmtId="169" fontId="11" fillId="0" borderId="5" xfId="1" applyNumberFormat="1" applyFont="1" applyFill="1" applyBorder="1" applyAlignment="1">
      <alignment horizontal="right"/>
    </xf>
    <xf numFmtId="169" fontId="11" fillId="0" borderId="19" xfId="1" applyNumberFormat="1" applyFont="1" applyFill="1" applyBorder="1" applyAlignment="1">
      <alignment horizontal="right"/>
    </xf>
    <xf numFmtId="164" fontId="34" fillId="0" borderId="0" xfId="1" applyNumberFormat="1" applyFont="1" applyAlignment="1">
      <alignment horizontal="right"/>
    </xf>
    <xf numFmtId="164" fontId="2" fillId="0" borderId="0" xfId="1" applyNumberFormat="1" applyFont="1" applyAlignment="1">
      <alignment horizontal="left"/>
    </xf>
    <xf numFmtId="0" fontId="34" fillId="0" borderId="0" xfId="0" applyFont="1"/>
    <xf numFmtId="164" fontId="34" fillId="0" borderId="0" xfId="1" applyNumberFormat="1" applyFont="1" applyAlignment="1">
      <alignment horizontal="left"/>
    </xf>
    <xf numFmtId="166" fontId="33" fillId="0" borderId="0" xfId="1" applyNumberFormat="1" applyFont="1" applyFill="1" applyBorder="1"/>
    <xf numFmtId="0" fontId="33" fillId="0" borderId="0" xfId="0" applyFont="1" applyAlignment="1">
      <alignment horizontal="left"/>
    </xf>
    <xf numFmtId="0" fontId="33" fillId="0" borderId="0" xfId="0" applyFont="1"/>
    <xf numFmtId="0" fontId="33" fillId="0" borderId="0" xfId="0" applyFont="1" applyAlignment="1">
      <alignment horizontal="center"/>
    </xf>
    <xf numFmtId="0" fontId="7" fillId="0" borderId="0" xfId="0" applyFont="1" applyBorder="1"/>
    <xf numFmtId="0" fontId="9" fillId="0" borderId="0" xfId="0" applyFont="1" applyBorder="1"/>
    <xf numFmtId="0" fontId="8" fillId="0" borderId="0" xfId="0" applyFont="1" applyBorder="1" applyAlignment="1">
      <alignment horizontal="left"/>
    </xf>
    <xf numFmtId="0" fontId="8" fillId="0" borderId="0" xfId="0" applyFont="1" applyBorder="1"/>
    <xf numFmtId="0" fontId="8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0" xfId="0" applyBorder="1"/>
    <xf numFmtId="0" fontId="35" fillId="0" borderId="0" xfId="0" applyFont="1" applyAlignment="1">
      <alignment horizontal="left" vertical="center"/>
    </xf>
    <xf numFmtId="164" fontId="5" fillId="0" borderId="0" xfId="1" applyNumberFormat="1" applyFont="1" applyBorder="1"/>
    <xf numFmtId="168" fontId="4" fillId="0" borderId="7" xfId="1" applyNumberFormat="1" applyFont="1" applyBorder="1"/>
    <xf numFmtId="164" fontId="5" fillId="0" borderId="0" xfId="0" applyNumberFormat="1" applyFont="1"/>
    <xf numFmtId="1" fontId="5" fillId="0" borderId="0" xfId="0" applyNumberFormat="1" applyFont="1"/>
    <xf numFmtId="1" fontId="36" fillId="0" borderId="9" xfId="0" applyNumberFormat="1" applyFont="1" applyBorder="1"/>
    <xf numFmtId="1" fontId="5" fillId="0" borderId="9" xfId="0" applyNumberFormat="1" applyFont="1" applyBorder="1"/>
    <xf numFmtId="176" fontId="4" fillId="0" borderId="28" xfId="0" applyNumberFormat="1" applyFont="1" applyBorder="1"/>
    <xf numFmtId="0" fontId="4" fillId="0" borderId="29" xfId="0" applyFont="1" applyBorder="1"/>
    <xf numFmtId="164" fontId="11" fillId="3" borderId="21" xfId="1" applyNumberFormat="1" applyFont="1" applyFill="1" applyBorder="1" applyAlignment="1">
      <alignment horizontal="center"/>
    </xf>
    <xf numFmtId="173" fontId="8" fillId="0" borderId="9" xfId="1" applyNumberFormat="1" applyFont="1" applyFill="1" applyBorder="1" applyAlignment="1">
      <alignment horizontal="right"/>
    </xf>
    <xf numFmtId="173" fontId="9" fillId="3" borderId="0" xfId="1" applyNumberFormat="1" applyFont="1" applyFill="1" applyBorder="1" applyAlignment="1">
      <alignment horizontal="right"/>
    </xf>
  </cellXfs>
  <cellStyles count="9">
    <cellStyle name="Comma" xfId="1" builtinId="3"/>
    <cellStyle name="Comma 2" xfId="4" xr:uid="{ABFF1A51-4D6D-4B0F-930F-EDAAC372C852}"/>
    <cellStyle name="Comma 3" xfId="7" xr:uid="{44433950-3CFB-4FC6-9F3A-775DD3265EE2}"/>
    <cellStyle name="Currency" xfId="2" builtinId="4"/>
    <cellStyle name="Currency 2" xfId="5" xr:uid="{3BED3707-EE7C-47A5-BA64-87D966B4E15C}"/>
    <cellStyle name="Currency 3" xfId="8" xr:uid="{4EB02D65-0938-4C0E-8D1B-1ADBBB149306}"/>
    <cellStyle name="Normal" xfId="0" builtinId="0"/>
    <cellStyle name="Percent" xfId="3" builtinId="5"/>
    <cellStyle name="Percent 2" xfId="6" xr:uid="{D6874DA0-9D68-4771-A7FF-B627A2EE564B}"/>
  </cellStyles>
  <dxfs count="0"/>
  <tableStyles count="0" defaultTableStyle="TableStyleMedium2" defaultPivotStyle="PivotStyleLight16"/>
  <colors>
    <mruColors>
      <color rgb="FFFFDDE3"/>
      <color rgb="FFFFB9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 sz="1200"/>
              <a:t>Compare Benefit vs Penalty</a:t>
            </a:r>
          </a:p>
        </c:rich>
      </c:tx>
      <c:layout>
        <c:manualLayout>
          <c:xMode val="edge"/>
          <c:yMode val="edge"/>
          <c:x val="0.27437702482157211"/>
          <c:y val="3.69128121605169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73926166396875"/>
          <c:y val="6.3758493731802077E-2"/>
          <c:w val="0.80952560215951441"/>
          <c:h val="0.84563896949548012"/>
        </c:manualLayout>
      </c:layout>
      <c:lineChart>
        <c:grouping val="standard"/>
        <c:varyColors val="0"/>
        <c:ser>
          <c:idx val="2"/>
          <c:order val="0"/>
          <c:tx>
            <c:v>Tax-free profits benefit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Ref>
              <c:f>'f) Time Matters'!$C$38:$C$72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cat>
          <c:val>
            <c:numRef>
              <c:f>'f) Time Matters'!$E$38:$E$72</c:f>
              <c:numCache>
                <c:formatCode>_-* #,##0_-;\-* #,##0_-;_-* "-"??_-;_-@_-</c:formatCode>
                <c:ptCount val="35"/>
                <c:pt idx="0">
                  <c:v>9</c:v>
                </c:pt>
                <c:pt idx="1">
                  <c:v>18.999000000000251</c:v>
                </c:pt>
                <c:pt idx="2">
                  <c:v>30.080349000000297</c:v>
                </c:pt>
                <c:pt idx="3">
                  <c:v>42.333590799000376</c:v>
                </c:pt>
                <c:pt idx="4">
                  <c:v>55.854896569749599</c:v>
                </c:pt>
                <c:pt idx="5">
                  <c:v>70.747526493207033</c:v>
                </c:pt>
                <c:pt idx="6">
                  <c:v>87.122322354664675</c:v>
                </c:pt>
                <c:pt idx="7">
                  <c:v>105.0982331256746</c:v>
                </c:pt>
                <c:pt idx="8">
                  <c:v>124.80287568586164</c:v>
                </c:pt>
                <c:pt idx="9">
                  <c:v>146.37313297686524</c:v>
                </c:pt>
                <c:pt idx="10">
                  <c:v>169.95579202757108</c:v>
                </c:pt>
                <c:pt idx="11">
                  <c:v>195.70822444599617</c:v>
                </c:pt>
                <c:pt idx="12">
                  <c:v>223.79911213926243</c:v>
                </c:pt>
                <c:pt idx="13">
                  <c:v>254.40922119967581</c:v>
                </c:pt>
                <c:pt idx="14">
                  <c:v>287.73222708264939</c:v>
                </c:pt>
                <c:pt idx="15">
                  <c:v>323.97559440176155</c:v>
                </c:pt>
                <c:pt idx="16">
                  <c:v>363.36151487842289</c:v>
                </c:pt>
                <c:pt idx="17">
                  <c:v>406.1279072091238</c:v>
                </c:pt>
                <c:pt idx="18">
                  <c:v>452.52948285300499</c:v>
                </c:pt>
                <c:pt idx="19">
                  <c:v>502.83888199729608</c:v>
                </c:pt>
                <c:pt idx="20">
                  <c:v>557.34788422907468</c:v>
                </c:pt>
                <c:pt idx="21">
                  <c:v>616.36869872966827</c:v>
                </c:pt>
                <c:pt idx="22">
                  <c:v>680.23533911408731</c:v>
                </c:pt>
                <c:pt idx="23">
                  <c:v>749.30508836306262</c:v>
                </c:pt>
                <c:pt idx="24">
                  <c:v>823.96005964098504</c:v>
                </c:pt>
                <c:pt idx="25">
                  <c:v>904.60885916036796</c:v>
                </c:pt>
                <c:pt idx="26">
                  <c:v>991.68835764389996</c:v>
                </c:pt>
                <c:pt idx="27">
                  <c:v>1085.6655773500738</c:v>
                </c:pt>
                <c:pt idx="28">
                  <c:v>1187.0397020692417</c:v>
                </c:pt>
                <c:pt idx="29">
                  <c:v>1296.3442179655458</c:v>
                </c:pt>
                <c:pt idx="30">
                  <c:v>1414.1491936380098</c:v>
                </c:pt>
                <c:pt idx="31">
                  <c:v>1541.0637083031397</c:v>
                </c:pt>
                <c:pt idx="32">
                  <c:v>1677.7384375635684</c:v>
                </c:pt>
                <c:pt idx="33">
                  <c:v>1824.8684068244984</c:v>
                </c:pt>
                <c:pt idx="34">
                  <c:v>1983.1959230544462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816-4462-96AC-61F563F61368}"/>
            </c:ext>
          </c:extLst>
        </c:ser>
        <c:ser>
          <c:idx val="3"/>
          <c:order val="1"/>
          <c:tx>
            <c:v>Higher withdrawal tax rate penalty</c:v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'f) Time Matters'!$C$38:$C$72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cat>
          <c:val>
            <c:numRef>
              <c:f>'f) Time Matters'!$F$38:$F$72</c:f>
              <c:numCache>
                <c:formatCode>_-* #,##0_-;\-* #,##0_-;_-* "-"??_-;_-@_-</c:formatCode>
                <c:ptCount val="35"/>
                <c:pt idx="0">
                  <c:v>212</c:v>
                </c:pt>
                <c:pt idx="1">
                  <c:v>224.72000000000003</c:v>
                </c:pt>
                <c:pt idx="2">
                  <c:v>238.20320000000007</c:v>
                </c:pt>
                <c:pt idx="3">
                  <c:v>252.49539200000009</c:v>
                </c:pt>
                <c:pt idx="4">
                  <c:v>267.6451155200001</c:v>
                </c:pt>
                <c:pt idx="5">
                  <c:v>283.70382245120015</c:v>
                </c:pt>
                <c:pt idx="6">
                  <c:v>300.72605179827218</c:v>
                </c:pt>
                <c:pt idx="7">
                  <c:v>318.7696149061685</c:v>
                </c:pt>
                <c:pt idx="8">
                  <c:v>337.89579180053857</c:v>
                </c:pt>
                <c:pt idx="9">
                  <c:v>358.16953930857096</c:v>
                </c:pt>
                <c:pt idx="10">
                  <c:v>379.65971166708528</c:v>
                </c:pt>
                <c:pt idx="11">
                  <c:v>402.43929436711039</c:v>
                </c:pt>
                <c:pt idx="12">
                  <c:v>426.58565202913707</c:v>
                </c:pt>
                <c:pt idx="13">
                  <c:v>452.18079115088523</c:v>
                </c:pt>
                <c:pt idx="14">
                  <c:v>479.31163861993849</c:v>
                </c:pt>
                <c:pt idx="15">
                  <c:v>508.0703369371347</c:v>
                </c:pt>
                <c:pt idx="16">
                  <c:v>538.55455715336291</c:v>
                </c:pt>
                <c:pt idx="17">
                  <c:v>570.86783058256458</c:v>
                </c:pt>
                <c:pt idx="18">
                  <c:v>605.11990041751858</c:v>
                </c:pt>
                <c:pt idx="19">
                  <c:v>641.42709444256968</c:v>
                </c:pt>
                <c:pt idx="20">
                  <c:v>679.91272010912394</c:v>
                </c:pt>
                <c:pt idx="21">
                  <c:v>720.70748331567142</c:v>
                </c:pt>
                <c:pt idx="22">
                  <c:v>763.94993231461183</c:v>
                </c:pt>
                <c:pt idx="23">
                  <c:v>809.78692825348844</c:v>
                </c:pt>
                <c:pt idx="24">
                  <c:v>858.37414394869757</c:v>
                </c:pt>
                <c:pt idx="25">
                  <c:v>909.87659258561962</c:v>
                </c:pt>
                <c:pt idx="26">
                  <c:v>964.46918814075696</c:v>
                </c:pt>
                <c:pt idx="27">
                  <c:v>1022.3373394292025</c:v>
                </c:pt>
                <c:pt idx="28">
                  <c:v>1083.6775797949547</c:v>
                </c:pt>
                <c:pt idx="29">
                  <c:v>1148.6982345826518</c:v>
                </c:pt>
                <c:pt idx="30">
                  <c:v>1217.6201286576113</c:v>
                </c:pt>
                <c:pt idx="31">
                  <c:v>1290.6773363770678</c:v>
                </c:pt>
                <c:pt idx="32">
                  <c:v>1368.1179765596919</c:v>
                </c:pt>
                <c:pt idx="33">
                  <c:v>1450.2050551532736</c:v>
                </c:pt>
                <c:pt idx="34">
                  <c:v>1537.2173584624702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816-4462-96AC-61F563F61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3961183"/>
        <c:axId val="1"/>
      </c:lineChart>
      <c:catAx>
        <c:axId val="44396118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Years</a:t>
                </a:r>
              </a:p>
            </c:rich>
          </c:tx>
          <c:layout>
            <c:manualLayout>
              <c:xMode val="edge"/>
              <c:yMode val="edge"/>
              <c:x val="0.50793763272753845"/>
              <c:y val="0.9093974632272822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15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Cumulative Benefit / Penalty</a:t>
                </a:r>
              </a:p>
            </c:rich>
          </c:tx>
          <c:layout>
            <c:manualLayout>
              <c:xMode val="edge"/>
              <c:yMode val="edge"/>
              <c:x val="1.133789358766827E-2"/>
              <c:y val="0.20805403217745938"/>
            </c:manualLayout>
          </c:layout>
          <c:overlay val="0"/>
          <c:spPr>
            <a:noFill/>
            <a:ln w="25400">
              <a:noFill/>
            </a:ln>
          </c:spPr>
        </c:title>
        <c:numFmt formatCode="_-* #,##0_-;\-* #,##0_-;_-* &quot;-&quot;??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961183"/>
        <c:crosses val="autoZero"/>
        <c:crossBetween val="between"/>
      </c:valAx>
      <c:spPr>
        <a:noFill/>
        <a:ln w="12700">
          <a:solidFill>
            <a:srgbClr val="FFFFFF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753760618632352"/>
          <c:y val="0.12096733390253929"/>
          <c:w val="0.55816081054384326"/>
          <c:h val="0.1879197709989955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Asset A</c:v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'g) CumulativeBenefit'!$E$39:$E$92</c:f>
              <c:numCache>
                <c:formatCode>#,##0_);[Red]\(#,##0\)</c:formatCode>
                <c:ptCount val="54"/>
                <c:pt idx="0">
                  <c:v>9.0000000000001137</c:v>
                </c:pt>
                <c:pt idx="1">
                  <c:v>18.45900000000006</c:v>
                </c:pt>
                <c:pt idx="2">
                  <c:v>28.394739000000527</c:v>
                </c:pt>
                <c:pt idx="3">
                  <c:v>38.825571519000277</c:v>
                </c:pt>
                <c:pt idx="4">
                  <c:v>49.770487810899567</c:v>
                </c:pt>
                <c:pt idx="5">
                  <c:v>61.249134723628686</c:v>
                </c:pt>
                <c:pt idx="6">
                  <c:v>73.281837221586102</c:v>
                </c:pt>
                <c:pt idx="7">
                  <c:v>85.889620592063011</c:v>
                </c:pt>
                <c:pt idx="8">
                  <c:v>99.094233356985342</c:v>
                </c:pt>
                <c:pt idx="9">
                  <c:v>112.91817091194548</c:v>
                </c:pt>
                <c:pt idx="10">
                  <c:v>127.38469991519332</c:v>
                </c:pt>
                <c:pt idx="11">
                  <c:v>142.51788344993247</c:v>
                </c:pt>
                <c:pt idx="12">
                  <c:v>158.3426069839968</c:v>
                </c:pt>
                <c:pt idx="13">
                  <c:v>174.88460515172483</c:v>
                </c:pt>
                <c:pt idx="14">
                  <c:v>192.17048938360767</c:v>
                </c:pt>
                <c:pt idx="15">
                  <c:v>210.22777641006996</c:v>
                </c:pt>
                <c:pt idx="16">
                  <c:v>229.08491766657062</c:v>
                </c:pt>
                <c:pt idx="17">
                  <c:v>248.77132962801488</c:v>
                </c:pt>
                <c:pt idx="18">
                  <c:v>269.31742510136201</c:v>
                </c:pt>
                <c:pt idx="19">
                  <c:v>290.75464550618494</c:v>
                </c:pt>
                <c:pt idx="20">
                  <c:v>313.11549417383935</c:v>
                </c:pt>
                <c:pt idx="21">
                  <c:v>336.4335706968759</c:v>
                </c:pt>
                <c:pt idx="22">
                  <c:v>360.74360636125743</c:v>
                </c:pt>
                <c:pt idx="23">
                  <c:v>386.08150069498333</c:v>
                </c:pt>
                <c:pt idx="24">
                  <c:v>412.484359167722</c:v>
                </c:pt>
                <c:pt idx="25">
                  <c:v>439.99053207713268</c:v>
                </c:pt>
                <c:pt idx="26">
                  <c:v>468.63965465864635</c:v>
                </c:pt>
                <c:pt idx="27">
                  <c:v>498.47268845661029</c:v>
                </c:pt>
                <c:pt idx="28">
                  <c:v>529.5319639958343</c:v>
                </c:pt>
                <c:pt idx="29">
                  <c:v>561.86122479383107</c:v>
                </c:pt>
                <c:pt idx="30">
                  <c:v>595.50567275520939</c:v>
                </c:pt>
                <c:pt idx="31">
                  <c:v>630.51201499099625</c:v>
                </c:pt>
                <c:pt idx="32">
                  <c:v>666.92851210697359</c:v>
                </c:pt>
                <c:pt idx="33">
                  <c:v>704.80502800642103</c:v>
                </c:pt>
                <c:pt idx="34">
                  <c:v>744.19308125411317</c:v>
                </c:pt>
                <c:pt idx="35">
                  <c:v>785.14589804979323</c:v>
                </c:pt>
                <c:pt idx="36">
                  <c:v>827.71846686086292</c:v>
                </c:pt>
                <c:pt idx="37">
                  <c:v>871.96759476552643</c:v>
                </c:pt>
                <c:pt idx="38">
                  <c:v>917.95196555920529</c:v>
                </c:pt>
                <c:pt idx="39">
                  <c:v>965.73219967865862</c:v>
                </c:pt>
                <c:pt idx="40">
                  <c:v>1015.370915999903</c:v>
                </c:pt>
                <c:pt idx="41">
                  <c:v>1066.9327955677322</c:v>
                </c:pt>
                <c:pt idx="42">
                  <c:v>1120.4846473164412</c:v>
                </c:pt>
                <c:pt idx="43">
                  <c:v>1176.0954758431267</c:v>
                </c:pt>
                <c:pt idx="44">
                  <c:v>1233.8365512968639</c:v>
                </c:pt>
                <c:pt idx="45">
                  <c:v>1293.7814814489598</c:v>
                </c:pt>
                <c:pt idx="46">
                  <c:v>1356.0062860114967</c:v>
                </c:pt>
                <c:pt idx="47">
                  <c:v>1420.5894732734096</c:v>
                </c:pt>
                <c:pt idx="48">
                  <c:v>1487.6121191254915</c:v>
                </c:pt>
                <c:pt idx="49">
                  <c:v>1557.1579485478696</c:v>
                </c:pt>
                <c:pt idx="50">
                  <c:v>1629.3134196357387</c:v>
                </c:pt>
                <c:pt idx="51">
                  <c:v>1704.1678102415044</c:v>
                </c:pt>
                <c:pt idx="52">
                  <c:v>1781.8133073137924</c:v>
                </c:pt>
                <c:pt idx="53">
                  <c:v>1862.3450990163165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604-41D5-8A85-7E48304F547E}"/>
            </c:ext>
          </c:extLst>
        </c:ser>
        <c:ser>
          <c:idx val="1"/>
          <c:order val="1"/>
          <c:tx>
            <c:v>Asset B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'g) CumulativeBenefit'!$K$39:$K$92</c:f>
              <c:numCache>
                <c:formatCode>#,##0_);[Red]\(#,##0\)</c:formatCode>
                <c:ptCount val="54"/>
                <c:pt idx="0">
                  <c:v>9</c:v>
                </c:pt>
                <c:pt idx="1">
                  <c:v>18.999000000000251</c:v>
                </c:pt>
                <c:pt idx="2">
                  <c:v>30.080349000000297</c:v>
                </c:pt>
                <c:pt idx="3">
                  <c:v>42.333590799000376</c:v>
                </c:pt>
                <c:pt idx="4">
                  <c:v>55.854896569749599</c:v>
                </c:pt>
                <c:pt idx="5">
                  <c:v>70.747526493207033</c:v>
                </c:pt>
                <c:pt idx="6">
                  <c:v>87.122322354664675</c:v>
                </c:pt>
                <c:pt idx="7">
                  <c:v>105.0982331256746</c:v>
                </c:pt>
                <c:pt idx="8">
                  <c:v>124.80287568586164</c:v>
                </c:pt>
                <c:pt idx="9">
                  <c:v>146.37313297686524</c:v>
                </c:pt>
                <c:pt idx="10">
                  <c:v>169.95579202757108</c:v>
                </c:pt>
                <c:pt idx="11">
                  <c:v>195.70822444599617</c:v>
                </c:pt>
                <c:pt idx="12">
                  <c:v>223.79911213926243</c:v>
                </c:pt>
                <c:pt idx="13">
                  <c:v>254.40922119967581</c:v>
                </c:pt>
                <c:pt idx="14">
                  <c:v>287.73222708264939</c:v>
                </c:pt>
                <c:pt idx="15">
                  <c:v>323.97559440176155</c:v>
                </c:pt>
                <c:pt idx="16">
                  <c:v>363.36151487842289</c:v>
                </c:pt>
                <c:pt idx="17">
                  <c:v>406.1279072091238</c:v>
                </c:pt>
                <c:pt idx="18">
                  <c:v>452.52948285300499</c:v>
                </c:pt>
                <c:pt idx="19">
                  <c:v>502.83888199729608</c:v>
                </c:pt>
                <c:pt idx="20">
                  <c:v>557.34788422907468</c:v>
                </c:pt>
                <c:pt idx="21">
                  <c:v>616.36869872966827</c:v>
                </c:pt>
                <c:pt idx="22">
                  <c:v>680.23533911408731</c:v>
                </c:pt>
                <c:pt idx="23">
                  <c:v>749.30508836306262</c:v>
                </c:pt>
                <c:pt idx="24">
                  <c:v>823.96005964098504</c:v>
                </c:pt>
                <c:pt idx="25">
                  <c:v>904.60885916036796</c:v>
                </c:pt>
                <c:pt idx="26">
                  <c:v>991.68835764389996</c:v>
                </c:pt>
                <c:pt idx="27">
                  <c:v>1085.6655773500738</c:v>
                </c:pt>
                <c:pt idx="28">
                  <c:v>1187.0397020692417</c:v>
                </c:pt>
                <c:pt idx="29">
                  <c:v>1296.3442179655458</c:v>
                </c:pt>
                <c:pt idx="30">
                  <c:v>1414.1491936380098</c:v>
                </c:pt>
                <c:pt idx="31">
                  <c:v>1541.0637083031397</c:v>
                </c:pt>
                <c:pt idx="32">
                  <c:v>1677.7384375635684</c:v>
                </c:pt>
                <c:pt idx="33">
                  <c:v>1824.8684068244984</c:v>
                </c:pt>
                <c:pt idx="34">
                  <c:v>1983.1959230544462</c:v>
                </c:pt>
                <c:pt idx="35">
                  <c:v>2153.5136962610331</c:v>
                </c:pt>
                <c:pt idx="36">
                  <c:v>2336.6681627690068</c:v>
                </c:pt>
                <c:pt idx="37">
                  <c:v>2533.5630231488067</c:v>
                </c:pt>
                <c:pt idx="38">
                  <c:v>2745.1630084526914</c:v>
                </c:pt>
                <c:pt idx="39">
                  <c:v>2972.4978892744693</c:v>
                </c:pt>
                <c:pt idx="40">
                  <c:v>3216.6667430616008</c:v>
                </c:pt>
                <c:pt idx="41">
                  <c:v>3478.8424960779257</c:v>
                </c:pt>
                <c:pt idx="42">
                  <c:v>3760.2767574452919</c:v>
                </c:pt>
                <c:pt idx="43">
                  <c:v>4062.3049637864406</c:v>
                </c:pt>
                <c:pt idx="44">
                  <c:v>4386.3518541536723</c:v>
                </c:pt>
                <c:pt idx="45">
                  <c:v>4733.9372961624758</c:v>
                </c:pt>
                <c:pt idx="46">
                  <c:v>5106.6824855605537</c:v>
                </c:pt>
                <c:pt idx="47">
                  <c:v>5506.3165428555567</c:v>
                </c:pt>
                <c:pt idx="48">
                  <c:v>5934.6835321044891</c:v>
                </c:pt>
                <c:pt idx="49">
                  <c:v>6393.7499285389131</c:v>
                </c:pt>
                <c:pt idx="50">
                  <c:v>6885.6125633693264</c:v>
                </c:pt>
                <c:pt idx="51">
                  <c:v>7412.5070758845795</c:v>
                </c:pt>
                <c:pt idx="52">
                  <c:v>7976.8169048451255</c:v>
                </c:pt>
                <c:pt idx="53">
                  <c:v>8581.0828531680745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604-41D5-8A85-7E48304F547E}"/>
            </c:ext>
          </c:extLst>
        </c:ser>
        <c:ser>
          <c:idx val="2"/>
          <c:order val="2"/>
          <c:tx>
            <c:v>Asset C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'g) CumulativeBenefit'!$Q$39:$Q$92</c:f>
              <c:numCache>
                <c:formatCode>#,##0_);[Red]\(#,##0\)</c:formatCode>
                <c:ptCount val="54"/>
                <c:pt idx="0">
                  <c:v>22.499999999999886</c:v>
                </c:pt>
                <c:pt idx="1">
                  <c:v>45.843749999999659</c:v>
                </c:pt>
                <c:pt idx="2">
                  <c:v>70.057828124999787</c:v>
                </c:pt>
                <c:pt idx="3">
                  <c:v>95.169619335936886</c:v>
                </c:pt>
                <c:pt idx="4">
                  <c:v>121.20733970595666</c:v>
                </c:pt>
                <c:pt idx="5">
                  <c:v>148.20006142550096</c:v>
                </c:pt>
                <c:pt idx="6">
                  <c:v>176.17773855809469</c:v>
                </c:pt>
                <c:pt idx="7">
                  <c:v>205.17123356933985</c:v>
                </c:pt>
                <c:pt idx="8">
                  <c:v>235.21234465233147</c:v>
                </c:pt>
                <c:pt idx="9">
                  <c:v>266.33383387338176</c:v>
                </c:pt>
                <c:pt idx="10">
                  <c:v>298.56945616267467</c:v>
                </c:pt>
                <c:pt idx="11">
                  <c:v>331.95398917519447</c:v>
                </c:pt>
                <c:pt idx="12">
                  <c:v>366.52326404804739</c:v>
                </c:pt>
                <c:pt idx="13">
                  <c:v>402.31419708106773</c:v>
                </c:pt>
                <c:pt idx="14">
                  <c:v>439.36482236841562</c:v>
                </c:pt>
                <c:pt idx="15">
                  <c:v>477.7143254096959</c:v>
                </c:pt>
                <c:pt idx="16">
                  <c:v>517.40307772999108</c:v>
                </c:pt>
                <c:pt idx="17">
                  <c:v>558.47267253908035</c:v>
                </c:pt>
                <c:pt idx="18">
                  <c:v>600.96596146102115</c:v>
                </c:pt>
                <c:pt idx="19">
                  <c:v>644.9270923662134</c:v>
                </c:pt>
                <c:pt idx="20">
                  <c:v>690.40154833902147</c:v>
                </c:pt>
                <c:pt idx="21">
                  <c:v>737.43618781502778</c:v>
                </c:pt>
                <c:pt idx="22">
                  <c:v>786.079285923008</c:v>
                </c:pt>
                <c:pt idx="23">
                  <c:v>836.38057706777886</c:v>
                </c:pt>
                <c:pt idx="24">
                  <c:v>888.39129879114626</c:v>
                </c:pt>
                <c:pt idx="25">
                  <c:v>942.16423694929995</c:v>
                </c:pt>
                <c:pt idx="26">
                  <c:v>997.75377224615545</c:v>
                </c:pt>
                <c:pt idx="27">
                  <c:v>1055.2159281633303</c:v>
                </c:pt>
                <c:pt idx="28">
                  <c:v>1114.6084203286432</c:v>
                </c:pt>
                <c:pt idx="29">
                  <c:v>1175.9907073663189</c:v>
                </c:pt>
                <c:pt idx="30">
                  <c:v>1239.4240432733336</c:v>
                </c:pt>
                <c:pt idx="31">
                  <c:v>1304.9715313677036</c:v>
                </c:pt>
                <c:pt idx="32">
                  <c:v>1372.6981798558766</c:v>
                </c:pt>
                <c:pt idx="33">
                  <c:v>1442.6709590677972</c:v>
                </c:pt>
                <c:pt idx="34">
                  <c:v>1514.9588604096984</c:v>
                </c:pt>
                <c:pt idx="35">
                  <c:v>1589.6329570861303</c:v>
                </c:pt>
                <c:pt idx="36">
                  <c:v>1666.7664666443359</c:v>
                </c:pt>
                <c:pt idx="37">
                  <c:v>1746.4348153956303</c:v>
                </c:pt>
                <c:pt idx="38">
                  <c:v>1828.7157047701032</c:v>
                </c:pt>
                <c:pt idx="39">
                  <c:v>1913.6891796626542</c:v>
                </c:pt>
                <c:pt idx="40">
                  <c:v>2001.4376988301033</c:v>
                </c:pt>
                <c:pt idx="41">
                  <c:v>2092.0462074009074</c:v>
                </c:pt>
                <c:pt idx="42">
                  <c:v>2185.6022115608803</c:v>
                </c:pt>
                <c:pt idx="43">
                  <c:v>2282.1958554801859</c:v>
                </c:pt>
                <c:pt idx="44">
                  <c:v>2381.9200005488651</c:v>
                </c:pt>
                <c:pt idx="45">
                  <c:v>2484.8703069901367</c:v>
                </c:pt>
                <c:pt idx="46">
                  <c:v>2591.1453179228329</c:v>
                </c:pt>
                <c:pt idx="47">
                  <c:v>2700.8465459464314</c:v>
                </c:pt>
                <c:pt idx="48">
                  <c:v>2814.0785623243828</c:v>
                </c:pt>
                <c:pt idx="49">
                  <c:v>2930.949088843669</c:v>
                </c:pt>
                <c:pt idx="50">
                  <c:v>3051.569092430906</c:v>
                </c:pt>
                <c:pt idx="51">
                  <c:v>3176.0528826076743</c:v>
                </c:pt>
                <c:pt idx="52">
                  <c:v>3304.5182118702733</c:v>
                </c:pt>
                <c:pt idx="53">
                  <c:v>3437.0863790816347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604-41D5-8A85-7E48304F54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0627855"/>
        <c:axId val="850626191"/>
      </c:lineChart>
      <c:catAx>
        <c:axId val="85062785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626191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850626191"/>
        <c:scaling>
          <c:logBase val="10"/>
          <c:orientation val="minMax"/>
          <c:max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627855"/>
        <c:crossesAt val="1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Non-Deductible IRA </a:t>
            </a:r>
          </a:p>
          <a:p>
            <a:pPr>
              <a:defRPr/>
            </a:pPr>
            <a:r>
              <a:rPr lang="en-CA" b="1"/>
              <a:t>Benefit greater than Penalty?</a:t>
            </a:r>
          </a:p>
        </c:rich>
      </c:tx>
      <c:layout>
        <c:manualLayout>
          <c:xMode val="edge"/>
          <c:yMode val="edge"/>
          <c:x val="0.1715485564304462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23403324584427"/>
          <c:y val="4.1505176436278796E-2"/>
          <c:w val="0.87318613298337711"/>
          <c:h val="0.77702136191309423"/>
        </c:manualLayout>
      </c:layout>
      <c:lineChart>
        <c:grouping val="standard"/>
        <c:varyColors val="0"/>
        <c:ser>
          <c:idx val="0"/>
          <c:order val="0"/>
          <c:tx>
            <c:strRef>
              <c:f>'h) NonDeductible'!$Y$4:$Y$5</c:f>
              <c:strCache>
                <c:ptCount val="2"/>
                <c:pt idx="0">
                  <c:v> Benefit </c:v>
                </c:pt>
                <c:pt idx="1">
                  <c:v> fm Deferral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'h) NonDeductible'!$W$7:$W$46</c:f>
              <c:numCache>
                <c:formatCode>General</c:formatCode>
                <c:ptCount val="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</c:numCache>
            </c:numRef>
          </c:cat>
          <c:val>
            <c:numRef>
              <c:f>'h) NonDeductible'!$Y$7:$Y$46</c:f>
              <c:numCache>
                <c:formatCode>_-* #,##0_-;\-* #,##0_-;_-* "-"??_-;_-@_-</c:formatCode>
                <c:ptCount val="40"/>
                <c:pt idx="0">
                  <c:v>0</c:v>
                </c:pt>
                <c:pt idx="1">
                  <c:v>0.57119999999994775</c:v>
                </c:pt>
                <c:pt idx="2">
                  <c:v>1.7981376000000182</c:v>
                </c:pt>
                <c:pt idx="3">
                  <c:v>3.7747546367999973</c:v>
                </c:pt>
                <c:pt idx="4">
                  <c:v>6.6053291265023404</c:v>
                </c:pt>
                <c:pt idx="5">
                  <c:v>10.405493975456579</c:v>
                </c:pt>
                <c:pt idx="6">
                  <c:v>15.303350231607681</c:v>
                </c:pt>
                <c:pt idx="7">
                  <c:v>21.440683326442752</c:v>
                </c:pt>
                <c:pt idx="8">
                  <c:v>28.974291494053546</c:v>
                </c:pt>
                <c:pt idx="9">
                  <c:v>38.077436353174789</c:v>
                </c:pt>
                <c:pt idx="10">
                  <c:v>48.941426505718141</c:v>
                </c:pt>
                <c:pt idx="11">
                  <c:v>61.777345947077038</c:v>
                </c:pt>
                <c:pt idx="12">
                  <c:v>76.817940105565754</c:v>
                </c:pt>
                <c:pt idx="13">
                  <c:v>94.319673437558777</c:v>
                </c:pt>
                <c:pt idx="14">
                  <c:v>114.56497370851275</c:v>
                </c:pt>
                <c:pt idx="15">
                  <c:v>137.864679396067</c:v>
                </c:pt>
                <c:pt idx="16">
                  <c:v>164.56070806840512</c:v>
                </c:pt>
                <c:pt idx="17">
                  <c:v>195.02896512833513</c:v>
                </c:pt>
                <c:pt idx="18">
                  <c:v>229.68251398124244</c:v>
                </c:pt>
                <c:pt idx="19">
                  <c:v>268.97503049408124</c:v>
                </c:pt>
                <c:pt idx="20">
                  <c:v>313.40456657476307</c:v>
                </c:pt>
                <c:pt idx="21">
                  <c:v>363.51764982949771</c:v>
                </c:pt>
                <c:pt idx="22">
                  <c:v>419.9137485637666</c:v>
                </c:pt>
                <c:pt idx="23">
                  <c:v>483.25013389563446</c:v>
                </c:pt>
                <c:pt idx="24">
                  <c:v>554.24717346443231</c:v>
                </c:pt>
                <c:pt idx="25">
                  <c:v>633.69409416101962</c:v>
                </c:pt>
                <c:pt idx="26">
                  <c:v>722.45525449705474</c:v>
                </c:pt>
                <c:pt idx="27">
                  <c:v>821.47697069058722</c:v>
                </c:pt>
                <c:pt idx="28">
                  <c:v>931.79494429629995</c:v>
                </c:pt>
                <c:pt idx="29">
                  <c:v>1054.5423432750995</c:v>
                </c:pt>
                <c:pt idx="30">
                  <c:v>1190.9585928057932</c:v>
                </c:pt>
                <c:pt idx="31">
                  <c:v>1342.3989369196088</c:v>
                </c:pt>
                <c:pt idx="32">
                  <c:v>1510.3448372174062</c:v>
                </c:pt>
                <c:pt idx="33">
                  <c:v>1696.4152805424364</c:v>
                </c:pt>
                <c:pt idx="34">
                  <c:v>1902.3790735651082</c:v>
                </c:pt>
                <c:pt idx="35">
                  <c:v>2130.1682088289845</c:v>
                </c:pt>
                <c:pt idx="36">
                  <c:v>2381.8923939517208</c:v>
                </c:pt>
                <c:pt idx="37">
                  <c:v>2659.8548434165914</c:v>
                </c:pt>
                <c:pt idx="38">
                  <c:v>2966.5694407791671</c:v>
                </c:pt>
                <c:pt idx="39">
                  <c:v>3304.7793882032165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43-4C02-BAC2-986A46104EAA}"/>
            </c:ext>
          </c:extLst>
        </c:ser>
        <c:ser>
          <c:idx val="2"/>
          <c:order val="1"/>
          <c:tx>
            <c:strRef>
              <c:f>'h) NonDeductible'!$AA$4:$AA$5</c:f>
              <c:strCache>
                <c:ptCount val="2"/>
                <c:pt idx="0">
                  <c:v> Penalty fm </c:v>
                </c:pt>
                <c:pt idx="1">
                  <c:v> Higher w/d % vs Tax % on Profits 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'h) NonDeductible'!$W$7:$W$46</c:f>
              <c:numCache>
                <c:formatCode>General</c:formatCode>
                <c:ptCount val="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</c:numCache>
            </c:numRef>
          </c:cat>
          <c:val>
            <c:numRef>
              <c:f>'h) NonDeductible'!$AA$7:$AA$46</c:f>
              <c:numCache>
                <c:formatCode>#,##0;[Red]#,##0</c:formatCode>
                <c:ptCount val="40"/>
                <c:pt idx="0">
                  <c:v>2.8000000000000007</c:v>
                </c:pt>
                <c:pt idx="1">
                  <c:v>5.8240000000000025</c:v>
                </c:pt>
                <c:pt idx="2">
                  <c:v>9.08992000000001</c:v>
                </c:pt>
                <c:pt idx="3">
                  <c:v>12.617113600000014</c:v>
                </c:pt>
                <c:pt idx="4">
                  <c:v>16.426482688000014</c:v>
                </c:pt>
                <c:pt idx="5">
                  <c:v>20.540601303040031</c:v>
                </c:pt>
                <c:pt idx="6">
                  <c:v>24.983849407283227</c:v>
                </c:pt>
                <c:pt idx="7">
                  <c:v>29.782557359865891</c:v>
                </c:pt>
                <c:pt idx="8">
                  <c:v>34.965161948655165</c:v>
                </c:pt>
                <c:pt idx="9">
                  <c:v>40.562374904547589</c:v>
                </c:pt>
                <c:pt idx="10">
                  <c:v>46.607364896911385</c:v>
                </c:pt>
                <c:pt idx="11">
                  <c:v>53.135954088664306</c:v>
                </c:pt>
                <c:pt idx="12">
                  <c:v>60.186830415757456</c:v>
                </c:pt>
                <c:pt idx="13">
                  <c:v>67.801776849018069</c:v>
                </c:pt>
                <c:pt idx="14">
                  <c:v>76.025918996939524</c:v>
                </c:pt>
                <c:pt idx="15">
                  <c:v>84.907992516694691</c:v>
                </c:pt>
                <c:pt idx="16">
                  <c:v>94.500631918030265</c:v>
                </c:pt>
                <c:pt idx="17">
                  <c:v>104.8606824714727</c:v>
                </c:pt>
                <c:pt idx="18">
                  <c:v>116.04953706919054</c:v>
                </c:pt>
                <c:pt idx="19">
                  <c:v>128.13350003472576</c:v>
                </c:pt>
                <c:pt idx="20">
                  <c:v>141.18418003750384</c:v>
                </c:pt>
                <c:pt idx="21">
                  <c:v>155.27891444050417</c:v>
                </c:pt>
                <c:pt idx="22">
                  <c:v>170.50122759574452</c:v>
                </c:pt>
                <c:pt idx="23">
                  <c:v>186.94132580340408</c:v>
                </c:pt>
                <c:pt idx="24">
                  <c:v>204.69663186767644</c:v>
                </c:pt>
                <c:pt idx="25">
                  <c:v>223.87236241709056</c:v>
                </c:pt>
                <c:pt idx="26">
                  <c:v>244.58215141045778</c:v>
                </c:pt>
                <c:pt idx="27">
                  <c:v>266.9487235232944</c:v>
                </c:pt>
                <c:pt idx="28">
                  <c:v>291.10462140515796</c:v>
                </c:pt>
                <c:pt idx="29">
                  <c:v>317.19299111757067</c:v>
                </c:pt>
                <c:pt idx="30">
                  <c:v>345.36843040697636</c:v>
                </c:pt>
                <c:pt idx="31">
                  <c:v>375.79790483953451</c:v>
                </c:pt>
                <c:pt idx="32">
                  <c:v>408.66173722669726</c:v>
                </c:pt>
                <c:pt idx="33">
                  <c:v>444.15467620483304</c:v>
                </c:pt>
                <c:pt idx="34">
                  <c:v>482.48705030121971</c:v>
                </c:pt>
                <c:pt idx="35">
                  <c:v>523.88601432531743</c:v>
                </c:pt>
                <c:pt idx="36">
                  <c:v>568.5968954713428</c:v>
                </c:pt>
                <c:pt idx="37">
                  <c:v>616.88464710905032</c:v>
                </c:pt>
                <c:pt idx="38">
                  <c:v>669.0354188777743</c:v>
                </c:pt>
                <c:pt idx="39">
                  <c:v>725.35825238799634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943-4C02-BAC2-986A46104E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5679583"/>
        <c:axId val="295679999"/>
      </c:lineChart>
      <c:catAx>
        <c:axId val="29567958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5679999"/>
        <c:crossesAt val="0.1"/>
        <c:auto val="1"/>
        <c:lblAlgn val="ctr"/>
        <c:lblOffset val="100"/>
        <c:noMultiLvlLbl val="0"/>
      </c:catAx>
      <c:valAx>
        <c:axId val="295679999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5679583"/>
        <c:crosses val="autoZero"/>
        <c:crossBetween val="between"/>
      </c:valAx>
      <c:spPr>
        <a:noFill/>
        <a:ln>
          <a:solidFill>
            <a:schemeClr val="bg2">
              <a:lumMod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46164501312335959"/>
          <c:y val="0.53745370370370371"/>
          <c:w val="0.39893219597550311"/>
          <c:h val="0.2262736949547972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270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</xdr:colOff>
      <xdr:row>11</xdr:row>
      <xdr:rowOff>66675</xdr:rowOff>
    </xdr:from>
    <xdr:to>
      <xdr:col>12</xdr:col>
      <xdr:colOff>209551</xdr:colOff>
      <xdr:row>12</xdr:row>
      <xdr:rowOff>38100</xdr:rowOff>
    </xdr:to>
    <xdr:cxnSp macro="">
      <xdr:nvCxnSpPr>
        <xdr:cNvPr id="2" name="Straight Arrow Connector 1">
          <a:extLst>
            <a:ext uri="{FF2B5EF4-FFF2-40B4-BE49-F238E27FC236}">
              <a16:creationId xmlns:a16="http://schemas.microsoft.com/office/drawing/2014/main" id="{045B7142-3A1F-4D7A-8354-F5DE2C78B53F}"/>
            </a:ext>
          </a:extLst>
        </xdr:cNvPr>
        <xdr:cNvCxnSpPr/>
      </xdr:nvCxnSpPr>
      <xdr:spPr>
        <a:xfrm flipH="1">
          <a:off x="5000625" y="1971675"/>
          <a:ext cx="409576" cy="133350"/>
        </a:xfrm>
        <a:prstGeom prst="straightConnector1">
          <a:avLst/>
        </a:prstGeom>
        <a:noFill/>
        <a:ln w="9525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arrow"/>
        </a:ln>
        <a:effectLst/>
      </xdr:spPr>
    </xdr:cxnSp>
    <xdr:clientData/>
  </xdr:twoCellAnchor>
  <xdr:twoCellAnchor>
    <xdr:from>
      <xdr:col>10</xdr:col>
      <xdr:colOff>628650</xdr:colOff>
      <xdr:row>19</xdr:row>
      <xdr:rowOff>38100</xdr:rowOff>
    </xdr:from>
    <xdr:to>
      <xdr:col>12</xdr:col>
      <xdr:colOff>219075</xdr:colOff>
      <xdr:row>22</xdr:row>
      <xdr:rowOff>76200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B671996D-5E4B-48D9-85F6-1BA025980C73}"/>
            </a:ext>
          </a:extLst>
        </xdr:cNvPr>
        <xdr:cNvCxnSpPr/>
      </xdr:nvCxnSpPr>
      <xdr:spPr>
        <a:xfrm>
          <a:off x="4838700" y="2667000"/>
          <a:ext cx="581025" cy="361950"/>
        </a:xfrm>
        <a:prstGeom prst="straightConnector1">
          <a:avLst/>
        </a:prstGeom>
        <a:noFill/>
        <a:ln w="9525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arrow"/>
        </a:ln>
        <a:effectLst/>
      </xdr:spPr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</xdr:colOff>
      <xdr:row>15</xdr:row>
      <xdr:rowOff>66675</xdr:rowOff>
    </xdr:from>
    <xdr:to>
      <xdr:col>12</xdr:col>
      <xdr:colOff>209551</xdr:colOff>
      <xdr:row>16</xdr:row>
      <xdr:rowOff>38100</xdr:rowOff>
    </xdr:to>
    <xdr:cxnSp macro="">
      <xdr:nvCxnSpPr>
        <xdr:cNvPr id="2" name="Straight Arrow Connector 1">
          <a:extLst>
            <a:ext uri="{FF2B5EF4-FFF2-40B4-BE49-F238E27FC236}">
              <a16:creationId xmlns:a16="http://schemas.microsoft.com/office/drawing/2014/main" id="{1B1DA5C2-3234-4C7F-B17E-7C866A776762}"/>
            </a:ext>
          </a:extLst>
        </xdr:cNvPr>
        <xdr:cNvCxnSpPr/>
      </xdr:nvCxnSpPr>
      <xdr:spPr>
        <a:xfrm flipH="1">
          <a:off x="5133975" y="2152650"/>
          <a:ext cx="409576" cy="161925"/>
        </a:xfrm>
        <a:prstGeom prst="straightConnector1">
          <a:avLst/>
        </a:prstGeom>
        <a:noFill/>
        <a:ln w="9525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arrow"/>
        </a:ln>
        <a:effectLst/>
      </xdr:spPr>
    </xdr:cxnSp>
    <xdr:clientData/>
  </xdr:twoCellAnchor>
  <xdr:twoCellAnchor>
    <xdr:from>
      <xdr:col>11</xdr:col>
      <xdr:colOff>0</xdr:colOff>
      <xdr:row>23</xdr:row>
      <xdr:rowOff>38100</xdr:rowOff>
    </xdr:from>
    <xdr:to>
      <xdr:col>12</xdr:col>
      <xdr:colOff>219075</xdr:colOff>
      <xdr:row>26</xdr:row>
      <xdr:rowOff>76200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68C3BFB8-26BF-4025-8BBE-7BE93DDA5E7E}"/>
            </a:ext>
          </a:extLst>
        </xdr:cNvPr>
        <xdr:cNvCxnSpPr/>
      </xdr:nvCxnSpPr>
      <xdr:spPr>
        <a:xfrm>
          <a:off x="4972050" y="3638550"/>
          <a:ext cx="581025" cy="390525"/>
        </a:xfrm>
        <a:prstGeom prst="straightConnector1">
          <a:avLst/>
        </a:prstGeom>
        <a:noFill/>
        <a:ln w="9525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arrow"/>
        </a:ln>
        <a:effectLst/>
      </xdr:spPr>
    </xdr:cxnSp>
    <xdr:clientData/>
  </xdr:twoCellAnchor>
  <xdr:twoCellAnchor>
    <xdr:from>
      <xdr:col>21</xdr:col>
      <xdr:colOff>133350</xdr:colOff>
      <xdr:row>7</xdr:row>
      <xdr:rowOff>200025</xdr:rowOff>
    </xdr:from>
    <xdr:to>
      <xdr:col>25</xdr:col>
      <xdr:colOff>457200</xdr:colOff>
      <xdr:row>14</xdr:row>
      <xdr:rowOff>9525</xdr:rowOff>
    </xdr:to>
    <xdr:cxnSp macro="">
      <xdr:nvCxnSpPr>
        <xdr:cNvPr id="9" name="Straight Arrow Connector 8">
          <a:extLst>
            <a:ext uri="{FF2B5EF4-FFF2-40B4-BE49-F238E27FC236}">
              <a16:creationId xmlns:a16="http://schemas.microsoft.com/office/drawing/2014/main" id="{64DFBE61-A9BF-4DAF-B7BA-4BD67DE6D135}"/>
            </a:ext>
          </a:extLst>
        </xdr:cNvPr>
        <xdr:cNvCxnSpPr/>
      </xdr:nvCxnSpPr>
      <xdr:spPr>
        <a:xfrm>
          <a:off x="9734550" y="1590675"/>
          <a:ext cx="1276350" cy="1181100"/>
        </a:xfrm>
        <a:prstGeom prst="straightConnector1">
          <a:avLst/>
        </a:prstGeom>
        <a:noFill/>
        <a:ln w="9525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arrow"/>
        </a:ln>
        <a:effectLst/>
      </xdr:spPr>
    </xdr:cxnSp>
    <xdr:clientData/>
  </xdr:twoCellAnchor>
  <xdr:twoCellAnchor>
    <xdr:from>
      <xdr:col>67</xdr:col>
      <xdr:colOff>167640</xdr:colOff>
      <xdr:row>25</xdr:row>
      <xdr:rowOff>99060</xdr:rowOff>
    </xdr:from>
    <xdr:to>
      <xdr:col>68</xdr:col>
      <xdr:colOff>312420</xdr:colOff>
      <xdr:row>30</xdr:row>
      <xdr:rowOff>83820</xdr:rowOff>
    </xdr:to>
    <xdr:sp macro="" textlink="">
      <xdr:nvSpPr>
        <xdr:cNvPr id="19" name="Right Brace 18">
          <a:extLst>
            <a:ext uri="{FF2B5EF4-FFF2-40B4-BE49-F238E27FC236}">
              <a16:creationId xmlns:a16="http://schemas.microsoft.com/office/drawing/2014/main" id="{53E47184-30B6-4986-8893-C68EB7D43988}"/>
            </a:ext>
          </a:extLst>
        </xdr:cNvPr>
        <xdr:cNvSpPr/>
      </xdr:nvSpPr>
      <xdr:spPr bwMode="auto">
        <a:xfrm>
          <a:off x="10578465" y="4547235"/>
          <a:ext cx="325755" cy="918210"/>
        </a:xfrm>
        <a:prstGeom prst="rightBrac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15875" cap="flat" cmpd="sng" algn="ctr">
          <a:solidFill>
            <a:schemeClr val="accent2">
              <a:lumMod val="50000"/>
            </a:schemeClr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0" rIns="0" bIns="0" rtlCol="0" anchor="ctr" upright="1"/>
        <a:lstStyle/>
        <a:p>
          <a:pPr algn="l"/>
          <a:endParaRPr lang="en-CA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</xdr:colOff>
      <xdr:row>9</xdr:row>
      <xdr:rowOff>66675</xdr:rowOff>
    </xdr:from>
    <xdr:to>
      <xdr:col>12</xdr:col>
      <xdr:colOff>209551</xdr:colOff>
      <xdr:row>10</xdr:row>
      <xdr:rowOff>38100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4EDE98CC-CA0A-47F1-8652-0D95BDC2D297}"/>
            </a:ext>
          </a:extLst>
        </xdr:cNvPr>
        <xdr:cNvCxnSpPr/>
      </xdr:nvCxnSpPr>
      <xdr:spPr>
        <a:xfrm flipH="1">
          <a:off x="5000625" y="1971675"/>
          <a:ext cx="409576" cy="133350"/>
        </a:xfrm>
        <a:prstGeom prst="straightConnector1">
          <a:avLst/>
        </a:prstGeom>
        <a:noFill/>
        <a:ln w="9525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arrow"/>
        </a:ln>
        <a:effectLst/>
      </xdr:spPr>
    </xdr:cxnSp>
    <xdr:clientData/>
  </xdr:twoCellAnchor>
  <xdr:twoCellAnchor>
    <xdr:from>
      <xdr:col>10</xdr:col>
      <xdr:colOff>628650</xdr:colOff>
      <xdr:row>17</xdr:row>
      <xdr:rowOff>38100</xdr:rowOff>
    </xdr:from>
    <xdr:to>
      <xdr:col>12</xdr:col>
      <xdr:colOff>266700</xdr:colOff>
      <xdr:row>20</xdr:row>
      <xdr:rowOff>66675</xdr:rowOff>
    </xdr:to>
    <xdr:cxnSp macro="">
      <xdr:nvCxnSpPr>
        <xdr:cNvPr id="5" name="Straight Arrow Connector 4">
          <a:extLst>
            <a:ext uri="{FF2B5EF4-FFF2-40B4-BE49-F238E27FC236}">
              <a16:creationId xmlns:a16="http://schemas.microsoft.com/office/drawing/2014/main" id="{7B6EE8A6-CF20-4B11-B41A-4F5A07613D15}"/>
            </a:ext>
          </a:extLst>
        </xdr:cNvPr>
        <xdr:cNvCxnSpPr/>
      </xdr:nvCxnSpPr>
      <xdr:spPr>
        <a:xfrm>
          <a:off x="4838700" y="3067050"/>
          <a:ext cx="628650" cy="352425"/>
        </a:xfrm>
        <a:prstGeom prst="straightConnector1">
          <a:avLst/>
        </a:prstGeom>
        <a:noFill/>
        <a:ln w="9525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arrow"/>
        </a:ln>
        <a:effectLst/>
      </xdr:spPr>
    </xdr:cxnSp>
    <xdr:clientData/>
  </xdr:twoCellAnchor>
  <xdr:twoCellAnchor>
    <xdr:from>
      <xdr:col>27</xdr:col>
      <xdr:colOff>9525</xdr:colOff>
      <xdr:row>9</xdr:row>
      <xdr:rowOff>95250</xdr:rowOff>
    </xdr:from>
    <xdr:to>
      <xdr:col>27</xdr:col>
      <xdr:colOff>400050</xdr:colOff>
      <xdr:row>10</xdr:row>
      <xdr:rowOff>38100</xdr:rowOff>
    </xdr:to>
    <xdr:cxnSp macro="">
      <xdr:nvCxnSpPr>
        <xdr:cNvPr id="6" name="Straight Arrow Connector 5">
          <a:extLst>
            <a:ext uri="{FF2B5EF4-FFF2-40B4-BE49-F238E27FC236}">
              <a16:creationId xmlns:a16="http://schemas.microsoft.com/office/drawing/2014/main" id="{5EE14975-4DCB-4600-A62E-C6F7883FADEF}"/>
            </a:ext>
          </a:extLst>
        </xdr:cNvPr>
        <xdr:cNvCxnSpPr/>
      </xdr:nvCxnSpPr>
      <xdr:spPr>
        <a:xfrm flipH="1">
          <a:off x="14220825" y="1495425"/>
          <a:ext cx="390525" cy="133350"/>
        </a:xfrm>
        <a:prstGeom prst="straightConnector1">
          <a:avLst/>
        </a:prstGeom>
        <a:noFill/>
        <a:ln w="9525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arrow"/>
        </a:ln>
        <a:effectLst/>
      </xdr:spPr>
    </xdr:cxnSp>
    <xdr:clientData/>
  </xdr:twoCellAnchor>
  <xdr:twoCellAnchor>
    <xdr:from>
      <xdr:col>27</xdr:col>
      <xdr:colOff>0</xdr:colOff>
      <xdr:row>17</xdr:row>
      <xdr:rowOff>9525</xdr:rowOff>
    </xdr:from>
    <xdr:to>
      <xdr:col>28</xdr:col>
      <xdr:colOff>390525</xdr:colOff>
      <xdr:row>19</xdr:row>
      <xdr:rowOff>0</xdr:rowOff>
    </xdr:to>
    <xdr:cxnSp macro="">
      <xdr:nvCxnSpPr>
        <xdr:cNvPr id="7" name="Straight Arrow Connector 6">
          <a:extLst>
            <a:ext uri="{FF2B5EF4-FFF2-40B4-BE49-F238E27FC236}">
              <a16:creationId xmlns:a16="http://schemas.microsoft.com/office/drawing/2014/main" id="{3B4D6E36-5E44-4071-9D41-74A8AC4D3F8F}"/>
            </a:ext>
          </a:extLst>
        </xdr:cNvPr>
        <xdr:cNvCxnSpPr/>
      </xdr:nvCxnSpPr>
      <xdr:spPr>
        <a:xfrm>
          <a:off x="12658725" y="3228975"/>
          <a:ext cx="676275" cy="342900"/>
        </a:xfrm>
        <a:prstGeom prst="straightConnector1">
          <a:avLst/>
        </a:prstGeom>
        <a:noFill/>
        <a:ln w="9525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arrow"/>
        </a:ln>
        <a:effectLst/>
      </xdr:spPr>
    </xdr:cxnSp>
    <xdr:clientData/>
  </xdr:twoCellAnchor>
  <xdr:twoCellAnchor>
    <xdr:from>
      <xdr:col>25</xdr:col>
      <xdr:colOff>57150</xdr:colOff>
      <xdr:row>17</xdr:row>
      <xdr:rowOff>47625</xdr:rowOff>
    </xdr:from>
    <xdr:to>
      <xdr:col>27</xdr:col>
      <xdr:colOff>257175</xdr:colOff>
      <xdr:row>22</xdr:row>
      <xdr:rowOff>85725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ECB59018-98DC-40FF-B246-4DEAE46B8705}"/>
            </a:ext>
          </a:extLst>
        </xdr:cNvPr>
        <xdr:cNvCxnSpPr/>
      </xdr:nvCxnSpPr>
      <xdr:spPr>
        <a:xfrm>
          <a:off x="11858625" y="3267075"/>
          <a:ext cx="1057275" cy="714375"/>
        </a:xfrm>
        <a:prstGeom prst="straightConnector1">
          <a:avLst/>
        </a:prstGeom>
        <a:noFill/>
        <a:ln w="9525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arrow"/>
        </a:ln>
        <a:effectLst/>
      </xdr:spPr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</xdr:colOff>
      <xdr:row>8</xdr:row>
      <xdr:rowOff>66675</xdr:rowOff>
    </xdr:from>
    <xdr:to>
      <xdr:col>12</xdr:col>
      <xdr:colOff>209551</xdr:colOff>
      <xdr:row>9</xdr:row>
      <xdr:rowOff>38100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E68AA637-C758-4C4E-99A2-50DBA85ACBD3}"/>
            </a:ext>
          </a:extLst>
        </xdr:cNvPr>
        <xdr:cNvCxnSpPr/>
      </xdr:nvCxnSpPr>
      <xdr:spPr>
        <a:xfrm flipH="1">
          <a:off x="5274945" y="1491615"/>
          <a:ext cx="413386" cy="146685"/>
        </a:xfrm>
        <a:prstGeom prst="straightConnector1">
          <a:avLst/>
        </a:prstGeom>
        <a:noFill/>
        <a:ln w="9525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arrow"/>
        </a:ln>
        <a:effectLst/>
      </xdr:spPr>
    </xdr:cxnSp>
    <xdr:clientData/>
  </xdr:twoCellAnchor>
  <xdr:twoCellAnchor>
    <xdr:from>
      <xdr:col>10</xdr:col>
      <xdr:colOff>628650</xdr:colOff>
      <xdr:row>16</xdr:row>
      <xdr:rowOff>38100</xdr:rowOff>
    </xdr:from>
    <xdr:to>
      <xdr:col>12</xdr:col>
      <xdr:colOff>219075</xdr:colOff>
      <xdr:row>19</xdr:row>
      <xdr:rowOff>76200</xdr:rowOff>
    </xdr:to>
    <xdr:cxnSp macro="">
      <xdr:nvCxnSpPr>
        <xdr:cNvPr id="5" name="Straight Arrow Connector 4">
          <a:extLst>
            <a:ext uri="{FF2B5EF4-FFF2-40B4-BE49-F238E27FC236}">
              <a16:creationId xmlns:a16="http://schemas.microsoft.com/office/drawing/2014/main" id="{E3641A48-9D13-4097-B146-992CDDEC42D5}"/>
            </a:ext>
          </a:extLst>
        </xdr:cNvPr>
        <xdr:cNvCxnSpPr/>
      </xdr:nvCxnSpPr>
      <xdr:spPr>
        <a:xfrm>
          <a:off x="5093970" y="2895600"/>
          <a:ext cx="603885" cy="373380"/>
        </a:xfrm>
        <a:prstGeom prst="straightConnector1">
          <a:avLst/>
        </a:prstGeom>
        <a:noFill/>
        <a:ln w="9525" cap="flat" cmpd="sng" algn="ctr">
          <a:solidFill>
            <a:srgbClr val="4F81BD">
              <a:shade val="95000"/>
              <a:satMod val="105000"/>
            </a:srgbClr>
          </a:solidFill>
          <a:prstDash val="solid"/>
          <a:tailEnd type="arrow"/>
        </a:ln>
        <a:effectLst/>
      </xdr:spPr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7</xdr:row>
      <xdr:rowOff>38100</xdr:rowOff>
    </xdr:from>
    <xdr:to>
      <xdr:col>9</xdr:col>
      <xdr:colOff>19050</xdr:colOff>
      <xdr:row>24</xdr:row>
      <xdr:rowOff>123825</xdr:rowOff>
    </xdr:to>
    <xdr:graphicFrame macro="">
      <xdr:nvGraphicFramePr>
        <xdr:cNvPr id="1025" name="Chart 1">
          <a:extLst>
            <a:ext uri="{FF2B5EF4-FFF2-40B4-BE49-F238E27FC236}">
              <a16:creationId xmlns:a16="http://schemas.microsoft.com/office/drawing/2014/main" id="{23EE0EF8-A522-4613-927A-3FC4900E40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3</xdr:row>
      <xdr:rowOff>114299</xdr:rowOff>
    </xdr:from>
    <xdr:to>
      <xdr:col>10</xdr:col>
      <xdr:colOff>180975</xdr:colOff>
      <xdr:row>21</xdr:row>
      <xdr:rowOff>66674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259AD115-DB66-4BD7-9FD1-F9ABA0F2B5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19051</xdr:colOff>
      <xdr:row>5</xdr:row>
      <xdr:rowOff>38100</xdr:rowOff>
    </xdr:from>
    <xdr:to>
      <xdr:col>5</xdr:col>
      <xdr:colOff>228601</xdr:colOff>
      <xdr:row>6</xdr:row>
      <xdr:rowOff>152401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6F1F046B-0168-4CDF-956D-F8E8A0F7C761}"/>
            </a:ext>
          </a:extLst>
        </xdr:cNvPr>
        <xdr:cNvSpPr txBox="1"/>
      </xdr:nvSpPr>
      <xdr:spPr>
        <a:xfrm>
          <a:off x="1295401" y="885825"/>
          <a:ext cx="1943100" cy="2762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CA" sz="1100"/>
            <a:t>Cumulative Benefits (log-scale)</a:t>
          </a:r>
        </a:p>
      </xdr:txBody>
    </xdr:sp>
    <xdr:clientData/>
  </xdr:twoCellAnchor>
  <xdr:twoCellAnchor>
    <xdr:from>
      <xdr:col>25</xdr:col>
      <xdr:colOff>371475</xdr:colOff>
      <xdr:row>41</xdr:row>
      <xdr:rowOff>57150</xdr:rowOff>
    </xdr:from>
    <xdr:to>
      <xdr:col>26</xdr:col>
      <xdr:colOff>266700</xdr:colOff>
      <xdr:row>42</xdr:row>
      <xdr:rowOff>133350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A448235-2F73-4BA6-99B5-8A6D28C52F72}"/>
            </a:ext>
          </a:extLst>
        </xdr:cNvPr>
        <xdr:cNvSpPr txBox="1"/>
      </xdr:nvSpPr>
      <xdr:spPr>
        <a:xfrm>
          <a:off x="14392275" y="3333750"/>
          <a:ext cx="504825" cy="238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CA" sz="1100"/>
            <a:t>Years</a:t>
          </a:r>
        </a:p>
        <a:p>
          <a:endParaRPr lang="en-CA" sz="1100"/>
        </a:p>
      </xdr:txBody>
    </xdr:sp>
    <xdr:clientData/>
  </xdr:twoCellAnchor>
  <xdr:twoCellAnchor>
    <xdr:from>
      <xdr:col>8</xdr:col>
      <xdr:colOff>571500</xdr:colOff>
      <xdr:row>17</xdr:row>
      <xdr:rowOff>114300</xdr:rowOff>
    </xdr:from>
    <xdr:to>
      <xdr:col>9</xdr:col>
      <xdr:colOff>514350</xdr:colOff>
      <xdr:row>19</xdr:row>
      <xdr:rowOff>47625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57DE3D3-F6D3-7122-0B4E-DADDF85F70B1}"/>
            </a:ext>
          </a:extLst>
        </xdr:cNvPr>
        <xdr:cNvSpPr txBox="1"/>
      </xdr:nvSpPr>
      <xdr:spPr>
        <a:xfrm>
          <a:off x="4981575" y="2905125"/>
          <a:ext cx="552450" cy="257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CA" sz="1100"/>
            <a:t>Years</a:t>
          </a:r>
        </a:p>
      </xdr:txBody>
    </xdr: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0.34082</cdr:x>
      <cdr:y>0.54861</cdr:y>
    </cdr:from>
    <cdr:to>
      <cdr:x>0.83333</cdr:x>
      <cdr:y>0.78125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3009A06-3F27-48AF-BA2A-6D2156EBE3CB}"/>
            </a:ext>
          </a:extLst>
        </cdr:cNvPr>
        <cdr:cNvSpPr txBox="1"/>
      </cdr:nvSpPr>
      <cdr:spPr>
        <a:xfrm xmlns:a="http://schemas.openxmlformats.org/drawingml/2006/main">
          <a:off x="1733549" y="1504950"/>
          <a:ext cx="2505075" cy="638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CA" sz="1200"/>
            <a:t>Asset A : 3% return ,</a:t>
          </a:r>
          <a:r>
            <a:rPr lang="en-CA" sz="1200" baseline="0"/>
            <a:t> 30% tax</a:t>
          </a:r>
        </a:p>
        <a:p xmlns:a="http://schemas.openxmlformats.org/drawingml/2006/main">
          <a:r>
            <a:rPr lang="en-CA" sz="1200" baseline="0"/>
            <a:t>Asset </a:t>
          </a:r>
          <a:r>
            <a:rPr lang="en-CA" sz="1100" baseline="0"/>
            <a:t>B :  6% return , 15% tax</a:t>
          </a:r>
        </a:p>
        <a:p xmlns:a="http://schemas.openxmlformats.org/drawingml/2006/main">
          <a:r>
            <a:rPr lang="en-CA" sz="1100" baseline="0"/>
            <a:t>Asset C :   3% return , 75% tax </a:t>
          </a:r>
          <a:endParaRPr lang="en-CA" sz="1100"/>
        </a:p>
      </cdr:txBody>
    </cdr:sp>
  </cdr:relSizeAnchor>
  <cdr:relSizeAnchor xmlns:cdr="http://schemas.openxmlformats.org/drawingml/2006/chartDrawing">
    <cdr:from>
      <cdr:x>0.72285</cdr:x>
      <cdr:y>0.60417</cdr:y>
    </cdr:from>
    <cdr:to>
      <cdr:x>0.83146</cdr:x>
      <cdr:y>0.60417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E0108F07-65A0-417E-A04E-132029D6D50F}"/>
            </a:ext>
          </a:extLst>
        </cdr:cNvPr>
        <cdr:cNvCxnSpPr/>
      </cdr:nvCxnSpPr>
      <cdr:spPr bwMode="auto">
        <a:xfrm xmlns:a="http://schemas.openxmlformats.org/drawingml/2006/main">
          <a:off x="3676650" y="1657350"/>
          <a:ext cx="552450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chemeClr val="accent5">
              <a:lumMod val="75000"/>
            </a:schemeClr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0.73034</cdr:x>
      <cdr:y>0.65972</cdr:y>
    </cdr:from>
    <cdr:to>
      <cdr:x>0.83708</cdr:x>
      <cdr:y>0.65972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F5FE921F-E6FB-49EF-A6D2-AF860C860471}"/>
            </a:ext>
          </a:extLst>
        </cdr:cNvPr>
        <cdr:cNvCxnSpPr/>
      </cdr:nvCxnSpPr>
      <cdr:spPr bwMode="auto">
        <a:xfrm xmlns:a="http://schemas.openxmlformats.org/drawingml/2006/main">
          <a:off x="3714750" y="1809750"/>
          <a:ext cx="542925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chemeClr val="accent6">
              <a:lumMod val="60000"/>
              <a:lumOff val="40000"/>
            </a:schemeClr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0.72472</cdr:x>
      <cdr:y>0.71528</cdr:y>
    </cdr:from>
    <cdr:to>
      <cdr:x>0.83333</cdr:x>
      <cdr:y>0.71528</cdr:y>
    </cdr:to>
    <cdr:cxnSp macro="">
      <cdr:nvCxnSpPr>
        <cdr:cNvPr id="1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EB7214E2-7035-4204-B4E4-6B293FB7218F}"/>
            </a:ext>
          </a:extLst>
        </cdr:cNvPr>
        <cdr:cNvCxnSpPr/>
      </cdr:nvCxnSpPr>
      <cdr:spPr bwMode="auto">
        <a:xfrm xmlns:a="http://schemas.openxmlformats.org/drawingml/2006/main">
          <a:off x="3686175" y="1962150"/>
          <a:ext cx="552450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chemeClr val="bg1">
              <a:lumMod val="65000"/>
            </a:schemeClr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304800</xdr:colOff>
      <xdr:row>11</xdr:row>
      <xdr:rowOff>90487</xdr:rowOff>
    </xdr:from>
    <xdr:to>
      <xdr:col>19</xdr:col>
      <xdr:colOff>571500</xdr:colOff>
      <xdr:row>26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1536AFF-1535-4A36-BCE6-BD228B978F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18</xdr:col>
      <xdr:colOff>328194</xdr:colOff>
      <xdr:row>25</xdr:row>
      <xdr:rowOff>123857</xdr:rowOff>
    </xdr:from>
    <xdr:ext cx="668131" cy="20257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DDB1E7D-5263-4CD9-9D4D-5095FE19888D}"/>
            </a:ext>
          </a:extLst>
        </xdr:cNvPr>
        <xdr:cNvSpPr txBox="1"/>
      </xdr:nvSpPr>
      <xdr:spPr>
        <a:xfrm rot="21406114">
          <a:off x="10415169" y="4476782"/>
          <a:ext cx="668131" cy="20257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36000" bIns="36000" rtlCol="0" anchor="t">
          <a:noAutofit/>
        </a:bodyPr>
        <a:lstStyle/>
        <a:p>
          <a:r>
            <a:rPr lang="en-CA" sz="1100"/>
            <a:t>Years</a:t>
          </a:r>
        </a:p>
      </xdr:txBody>
    </xdr:sp>
    <xdr:clientData/>
  </xdr:one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0.58542</cdr:x>
      <cdr:y>0.89757</cdr:y>
    </cdr:from>
    <cdr:to>
      <cdr:x>0.90833</cdr:x>
      <cdr:y>0.97049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E58251A-184D-4AC7-B342-3F5BBED41351}"/>
            </a:ext>
          </a:extLst>
        </cdr:cNvPr>
        <cdr:cNvSpPr txBox="1"/>
      </cdr:nvSpPr>
      <cdr:spPr>
        <a:xfrm xmlns:a="http://schemas.openxmlformats.org/drawingml/2006/main">
          <a:off x="2676525" y="2462213"/>
          <a:ext cx="1476375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CA" sz="1100"/>
        </a:p>
      </cdr:txBody>
    </cdr:sp>
  </cdr:relSizeAnchor>
  <cdr:relSizeAnchor xmlns:cdr="http://schemas.openxmlformats.org/drawingml/2006/chartDrawing">
    <cdr:from>
      <cdr:x>0.02917</cdr:x>
      <cdr:y>0.24479</cdr:y>
    </cdr:from>
    <cdr:to>
      <cdr:x>0.07917</cdr:x>
      <cdr:y>0.83854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9FD32D39-84E8-4DD2-B44C-51AFF58CD772}"/>
            </a:ext>
          </a:extLst>
        </cdr:cNvPr>
        <cdr:cNvSpPr txBox="1"/>
      </cdr:nvSpPr>
      <cdr:spPr>
        <a:xfrm xmlns:a="http://schemas.openxmlformats.org/drawingml/2006/main">
          <a:off x="133350" y="671513"/>
          <a:ext cx="228600" cy="16287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CA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93B56-17F2-484F-92BE-57C94CE63EBB}">
  <dimension ref="A2:AC68"/>
  <sheetViews>
    <sheetView showGridLines="0" tabSelected="1" workbookViewId="0"/>
  </sheetViews>
  <sheetFormatPr defaultColWidth="9.140625" defaultRowHeight="12.75" x14ac:dyDescent="0.2"/>
  <cols>
    <col min="1" max="1" width="1.7109375" style="9" customWidth="1"/>
    <col min="2" max="2" width="2.28515625" style="10" customWidth="1"/>
    <col min="3" max="3" width="3" style="10" customWidth="1"/>
    <col min="4" max="4" width="18" style="10" customWidth="1"/>
    <col min="5" max="5" width="5.5703125" style="10" customWidth="1"/>
    <col min="6" max="6" width="5.28515625" style="16" customWidth="1"/>
    <col min="7" max="7" width="11.7109375" style="9" customWidth="1"/>
    <col min="8" max="8" width="3.28515625" style="9" customWidth="1"/>
    <col min="9" max="9" width="11.7109375" style="9" customWidth="1"/>
    <col min="10" max="10" width="2.5703125" style="15" customWidth="1"/>
    <col min="11" max="11" width="11.7109375" style="9" customWidth="1"/>
    <col min="12" max="12" width="3.140625" style="11" customWidth="1"/>
    <col min="13" max="13" width="11.7109375" style="9" customWidth="1"/>
    <col min="14" max="15" width="2.7109375" style="9" customWidth="1"/>
    <col min="16" max="16" width="4.85546875" style="9" customWidth="1"/>
    <col min="17" max="17" width="2.140625" style="9" customWidth="1"/>
    <col min="18" max="16384" width="9.140625" style="9"/>
  </cols>
  <sheetData>
    <row r="2" spans="2:28" ht="15.75" x14ac:dyDescent="0.25">
      <c r="D2" s="329" t="s">
        <v>256</v>
      </c>
    </row>
    <row r="4" spans="2:28" ht="15.75" x14ac:dyDescent="0.25">
      <c r="D4" s="328" t="s">
        <v>272</v>
      </c>
      <c r="E4" s="18"/>
      <c r="F4" s="398"/>
      <c r="G4" s="21"/>
      <c r="H4" s="19"/>
      <c r="I4" s="19"/>
      <c r="J4" s="20"/>
      <c r="K4" s="21"/>
      <c r="L4" s="399"/>
      <c r="M4" s="21"/>
      <c r="N4" s="21"/>
      <c r="O4" s="21"/>
      <c r="P4" s="21"/>
      <c r="Q4" s="21"/>
      <c r="R4" s="21"/>
    </row>
    <row r="5" spans="2:28" ht="15.75" x14ac:dyDescent="0.25">
      <c r="D5" s="19" t="s">
        <v>159</v>
      </c>
      <c r="E5" s="21"/>
      <c r="F5" s="22"/>
      <c r="G5" s="19"/>
      <c r="H5" s="19"/>
      <c r="I5" s="19"/>
      <c r="J5" s="20"/>
      <c r="K5" s="21"/>
      <c r="L5" s="399"/>
      <c r="M5" s="21"/>
      <c r="N5" s="21"/>
      <c r="O5" s="21"/>
      <c r="P5" s="21"/>
      <c r="Q5" s="21"/>
      <c r="R5" s="21"/>
    </row>
    <row r="6" spans="2:28" ht="15" x14ac:dyDescent="0.25">
      <c r="B6" s="85"/>
      <c r="C6" s="85"/>
      <c r="D6" s="85"/>
      <c r="E6" s="85"/>
      <c r="F6" s="86"/>
      <c r="G6" s="25"/>
      <c r="H6" s="25"/>
      <c r="I6" s="25"/>
      <c r="J6" s="24"/>
      <c r="K6" s="25"/>
      <c r="L6" s="26"/>
      <c r="M6" s="25"/>
      <c r="N6" s="25"/>
      <c r="O6" s="25"/>
    </row>
    <row r="7" spans="2:28" ht="15" x14ac:dyDescent="0.25">
      <c r="B7" s="85"/>
      <c r="C7" s="87"/>
      <c r="D7" s="88"/>
      <c r="E7" s="88"/>
      <c r="F7" s="89"/>
      <c r="G7" s="90"/>
      <c r="H7" s="90"/>
      <c r="I7" s="90"/>
      <c r="J7" s="91"/>
      <c r="K7" s="90"/>
      <c r="L7" s="92"/>
      <c r="M7" s="90"/>
      <c r="N7" s="90"/>
      <c r="O7" s="93"/>
    </row>
    <row r="8" spans="2:28" ht="15" x14ac:dyDescent="0.25">
      <c r="B8" s="85"/>
      <c r="C8" s="94"/>
      <c r="D8" s="25"/>
      <c r="E8" s="25"/>
      <c r="F8" s="86"/>
      <c r="G8" s="95" t="s">
        <v>36</v>
      </c>
      <c r="H8" s="96"/>
      <c r="I8" s="95" t="s">
        <v>124</v>
      </c>
      <c r="J8" s="95" t="s">
        <v>37</v>
      </c>
      <c r="K8" s="95" t="s">
        <v>273</v>
      </c>
      <c r="L8" s="95" t="s">
        <v>35</v>
      </c>
      <c r="M8" s="95" t="s">
        <v>125</v>
      </c>
      <c r="N8" s="96"/>
      <c r="O8" s="93"/>
      <c r="Q8" s="435"/>
      <c r="R8" s="475"/>
      <c r="S8" s="475"/>
      <c r="T8" s="475"/>
      <c r="U8" s="475"/>
      <c r="V8" s="475"/>
      <c r="W8" s="475"/>
      <c r="X8" s="475"/>
      <c r="Y8" s="475"/>
      <c r="Z8" s="475"/>
      <c r="AA8" s="475"/>
      <c r="AB8" s="475"/>
    </row>
    <row r="9" spans="2:28" ht="15" x14ac:dyDescent="0.25">
      <c r="B9" s="85"/>
      <c r="C9" s="94"/>
      <c r="D9" s="97" t="s">
        <v>55</v>
      </c>
      <c r="E9" s="25"/>
      <c r="F9" s="86"/>
      <c r="G9" s="98"/>
      <c r="H9" s="98"/>
      <c r="I9" s="98"/>
      <c r="J9" s="96"/>
      <c r="K9" s="98"/>
      <c r="L9" s="99"/>
      <c r="M9" s="98"/>
      <c r="N9" s="98"/>
      <c r="O9" s="93"/>
      <c r="Q9" s="227"/>
      <c r="R9" s="475"/>
      <c r="S9" s="475"/>
      <c r="T9" s="475"/>
      <c r="U9" s="475"/>
      <c r="V9" s="475"/>
      <c r="W9" s="475"/>
      <c r="X9" s="475"/>
      <c r="Y9" s="475"/>
      <c r="Z9" s="475"/>
      <c r="AA9" s="475"/>
      <c r="AB9" s="475"/>
    </row>
    <row r="10" spans="2:28" ht="15.75" x14ac:dyDescent="0.25">
      <c r="B10" s="85"/>
      <c r="C10" s="94"/>
      <c r="D10" s="25" t="s">
        <v>40</v>
      </c>
      <c r="E10" s="25"/>
      <c r="F10" s="86"/>
      <c r="G10" s="100">
        <f>+D35</f>
        <v>1000</v>
      </c>
      <c r="H10" s="100"/>
      <c r="I10" s="100">
        <f>+D35</f>
        <v>1000</v>
      </c>
      <c r="J10" s="101"/>
      <c r="K10" s="100"/>
      <c r="L10" s="100"/>
      <c r="M10" s="100">
        <f>+D35</f>
        <v>1000</v>
      </c>
      <c r="N10" s="100"/>
      <c r="O10" s="93"/>
      <c r="Q10" s="227"/>
      <c r="R10" s="475"/>
      <c r="S10" s="476" t="s">
        <v>274</v>
      </c>
      <c r="T10" s="477"/>
      <c r="U10" s="478"/>
      <c r="V10" s="478"/>
      <c r="W10" s="478"/>
      <c r="X10" s="479"/>
      <c r="Y10" s="476"/>
      <c r="Z10" s="480"/>
      <c r="AA10" s="475"/>
      <c r="AB10" s="475"/>
    </row>
    <row r="11" spans="2:28" ht="15.75" x14ac:dyDescent="0.25">
      <c r="B11" s="85"/>
      <c r="C11" s="94"/>
      <c r="D11" s="25" t="s">
        <v>57</v>
      </c>
      <c r="E11" s="102">
        <f>+D38</f>
        <v>0.3</v>
      </c>
      <c r="F11" s="86"/>
      <c r="G11" s="100">
        <f>-G10*+D38</f>
        <v>-300</v>
      </c>
      <c r="H11" s="100"/>
      <c r="I11" s="100">
        <f>-I10*D38</f>
        <v>-300</v>
      </c>
      <c r="J11" s="101"/>
      <c r="K11" s="100"/>
      <c r="L11" s="100"/>
      <c r="M11" s="100">
        <f>-M10*D38</f>
        <v>-300</v>
      </c>
      <c r="N11" s="100"/>
      <c r="O11" s="93"/>
      <c r="Q11" s="227"/>
      <c r="R11" s="475"/>
      <c r="S11" s="475"/>
      <c r="T11" s="477"/>
      <c r="U11" s="478"/>
      <c r="V11" s="478"/>
      <c r="W11" s="478"/>
      <c r="X11" s="479"/>
      <c r="Y11" s="476"/>
      <c r="Z11" s="480"/>
      <c r="AA11" s="475"/>
      <c r="AB11" s="475"/>
    </row>
    <row r="12" spans="2:28" ht="15.75" x14ac:dyDescent="0.25">
      <c r="B12" s="85"/>
      <c r="C12" s="94"/>
      <c r="D12" s="103" t="s">
        <v>64</v>
      </c>
      <c r="E12" s="103"/>
      <c r="F12" s="86"/>
      <c r="G12" s="104"/>
      <c r="H12" s="100"/>
      <c r="I12" s="104"/>
      <c r="J12" s="101"/>
      <c r="K12" s="104"/>
      <c r="L12" s="100"/>
      <c r="M12" s="104">
        <f>-M11</f>
        <v>300</v>
      </c>
      <c r="N12" s="100"/>
      <c r="O12" s="93"/>
      <c r="Q12" s="227"/>
      <c r="R12" s="328" t="s">
        <v>158</v>
      </c>
      <c r="S12" s="18"/>
      <c r="T12" s="476"/>
      <c r="U12" s="476"/>
      <c r="V12" s="476"/>
      <c r="W12" s="476"/>
      <c r="X12" s="476"/>
      <c r="Y12" s="476"/>
      <c r="Z12" s="476"/>
      <c r="AA12" s="476"/>
      <c r="AB12" s="475"/>
    </row>
    <row r="13" spans="2:28" ht="15.75" x14ac:dyDescent="0.25">
      <c r="B13" s="85"/>
      <c r="C13" s="94"/>
      <c r="D13" s="25" t="s">
        <v>51</v>
      </c>
      <c r="E13" s="26"/>
      <c r="F13" s="86"/>
      <c r="G13" s="100">
        <f>SUM(G10:G12)</f>
        <v>700</v>
      </c>
      <c r="H13" s="100"/>
      <c r="I13" s="100">
        <f>SUM(I10:I12)</f>
        <v>700</v>
      </c>
      <c r="J13" s="101" t="s">
        <v>37</v>
      </c>
      <c r="K13" s="100">
        <f>+M13-I13</f>
        <v>300</v>
      </c>
      <c r="L13" s="101" t="s">
        <v>35</v>
      </c>
      <c r="M13" s="100">
        <f>SUM(M10:M12)</f>
        <v>1000</v>
      </c>
      <c r="N13" s="100"/>
      <c r="O13" s="93"/>
      <c r="Q13" s="227"/>
      <c r="R13" s="328"/>
      <c r="S13" s="328" t="s">
        <v>275</v>
      </c>
      <c r="T13" s="476"/>
      <c r="U13" s="476"/>
      <c r="V13" s="476"/>
      <c r="W13" s="476"/>
      <c r="X13" s="476"/>
      <c r="Y13" s="476"/>
      <c r="Z13" s="476"/>
      <c r="AA13" s="476"/>
      <c r="AB13" s="475"/>
    </row>
    <row r="14" spans="2:28" ht="15.75" x14ac:dyDescent="0.25">
      <c r="B14" s="85"/>
      <c r="C14" s="94"/>
      <c r="D14" s="25"/>
      <c r="E14" s="26"/>
      <c r="F14" s="86"/>
      <c r="G14" s="100"/>
      <c r="H14" s="100"/>
      <c r="I14" s="100"/>
      <c r="J14" s="101"/>
      <c r="K14" s="100"/>
      <c r="L14" s="100"/>
      <c r="M14" s="100"/>
      <c r="N14" s="100"/>
      <c r="O14" s="93"/>
      <c r="Q14" s="227"/>
      <c r="R14" s="476"/>
      <c r="S14" s="476" t="s">
        <v>276</v>
      </c>
      <c r="T14" s="476"/>
      <c r="U14" s="476"/>
      <c r="V14" s="476"/>
      <c r="W14" s="476"/>
      <c r="X14" s="476"/>
      <c r="Y14" s="476"/>
      <c r="Z14" s="476"/>
      <c r="AA14" s="476"/>
      <c r="AB14" s="475"/>
    </row>
    <row r="15" spans="2:28" ht="15" x14ac:dyDescent="0.2">
      <c r="B15" s="85"/>
      <c r="C15" s="94"/>
      <c r="D15" s="25"/>
      <c r="E15" s="26"/>
      <c r="F15" s="86"/>
      <c r="G15" s="201">
        <f>+I36</f>
        <v>6.8000000000000005E-2</v>
      </c>
      <c r="H15" s="202"/>
      <c r="I15" s="201">
        <f>+D36</f>
        <v>0.08</v>
      </c>
      <c r="J15" s="205"/>
      <c r="K15" s="201">
        <f>+D36</f>
        <v>0.08</v>
      </c>
      <c r="L15" s="202"/>
      <c r="M15" s="201">
        <f>+D36</f>
        <v>0.08</v>
      </c>
      <c r="N15" s="105"/>
      <c r="O15" s="93"/>
      <c r="Q15" s="227"/>
      <c r="R15" s="476"/>
      <c r="S15" s="476"/>
      <c r="T15" s="476"/>
      <c r="U15" s="476"/>
      <c r="V15" s="476"/>
      <c r="W15" s="476"/>
      <c r="X15" s="476"/>
      <c r="Y15" s="476"/>
      <c r="Z15" s="476"/>
      <c r="AA15" s="476"/>
      <c r="AB15" s="475"/>
    </row>
    <row r="16" spans="2:28" ht="15.75" x14ac:dyDescent="0.25">
      <c r="B16" s="85"/>
      <c r="C16" s="94"/>
      <c r="D16" s="97" t="s">
        <v>43</v>
      </c>
      <c r="E16" s="106"/>
      <c r="F16" s="107"/>
      <c r="G16" s="204" t="s">
        <v>45</v>
      </c>
      <c r="H16" s="204"/>
      <c r="I16" s="204" t="s">
        <v>46</v>
      </c>
      <c r="J16" s="206"/>
      <c r="K16" s="204" t="s">
        <v>46</v>
      </c>
      <c r="L16" s="204"/>
      <c r="M16" s="204" t="s">
        <v>46</v>
      </c>
      <c r="N16" s="108"/>
      <c r="O16" s="93"/>
      <c r="Q16" s="227"/>
      <c r="R16" s="476"/>
      <c r="S16" s="476"/>
      <c r="T16" s="476"/>
      <c r="U16" s="476"/>
      <c r="V16" s="476"/>
      <c r="W16" s="476"/>
      <c r="X16" s="476"/>
      <c r="Y16" s="476"/>
      <c r="Z16" s="476"/>
      <c r="AA16" s="476"/>
      <c r="AB16" s="475"/>
    </row>
    <row r="17" spans="1:29" ht="15.75" x14ac:dyDescent="0.25">
      <c r="B17" s="85"/>
      <c r="C17" s="94"/>
      <c r="D17" s="25" t="s">
        <v>44</v>
      </c>
      <c r="E17" s="26"/>
      <c r="F17" s="86"/>
      <c r="G17" s="109">
        <f>+G19-G13</f>
        <v>1589.7105543858097</v>
      </c>
      <c r="H17" s="100"/>
      <c r="I17" s="109">
        <f>+I19-I13</f>
        <v>2100.2291443134727</v>
      </c>
      <c r="J17" s="101" t="s">
        <v>37</v>
      </c>
      <c r="K17" s="109">
        <f>+K19-K13</f>
        <v>900.09820470577415</v>
      </c>
      <c r="L17" s="101" t="s">
        <v>35</v>
      </c>
      <c r="M17" s="100">
        <f>+I17+K17</f>
        <v>3000.3273490192469</v>
      </c>
      <c r="N17" s="109"/>
      <c r="O17" s="93"/>
      <c r="Q17" s="227"/>
      <c r="R17" s="328" t="s">
        <v>277</v>
      </c>
      <c r="S17" s="18"/>
      <c r="T17" s="477"/>
      <c r="U17" s="478"/>
      <c r="V17" s="478"/>
      <c r="W17" s="478"/>
      <c r="X17" s="479"/>
      <c r="Y17" s="476"/>
      <c r="Z17" s="481"/>
      <c r="AA17" s="476"/>
      <c r="AB17" s="475"/>
    </row>
    <row r="18" spans="1:29" ht="15.75" x14ac:dyDescent="0.25">
      <c r="B18" s="85"/>
      <c r="C18" s="94"/>
      <c r="D18" s="110"/>
      <c r="E18" s="106"/>
      <c r="F18" s="107"/>
      <c r="G18" s="111"/>
      <c r="H18" s="108"/>
      <c r="I18" s="111"/>
      <c r="J18" s="112"/>
      <c r="K18" s="111"/>
      <c r="L18" s="111"/>
      <c r="M18" s="111"/>
      <c r="N18" s="108"/>
      <c r="O18" s="93"/>
      <c r="Q18" s="227"/>
      <c r="R18" s="476"/>
      <c r="S18" s="476"/>
      <c r="T18" s="476"/>
      <c r="U18" s="478"/>
      <c r="V18" s="478"/>
      <c r="W18" s="478"/>
      <c r="X18" s="479"/>
      <c r="Y18" s="476"/>
      <c r="Z18" s="481"/>
      <c r="AA18" s="476"/>
      <c r="AB18" s="475"/>
    </row>
    <row r="19" spans="1:29" ht="15.75" x14ac:dyDescent="0.25">
      <c r="B19" s="85"/>
      <c r="C19" s="94"/>
      <c r="D19" s="25" t="s">
        <v>56</v>
      </c>
      <c r="E19" s="113">
        <f>+D34</f>
        <v>18.013999999999999</v>
      </c>
      <c r="F19" s="114" t="s">
        <v>47</v>
      </c>
      <c r="G19" s="100">
        <f>FV(D36*(1-D37),D34,0,-G13)</f>
        <v>2289.7105543858097</v>
      </c>
      <c r="H19" s="100"/>
      <c r="I19" s="100">
        <f>FV(D36,D34,0,-I13)</f>
        <v>2800.2291443134727</v>
      </c>
      <c r="J19" s="101" t="s">
        <v>37</v>
      </c>
      <c r="K19" s="100">
        <f>FV(D36,D34,0,-K13)</f>
        <v>1200.0982047057742</v>
      </c>
      <c r="L19" s="100" t="s">
        <v>35</v>
      </c>
      <c r="M19" s="100">
        <f>+I19+K19</f>
        <v>4000.3273490192469</v>
      </c>
      <c r="N19" s="100"/>
      <c r="O19" s="93"/>
      <c r="Q19" s="227"/>
      <c r="R19" s="476"/>
      <c r="S19" s="476"/>
      <c r="T19" s="476"/>
      <c r="U19" s="478"/>
      <c r="V19" s="478"/>
      <c r="W19" s="478"/>
      <c r="X19" s="479"/>
      <c r="Y19" s="476"/>
      <c r="Z19" s="481"/>
      <c r="AA19" s="476"/>
      <c r="AB19" s="475"/>
    </row>
    <row r="20" spans="1:29" ht="15.75" x14ac:dyDescent="0.25">
      <c r="B20" s="25"/>
      <c r="C20" s="94"/>
      <c r="D20" s="25"/>
      <c r="E20" s="25"/>
      <c r="F20" s="86"/>
      <c r="G20" s="115"/>
      <c r="H20" s="115"/>
      <c r="I20" s="115"/>
      <c r="J20" s="116"/>
      <c r="K20" s="115"/>
      <c r="L20" s="115"/>
      <c r="M20" s="115"/>
      <c r="N20" s="115"/>
      <c r="O20" s="93"/>
      <c r="Q20" s="227"/>
      <c r="R20" s="476"/>
      <c r="S20" s="476"/>
      <c r="T20" s="476"/>
      <c r="U20" s="476"/>
      <c r="V20" s="476"/>
      <c r="W20" s="476"/>
      <c r="X20" s="476"/>
      <c r="Y20" s="476"/>
      <c r="Z20" s="476"/>
      <c r="AA20" s="476"/>
      <c r="AB20" s="475"/>
    </row>
    <row r="21" spans="1:29" ht="12.75" customHeight="1" x14ac:dyDescent="0.25">
      <c r="B21" s="85"/>
      <c r="C21" s="94"/>
      <c r="D21" s="97" t="s">
        <v>62</v>
      </c>
      <c r="E21" s="117"/>
      <c r="F21" s="86"/>
      <c r="G21" s="100"/>
      <c r="H21" s="100"/>
      <c r="I21" s="100"/>
      <c r="J21" s="101"/>
      <c r="K21" s="100"/>
      <c r="L21" s="100"/>
      <c r="M21" s="100"/>
      <c r="N21" s="100"/>
      <c r="O21" s="93"/>
      <c r="Q21" s="227"/>
      <c r="R21" s="476" t="s">
        <v>204</v>
      </c>
      <c r="S21" s="476"/>
      <c r="T21" s="476"/>
      <c r="U21" s="476"/>
      <c r="V21" s="476"/>
      <c r="W21" s="476"/>
      <c r="X21" s="476"/>
      <c r="Y21" s="476"/>
      <c r="Z21" s="476"/>
      <c r="AA21" s="476"/>
      <c r="AB21" s="475"/>
    </row>
    <row r="22" spans="1:29" ht="12.75" hidden="1" customHeight="1" x14ac:dyDescent="0.25">
      <c r="B22" s="85"/>
      <c r="C22" s="94"/>
      <c r="D22" s="97"/>
      <c r="E22" s="118" t="s">
        <v>61</v>
      </c>
      <c r="F22" s="86"/>
      <c r="G22" s="100"/>
      <c r="H22" s="100"/>
      <c r="I22" s="100"/>
      <c r="J22" s="101"/>
      <c r="K22" s="100"/>
      <c r="L22" s="100"/>
      <c r="M22" s="104">
        <f>+M23-M21</f>
        <v>-1200.0982047057739</v>
      </c>
      <c r="N22" s="100"/>
      <c r="O22" s="93"/>
      <c r="Q22" s="227"/>
      <c r="R22" s="476"/>
      <c r="S22" s="476"/>
      <c r="T22" s="476"/>
      <c r="U22" s="476"/>
      <c r="V22" s="476"/>
      <c r="W22" s="476"/>
      <c r="X22" s="476"/>
      <c r="Y22" s="476"/>
      <c r="Z22" s="476"/>
      <c r="AA22" s="476"/>
      <c r="AB22" s="475"/>
    </row>
    <row r="23" spans="1:29" ht="15.75" customHeight="1" x14ac:dyDescent="0.25">
      <c r="B23" s="85"/>
      <c r="C23" s="94"/>
      <c r="D23" s="85"/>
      <c r="E23" s="118" t="s">
        <v>52</v>
      </c>
      <c r="F23" s="119">
        <f>+D38</f>
        <v>0.3</v>
      </c>
      <c r="G23" s="100"/>
      <c r="H23" s="100"/>
      <c r="I23" s="100"/>
      <c r="J23" s="101"/>
      <c r="K23" s="100"/>
      <c r="L23" s="100"/>
      <c r="M23" s="100">
        <f>-M19*D38</f>
        <v>-1200.0982047057739</v>
      </c>
      <c r="N23" s="120"/>
      <c r="O23" s="93"/>
      <c r="Q23" s="227"/>
      <c r="R23" s="476"/>
      <c r="S23" s="328" t="s">
        <v>205</v>
      </c>
      <c r="T23" s="477"/>
      <c r="U23" s="476"/>
      <c r="V23" s="476"/>
      <c r="W23" s="476"/>
      <c r="X23" s="476"/>
      <c r="Y23" s="476"/>
      <c r="Z23" s="476"/>
      <c r="AA23" s="476"/>
      <c r="AB23" s="475"/>
    </row>
    <row r="24" spans="1:29" ht="15.75" customHeight="1" thickBot="1" x14ac:dyDescent="0.3">
      <c r="B24" s="85"/>
      <c r="C24" s="94"/>
      <c r="D24" s="116" t="s">
        <v>48</v>
      </c>
      <c r="E24" s="25"/>
      <c r="F24" s="86"/>
      <c r="G24" s="123">
        <f>+G19</f>
        <v>2289.7105543858097</v>
      </c>
      <c r="H24" s="100"/>
      <c r="I24" s="123">
        <f>+I19</f>
        <v>2800.2291443134727</v>
      </c>
      <c r="J24" s="23"/>
      <c r="K24" s="25"/>
      <c r="L24" s="25"/>
      <c r="M24" s="123">
        <f>+M19+M23</f>
        <v>2800.2291443134727</v>
      </c>
      <c r="N24" s="100"/>
      <c r="O24" s="93"/>
      <c r="Q24" s="227"/>
      <c r="R24" s="476"/>
      <c r="S24" s="476" t="s">
        <v>203</v>
      </c>
      <c r="T24" s="477"/>
      <c r="U24" s="476"/>
      <c r="V24" s="476"/>
      <c r="W24" s="476"/>
      <c r="X24" s="476"/>
      <c r="Y24" s="476"/>
      <c r="Z24" s="476"/>
      <c r="AA24" s="476"/>
      <c r="AB24" s="475"/>
    </row>
    <row r="25" spans="1:29" ht="16.5" thickTop="1" x14ac:dyDescent="0.25">
      <c r="B25" s="85"/>
      <c r="C25" s="94"/>
      <c r="D25" s="116"/>
      <c r="E25" s="25"/>
      <c r="F25" s="86"/>
      <c r="G25" s="100"/>
      <c r="H25" s="100"/>
      <c r="I25" s="100"/>
      <c r="J25" s="23"/>
      <c r="K25" s="25"/>
      <c r="L25" s="25"/>
      <c r="M25" s="100"/>
      <c r="N25" s="100"/>
      <c r="O25" s="93"/>
      <c r="Q25" s="227"/>
      <c r="R25" s="476"/>
      <c r="S25" s="476"/>
      <c r="T25" s="476"/>
      <c r="U25" s="476"/>
      <c r="V25" s="476"/>
      <c r="W25" s="476"/>
      <c r="X25" s="476"/>
      <c r="Y25" s="476"/>
      <c r="Z25" s="476"/>
      <c r="AA25" s="476"/>
      <c r="AB25" s="475"/>
    </row>
    <row r="26" spans="1:29" ht="15" x14ac:dyDescent="0.25">
      <c r="B26" s="85"/>
      <c r="C26" s="87"/>
      <c r="D26" s="163"/>
      <c r="E26" s="90"/>
      <c r="F26" s="89"/>
      <c r="G26" s="164"/>
      <c r="H26" s="164"/>
      <c r="I26" s="164"/>
      <c r="J26" s="165"/>
      <c r="K26" s="164"/>
      <c r="L26" s="164"/>
      <c r="M26" s="164"/>
      <c r="N26" s="166"/>
      <c r="O26" s="93"/>
      <c r="Q26" s="275"/>
      <c r="R26" s="482"/>
      <c r="S26" s="482"/>
      <c r="T26" s="482"/>
      <c r="U26" s="482"/>
      <c r="V26" s="482"/>
      <c r="W26" s="482"/>
      <c r="X26" s="482"/>
      <c r="Y26" s="482"/>
      <c r="Z26" s="482"/>
      <c r="AA26" s="482"/>
      <c r="AB26" s="482"/>
      <c r="AC26"/>
    </row>
    <row r="27" spans="1:29" ht="15" x14ac:dyDescent="0.25">
      <c r="B27" s="85"/>
      <c r="C27" s="94"/>
      <c r="D27" s="23" t="s">
        <v>66</v>
      </c>
      <c r="E27" s="25"/>
      <c r="F27" s="86"/>
      <c r="G27" s="25"/>
      <c r="H27" s="26"/>
      <c r="I27" s="25"/>
      <c r="J27" s="96"/>
      <c r="K27" s="98"/>
      <c r="L27" s="99"/>
      <c r="M27" s="98"/>
      <c r="N27" s="98"/>
      <c r="O27" s="93"/>
      <c r="Q27"/>
      <c r="R27" s="482"/>
      <c r="S27" s="482"/>
      <c r="T27" s="482"/>
      <c r="U27" s="482"/>
      <c r="V27" s="482"/>
      <c r="W27" s="482"/>
      <c r="X27" s="482"/>
      <c r="Y27" s="482"/>
      <c r="Z27" s="482"/>
      <c r="AA27" s="482"/>
      <c r="AB27" s="482"/>
      <c r="AC27"/>
    </row>
    <row r="28" spans="1:29" ht="12.75" customHeight="1" x14ac:dyDescent="0.25">
      <c r="B28" s="85"/>
      <c r="C28" s="94"/>
      <c r="D28" s="155" t="s">
        <v>67</v>
      </c>
      <c r="E28" s="155"/>
      <c r="F28" s="152"/>
      <c r="G28" s="155"/>
      <c r="H28" s="156"/>
      <c r="I28" s="162">
        <f>(((1+$D$36)^+$D$34)-((1+$I$36)^+$D$34))*+$I$37/(+$D$36-$I$36)</f>
        <v>510.51858992766302</v>
      </c>
      <c r="J28" s="157"/>
      <c r="K28" s="155"/>
      <c r="L28" s="156"/>
      <c r="M28" s="162">
        <f>(((1+$D$36)^+$D$34)-((1+$I$36)^+$D$34))*+$I$37/(+$D$36-$I$36)</f>
        <v>510.51858992766302</v>
      </c>
      <c r="N28" s="125"/>
      <c r="O28" s="93"/>
      <c r="Q28"/>
      <c r="R28"/>
      <c r="S28"/>
      <c r="T28"/>
      <c r="U28"/>
      <c r="V28"/>
      <c r="W28"/>
      <c r="X28"/>
      <c r="Y28"/>
      <c r="Z28"/>
      <c r="AA28"/>
      <c r="AB28"/>
      <c r="AC28"/>
    </row>
    <row r="29" spans="1:29" ht="15.75" thickBot="1" x14ac:dyDescent="0.3">
      <c r="B29" s="85"/>
      <c r="C29" s="94"/>
      <c r="D29" s="85"/>
      <c r="E29" s="127"/>
      <c r="F29" s="128" t="s">
        <v>12</v>
      </c>
      <c r="G29" s="25"/>
      <c r="H29" s="99"/>
      <c r="I29" s="129">
        <f>+I28</f>
        <v>510.51858992766302</v>
      </c>
      <c r="J29" s="24"/>
      <c r="K29" s="25"/>
      <c r="L29" s="26"/>
      <c r="M29" s="129">
        <f>+M28</f>
        <v>510.51858992766302</v>
      </c>
      <c r="N29" s="130"/>
      <c r="O29" s="93"/>
      <c r="Q29"/>
      <c r="R29"/>
      <c r="S29"/>
      <c r="T29"/>
      <c r="U29"/>
      <c r="V29"/>
      <c r="W29"/>
      <c r="X29"/>
      <c r="Y29"/>
      <c r="Z29"/>
      <c r="AA29"/>
      <c r="AB29"/>
      <c r="AC29"/>
    </row>
    <row r="30" spans="1:29" ht="15.75" thickTop="1" x14ac:dyDescent="0.25">
      <c r="A30" s="14"/>
      <c r="B30" s="85"/>
      <c r="C30" s="131"/>
      <c r="D30" s="132"/>
      <c r="E30" s="103"/>
      <c r="F30" s="133"/>
      <c r="G30" s="103"/>
      <c r="H30" s="103"/>
      <c r="I30" s="103"/>
      <c r="J30" s="134"/>
      <c r="K30" s="103"/>
      <c r="L30" s="135"/>
      <c r="M30" s="103"/>
      <c r="N30" s="103"/>
      <c r="O30" s="93"/>
      <c r="Q30"/>
      <c r="R30"/>
      <c r="S30"/>
      <c r="T30"/>
      <c r="U30"/>
      <c r="V30"/>
      <c r="W30"/>
      <c r="X30"/>
      <c r="Y30"/>
      <c r="Z30"/>
      <c r="AA30"/>
      <c r="AB30"/>
      <c r="AC30"/>
    </row>
    <row r="31" spans="1:29" ht="15.75" customHeight="1" x14ac:dyDescent="0.25">
      <c r="A31" s="15"/>
      <c r="B31" s="85"/>
      <c r="C31" s="85"/>
      <c r="D31" s="85"/>
      <c r="E31" s="25"/>
      <c r="F31" s="86"/>
      <c r="G31" s="25"/>
      <c r="H31" s="25"/>
      <c r="I31" s="25"/>
      <c r="J31" s="24"/>
      <c r="K31" s="25"/>
      <c r="L31" s="99"/>
      <c r="M31" s="25"/>
      <c r="N31" s="25"/>
      <c r="O31" s="25"/>
      <c r="Q31"/>
      <c r="R31"/>
      <c r="S31"/>
      <c r="T31"/>
      <c r="U31"/>
      <c r="V31"/>
      <c r="W31"/>
      <c r="X31"/>
      <c r="Y31"/>
      <c r="Z31"/>
      <c r="AA31"/>
      <c r="AB31"/>
      <c r="AC31"/>
    </row>
    <row r="32" spans="1:29" ht="15.75" customHeight="1" x14ac:dyDescent="0.25">
      <c r="A32" s="10"/>
      <c r="B32" s="85"/>
      <c r="C32" s="87"/>
      <c r="D32" s="88"/>
      <c r="E32" s="88"/>
      <c r="F32" s="139"/>
      <c r="G32" s="90"/>
      <c r="H32" s="90"/>
      <c r="I32" s="90"/>
      <c r="J32" s="91"/>
      <c r="K32" s="90"/>
      <c r="L32" s="92"/>
      <c r="M32" s="90"/>
      <c r="N32" s="140"/>
      <c r="O32" s="25"/>
      <c r="Q32"/>
      <c r="R32"/>
      <c r="S32"/>
      <c r="T32"/>
      <c r="U32"/>
      <c r="V32"/>
      <c r="W32"/>
      <c r="X32"/>
      <c r="Y32"/>
      <c r="Z32"/>
      <c r="AA32"/>
      <c r="AB32"/>
      <c r="AC32"/>
    </row>
    <row r="33" spans="2:29" ht="15" x14ac:dyDescent="0.25">
      <c r="B33" s="85"/>
      <c r="C33" s="93"/>
      <c r="D33" s="177" t="s">
        <v>0</v>
      </c>
      <c r="E33" s="141"/>
      <c r="F33" s="86"/>
      <c r="G33" s="25"/>
      <c r="H33" s="141"/>
      <c r="I33" s="115"/>
      <c r="J33" s="116"/>
      <c r="K33" s="25"/>
      <c r="L33" s="25"/>
      <c r="M33" s="142"/>
      <c r="N33" s="143"/>
      <c r="O33" s="25"/>
      <c r="Q33"/>
      <c r="R33"/>
      <c r="S33"/>
      <c r="T33"/>
      <c r="U33"/>
      <c r="V33"/>
      <c r="W33"/>
      <c r="X33"/>
      <c r="Y33"/>
      <c r="Z33"/>
      <c r="AA33"/>
      <c r="AB33"/>
      <c r="AC33"/>
    </row>
    <row r="34" spans="2:29" ht="15" x14ac:dyDescent="0.25">
      <c r="B34" s="85"/>
      <c r="C34" s="93"/>
      <c r="D34" s="174">
        <v>18.013999999999999</v>
      </c>
      <c r="E34" s="121" t="s">
        <v>35</v>
      </c>
      <c r="F34" s="86" t="s">
        <v>39</v>
      </c>
      <c r="G34" s="25"/>
      <c r="H34" s="25"/>
      <c r="I34" s="25"/>
      <c r="J34" s="23"/>
      <c r="K34" s="25"/>
      <c r="L34" s="25"/>
      <c r="M34" s="142"/>
      <c r="N34" s="143"/>
      <c r="O34" s="25"/>
      <c r="Q34"/>
      <c r="R34"/>
      <c r="S34"/>
      <c r="T34"/>
      <c r="U34"/>
      <c r="V34"/>
      <c r="W34"/>
      <c r="X34"/>
      <c r="Y34"/>
      <c r="Z34"/>
      <c r="AA34"/>
      <c r="AB34"/>
      <c r="AC34"/>
    </row>
    <row r="35" spans="2:29" ht="15" x14ac:dyDescent="0.25">
      <c r="B35" s="85"/>
      <c r="C35" s="93"/>
      <c r="D35" s="175">
        <v>1000</v>
      </c>
      <c r="E35" s="121" t="s">
        <v>35</v>
      </c>
      <c r="F35" s="86" t="s">
        <v>40</v>
      </c>
      <c r="G35" s="25"/>
      <c r="H35" s="141"/>
      <c r="I35" s="136">
        <f>+D35*(1-D38)</f>
        <v>700</v>
      </c>
      <c r="J35" s="23"/>
      <c r="K35" s="127" t="s">
        <v>54</v>
      </c>
      <c r="L35" s="25"/>
      <c r="M35" s="25"/>
      <c r="N35" s="143"/>
      <c r="O35" s="25"/>
      <c r="Q35"/>
      <c r="R35"/>
      <c r="S35"/>
      <c r="T35"/>
      <c r="U35"/>
      <c r="V35"/>
      <c r="W35"/>
      <c r="X35"/>
      <c r="Y35"/>
      <c r="Z35"/>
      <c r="AA35"/>
      <c r="AB35"/>
      <c r="AC35"/>
    </row>
    <row r="36" spans="2:29" ht="15" x14ac:dyDescent="0.25">
      <c r="B36" s="85"/>
      <c r="C36" s="93"/>
      <c r="D36" s="176">
        <v>0.08</v>
      </c>
      <c r="E36" s="121" t="s">
        <v>35</v>
      </c>
      <c r="F36" s="86" t="s">
        <v>50</v>
      </c>
      <c r="G36" s="25"/>
      <c r="H36" s="25"/>
      <c r="I36" s="137">
        <f>+D36*(1-D37)</f>
        <v>6.8000000000000005E-2</v>
      </c>
      <c r="J36" s="144"/>
      <c r="K36" s="127" t="s">
        <v>41</v>
      </c>
      <c r="L36" s="25"/>
      <c r="M36" s="142"/>
      <c r="N36" s="143"/>
      <c r="O36" s="25"/>
      <c r="Q36"/>
      <c r="R36"/>
      <c r="S36"/>
      <c r="T36"/>
      <c r="U36"/>
      <c r="V36"/>
      <c r="W36"/>
      <c r="X36"/>
      <c r="Y36"/>
      <c r="Z36"/>
      <c r="AA36"/>
      <c r="AB36"/>
      <c r="AC36"/>
    </row>
    <row r="37" spans="2:29" ht="15" x14ac:dyDescent="0.25">
      <c r="B37" s="85"/>
      <c r="C37" s="93"/>
      <c r="D37" s="176">
        <v>0.15</v>
      </c>
      <c r="E37" s="121" t="s">
        <v>35</v>
      </c>
      <c r="F37" s="86" t="s">
        <v>59</v>
      </c>
      <c r="G37" s="25"/>
      <c r="H37" s="25"/>
      <c r="I37" s="138">
        <f>+D35*(1-D38)*D36*D37</f>
        <v>8.4</v>
      </c>
      <c r="J37" s="145"/>
      <c r="K37" s="127" t="s">
        <v>42</v>
      </c>
      <c r="L37" s="25"/>
      <c r="M37" s="25"/>
      <c r="N37" s="143"/>
      <c r="O37" s="25"/>
      <c r="Q37"/>
      <c r="R37"/>
      <c r="S37"/>
      <c r="T37"/>
      <c r="U37"/>
      <c r="V37"/>
      <c r="W37"/>
      <c r="X37"/>
      <c r="Y37"/>
      <c r="Z37"/>
      <c r="AA37"/>
      <c r="AB37"/>
      <c r="AC37"/>
    </row>
    <row r="38" spans="2:29" ht="15" x14ac:dyDescent="0.25">
      <c r="B38" s="85"/>
      <c r="C38" s="93"/>
      <c r="D38" s="176">
        <v>0.3</v>
      </c>
      <c r="E38" s="121" t="s">
        <v>35</v>
      </c>
      <c r="F38" s="86" t="s">
        <v>63</v>
      </c>
      <c r="G38" s="25"/>
      <c r="H38" s="25"/>
      <c r="I38" s="25"/>
      <c r="J38" s="23"/>
      <c r="K38" s="25"/>
      <c r="L38" s="25"/>
      <c r="M38" s="142"/>
      <c r="N38" s="143"/>
      <c r="O38" s="25"/>
      <c r="Q38"/>
      <c r="R38"/>
      <c r="S38"/>
      <c r="T38"/>
      <c r="U38"/>
      <c r="V38"/>
      <c r="W38"/>
      <c r="X38"/>
      <c r="Y38"/>
      <c r="Z38"/>
      <c r="AA38"/>
      <c r="AB38"/>
      <c r="AC38"/>
    </row>
    <row r="39" spans="2:29" ht="8.25" customHeight="1" x14ac:dyDescent="0.25">
      <c r="B39" s="85"/>
      <c r="C39" s="146"/>
      <c r="D39" s="147"/>
      <c r="E39" s="147"/>
      <c r="F39" s="133"/>
      <c r="G39" s="103"/>
      <c r="H39" s="147"/>
      <c r="I39" s="103"/>
      <c r="J39" s="148"/>
      <c r="K39" s="103"/>
      <c r="L39" s="103"/>
      <c r="M39" s="149"/>
      <c r="N39" s="150"/>
      <c r="O39" s="25"/>
      <c r="Q39"/>
      <c r="R39"/>
      <c r="S39"/>
      <c r="T39"/>
      <c r="U39"/>
      <c r="V39"/>
      <c r="W39"/>
      <c r="X39"/>
      <c r="Y39"/>
      <c r="Z39"/>
      <c r="AA39"/>
      <c r="AB39"/>
      <c r="AC39"/>
    </row>
    <row r="40" spans="2:29" ht="15" x14ac:dyDescent="0.25">
      <c r="B40" s="85"/>
      <c r="C40" s="85"/>
      <c r="D40" s="85"/>
      <c r="E40" s="85"/>
      <c r="F40" s="86"/>
      <c r="G40" s="25"/>
      <c r="H40" s="25"/>
      <c r="I40" s="25"/>
      <c r="J40" s="24"/>
      <c r="K40" s="25"/>
      <c r="L40" s="26"/>
      <c r="M40" s="25"/>
      <c r="N40" s="25"/>
      <c r="O40" s="25"/>
      <c r="Q40"/>
      <c r="R40"/>
      <c r="S40"/>
      <c r="T40"/>
      <c r="U40"/>
      <c r="V40"/>
      <c r="W40"/>
      <c r="X40"/>
      <c r="Y40"/>
      <c r="Z40"/>
      <c r="AA40"/>
      <c r="AB40"/>
      <c r="AC40"/>
    </row>
    <row r="41" spans="2:29" ht="15" x14ac:dyDescent="0.25">
      <c r="B41" s="85"/>
      <c r="C41" s="85"/>
      <c r="D41" s="85"/>
      <c r="E41" s="85"/>
      <c r="F41" s="86"/>
      <c r="G41" s="25"/>
      <c r="H41" s="25"/>
      <c r="I41" s="25"/>
      <c r="J41" s="24"/>
      <c r="K41" s="25"/>
      <c r="L41" s="26"/>
      <c r="M41" s="25"/>
      <c r="N41" s="25"/>
      <c r="O41" s="25"/>
    </row>
    <row r="42" spans="2:29" ht="15" hidden="1" x14ac:dyDescent="0.25">
      <c r="B42" s="85"/>
      <c r="C42" s="85"/>
      <c r="D42" s="25"/>
      <c r="E42" s="85"/>
      <c r="F42" s="86"/>
      <c r="G42" s="85" t="s">
        <v>53</v>
      </c>
      <c r="H42" s="25"/>
      <c r="I42" s="151">
        <f>I24-G24</f>
        <v>510.51858992766302</v>
      </c>
      <c r="J42" s="24"/>
      <c r="K42" s="25"/>
      <c r="L42" s="26"/>
      <c r="M42" s="151">
        <f>M24-G24</f>
        <v>510.51858992766302</v>
      </c>
      <c r="N42" s="25"/>
      <c r="O42" s="25"/>
    </row>
    <row r="43" spans="2:29" customFormat="1" x14ac:dyDescent="0.2"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</row>
    <row r="44" spans="2:29" customFormat="1" x14ac:dyDescent="0.2"/>
    <row r="45" spans="2:29" customFormat="1" x14ac:dyDescent="0.2"/>
    <row r="46" spans="2:29" customFormat="1" x14ac:dyDescent="0.2"/>
    <row r="47" spans="2:29" customFormat="1" x14ac:dyDescent="0.2"/>
    <row r="48" spans="2:29" customFormat="1" x14ac:dyDescent="0.2"/>
    <row r="49" customFormat="1" x14ac:dyDescent="0.2"/>
    <row r="50" customFormat="1" x14ac:dyDescent="0.2"/>
    <row r="51" customFormat="1" x14ac:dyDescent="0.2"/>
    <row r="52" customFormat="1" x14ac:dyDescent="0.2"/>
    <row r="53" customFormat="1" x14ac:dyDescent="0.2"/>
    <row r="54" customFormat="1" x14ac:dyDescent="0.2"/>
    <row r="55" customFormat="1" x14ac:dyDescent="0.2"/>
    <row r="56" customFormat="1" x14ac:dyDescent="0.2"/>
    <row r="57" customFormat="1" x14ac:dyDescent="0.2"/>
    <row r="58" customFormat="1" x14ac:dyDescent="0.2"/>
    <row r="59" customFormat="1" x14ac:dyDescent="0.2"/>
    <row r="60" customFormat="1" x14ac:dyDescent="0.2"/>
    <row r="61" customFormat="1" x14ac:dyDescent="0.2"/>
    <row r="62" customFormat="1" x14ac:dyDescent="0.2"/>
    <row r="63" customFormat="1" x14ac:dyDescent="0.2"/>
    <row r="64" customFormat="1" x14ac:dyDescent="0.2"/>
    <row r="65" spans="17:28" customFormat="1" x14ac:dyDescent="0.2"/>
    <row r="66" spans="17:28" customFormat="1" x14ac:dyDescent="0.2"/>
    <row r="67" spans="17:28" customFormat="1" x14ac:dyDescent="0.2"/>
    <row r="68" spans="17:28" x14ac:dyDescent="0.2">
      <c r="Q68"/>
      <c r="R68"/>
      <c r="S68"/>
      <c r="T68"/>
      <c r="U68"/>
      <c r="V68"/>
      <c r="W68"/>
      <c r="X68"/>
      <c r="Y68"/>
      <c r="Z68"/>
      <c r="AA68"/>
      <c r="AB68"/>
    </row>
  </sheetData>
  <pageMargins left="0.7" right="0.7" top="0.75" bottom="0.75" header="0.3" footer="0.3"/>
  <pageSetup orientation="portrait" horizontalDpi="30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7E742-50DC-4054-A589-E1EA95DC4B7A}">
  <dimension ref="B2:AG40"/>
  <sheetViews>
    <sheetView showGridLines="0" workbookViewId="0"/>
  </sheetViews>
  <sheetFormatPr defaultRowHeight="12.75" x14ac:dyDescent="0.2"/>
  <cols>
    <col min="1" max="1" width="4" customWidth="1"/>
    <col min="2" max="2" width="2.85546875" customWidth="1"/>
    <col min="3" max="3" width="10.7109375" customWidth="1"/>
    <col min="4" max="4" width="0.85546875" customWidth="1"/>
    <col min="5" max="6" width="10.7109375" customWidth="1"/>
    <col min="7" max="7" width="10.140625" customWidth="1"/>
    <col min="8" max="8" width="9.140625" hidden="1" customWidth="1"/>
    <col min="9" max="9" width="1.140625" hidden="1" customWidth="1"/>
    <col min="10" max="10" width="5.5703125" hidden="1" customWidth="1"/>
    <col min="11" max="11" width="10.28515625" hidden="1" customWidth="1"/>
    <col min="12" max="12" width="9.28515625" style="183" hidden="1" customWidth="1"/>
    <col min="13" max="13" width="1.85546875" style="183" hidden="1" customWidth="1"/>
    <col min="14" max="14" width="1.7109375" hidden="1" customWidth="1"/>
    <col min="15" max="16" width="3.140625" style="234" customWidth="1"/>
    <col min="17" max="17" width="3" style="234" customWidth="1"/>
    <col min="18" max="18" width="13.42578125" style="234" customWidth="1"/>
    <col min="19" max="19" width="8.140625" style="234" customWidth="1"/>
    <col min="20" max="20" width="10" customWidth="1"/>
    <col min="22" max="22" width="2.140625" customWidth="1"/>
    <col min="24" max="24" width="2.5703125" customWidth="1"/>
    <col min="26" max="26" width="2.5703125" customWidth="1"/>
    <col min="28" max="28" width="3.140625" customWidth="1"/>
    <col min="29" max="29" width="11" customWidth="1"/>
    <col min="30" max="30" width="4.42578125" customWidth="1"/>
    <col min="31" max="31" width="9.5703125" bestFit="1" customWidth="1"/>
    <col min="32" max="32" width="10.85546875" customWidth="1"/>
  </cols>
  <sheetData>
    <row r="2" spans="2:33" ht="15.75" x14ac:dyDescent="0.25">
      <c r="F2" s="235" t="s">
        <v>120</v>
      </c>
      <c r="G2" s="235"/>
      <c r="M2" s="2"/>
      <c r="S2"/>
    </row>
    <row r="4" spans="2:33" x14ac:dyDescent="0.2">
      <c r="B4" s="236"/>
      <c r="C4" s="237" t="s">
        <v>0</v>
      </c>
      <c r="D4" s="238"/>
      <c r="E4" s="239"/>
      <c r="F4" s="239"/>
      <c r="G4" s="240"/>
      <c r="H4" s="241"/>
      <c r="I4" s="241"/>
      <c r="J4" s="239"/>
      <c r="K4" s="239"/>
      <c r="L4" s="242"/>
      <c r="M4" s="243"/>
      <c r="X4" s="244"/>
      <c r="Z4" s="244"/>
    </row>
    <row r="5" spans="2:33" x14ac:dyDescent="0.2">
      <c r="B5" s="226"/>
      <c r="C5" s="245">
        <v>18</v>
      </c>
      <c r="E5" t="s">
        <v>39</v>
      </c>
      <c r="G5" s="246"/>
      <c r="L5" s="247"/>
      <c r="M5" s="243"/>
      <c r="Q5" s="248"/>
      <c r="R5" s="249"/>
      <c r="S5" s="249"/>
      <c r="T5" s="239"/>
      <c r="U5" s="239"/>
      <c r="V5" s="239"/>
      <c r="W5" s="239"/>
      <c r="Y5" s="250" t="s">
        <v>121</v>
      </c>
      <c r="Z5" s="251"/>
      <c r="AA5" s="250" t="s">
        <v>122</v>
      </c>
      <c r="AB5" s="239"/>
      <c r="AC5" s="226"/>
    </row>
    <row r="6" spans="2:33" x14ac:dyDescent="0.2">
      <c r="B6" s="226"/>
      <c r="C6" s="252">
        <v>1000</v>
      </c>
      <c r="E6" t="s">
        <v>123</v>
      </c>
      <c r="G6" s="253"/>
      <c r="L6" s="246"/>
      <c r="M6" s="243"/>
      <c r="Q6" s="254"/>
      <c r="R6"/>
      <c r="S6"/>
      <c r="U6" s="255" t="s">
        <v>36</v>
      </c>
      <c r="V6" s="256"/>
      <c r="W6" s="257" t="s">
        <v>124</v>
      </c>
      <c r="Y6" s="257" t="s">
        <v>125</v>
      </c>
      <c r="AA6" s="257" t="s">
        <v>125</v>
      </c>
      <c r="AC6" s="226"/>
    </row>
    <row r="7" spans="2:33" x14ac:dyDescent="0.2">
      <c r="B7" s="226"/>
      <c r="C7" s="258">
        <v>0.08</v>
      </c>
      <c r="D7" s="259"/>
      <c r="E7" t="s">
        <v>126</v>
      </c>
      <c r="G7" s="246"/>
      <c r="H7" s="260">
        <f>+C7*(1-C8)</f>
        <v>6.8000000000000005E-2</v>
      </c>
      <c r="I7" s="260"/>
      <c r="J7" s="261" t="s">
        <v>41</v>
      </c>
      <c r="L7" s="247"/>
      <c r="M7"/>
      <c r="Q7" s="254"/>
      <c r="R7" s="262" t="s">
        <v>127</v>
      </c>
      <c r="S7"/>
      <c r="U7" s="263"/>
      <c r="V7" s="263"/>
      <c r="W7" s="264"/>
      <c r="Y7" s="264"/>
      <c r="AA7" s="264"/>
      <c r="AC7" s="226"/>
    </row>
    <row r="8" spans="2:33" x14ac:dyDescent="0.2">
      <c r="B8" s="226"/>
      <c r="C8" s="258">
        <v>0.15</v>
      </c>
      <c r="E8" t="s">
        <v>128</v>
      </c>
      <c r="G8" s="246"/>
      <c r="H8" s="265">
        <f>+C6*(1-C9)*C7*C8</f>
        <v>8.4</v>
      </c>
      <c r="I8" s="265"/>
      <c r="J8" s="261" t="s">
        <v>42</v>
      </c>
      <c r="L8" s="246"/>
      <c r="M8" s="243"/>
      <c r="Q8" s="254"/>
      <c r="R8" t="s">
        <v>40</v>
      </c>
      <c r="S8"/>
      <c r="U8" s="266">
        <f>+C6</f>
        <v>1000</v>
      </c>
      <c r="V8" s="266"/>
      <c r="W8" s="267">
        <f>+U8</f>
        <v>1000</v>
      </c>
      <c r="Y8" s="267">
        <f>+U8</f>
        <v>1000</v>
      </c>
      <c r="AA8" s="267">
        <f>+U8</f>
        <v>1000</v>
      </c>
      <c r="AC8" s="226"/>
    </row>
    <row r="9" spans="2:33" x14ac:dyDescent="0.2">
      <c r="B9" s="226"/>
      <c r="C9" s="268">
        <v>0.3</v>
      </c>
      <c r="D9" s="259"/>
      <c r="E9" t="s">
        <v>129</v>
      </c>
      <c r="G9" s="246"/>
      <c r="L9" s="247"/>
      <c r="M9"/>
      <c r="Q9" s="254"/>
      <c r="R9" t="s">
        <v>130</v>
      </c>
      <c r="S9" s="269">
        <f>+C9</f>
        <v>0.3</v>
      </c>
      <c r="U9" s="266">
        <f>-U8*+C9</f>
        <v>-300</v>
      </c>
      <c r="V9" s="266"/>
      <c r="W9" s="267">
        <f>+U9</f>
        <v>-300</v>
      </c>
      <c r="Y9" s="267">
        <f>+U9</f>
        <v>-300</v>
      </c>
      <c r="AA9" s="267">
        <f>+U9</f>
        <v>-300</v>
      </c>
      <c r="AC9" s="226"/>
    </row>
    <row r="10" spans="2:33" ht="15" x14ac:dyDescent="0.25">
      <c r="B10" s="12"/>
      <c r="C10" s="268">
        <v>0.2</v>
      </c>
      <c r="E10" t="s">
        <v>131</v>
      </c>
      <c r="G10" s="246"/>
      <c r="L10" s="247"/>
      <c r="M10" s="243"/>
      <c r="Q10" s="254"/>
      <c r="R10" t="s">
        <v>132</v>
      </c>
      <c r="S10"/>
      <c r="U10" s="270"/>
      <c r="V10" s="266"/>
      <c r="W10" s="271"/>
      <c r="Y10" s="271">
        <f>+Y8*C9</f>
        <v>300</v>
      </c>
      <c r="AA10" s="271">
        <f>(+AA8+AA9)*0.26</f>
        <v>182</v>
      </c>
      <c r="AC10" s="272"/>
      <c r="AE10" s="273"/>
      <c r="AF10" s="274"/>
    </row>
    <row r="11" spans="2:33" x14ac:dyDescent="0.2">
      <c r="B11" s="275"/>
      <c r="C11" s="276"/>
      <c r="D11" s="276"/>
      <c r="E11" s="244"/>
      <c r="F11" s="244"/>
      <c r="G11" s="277"/>
      <c r="H11" s="244"/>
      <c r="I11" s="244"/>
      <c r="J11" s="244"/>
      <c r="K11" s="244"/>
      <c r="L11" s="278"/>
      <c r="M11" s="243"/>
      <c r="Q11" s="254"/>
      <c r="R11" t="s">
        <v>133</v>
      </c>
      <c r="S11" s="274"/>
      <c r="U11" s="266">
        <f>SUM(U8:U10)</f>
        <v>700</v>
      </c>
      <c r="V11" s="266"/>
      <c r="W11" s="267">
        <f>SUM(W8:W10)</f>
        <v>700</v>
      </c>
      <c r="Y11" s="267">
        <f>SUM(Y8:Y10)</f>
        <v>1000</v>
      </c>
      <c r="AA11" s="267">
        <f>SUM(AA8:AA10)</f>
        <v>882</v>
      </c>
      <c r="AC11" s="226"/>
      <c r="AE11" s="279"/>
    </row>
    <row r="12" spans="2:33" x14ac:dyDescent="0.2">
      <c r="C12" s="280"/>
      <c r="D12" s="280"/>
      <c r="G12" s="280"/>
      <c r="M12" s="243"/>
      <c r="Q12" s="254"/>
      <c r="R12"/>
      <c r="S12" s="274"/>
      <c r="U12" s="266"/>
      <c r="V12" s="266"/>
      <c r="W12" s="267"/>
      <c r="Y12" s="267"/>
      <c r="AA12" s="267"/>
      <c r="AC12" s="226"/>
    </row>
    <row r="13" spans="2:33" x14ac:dyDescent="0.2">
      <c r="L13"/>
      <c r="Q13" s="254"/>
      <c r="R13" s="262" t="s">
        <v>43</v>
      </c>
      <c r="S13" s="274"/>
      <c r="U13" s="281">
        <f>+H7</f>
        <v>6.8000000000000005E-2</v>
      </c>
      <c r="V13" s="282"/>
      <c r="W13" s="281">
        <f>+C7</f>
        <v>0.08</v>
      </c>
      <c r="Y13" s="281">
        <f>+C7</f>
        <v>0.08</v>
      </c>
      <c r="AA13" s="281">
        <f>+C7</f>
        <v>0.08</v>
      </c>
      <c r="AC13" s="226"/>
    </row>
    <row r="14" spans="2:33" x14ac:dyDescent="0.2">
      <c r="Q14" s="254"/>
      <c r="R14" t="s">
        <v>44</v>
      </c>
      <c r="S14" s="274"/>
      <c r="U14" s="283">
        <f>+U16-U11</f>
        <v>1587.6026368867001</v>
      </c>
      <c r="V14" s="266"/>
      <c r="W14" s="283">
        <f>+W16-W11</f>
        <v>2097.2136494294532</v>
      </c>
      <c r="Y14" s="283">
        <f>+Y16-Y11</f>
        <v>2996.0194991849335</v>
      </c>
      <c r="AA14" s="283">
        <f>+AA16-AA11</f>
        <v>2642.4891982811114</v>
      </c>
      <c r="AC14" s="226"/>
      <c r="AE14" s="284"/>
      <c r="AF14" s="261"/>
      <c r="AG14" s="285"/>
    </row>
    <row r="15" spans="2:33" x14ac:dyDescent="0.2">
      <c r="Q15" s="254"/>
      <c r="R15" s="286"/>
      <c r="S15" s="287"/>
      <c r="T15" s="288"/>
      <c r="U15" s="289" t="s">
        <v>45</v>
      </c>
      <c r="V15" s="290"/>
      <c r="W15" s="291" t="s">
        <v>46</v>
      </c>
      <c r="Y15" s="291" t="s">
        <v>46</v>
      </c>
      <c r="AA15" s="291" t="s">
        <v>46</v>
      </c>
      <c r="AB15" s="288"/>
      <c r="AC15" s="226"/>
    </row>
    <row r="16" spans="2:33" x14ac:dyDescent="0.2">
      <c r="C16" t="s">
        <v>134</v>
      </c>
      <c r="F16" s="292">
        <v>1000</v>
      </c>
      <c r="P16"/>
      <c r="Q16" s="254"/>
      <c r="R16" t="s">
        <v>135</v>
      </c>
      <c r="S16" s="293">
        <f>+C5</f>
        <v>18</v>
      </c>
      <c r="T16" s="294" t="s">
        <v>47</v>
      </c>
      <c r="U16" s="266">
        <f>FV(C7*(1-C8),C5,0,-U11)</f>
        <v>2287.6026368867001</v>
      </c>
      <c r="V16" s="266"/>
      <c r="W16" s="267">
        <f>FV(C7,C5,0,-W11)</f>
        <v>2797.2136494294532</v>
      </c>
      <c r="Y16" s="267">
        <f>FV(C7,C5,0,-Y11)</f>
        <v>3996.0194991849335</v>
      </c>
      <c r="AA16" s="267">
        <f>FV(C7,C5,0,-AA11)</f>
        <v>3524.4891982811114</v>
      </c>
      <c r="AC16" s="226"/>
    </row>
    <row r="17" spans="3:29" ht="12.75" customHeight="1" x14ac:dyDescent="0.2">
      <c r="F17" s="292" t="s">
        <v>136</v>
      </c>
      <c r="Q17" s="254"/>
      <c r="R17"/>
      <c r="S17"/>
      <c r="U17" s="295"/>
      <c r="V17" s="295"/>
      <c r="W17" s="295"/>
      <c r="Y17" s="295"/>
      <c r="AA17" s="295"/>
      <c r="AB17" s="296"/>
      <c r="AC17" s="226"/>
    </row>
    <row r="18" spans="3:29" ht="12.75" customHeight="1" x14ac:dyDescent="0.2">
      <c r="F18" s="297">
        <f>F16*0.2063</f>
        <v>206.3</v>
      </c>
      <c r="Q18" s="254"/>
      <c r="R18" s="262" t="s">
        <v>137</v>
      </c>
      <c r="S18"/>
      <c r="U18" s="266"/>
      <c r="V18" s="266"/>
      <c r="W18" s="267"/>
      <c r="Y18" s="267"/>
      <c r="AA18" s="267"/>
      <c r="AC18" s="226"/>
    </row>
    <row r="19" spans="3:29" x14ac:dyDescent="0.2">
      <c r="Q19" s="254"/>
      <c r="R19" s="298" t="s">
        <v>138</v>
      </c>
      <c r="S19" s="299">
        <f>+C10</f>
        <v>0.2</v>
      </c>
      <c r="U19" s="266"/>
      <c r="V19" s="266"/>
      <c r="W19" s="267"/>
      <c r="Y19" s="267">
        <f>-Y16*C10</f>
        <v>-799.20389983698669</v>
      </c>
      <c r="AA19" s="267">
        <f>-AA16*C10</f>
        <v>-704.89783965622235</v>
      </c>
      <c r="AB19" s="296"/>
      <c r="AC19" s="226"/>
    </row>
    <row r="20" spans="3:29" ht="13.5" thickBot="1" x14ac:dyDescent="0.25">
      <c r="F20" s="292"/>
      <c r="Q20" s="254"/>
      <c r="R20" s="300" t="s">
        <v>48</v>
      </c>
      <c r="S20"/>
      <c r="U20" s="301">
        <f>+U16</f>
        <v>2287.6026368867001</v>
      </c>
      <c r="V20" s="266"/>
      <c r="W20" s="301">
        <f>+W16</f>
        <v>2797.2136494294532</v>
      </c>
      <c r="Y20" s="301">
        <f>+Y16+Y19</f>
        <v>3196.8155993479468</v>
      </c>
      <c r="AA20" s="301">
        <f>+AA16+AA19</f>
        <v>2819.5913586248889</v>
      </c>
      <c r="AC20" s="226"/>
    </row>
    <row r="21" spans="3:29" ht="13.5" thickTop="1" x14ac:dyDescent="0.2">
      <c r="C21" t="s">
        <v>139</v>
      </c>
      <c r="F21" s="302">
        <f>1000*(1-20.63%)</f>
        <v>793.7</v>
      </c>
      <c r="Q21" s="303"/>
      <c r="R21" s="304"/>
      <c r="S21" s="244"/>
      <c r="T21" s="244"/>
      <c r="U21" s="270"/>
      <c r="V21" s="270"/>
      <c r="W21" s="270"/>
      <c r="X21" s="244"/>
      <c r="Y21" s="270"/>
      <c r="Z21" s="244"/>
      <c r="AA21" s="270"/>
      <c r="AB21" s="305"/>
      <c r="AC21" s="226"/>
    </row>
    <row r="22" spans="3:29" x14ac:dyDescent="0.2">
      <c r="F22" s="292" t="s">
        <v>140</v>
      </c>
      <c r="Q22" s="254"/>
      <c r="R22" s="300"/>
      <c r="S22"/>
      <c r="U22" s="266"/>
      <c r="V22" s="266"/>
      <c r="W22" s="266"/>
      <c r="Y22" s="266"/>
      <c r="AA22" s="266"/>
      <c r="AC22" s="226"/>
    </row>
    <row r="23" spans="3:29" ht="12.75" customHeight="1" x14ac:dyDescent="0.2">
      <c r="F23" s="297">
        <f>+F21*0.26</f>
        <v>206.36200000000002</v>
      </c>
      <c r="Q23" s="254"/>
      <c r="R23" s="306" t="s">
        <v>141</v>
      </c>
      <c r="S23"/>
      <c r="V23" s="274"/>
      <c r="Y23" s="263"/>
      <c r="AA23" s="263"/>
      <c r="AC23" s="226"/>
    </row>
    <row r="24" spans="3:29" ht="12.75" customHeight="1" x14ac:dyDescent="0.2">
      <c r="L24"/>
      <c r="M24"/>
      <c r="Q24" s="254"/>
      <c r="R24" t="s">
        <v>142</v>
      </c>
      <c r="S24"/>
      <c r="V24" s="274"/>
      <c r="W24" s="307">
        <f>(((1+C7)^+C5)-((1+H7)^+C5))*+H8/(+C7-H7)</f>
        <v>509.61101254275331</v>
      </c>
      <c r="Y24" s="308">
        <f>+W24</f>
        <v>509.61101254275331</v>
      </c>
      <c r="AA24" s="309">
        <f>+W24</f>
        <v>509.61101254275331</v>
      </c>
      <c r="AC24" s="226"/>
    </row>
    <row r="25" spans="3:29" x14ac:dyDescent="0.2">
      <c r="L25"/>
      <c r="M25"/>
      <c r="Q25" s="254"/>
      <c r="R25" t="s">
        <v>143</v>
      </c>
      <c r="S25" s="310">
        <f>+C9</f>
        <v>0.3</v>
      </c>
      <c r="T25" s="274" t="s">
        <v>144</v>
      </c>
      <c r="U25" s="311">
        <f>+C10</f>
        <v>0.2</v>
      </c>
      <c r="V25" s="274"/>
      <c r="Y25" s="266">
        <f>+Y16*(C9-C10)</f>
        <v>399.60194991849323</v>
      </c>
      <c r="AA25" s="266"/>
      <c r="AC25" s="226"/>
    </row>
    <row r="26" spans="3:29" x14ac:dyDescent="0.2">
      <c r="L26"/>
      <c r="M26"/>
      <c r="Q26" s="254"/>
      <c r="R26" s="296" t="s">
        <v>145</v>
      </c>
      <c r="S26" s="312">
        <v>0.20630000000000001</v>
      </c>
      <c r="T26" s="274" t="s">
        <v>144</v>
      </c>
      <c r="U26" s="313">
        <f>+C10</f>
        <v>0.2</v>
      </c>
      <c r="V26" s="274"/>
      <c r="W26" s="307"/>
      <c r="Y26" s="200"/>
      <c r="AA26" s="200">
        <f>+AA16*(20.63%-C10)</f>
        <v>22.204281949170905</v>
      </c>
      <c r="AC26" s="226"/>
    </row>
    <row r="27" spans="3:29" ht="13.5" thickBot="1" x14ac:dyDescent="0.25">
      <c r="L27"/>
      <c r="M27"/>
      <c r="O27"/>
      <c r="Q27" s="254"/>
      <c r="R27" s="314"/>
      <c r="S27" s="261"/>
      <c r="T27" s="315" t="s">
        <v>12</v>
      </c>
      <c r="V27" s="316"/>
      <c r="W27" s="317">
        <f>SUM(W24:W26)</f>
        <v>509.61101254275331</v>
      </c>
      <c r="Y27" s="317">
        <f>SUM(Y24:Y26)</f>
        <v>909.21296246124655</v>
      </c>
      <c r="AA27" s="317">
        <f>SUM(AA24:AA26)</f>
        <v>531.81529449192419</v>
      </c>
      <c r="AC27" s="226"/>
    </row>
    <row r="28" spans="3:29" ht="13.5" thickTop="1" x14ac:dyDescent="0.2">
      <c r="L28"/>
      <c r="M28"/>
      <c r="O28"/>
      <c r="Q28" s="303"/>
      <c r="R28" s="318"/>
      <c r="S28" s="244"/>
      <c r="T28" s="244"/>
      <c r="U28" s="244"/>
      <c r="V28" s="244"/>
      <c r="W28" s="244"/>
      <c r="X28" s="244"/>
      <c r="Y28" s="244"/>
      <c r="Z28" s="244"/>
      <c r="AA28" s="244"/>
      <c r="AB28" s="244"/>
      <c r="AC28" s="226"/>
    </row>
    <row r="29" spans="3:29" x14ac:dyDescent="0.2">
      <c r="L29"/>
      <c r="M29"/>
      <c r="O29"/>
      <c r="P29"/>
      <c r="Q29" s="248"/>
      <c r="R29" s="249"/>
      <c r="S29" s="319">
        <f>+C9</f>
        <v>0.3</v>
      </c>
      <c r="T29" s="239" t="s">
        <v>129</v>
      </c>
      <c r="U29" s="239"/>
      <c r="V29" s="239"/>
      <c r="W29" s="320">
        <f>+C10</f>
        <v>0.2</v>
      </c>
      <c r="X29" s="239"/>
      <c r="Y29" s="321" t="s">
        <v>146</v>
      </c>
      <c r="Z29" s="239"/>
      <c r="AA29" s="239"/>
      <c r="AB29" s="322"/>
    </row>
    <row r="30" spans="3:29" x14ac:dyDescent="0.2">
      <c r="L30"/>
      <c r="M30"/>
      <c r="O30"/>
      <c r="P30"/>
      <c r="Q30" s="275"/>
      <c r="R30" s="244"/>
      <c r="S30" s="244"/>
      <c r="T30" s="244"/>
      <c r="U30" s="323">
        <f>+C8</f>
        <v>0.15</v>
      </c>
      <c r="V30" s="244"/>
      <c r="W30" s="244"/>
      <c r="X30" s="244"/>
      <c r="Y30" s="324" t="s">
        <v>147</v>
      </c>
      <c r="Z30" s="244"/>
      <c r="AA30" s="325"/>
      <c r="AB30" s="305"/>
    </row>
    <row r="31" spans="3:29" x14ac:dyDescent="0.2">
      <c r="L31"/>
      <c r="M31"/>
      <c r="O31"/>
      <c r="P31"/>
      <c r="Q31"/>
      <c r="R31"/>
      <c r="S31"/>
    </row>
    <row r="32" spans="3:29" x14ac:dyDescent="0.2">
      <c r="L32"/>
      <c r="M32"/>
      <c r="O32"/>
    </row>
    <row r="33" spans="12:27" x14ac:dyDescent="0.2">
      <c r="L33"/>
      <c r="M33"/>
      <c r="O33"/>
      <c r="W33" s="200">
        <f>+W20-U20</f>
        <v>509.61101254275309</v>
      </c>
      <c r="Y33" s="200">
        <f>+Y20-U20</f>
        <v>909.21296246124666</v>
      </c>
      <c r="AA33" s="200">
        <f>+AA20-U20</f>
        <v>531.98872173818881</v>
      </c>
    </row>
    <row r="34" spans="12:27" x14ac:dyDescent="0.2">
      <c r="L34"/>
      <c r="M34"/>
      <c r="O34"/>
    </row>
    <row r="35" spans="12:27" x14ac:dyDescent="0.2">
      <c r="L35"/>
      <c r="M35"/>
      <c r="O35"/>
    </row>
    <row r="36" spans="12:27" x14ac:dyDescent="0.2">
      <c r="L36"/>
      <c r="M36"/>
      <c r="O36"/>
    </row>
    <row r="37" spans="12:27" x14ac:dyDescent="0.2">
      <c r="L37"/>
      <c r="M37"/>
      <c r="O37"/>
    </row>
    <row r="38" spans="12:27" x14ac:dyDescent="0.2">
      <c r="L38"/>
      <c r="M38"/>
      <c r="O38"/>
    </row>
    <row r="39" spans="12:27" x14ac:dyDescent="0.2">
      <c r="L39"/>
      <c r="M39"/>
      <c r="O39"/>
    </row>
    <row r="40" spans="12:27" x14ac:dyDescent="0.2">
      <c r="L40"/>
      <c r="M40"/>
      <c r="O4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52ED0-A49C-43C9-8953-B2AB8E2E3E27}">
  <dimension ref="A1:CB77"/>
  <sheetViews>
    <sheetView showGridLines="0" workbookViewId="0"/>
  </sheetViews>
  <sheetFormatPr defaultColWidth="9.140625" defaultRowHeight="12.75" x14ac:dyDescent="0.2"/>
  <cols>
    <col min="1" max="1" width="1.7109375" style="9" customWidth="1"/>
    <col min="2" max="2" width="2.28515625" style="10" customWidth="1"/>
    <col min="3" max="3" width="3" style="10" customWidth="1"/>
    <col min="4" max="4" width="18" style="10" customWidth="1"/>
    <col min="5" max="5" width="5.5703125" style="10" customWidth="1"/>
    <col min="6" max="6" width="5.28515625" style="16" customWidth="1"/>
    <col min="7" max="7" width="11.7109375" style="9" customWidth="1"/>
    <col min="8" max="8" width="3.28515625" style="9" customWidth="1"/>
    <col min="9" max="9" width="11.7109375" style="9" customWidth="1"/>
    <col min="10" max="10" width="2.5703125" style="15" customWidth="1"/>
    <col min="11" max="11" width="11.7109375" style="9" customWidth="1"/>
    <col min="12" max="12" width="3.140625" style="11" customWidth="1"/>
    <col min="13" max="13" width="11.7109375" style="9" customWidth="1"/>
    <col min="14" max="15" width="2.7109375" style="9" customWidth="1"/>
    <col min="16" max="16" width="3" style="10" customWidth="1"/>
    <col min="17" max="17" width="18" style="10" customWidth="1"/>
    <col min="18" max="18" width="5.5703125" style="10" customWidth="1"/>
    <col min="19" max="19" width="5.28515625" style="16" customWidth="1"/>
    <col min="20" max="20" width="11.7109375" style="9" customWidth="1"/>
    <col min="21" max="21" width="3.28515625" style="9" customWidth="1"/>
    <col min="22" max="22" width="11.7109375" style="9" customWidth="1"/>
    <col min="23" max="23" width="2.5703125" style="15" customWidth="1"/>
    <col min="24" max="24" width="11.7109375" style="9" hidden="1" customWidth="1"/>
    <col min="25" max="25" width="3.140625" style="11" hidden="1" customWidth="1"/>
    <col min="26" max="27" width="11.7109375" style="9" customWidth="1"/>
    <col min="28" max="29" width="2.7109375" style="9" customWidth="1"/>
    <col min="30" max="30" width="3" style="10" customWidth="1"/>
    <col min="31" max="31" width="18" style="10" customWidth="1"/>
    <col min="32" max="32" width="5.5703125" style="10" customWidth="1"/>
    <col min="33" max="33" width="5.28515625" style="16" customWidth="1"/>
    <col min="34" max="34" width="11.7109375" style="9" customWidth="1"/>
    <col min="35" max="35" width="3.28515625" style="9" customWidth="1"/>
    <col min="36" max="36" width="11.7109375" style="9" customWidth="1"/>
    <col min="37" max="37" width="2.5703125" style="15" hidden="1" customWidth="1"/>
    <col min="38" max="38" width="11.7109375" style="9" hidden="1" customWidth="1"/>
    <col min="39" max="39" width="3.140625" style="11" customWidth="1"/>
    <col min="40" max="40" width="11.7109375" style="9" customWidth="1"/>
    <col min="41" max="41" width="10.7109375" style="9" customWidth="1"/>
    <col min="42" max="42" width="2.7109375" style="9" customWidth="1"/>
    <col min="43" max="43" width="3" style="9" customWidth="1"/>
    <col min="44" max="44" width="9.140625" style="9"/>
    <col min="45" max="45" width="17.5703125" style="9" customWidth="1"/>
    <col min="46" max="16384" width="9.140625" style="9"/>
  </cols>
  <sheetData>
    <row r="1" spans="2:69" customFormat="1" x14ac:dyDescent="0.2"/>
    <row r="2" spans="2:69" customFormat="1" ht="18" x14ac:dyDescent="0.25">
      <c r="D2" s="451" t="s">
        <v>250</v>
      </c>
    </row>
    <row r="3" spans="2:69" customFormat="1" x14ac:dyDescent="0.2"/>
    <row r="4" spans="2:69" ht="15.75" x14ac:dyDescent="0.25">
      <c r="Q4" s="329"/>
      <c r="R4" s="18" t="s">
        <v>212</v>
      </c>
      <c r="AF4" s="18" t="s">
        <v>259</v>
      </c>
    </row>
    <row r="5" spans="2:69" ht="18" x14ac:dyDescent="0.25">
      <c r="D5" s="437"/>
      <c r="G5" s="19" t="s">
        <v>218</v>
      </c>
      <c r="R5" s="328" t="s">
        <v>257</v>
      </c>
      <c r="AE5" s="328" t="s">
        <v>279</v>
      </c>
      <c r="AT5" s="18" t="s">
        <v>212</v>
      </c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</row>
    <row r="6" spans="2:69" ht="15" x14ac:dyDescent="0.2">
      <c r="D6" s="328"/>
      <c r="E6" s="398" t="s">
        <v>278</v>
      </c>
      <c r="Q6" s="398" t="s">
        <v>258</v>
      </c>
      <c r="R6" s="9"/>
      <c r="S6" s="9"/>
      <c r="W6" s="9"/>
      <c r="Y6" s="9"/>
      <c r="AE6" s="328" t="s">
        <v>260</v>
      </c>
      <c r="AS6" s="21" t="s">
        <v>280</v>
      </c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 s="25"/>
    </row>
    <row r="7" spans="2:69" ht="17.25" x14ac:dyDescent="0.25">
      <c r="D7" s="9"/>
      <c r="E7" s="21" t="s">
        <v>251</v>
      </c>
      <c r="F7" s="433"/>
      <c r="G7" s="25"/>
      <c r="H7" s="19"/>
      <c r="I7" s="19"/>
      <c r="J7" s="20"/>
      <c r="K7" s="21"/>
      <c r="Q7" s="483" t="s">
        <v>211</v>
      </c>
      <c r="R7" s="9"/>
      <c r="U7" s="19"/>
      <c r="V7" s="19"/>
      <c r="W7" s="20"/>
      <c r="X7" s="21"/>
      <c r="AE7" s="328" t="s">
        <v>261</v>
      </c>
      <c r="AF7" s="9"/>
      <c r="AI7" s="19"/>
      <c r="AJ7" s="19"/>
      <c r="AK7" s="20"/>
      <c r="AL7" s="21"/>
      <c r="AS7" s="21" t="s">
        <v>249</v>
      </c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 s="25"/>
    </row>
    <row r="8" spans="2:69" ht="17.25" x14ac:dyDescent="0.25">
      <c r="D8" s="9"/>
      <c r="G8" s="25"/>
      <c r="H8" s="19"/>
      <c r="I8" s="19"/>
      <c r="J8" s="20"/>
      <c r="K8" s="21"/>
      <c r="Q8" s="483" t="s">
        <v>262</v>
      </c>
      <c r="R8" s="9"/>
      <c r="S8" s="22"/>
      <c r="T8" s="19"/>
      <c r="U8" s="19"/>
      <c r="V8" s="19"/>
      <c r="W8" s="20"/>
      <c r="X8" s="21"/>
      <c r="AE8" s="19"/>
      <c r="AF8" s="9"/>
      <c r="AG8" s="22"/>
      <c r="AH8" s="19"/>
      <c r="AI8" s="19"/>
      <c r="AJ8" s="19"/>
      <c r="AK8" s="20"/>
      <c r="AL8" s="21"/>
      <c r="AS8" s="21" t="s">
        <v>244</v>
      </c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 s="25"/>
    </row>
    <row r="9" spans="2:69" ht="15" x14ac:dyDescent="0.25">
      <c r="B9" s="85"/>
      <c r="C9" s="85"/>
      <c r="D9" s="85"/>
      <c r="E9" s="85"/>
      <c r="F9" s="86"/>
      <c r="G9" s="25"/>
      <c r="H9" s="25"/>
      <c r="I9" s="25"/>
      <c r="J9" s="24"/>
      <c r="K9" s="25"/>
      <c r="L9" s="26"/>
      <c r="M9" s="25"/>
      <c r="N9" s="25"/>
      <c r="O9" s="25"/>
      <c r="P9" s="85"/>
      <c r="Q9" s="85"/>
      <c r="R9" s="85"/>
      <c r="S9" s="86"/>
      <c r="T9" s="25"/>
      <c r="U9" s="25"/>
      <c r="V9" s="25"/>
      <c r="W9" s="24"/>
      <c r="X9" s="25"/>
      <c r="Y9" s="26"/>
      <c r="Z9" s="25"/>
      <c r="AA9" s="25"/>
      <c r="AB9" s="25"/>
      <c r="AC9" s="25"/>
      <c r="AD9" s="85"/>
      <c r="AE9" s="85"/>
      <c r="AF9" s="85"/>
      <c r="AG9" s="86"/>
      <c r="AH9" s="25"/>
      <c r="AI9" s="25"/>
      <c r="AJ9" s="25"/>
      <c r="AK9" s="24"/>
      <c r="AL9" s="25"/>
      <c r="AM9" s="26"/>
      <c r="AN9" s="25"/>
      <c r="AO9" s="25"/>
      <c r="AP9" s="25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 s="25"/>
    </row>
    <row r="10" spans="2:69" ht="15" x14ac:dyDescent="0.25">
      <c r="B10" s="85"/>
      <c r="C10" s="87"/>
      <c r="D10" s="88"/>
      <c r="E10" s="88"/>
      <c r="F10" s="89"/>
      <c r="G10" s="90"/>
      <c r="H10" s="90"/>
      <c r="I10" s="90"/>
      <c r="J10" s="91"/>
      <c r="K10" s="90"/>
      <c r="L10" s="92"/>
      <c r="M10" s="90"/>
      <c r="N10" s="90"/>
      <c r="O10" s="93"/>
      <c r="P10" s="87"/>
      <c r="Q10" s="88"/>
      <c r="R10" s="88"/>
      <c r="S10" s="89"/>
      <c r="T10" s="90"/>
      <c r="U10" s="90"/>
      <c r="V10" s="90"/>
      <c r="W10" s="91"/>
      <c r="X10" s="90"/>
      <c r="Y10" s="92"/>
      <c r="Z10" s="90"/>
      <c r="AA10" s="90"/>
      <c r="AB10" s="90"/>
      <c r="AC10" s="438"/>
      <c r="AD10" s="87"/>
      <c r="AE10" s="88"/>
      <c r="AF10" s="88"/>
      <c r="AG10" s="89"/>
      <c r="AH10" s="90"/>
      <c r="AI10" s="90"/>
      <c r="AJ10" s="90"/>
      <c r="AK10" s="91"/>
      <c r="AL10" s="90"/>
      <c r="AM10" s="92"/>
      <c r="AN10" s="90"/>
      <c r="AO10" s="90"/>
      <c r="AP10" s="93"/>
      <c r="AR10" s="435"/>
      <c r="AS10" s="436"/>
      <c r="AT10" s="436"/>
      <c r="AU10" s="436"/>
      <c r="AV10" s="436"/>
      <c r="AW10" s="436"/>
      <c r="AX10" s="436"/>
      <c r="AY10" s="436"/>
      <c r="AZ10" s="436"/>
      <c r="BA10" s="187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 s="25"/>
    </row>
    <row r="11" spans="2:69" ht="15.75" x14ac:dyDescent="0.25">
      <c r="B11" s="85"/>
      <c r="C11" s="94"/>
      <c r="D11" s="85"/>
      <c r="E11" s="85"/>
      <c r="F11" s="86"/>
      <c r="G11" s="25"/>
      <c r="H11" s="25"/>
      <c r="I11" s="25"/>
      <c r="J11" s="24"/>
      <c r="K11" s="25"/>
      <c r="L11" s="26"/>
      <c r="M11" s="25"/>
      <c r="N11" s="25"/>
      <c r="O11" s="93"/>
      <c r="P11" s="94"/>
      <c r="Q11" s="85"/>
      <c r="R11" s="85"/>
      <c r="S11" s="86"/>
      <c r="T11" s="25"/>
      <c r="U11" s="25"/>
      <c r="V11" s="25"/>
      <c r="W11" s="24"/>
      <c r="X11" s="25"/>
      <c r="Y11" s="26"/>
      <c r="Z11" s="25"/>
      <c r="AA11" s="25"/>
      <c r="AB11" s="25"/>
      <c r="AC11" s="438"/>
      <c r="AD11" s="94"/>
      <c r="AE11" s="85"/>
      <c r="AF11" s="85"/>
      <c r="AG11" s="86"/>
      <c r="AH11" s="25"/>
      <c r="AI11" s="25"/>
      <c r="AJ11" s="25"/>
      <c r="AK11" s="24"/>
      <c r="AL11" s="25"/>
      <c r="AM11" s="26"/>
      <c r="AN11" s="25"/>
      <c r="AO11" s="25"/>
      <c r="AP11" s="93"/>
      <c r="AR11" s="226"/>
      <c r="AS11" s="19" t="s">
        <v>223</v>
      </c>
      <c r="AT11"/>
      <c r="AU11"/>
      <c r="AV11"/>
      <c r="AW11"/>
      <c r="AX11"/>
      <c r="AY11"/>
      <c r="AZ11"/>
      <c r="BA11" s="188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 s="25"/>
    </row>
    <row r="12" spans="2:69" ht="15" x14ac:dyDescent="0.25">
      <c r="B12" s="85"/>
      <c r="C12" s="94"/>
      <c r="D12" s="25"/>
      <c r="E12" s="25"/>
      <c r="F12" s="86"/>
      <c r="G12" s="95" t="s">
        <v>36</v>
      </c>
      <c r="H12" s="96"/>
      <c r="I12" s="95" t="s">
        <v>124</v>
      </c>
      <c r="J12" s="95" t="s">
        <v>37</v>
      </c>
      <c r="K12" s="95" t="s">
        <v>273</v>
      </c>
      <c r="L12" s="95" t="s">
        <v>35</v>
      </c>
      <c r="M12" s="95" t="s">
        <v>125</v>
      </c>
      <c r="N12" s="96"/>
      <c r="O12" s="93"/>
      <c r="P12" s="94"/>
      <c r="Q12" s="25"/>
      <c r="R12" s="25"/>
      <c r="S12" s="86"/>
      <c r="T12" s="95" t="s">
        <v>36</v>
      </c>
      <c r="U12" s="96"/>
      <c r="V12" s="95" t="s">
        <v>124</v>
      </c>
      <c r="W12" s="95"/>
      <c r="X12" s="95" t="s">
        <v>157</v>
      </c>
      <c r="Y12" s="95" t="s">
        <v>35</v>
      </c>
      <c r="Z12" s="95" t="s">
        <v>125</v>
      </c>
      <c r="AA12" s="96"/>
      <c r="AB12" s="96"/>
      <c r="AC12" s="439"/>
      <c r="AD12" s="94"/>
      <c r="AE12" s="25"/>
      <c r="AF12" s="25"/>
      <c r="AG12" s="86"/>
      <c r="AH12" s="95" t="s">
        <v>36</v>
      </c>
      <c r="AI12" s="96"/>
      <c r="AJ12" s="95" t="s">
        <v>124</v>
      </c>
      <c r="AK12" s="95" t="s">
        <v>37</v>
      </c>
      <c r="AL12" s="95" t="s">
        <v>157</v>
      </c>
      <c r="AM12" s="95" t="s">
        <v>217</v>
      </c>
      <c r="AN12" s="95" t="s">
        <v>125</v>
      </c>
      <c r="AO12" s="96"/>
      <c r="AP12" s="93"/>
      <c r="AR12" s="226"/>
      <c r="AS12"/>
      <c r="AT12"/>
      <c r="AU12"/>
      <c r="AV12"/>
      <c r="AW12"/>
      <c r="AX12"/>
      <c r="AY12"/>
      <c r="AZ12"/>
      <c r="BA12" s="188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 s="25"/>
    </row>
    <row r="13" spans="2:69" ht="15" x14ac:dyDescent="0.25">
      <c r="B13" s="85"/>
      <c r="C13" s="94"/>
      <c r="D13" s="97" t="s">
        <v>55</v>
      </c>
      <c r="E13" s="25"/>
      <c r="F13" s="86"/>
      <c r="G13" s="98"/>
      <c r="H13" s="98"/>
      <c r="I13" s="98"/>
      <c r="J13" s="96"/>
      <c r="K13" s="98"/>
      <c r="L13" s="99"/>
      <c r="M13" s="98"/>
      <c r="N13" s="98"/>
      <c r="O13" s="93"/>
      <c r="P13" s="94"/>
      <c r="Q13" s="97" t="s">
        <v>55</v>
      </c>
      <c r="R13" s="25"/>
      <c r="S13" s="86"/>
      <c r="T13" s="98"/>
      <c r="U13" s="98"/>
      <c r="V13" s="98"/>
      <c r="W13" s="96"/>
      <c r="X13" s="98"/>
      <c r="Y13" s="99"/>
      <c r="Z13" s="98"/>
      <c r="AA13" s="98"/>
      <c r="AB13" s="98"/>
      <c r="AC13" s="440"/>
      <c r="AD13" s="94"/>
      <c r="AE13" s="97" t="s">
        <v>55</v>
      </c>
      <c r="AF13" s="25"/>
      <c r="AG13" s="86"/>
      <c r="AH13" s="98"/>
      <c r="AI13" s="98"/>
      <c r="AJ13" s="98"/>
      <c r="AK13" s="96"/>
      <c r="AL13" s="98"/>
      <c r="AM13" s="99"/>
      <c r="AN13" s="98"/>
      <c r="AO13" s="98"/>
      <c r="AP13" s="93"/>
      <c r="AR13" s="226"/>
      <c r="AS13" s="6" t="s">
        <v>224</v>
      </c>
      <c r="AT13" s="484">
        <f>+AS56</f>
        <v>1000</v>
      </c>
      <c r="AU13" s="6"/>
      <c r="AV13" s="6"/>
      <c r="AW13" s="6"/>
      <c r="AX13" s="6"/>
      <c r="AY13" s="6"/>
      <c r="AZ13" s="6"/>
      <c r="BA13" s="188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 s="25"/>
    </row>
    <row r="14" spans="2:69" ht="15" x14ac:dyDescent="0.25">
      <c r="B14" s="85"/>
      <c r="C14" s="94"/>
      <c r="D14" s="25" t="s">
        <v>219</v>
      </c>
      <c r="E14" s="25"/>
      <c r="F14" s="86"/>
      <c r="G14" s="100">
        <f>+D44</f>
        <v>1000</v>
      </c>
      <c r="H14" s="100"/>
      <c r="I14" s="100">
        <f>+D44</f>
        <v>1000</v>
      </c>
      <c r="J14" s="101"/>
      <c r="K14" s="100"/>
      <c r="L14" s="100"/>
      <c r="M14" s="100">
        <f>+D44</f>
        <v>1000</v>
      </c>
      <c r="N14" s="100"/>
      <c r="O14" s="93"/>
      <c r="P14" s="94"/>
      <c r="Q14" s="25" t="s">
        <v>210</v>
      </c>
      <c r="R14" s="25"/>
      <c r="S14" s="86"/>
      <c r="T14" s="100">
        <v>700</v>
      </c>
      <c r="U14" s="100"/>
      <c r="V14" s="100">
        <v>700</v>
      </c>
      <c r="W14" s="101"/>
      <c r="X14" s="100"/>
      <c r="Y14" s="100"/>
      <c r="Z14" s="100">
        <v>700</v>
      </c>
      <c r="AA14" s="100"/>
      <c r="AB14" s="100"/>
      <c r="AC14" s="441"/>
      <c r="AD14" s="94"/>
      <c r="AE14" s="25" t="s">
        <v>210</v>
      </c>
      <c r="AF14" s="25"/>
      <c r="AG14" s="86"/>
      <c r="AH14" s="100">
        <f>+AE57</f>
        <v>1000</v>
      </c>
      <c r="AI14" s="100"/>
      <c r="AJ14" s="100">
        <f>+AE57</f>
        <v>1000</v>
      </c>
      <c r="AK14" s="101"/>
      <c r="AL14" s="100"/>
      <c r="AM14" s="100"/>
      <c r="AN14" s="100">
        <f>+AE57</f>
        <v>1000</v>
      </c>
      <c r="AO14" s="100"/>
      <c r="AP14" s="93"/>
      <c r="AR14" s="226"/>
      <c r="AS14" s="6" t="s">
        <v>225</v>
      </c>
      <c r="AT14" s="485">
        <f>-AT13*AS59</f>
        <v>-300</v>
      </c>
      <c r="AU14" s="25"/>
      <c r="AV14" s="6"/>
      <c r="AW14" s="8" t="s">
        <v>226</v>
      </c>
      <c r="AX14" s="6"/>
      <c r="AY14" s="6"/>
      <c r="AZ14" s="6"/>
      <c r="BA14" s="188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 s="25"/>
    </row>
    <row r="15" spans="2:69" ht="15" x14ac:dyDescent="0.25">
      <c r="B15" s="85"/>
      <c r="C15" s="94"/>
      <c r="D15" s="25" t="s">
        <v>57</v>
      </c>
      <c r="E15" s="102">
        <f>+D47</f>
        <v>0.3</v>
      </c>
      <c r="F15" s="86"/>
      <c r="G15" s="100">
        <f>-G14*+D47</f>
        <v>-300</v>
      </c>
      <c r="H15" s="100"/>
      <c r="I15" s="100">
        <f>-I14*D47</f>
        <v>-300</v>
      </c>
      <c r="J15" s="101"/>
      <c r="K15" s="100"/>
      <c r="L15" s="100"/>
      <c r="M15" s="100">
        <f>-M14*D47</f>
        <v>-300</v>
      </c>
      <c r="N15" s="100"/>
      <c r="O15" s="93"/>
      <c r="P15" s="94"/>
      <c r="Q15" s="25" t="s">
        <v>220</v>
      </c>
      <c r="R15" s="102"/>
      <c r="S15" s="86"/>
      <c r="T15" s="100"/>
      <c r="U15" s="100"/>
      <c r="V15" s="100"/>
      <c r="W15" s="101"/>
      <c r="X15" s="100"/>
      <c r="Y15" s="100"/>
      <c r="Z15" s="100">
        <v>300</v>
      </c>
      <c r="AA15" s="100"/>
      <c r="AB15" s="100"/>
      <c r="AC15" s="441"/>
      <c r="AD15" s="94"/>
      <c r="AE15" s="25" t="s">
        <v>215</v>
      </c>
      <c r="AF15" s="102"/>
      <c r="AG15" s="86"/>
      <c r="AH15" s="100">
        <f>-AH14*+AE60</f>
        <v>-300</v>
      </c>
      <c r="AI15" s="100"/>
      <c r="AJ15" s="100">
        <f>-AJ14*AE60</f>
        <v>-300</v>
      </c>
      <c r="AK15" s="101"/>
      <c r="AL15" s="100"/>
      <c r="AM15" s="100"/>
      <c r="AN15" s="100"/>
      <c r="AO15" s="100"/>
      <c r="AP15" s="93"/>
      <c r="AR15" s="226"/>
      <c r="AS15" s="6" t="s">
        <v>227</v>
      </c>
      <c r="AT15" s="486">
        <f>+AT13+AT14</f>
        <v>700</v>
      </c>
      <c r="AU15" s="6" t="s">
        <v>228</v>
      </c>
      <c r="AV15" s="6"/>
      <c r="AW15" s="8" t="s">
        <v>229</v>
      </c>
      <c r="AX15" s="6"/>
      <c r="AY15" s="6"/>
      <c r="AZ15" s="6"/>
      <c r="BA15" s="188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 s="25"/>
    </row>
    <row r="16" spans="2:69" ht="15" x14ac:dyDescent="0.25">
      <c r="B16" s="85"/>
      <c r="C16" s="94"/>
      <c r="D16" s="103" t="s">
        <v>64</v>
      </c>
      <c r="E16" s="103"/>
      <c r="F16" s="86"/>
      <c r="G16" s="104"/>
      <c r="H16" s="100"/>
      <c r="I16" s="104"/>
      <c r="J16" s="101"/>
      <c r="K16" s="104"/>
      <c r="L16" s="100"/>
      <c r="M16" s="104">
        <f>-M15</f>
        <v>300</v>
      </c>
      <c r="N16" s="100"/>
      <c r="O16" s="93"/>
      <c r="P16" s="94"/>
      <c r="Q16" s="103"/>
      <c r="R16" s="103"/>
      <c r="S16" s="86"/>
      <c r="T16" s="104"/>
      <c r="U16" s="100"/>
      <c r="V16" s="104"/>
      <c r="W16" s="101"/>
      <c r="X16" s="104"/>
      <c r="Y16" s="100"/>
      <c r="Z16" s="104"/>
      <c r="AA16" s="100"/>
      <c r="AB16" s="100"/>
      <c r="AC16" s="441"/>
      <c r="AD16" s="94"/>
      <c r="AE16" s="25"/>
      <c r="AF16" s="102"/>
      <c r="AG16" s="86"/>
      <c r="AH16" s="100"/>
      <c r="AI16" s="100"/>
      <c r="AJ16" s="100"/>
      <c r="AK16" s="101"/>
      <c r="AL16" s="100"/>
      <c r="AM16" s="100"/>
      <c r="AN16" s="100"/>
      <c r="AO16" s="100"/>
      <c r="AP16" s="93"/>
      <c r="AQ16" s="85"/>
      <c r="AR16" s="226"/>
      <c r="AS16" s="6" t="s">
        <v>230</v>
      </c>
      <c r="AT16" s="6"/>
      <c r="AU16" s="487">
        <f>+AT15*AS59</f>
        <v>210</v>
      </c>
      <c r="AV16" s="6"/>
      <c r="AW16" s="487">
        <f>+AU16*1</f>
        <v>210</v>
      </c>
      <c r="AX16" s="6"/>
      <c r="AY16" s="6" t="s">
        <v>231</v>
      </c>
      <c r="AZ16" s="6"/>
      <c r="BA16" s="188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 s="25"/>
    </row>
    <row r="17" spans="2:78" ht="15" x14ac:dyDescent="0.25">
      <c r="B17" s="85"/>
      <c r="C17" s="94"/>
      <c r="D17" s="25" t="s">
        <v>51</v>
      </c>
      <c r="E17" s="26"/>
      <c r="F17" s="86"/>
      <c r="G17" s="100">
        <f>SUM(G14:G16)</f>
        <v>700</v>
      </c>
      <c r="H17" s="100"/>
      <c r="I17" s="100">
        <f>SUM(I14:I16)</f>
        <v>700</v>
      </c>
      <c r="J17" s="101" t="s">
        <v>37</v>
      </c>
      <c r="K17" s="100">
        <f>+M17-I17</f>
        <v>300</v>
      </c>
      <c r="L17" s="101" t="s">
        <v>35</v>
      </c>
      <c r="M17" s="100">
        <f>SUM(M14:M16)</f>
        <v>1000</v>
      </c>
      <c r="N17" s="100"/>
      <c r="O17" s="93"/>
      <c r="P17" s="94"/>
      <c r="Q17" s="25" t="s">
        <v>213</v>
      </c>
      <c r="R17" s="26"/>
      <c r="S17" s="86"/>
      <c r="T17" s="100">
        <f>SUM(T14:T16)</f>
        <v>700</v>
      </c>
      <c r="U17" s="100"/>
      <c r="V17" s="100">
        <f>SUM(V14:V16)</f>
        <v>700</v>
      </c>
      <c r="W17" s="101"/>
      <c r="X17" s="100">
        <f>+Z17-V17</f>
        <v>300</v>
      </c>
      <c r="Y17" s="101" t="s">
        <v>35</v>
      </c>
      <c r="Z17" s="100">
        <f>SUM(Z14:Z16)</f>
        <v>1000</v>
      </c>
      <c r="AA17" s="100"/>
      <c r="AB17" s="100"/>
      <c r="AC17" s="441"/>
      <c r="AD17" s="94"/>
      <c r="AE17" s="25" t="s">
        <v>252</v>
      </c>
      <c r="AF17" s="25"/>
      <c r="AG17" s="86"/>
      <c r="AH17" s="164">
        <f>+AH14+AH15</f>
        <v>700</v>
      </c>
      <c r="AI17" s="100"/>
      <c r="AJ17" s="164">
        <f>+AJ14+AJ15</f>
        <v>700</v>
      </c>
      <c r="AK17" s="101"/>
      <c r="AL17" s="100"/>
      <c r="AM17" s="100"/>
      <c r="AN17" s="164">
        <f>+AN14+AN15</f>
        <v>1000</v>
      </c>
      <c r="AO17" s="100"/>
      <c r="AP17" s="93"/>
      <c r="AQ17" s="85"/>
      <c r="AR17" s="226"/>
      <c r="AS17" s="6" t="s">
        <v>232</v>
      </c>
      <c r="AT17" s="6"/>
      <c r="AU17" s="487">
        <f>+AU16*AS59</f>
        <v>63</v>
      </c>
      <c r="AV17" s="6"/>
      <c r="AW17" s="487">
        <f>+AU17*2</f>
        <v>126</v>
      </c>
      <c r="AX17" s="6"/>
      <c r="AY17" s="6" t="s">
        <v>233</v>
      </c>
      <c r="AZ17" s="6"/>
      <c r="BA17" s="188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 s="25"/>
    </row>
    <row r="18" spans="2:78" ht="15" x14ac:dyDescent="0.25">
      <c r="B18" s="85"/>
      <c r="C18" s="94"/>
      <c r="D18" s="25"/>
      <c r="E18" s="26"/>
      <c r="F18" s="86"/>
      <c r="G18" s="100"/>
      <c r="H18" s="100"/>
      <c r="I18" s="100"/>
      <c r="J18" s="101"/>
      <c r="K18" s="100"/>
      <c r="L18" s="100"/>
      <c r="M18" s="100"/>
      <c r="N18" s="100"/>
      <c r="O18" s="93"/>
      <c r="P18" s="94"/>
      <c r="Q18" s="25"/>
      <c r="R18" s="26"/>
      <c r="S18" s="86"/>
      <c r="T18" s="100"/>
      <c r="U18" s="100"/>
      <c r="V18" s="100"/>
      <c r="W18" s="101"/>
      <c r="X18" s="100"/>
      <c r="Y18" s="101"/>
      <c r="Z18" s="100"/>
      <c r="AA18" s="100"/>
      <c r="AB18" s="100"/>
      <c r="AC18" s="441"/>
      <c r="AD18" s="94"/>
      <c r="AE18" s="25"/>
      <c r="AF18" s="25"/>
      <c r="AG18" s="86"/>
      <c r="AH18" s="100"/>
      <c r="AI18" s="100"/>
      <c r="AJ18" s="100"/>
      <c r="AK18" s="101"/>
      <c r="AL18" s="100"/>
      <c r="AM18" s="100"/>
      <c r="AN18" s="100"/>
      <c r="AO18" s="100"/>
      <c r="AP18" s="93"/>
      <c r="AQ18" s="25"/>
      <c r="AR18" s="226"/>
      <c r="AS18" s="6" t="s">
        <v>234</v>
      </c>
      <c r="AT18" s="6"/>
      <c r="AU18" s="487">
        <f>+AU17*AS59</f>
        <v>18.899999999999999</v>
      </c>
      <c r="AV18" s="6"/>
      <c r="AW18" s="487">
        <f>+AU18*3</f>
        <v>56.699999999999996</v>
      </c>
      <c r="AX18" s="6"/>
      <c r="AY18" s="6" t="s">
        <v>235</v>
      </c>
      <c r="AZ18" s="6"/>
      <c r="BA18" s="18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 s="25"/>
    </row>
    <row r="19" spans="2:78" ht="15.75" thickBot="1" x14ac:dyDescent="0.3">
      <c r="B19" s="85"/>
      <c r="C19" s="94"/>
      <c r="D19" s="25"/>
      <c r="E19" s="26"/>
      <c r="F19" s="86"/>
      <c r="G19" s="201">
        <f>+I45</f>
        <v>6.8000000000000005E-2</v>
      </c>
      <c r="H19" s="202"/>
      <c r="I19" s="201">
        <f>+D45</f>
        <v>0.08</v>
      </c>
      <c r="J19" s="205"/>
      <c r="K19" s="201">
        <f>+D45</f>
        <v>0.08</v>
      </c>
      <c r="L19" s="202"/>
      <c r="M19" s="201">
        <f>+D45</f>
        <v>0.08</v>
      </c>
      <c r="N19" s="105"/>
      <c r="O19" s="93"/>
      <c r="P19" s="94"/>
      <c r="Q19" s="452" t="s">
        <v>222</v>
      </c>
      <c r="R19" s="92"/>
      <c r="S19" s="89"/>
      <c r="T19" s="164"/>
      <c r="U19" s="164"/>
      <c r="V19" s="164"/>
      <c r="W19" s="165"/>
      <c r="X19" s="164"/>
      <c r="Y19" s="165"/>
      <c r="Z19" s="166">
        <f>+Z17*Q59</f>
        <v>300</v>
      </c>
      <c r="AA19" s="100"/>
      <c r="AB19" s="100"/>
      <c r="AC19" s="442"/>
      <c r="AD19" s="94"/>
      <c r="AE19" s="452" t="s">
        <v>216</v>
      </c>
      <c r="AF19" s="92"/>
      <c r="AG19" s="89"/>
      <c r="AH19" s="164"/>
      <c r="AI19" s="164"/>
      <c r="AJ19" s="164"/>
      <c r="AK19" s="165"/>
      <c r="AL19" s="164"/>
      <c r="AM19" s="165"/>
      <c r="AN19" s="166">
        <f>+AN17*AE60</f>
        <v>300</v>
      </c>
      <c r="AO19" s="100"/>
      <c r="AP19" s="93"/>
      <c r="AQ19" s="25"/>
      <c r="AR19" s="226"/>
      <c r="AS19" s="6" t="s">
        <v>236</v>
      </c>
      <c r="AT19" s="6"/>
      <c r="AU19" s="487">
        <f>+AU18*AS59</f>
        <v>5.669999999999999</v>
      </c>
      <c r="AV19" s="6"/>
      <c r="AW19" s="487">
        <f>+AU19*4</f>
        <v>22.679999999999996</v>
      </c>
      <c r="AX19" s="6"/>
      <c r="AY19" s="6" t="s">
        <v>237</v>
      </c>
      <c r="AZ19" s="6"/>
      <c r="BA19" s="188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 s="25"/>
      <c r="BR19"/>
      <c r="BS19"/>
      <c r="BT19"/>
      <c r="BU19"/>
      <c r="BV19"/>
      <c r="BW19"/>
      <c r="BX19"/>
      <c r="BY19"/>
      <c r="BZ19"/>
    </row>
    <row r="20" spans="2:78" ht="15.75" thickBot="1" x14ac:dyDescent="0.3">
      <c r="B20" s="85"/>
      <c r="C20" s="94"/>
      <c r="D20" s="97" t="s">
        <v>43</v>
      </c>
      <c r="E20" s="106"/>
      <c r="F20" s="107"/>
      <c r="G20" s="204" t="s">
        <v>45</v>
      </c>
      <c r="H20" s="204"/>
      <c r="I20" s="204" t="s">
        <v>46</v>
      </c>
      <c r="J20" s="206"/>
      <c r="K20" s="204" t="s">
        <v>46</v>
      </c>
      <c r="L20" s="204"/>
      <c r="M20" s="204" t="s">
        <v>46</v>
      </c>
      <c r="N20" s="108"/>
      <c r="O20" s="93"/>
      <c r="P20" s="94"/>
      <c r="Q20" s="93" t="s">
        <v>221</v>
      </c>
      <c r="R20" s="26"/>
      <c r="S20" s="86"/>
      <c r="T20" s="100"/>
      <c r="U20" s="100"/>
      <c r="V20" s="100"/>
      <c r="W20" s="101"/>
      <c r="X20" s="100"/>
      <c r="Y20" s="101"/>
      <c r="Z20" s="453">
        <f>-Z19</f>
        <v>-300</v>
      </c>
      <c r="AA20" s="100"/>
      <c r="AB20" s="100"/>
      <c r="AC20" s="443"/>
      <c r="AD20" s="94"/>
      <c r="AE20" s="93" t="s">
        <v>214</v>
      </c>
      <c r="AF20" s="26"/>
      <c r="AG20" s="86"/>
      <c r="AH20" s="100"/>
      <c r="AI20" s="100"/>
      <c r="AJ20" s="100"/>
      <c r="AK20" s="101"/>
      <c r="AL20" s="100"/>
      <c r="AM20" s="100"/>
      <c r="AN20" s="465">
        <v>-300</v>
      </c>
      <c r="AO20" s="100"/>
      <c r="AP20" s="93"/>
      <c r="AQ20" s="25"/>
      <c r="AR20" s="226"/>
      <c r="AS20" s="6"/>
      <c r="AT20" s="6"/>
      <c r="AU20" s="488">
        <f>SUM(AU16:AU19)</f>
        <v>297.57</v>
      </c>
      <c r="AV20" s="6"/>
      <c r="AW20" s="489">
        <f>SUM(AW16:AW19)</f>
        <v>415.38</v>
      </c>
      <c r="AX20" s="6"/>
      <c r="AY20" s="490">
        <f>+AW20/AU20</f>
        <v>1.3959068454481298</v>
      </c>
      <c r="AZ20" s="491" t="s">
        <v>238</v>
      </c>
      <c r="BA20" s="188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 s="25"/>
      <c r="BR20"/>
      <c r="BS20"/>
      <c r="BT20"/>
      <c r="BU20"/>
      <c r="BV20"/>
      <c r="BW20"/>
      <c r="BX20"/>
      <c r="BY20"/>
      <c r="BZ20"/>
    </row>
    <row r="21" spans="2:78" ht="15.75" thickTop="1" x14ac:dyDescent="0.25">
      <c r="B21" s="85"/>
      <c r="C21" s="94"/>
      <c r="D21" s="25" t="s">
        <v>44</v>
      </c>
      <c r="E21" s="26"/>
      <c r="F21" s="86"/>
      <c r="G21" s="109">
        <f>+G23-G17</f>
        <v>1589.7105543858097</v>
      </c>
      <c r="H21" s="100"/>
      <c r="I21" s="109">
        <f>+I23-I17</f>
        <v>2100.2291443134727</v>
      </c>
      <c r="J21" s="101" t="s">
        <v>37</v>
      </c>
      <c r="K21" s="109">
        <f>+K23-K17</f>
        <v>900.09820470577415</v>
      </c>
      <c r="L21" s="101" t="s">
        <v>35</v>
      </c>
      <c r="M21" s="100">
        <f>+I21+K21</f>
        <v>3000.3273490192469</v>
      </c>
      <c r="N21" s="109"/>
      <c r="O21" s="93"/>
      <c r="P21" s="94"/>
      <c r="Q21" s="146"/>
      <c r="R21" s="172"/>
      <c r="S21" s="133"/>
      <c r="T21" s="104"/>
      <c r="U21" s="104"/>
      <c r="V21" s="104"/>
      <c r="W21" s="331"/>
      <c r="X21" s="104"/>
      <c r="Y21" s="104"/>
      <c r="Z21" s="453">
        <f>+Z19+Z20</f>
        <v>0</v>
      </c>
      <c r="AA21" s="100"/>
      <c r="AB21" s="100"/>
      <c r="AC21" s="444"/>
      <c r="AD21" s="94"/>
      <c r="AE21" s="146"/>
      <c r="AF21" s="172"/>
      <c r="AG21" s="133"/>
      <c r="AH21" s="104"/>
      <c r="AI21" s="104"/>
      <c r="AJ21" s="104"/>
      <c r="AK21" s="331"/>
      <c r="AL21" s="104"/>
      <c r="AM21" s="104"/>
      <c r="AN21" s="466">
        <f>+AN19+AN20</f>
        <v>0</v>
      </c>
      <c r="AO21" s="100"/>
      <c r="AP21" s="93"/>
      <c r="AQ21" s="85"/>
      <c r="AR21" s="226"/>
      <c r="AS21" s="6"/>
      <c r="AT21" s="6"/>
      <c r="AU21" s="6"/>
      <c r="AV21" s="6"/>
      <c r="AW21" s="6"/>
      <c r="AX21" s="6"/>
      <c r="AY21" s="6"/>
      <c r="AZ21" s="6"/>
      <c r="BA21" s="188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 s="25"/>
    </row>
    <row r="22" spans="2:78" ht="15" x14ac:dyDescent="0.25">
      <c r="B22" s="85"/>
      <c r="C22" s="94"/>
      <c r="D22" s="110"/>
      <c r="E22" s="106"/>
      <c r="F22" s="107"/>
      <c r="G22" s="111"/>
      <c r="H22" s="108"/>
      <c r="I22" s="111"/>
      <c r="J22" s="112"/>
      <c r="K22" s="111"/>
      <c r="L22" s="111"/>
      <c r="M22" s="111"/>
      <c r="N22" s="108"/>
      <c r="O22" s="93"/>
      <c r="P22" s="94"/>
      <c r="Q22" s="25"/>
      <c r="R22" s="26"/>
      <c r="S22" s="86"/>
      <c r="T22" s="100"/>
      <c r="U22" s="100"/>
      <c r="V22" s="100"/>
      <c r="W22" s="101"/>
      <c r="X22" s="100"/>
      <c r="Y22" s="100"/>
      <c r="Z22" s="100"/>
      <c r="AA22" s="100"/>
      <c r="AB22" s="100"/>
      <c r="AC22" s="443"/>
      <c r="AD22" s="94"/>
      <c r="AE22" s="25"/>
      <c r="AF22" s="26"/>
      <c r="AG22" s="86"/>
      <c r="AH22" s="100"/>
      <c r="AI22" s="100"/>
      <c r="AJ22" s="100"/>
      <c r="AK22" s="101"/>
      <c r="AL22" s="100"/>
      <c r="AM22" s="100"/>
      <c r="AN22" s="100"/>
      <c r="AO22" s="100"/>
      <c r="AP22" s="93"/>
      <c r="AQ22" s="25"/>
      <c r="AR22" s="275"/>
      <c r="AS22" s="244"/>
      <c r="AT22" s="244"/>
      <c r="AU22" s="244"/>
      <c r="AV22" s="244"/>
      <c r="AW22" s="244"/>
      <c r="AX22" s="244"/>
      <c r="AY22" s="244"/>
      <c r="AZ22" s="244"/>
      <c r="BA22" s="211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 s="25"/>
    </row>
    <row r="23" spans="2:78" ht="15" x14ac:dyDescent="0.25">
      <c r="B23" s="85"/>
      <c r="C23" s="94"/>
      <c r="D23" s="25" t="s">
        <v>56</v>
      </c>
      <c r="E23" s="113">
        <f>+D43</f>
        <v>18.013999999999999</v>
      </c>
      <c r="F23" s="114" t="s">
        <v>47</v>
      </c>
      <c r="G23" s="100">
        <f>FV(D45*(1-D46),D43,0,-G17)</f>
        <v>2289.7105543858097</v>
      </c>
      <c r="H23" s="100"/>
      <c r="I23" s="100">
        <f>FV(D45,D43,0,-I17)</f>
        <v>2800.2291443134727</v>
      </c>
      <c r="J23" s="101" t="s">
        <v>37</v>
      </c>
      <c r="K23" s="100">
        <f>FV(D45,D43,0,-K17)</f>
        <v>1200.0982047057742</v>
      </c>
      <c r="L23" s="100" t="s">
        <v>35</v>
      </c>
      <c r="M23" s="100">
        <f>+I23+K23</f>
        <v>4000.3273490192469</v>
      </c>
      <c r="N23" s="100"/>
      <c r="O23" s="93"/>
      <c r="P23" s="94"/>
      <c r="Q23" s="25"/>
      <c r="R23" s="26"/>
      <c r="S23" s="86"/>
      <c r="T23" s="201">
        <f>+V57</f>
        <v>6.8000000000000005E-2</v>
      </c>
      <c r="U23" s="202"/>
      <c r="V23" s="201">
        <f>+Q57</f>
        <v>0.08</v>
      </c>
      <c r="W23" s="205"/>
      <c r="X23" s="201">
        <f>+Q57</f>
        <v>0.08</v>
      </c>
      <c r="Y23" s="202"/>
      <c r="Z23" s="201">
        <f>+Q57</f>
        <v>0.08</v>
      </c>
      <c r="AA23" s="201"/>
      <c r="AB23" s="105"/>
      <c r="AC23" s="441"/>
      <c r="AD23" s="94"/>
      <c r="AE23" s="25"/>
      <c r="AF23" s="26"/>
      <c r="AG23" s="86"/>
      <c r="AH23" s="201">
        <f>+AJ58</f>
        <v>6.8000000000000005E-2</v>
      </c>
      <c r="AI23" s="202"/>
      <c r="AJ23" s="201">
        <f>+AE58</f>
        <v>0.08</v>
      </c>
      <c r="AK23" s="205"/>
      <c r="AL23" s="201">
        <f>+AE58</f>
        <v>0.08</v>
      </c>
      <c r="AM23" s="202"/>
      <c r="AN23" s="201">
        <f>+AE58</f>
        <v>0.08</v>
      </c>
      <c r="AO23" s="105"/>
      <c r="AP23" s="93"/>
      <c r="AQ23" s="25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 s="25"/>
    </row>
    <row r="24" spans="2:78" ht="15" x14ac:dyDescent="0.25">
      <c r="B24" s="25"/>
      <c r="C24" s="94"/>
      <c r="D24" s="25"/>
      <c r="E24" s="25"/>
      <c r="F24" s="86"/>
      <c r="G24" s="115"/>
      <c r="H24" s="115"/>
      <c r="I24" s="115"/>
      <c r="J24" s="116"/>
      <c r="K24" s="115"/>
      <c r="L24" s="115"/>
      <c r="M24" s="115"/>
      <c r="N24" s="115"/>
      <c r="O24" s="93"/>
      <c r="P24" s="94"/>
      <c r="Q24" s="97" t="s">
        <v>43</v>
      </c>
      <c r="R24" s="106"/>
      <c r="S24" s="107"/>
      <c r="T24" s="204" t="s">
        <v>45</v>
      </c>
      <c r="U24" s="204"/>
      <c r="V24" s="204" t="s">
        <v>46</v>
      </c>
      <c r="W24" s="206"/>
      <c r="X24" s="204" t="s">
        <v>46</v>
      </c>
      <c r="Y24" s="204"/>
      <c r="Z24" s="204" t="s">
        <v>46</v>
      </c>
      <c r="AA24" s="204"/>
      <c r="AB24" s="108"/>
      <c r="AC24" s="445"/>
      <c r="AD24" s="94"/>
      <c r="AE24" s="97" t="s">
        <v>43</v>
      </c>
      <c r="AF24" s="106"/>
      <c r="AG24" s="107"/>
      <c r="AH24" s="204" t="s">
        <v>45</v>
      </c>
      <c r="AI24" s="204"/>
      <c r="AJ24" s="204" t="s">
        <v>46</v>
      </c>
      <c r="AK24" s="206"/>
      <c r="AL24" s="204" t="s">
        <v>46</v>
      </c>
      <c r="AM24" s="204"/>
      <c r="AN24" s="204" t="s">
        <v>46</v>
      </c>
      <c r="AO24" s="108"/>
      <c r="AP24" s="93"/>
      <c r="AQ24" s="25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 s="25"/>
    </row>
    <row r="25" spans="2:78" ht="12.75" customHeight="1" x14ac:dyDescent="0.25">
      <c r="B25" s="85"/>
      <c r="C25" s="94"/>
      <c r="D25" s="97" t="s">
        <v>62</v>
      </c>
      <c r="E25" s="117"/>
      <c r="F25" s="86"/>
      <c r="G25" s="100"/>
      <c r="H25" s="100"/>
      <c r="I25" s="100"/>
      <c r="J25" s="101"/>
      <c r="K25" s="100"/>
      <c r="L25" s="100"/>
      <c r="M25" s="100"/>
      <c r="N25" s="100"/>
      <c r="O25" s="93"/>
      <c r="P25" s="94"/>
      <c r="Q25" s="25" t="s">
        <v>44</v>
      </c>
      <c r="R25" s="26"/>
      <c r="S25" s="86"/>
      <c r="T25" s="109">
        <f>+T28-T17</f>
        <v>1589.7105543858097</v>
      </c>
      <c r="U25" s="100"/>
      <c r="V25" s="109">
        <f>+V28-V17</f>
        <v>2100.2291443134727</v>
      </c>
      <c r="W25" s="101"/>
      <c r="X25" s="109">
        <f>+X28-X17</f>
        <v>900.09820470577415</v>
      </c>
      <c r="Y25" s="101" t="s">
        <v>35</v>
      </c>
      <c r="Z25" s="100">
        <f>+V25+X25</f>
        <v>3000.3273490192469</v>
      </c>
      <c r="AA25" s="100"/>
      <c r="AB25" s="109"/>
      <c r="AC25" s="441"/>
      <c r="AD25" s="94"/>
      <c r="AE25" s="25" t="s">
        <v>44</v>
      </c>
      <c r="AF25" s="26"/>
      <c r="AG25" s="86"/>
      <c r="AH25" s="109">
        <f>+AH28-AH17</f>
        <v>1589.7105543858097</v>
      </c>
      <c r="AI25" s="100"/>
      <c r="AJ25" s="109">
        <f>+AJ28-AJ17</f>
        <v>2100.2291443134727</v>
      </c>
      <c r="AK25" s="101" t="s">
        <v>37</v>
      </c>
      <c r="AL25" s="109">
        <f>+AL27-AL19</f>
        <v>0</v>
      </c>
      <c r="AM25" s="101" t="s">
        <v>217</v>
      </c>
      <c r="AN25" s="109">
        <f>+AN28-AN17</f>
        <v>3000.3273490192469</v>
      </c>
      <c r="AO25" s="109"/>
      <c r="AP25" s="93"/>
      <c r="AQ25" s="25"/>
      <c r="AR25" s="21" t="s">
        <v>245</v>
      </c>
      <c r="AS25" s="25"/>
      <c r="AT25" s="25"/>
      <c r="AU25" s="25"/>
      <c r="AV25" s="25"/>
      <c r="AW25" s="25"/>
      <c r="AX25" s="25"/>
      <c r="AY25" s="25"/>
      <c r="AZ25" s="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 s="25"/>
    </row>
    <row r="26" spans="2:78" ht="12.75" hidden="1" customHeight="1" x14ac:dyDescent="0.25">
      <c r="B26" s="85"/>
      <c r="C26" s="94"/>
      <c r="D26" s="97"/>
      <c r="E26" s="118" t="s">
        <v>61</v>
      </c>
      <c r="F26" s="86"/>
      <c r="G26" s="100"/>
      <c r="H26" s="100"/>
      <c r="I26" s="100"/>
      <c r="J26" s="101"/>
      <c r="K26" s="100"/>
      <c r="L26" s="100"/>
      <c r="M26" s="104">
        <f>+M27-M25</f>
        <v>-1200.0982047057739</v>
      </c>
      <c r="N26" s="100"/>
      <c r="O26" s="93"/>
      <c r="P26" s="94"/>
      <c r="Q26" s="110"/>
      <c r="R26" s="106"/>
      <c r="S26" s="107"/>
      <c r="T26" s="111"/>
      <c r="U26" s="108"/>
      <c r="V26" s="111"/>
      <c r="W26" s="112"/>
      <c r="X26" s="111"/>
      <c r="Y26" s="111"/>
      <c r="Z26" s="111"/>
      <c r="AA26" s="108"/>
      <c r="AB26" s="108"/>
      <c r="AC26" s="441"/>
      <c r="AD26" s="94"/>
      <c r="AE26" s="110"/>
      <c r="AF26" s="106"/>
      <c r="AG26" s="107"/>
      <c r="AH26" s="111"/>
      <c r="AI26" s="108"/>
      <c r="AJ26" s="111"/>
      <c r="AK26" s="112"/>
      <c r="AL26" s="111"/>
      <c r="AM26" s="111"/>
      <c r="AN26" s="111"/>
      <c r="AO26" s="108"/>
      <c r="AP26" s="93"/>
      <c r="AQ26" s="25"/>
      <c r="AR26" s="21"/>
      <c r="AS26" s="25"/>
      <c r="AT26" s="25"/>
      <c r="AU26" s="25"/>
      <c r="AV26" s="25"/>
      <c r="AW26" s="25"/>
      <c r="AX26" s="25"/>
      <c r="AY26" s="25"/>
      <c r="AZ26" s="25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 s="25"/>
    </row>
    <row r="27" spans="2:78" ht="15.75" customHeight="1" x14ac:dyDescent="0.25">
      <c r="B27" s="85"/>
      <c r="C27" s="94"/>
      <c r="D27" s="85"/>
      <c r="E27" s="118"/>
      <c r="F27" s="119">
        <f>+D47</f>
        <v>0.3</v>
      </c>
      <c r="G27" s="100"/>
      <c r="H27" s="100"/>
      <c r="I27" s="100"/>
      <c r="J27" s="101"/>
      <c r="K27" s="100"/>
      <c r="L27" s="100"/>
      <c r="M27" s="100">
        <f>-M23*D47</f>
        <v>-1200.0982047057739</v>
      </c>
      <c r="N27" s="120"/>
      <c r="O27" s="93"/>
      <c r="P27" s="94"/>
      <c r="Q27" s="110"/>
      <c r="R27" s="106"/>
      <c r="S27" s="107"/>
      <c r="T27" s="108"/>
      <c r="U27" s="108"/>
      <c r="V27" s="108"/>
      <c r="W27" s="454"/>
      <c r="X27" s="108"/>
      <c r="Y27" s="108"/>
      <c r="Z27" s="108"/>
      <c r="AA27" s="108"/>
      <c r="AB27" s="108"/>
      <c r="AC27" s="446"/>
      <c r="AD27" s="94"/>
      <c r="AE27" s="25"/>
      <c r="AF27" s="113"/>
      <c r="AG27" s="114"/>
      <c r="AH27" s="100"/>
      <c r="AI27" s="100"/>
      <c r="AJ27" s="100"/>
      <c r="AK27" s="101"/>
      <c r="AL27" s="100"/>
      <c r="AM27" s="100"/>
      <c r="AN27" s="100"/>
      <c r="AO27" s="100"/>
      <c r="AP27" s="93"/>
      <c r="AQ27" s="25"/>
      <c r="AR27" s="21" t="s">
        <v>281</v>
      </c>
      <c r="AS27" s="25"/>
      <c r="AT27" s="25"/>
      <c r="AU27" s="25"/>
      <c r="AV27" s="25"/>
      <c r="AW27" s="25"/>
      <c r="AX27" s="25"/>
      <c r="AY27" s="25"/>
      <c r="AZ27" s="25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 s="25"/>
      <c r="BR27" s="457" t="s">
        <v>239</v>
      </c>
    </row>
    <row r="28" spans="2:78" ht="15.75" customHeight="1" thickBot="1" x14ac:dyDescent="0.3">
      <c r="B28" s="85"/>
      <c r="C28" s="94"/>
      <c r="D28" s="116" t="s">
        <v>48</v>
      </c>
      <c r="E28" s="25"/>
      <c r="F28" s="86"/>
      <c r="G28" s="123">
        <f>+G23</f>
        <v>2289.7105543858097</v>
      </c>
      <c r="H28" s="100"/>
      <c r="I28" s="123">
        <f>+I23</f>
        <v>2800.2291443134727</v>
      </c>
      <c r="J28" s="23"/>
      <c r="K28" s="25"/>
      <c r="L28" s="25"/>
      <c r="M28" s="123">
        <f>+M23+M27</f>
        <v>2800.2291443134727</v>
      </c>
      <c r="N28" s="100"/>
      <c r="O28" s="93"/>
      <c r="P28" s="94"/>
      <c r="Q28" s="25" t="s">
        <v>56</v>
      </c>
      <c r="R28" s="113">
        <f>+Q55</f>
        <v>18.013999999999999</v>
      </c>
      <c r="S28" s="114" t="s">
        <v>47</v>
      </c>
      <c r="T28" s="164">
        <f>FV(Q57*(1-Q58),Q55,0,-T17)</f>
        <v>2289.7105543858097</v>
      </c>
      <c r="U28" s="100"/>
      <c r="V28" s="164">
        <f>FV(Q57,Q55,0,-V17)</f>
        <v>2800.2291443134727</v>
      </c>
      <c r="W28" s="101"/>
      <c r="X28" s="100">
        <f>FV(Q57,Q55,0,-X17)</f>
        <v>1200.0982047057742</v>
      </c>
      <c r="Y28" s="100" t="s">
        <v>35</v>
      </c>
      <c r="Z28" s="164">
        <f>FV(Q57,Q55,0,-Z17)</f>
        <v>4000.3273490192469</v>
      </c>
      <c r="AA28" s="100"/>
      <c r="AB28" s="100"/>
      <c r="AC28" s="441"/>
      <c r="AD28" s="94"/>
      <c r="AE28" s="25" t="s">
        <v>56</v>
      </c>
      <c r="AF28" s="113">
        <f>+AE56</f>
        <v>18.013999999999999</v>
      </c>
      <c r="AG28" s="114" t="s">
        <v>47</v>
      </c>
      <c r="AH28" s="164">
        <f>FV(AE58*(1-AE59),AE56,0,-AH17)</f>
        <v>2289.7105543858097</v>
      </c>
      <c r="AI28" s="115"/>
      <c r="AJ28" s="164">
        <f>FV(AE58,AE56,0,-AJ17)</f>
        <v>2800.2291443134727</v>
      </c>
      <c r="AK28" s="116"/>
      <c r="AL28" s="115"/>
      <c r="AM28" s="115"/>
      <c r="AN28" s="164">
        <f>FV(AE58,AE56,0,-AN17)</f>
        <v>4000.3273490192469</v>
      </c>
      <c r="AO28" s="115"/>
      <c r="AP28" s="93"/>
      <c r="AQ28" s="25"/>
      <c r="AR28" s="21" t="s">
        <v>246</v>
      </c>
      <c r="AS28" s="25"/>
      <c r="AT28" s="25"/>
      <c r="AU28" s="25"/>
      <c r="AV28" s="25"/>
      <c r="AW28" s="25"/>
      <c r="AX28" s="25"/>
      <c r="AY28" s="25"/>
      <c r="AZ28" s="25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 s="25"/>
      <c r="BR28" s="457" t="s">
        <v>240</v>
      </c>
    </row>
    <row r="29" spans="2:78" ht="16.5" thickTop="1" x14ac:dyDescent="0.25">
      <c r="B29" s="85"/>
      <c r="C29" s="94"/>
      <c r="D29" s="116"/>
      <c r="E29" s="25"/>
      <c r="F29" s="86"/>
      <c r="G29" s="100"/>
      <c r="H29" s="100"/>
      <c r="I29" s="100"/>
      <c r="J29" s="23"/>
      <c r="K29" s="25"/>
      <c r="L29" s="25"/>
      <c r="M29" s="100"/>
      <c r="N29" s="100"/>
      <c r="O29" s="93"/>
      <c r="P29" s="94"/>
      <c r="Q29" s="25"/>
      <c r="R29" s="25"/>
      <c r="S29" s="86"/>
      <c r="T29" s="115"/>
      <c r="U29" s="115"/>
      <c r="V29" s="115"/>
      <c r="W29" s="116"/>
      <c r="X29" s="115"/>
      <c r="Y29" s="115"/>
      <c r="Z29" s="115"/>
      <c r="AA29" s="115"/>
      <c r="AB29" s="115"/>
      <c r="AC29" s="441"/>
      <c r="AD29" s="94"/>
      <c r="AE29" s="25"/>
      <c r="AF29" s="113"/>
      <c r="AG29" s="114"/>
      <c r="AH29" s="100"/>
      <c r="AI29" s="115"/>
      <c r="AJ29" s="100"/>
      <c r="AK29" s="116"/>
      <c r="AL29" s="115"/>
      <c r="AM29" s="115"/>
      <c r="AN29" s="100"/>
      <c r="AO29" s="115"/>
      <c r="AP29" s="93"/>
      <c r="AR29" s="21"/>
      <c r="AS29" s="25"/>
      <c r="AT29" s="25"/>
      <c r="AU29" s="25"/>
      <c r="AV29" s="25"/>
      <c r="AW29" s="25"/>
      <c r="AX29" s="25"/>
      <c r="AY29" s="25"/>
      <c r="AZ29" s="25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 s="25"/>
      <c r="BR29" s="457" t="s">
        <v>241</v>
      </c>
    </row>
    <row r="30" spans="2:78" ht="15.75" x14ac:dyDescent="0.25">
      <c r="B30" s="85"/>
      <c r="C30" s="87"/>
      <c r="D30" s="163"/>
      <c r="E30" s="90"/>
      <c r="F30" s="89"/>
      <c r="G30" s="164"/>
      <c r="H30" s="164"/>
      <c r="I30" s="164"/>
      <c r="J30" s="165"/>
      <c r="K30" s="164"/>
      <c r="L30" s="164"/>
      <c r="M30" s="164"/>
      <c r="N30" s="166"/>
      <c r="O30" s="93"/>
      <c r="P30" s="94"/>
      <c r="Q30" s="97" t="s">
        <v>62</v>
      </c>
      <c r="R30" s="117"/>
      <c r="S30" s="86"/>
      <c r="T30" s="100"/>
      <c r="U30" s="100"/>
      <c r="V30" s="100"/>
      <c r="W30" s="101"/>
      <c r="X30" s="100"/>
      <c r="Y30" s="100"/>
      <c r="Z30" s="100"/>
      <c r="AA30" s="100"/>
      <c r="AB30" s="100"/>
      <c r="AC30" s="441"/>
      <c r="AD30" s="94"/>
      <c r="AE30" s="97" t="s">
        <v>62</v>
      </c>
      <c r="AF30" s="117"/>
      <c r="AG30" s="86"/>
      <c r="AH30" s="100"/>
      <c r="AI30" s="100"/>
      <c r="AJ30" s="100"/>
      <c r="AK30" s="101"/>
      <c r="AL30" s="100"/>
      <c r="AM30" s="100"/>
      <c r="AN30" s="100"/>
      <c r="AO30" s="100"/>
      <c r="AP30" s="93"/>
      <c r="AR30" s="21" t="s">
        <v>247</v>
      </c>
      <c r="AS30" s="25"/>
      <c r="AT30" s="25"/>
      <c r="AU30" s="25"/>
      <c r="AV30" s="25"/>
      <c r="AW30" s="25"/>
      <c r="AX30" s="25"/>
      <c r="AY30" s="25"/>
      <c r="AZ30" s="25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 s="25"/>
    </row>
    <row r="31" spans="2:78" ht="15.75" x14ac:dyDescent="0.25">
      <c r="B31" s="85"/>
      <c r="C31" s="94"/>
      <c r="D31" s="23" t="s">
        <v>66</v>
      </c>
      <c r="E31" s="25"/>
      <c r="F31" s="86"/>
      <c r="G31" s="25"/>
      <c r="H31" s="26"/>
      <c r="I31" s="25"/>
      <c r="J31" s="96"/>
      <c r="K31" s="98"/>
      <c r="L31" s="99"/>
      <c r="M31" s="98"/>
      <c r="N31" s="98"/>
      <c r="O31" s="93"/>
      <c r="P31" s="94"/>
      <c r="Q31" s="85"/>
      <c r="R31" s="118"/>
      <c r="S31" s="119">
        <f>+Q59</f>
        <v>0.3</v>
      </c>
      <c r="T31" s="100"/>
      <c r="U31" s="100"/>
      <c r="V31" s="100"/>
      <c r="W31" s="101"/>
      <c r="X31" s="100"/>
      <c r="Y31" s="100"/>
      <c r="Z31" s="100">
        <f>-Z28*Q59</f>
        <v>-1200.0982047057739</v>
      </c>
      <c r="AA31" s="100"/>
      <c r="AB31" s="120"/>
      <c r="AC31" s="440"/>
      <c r="AD31" s="94"/>
      <c r="AE31" s="85"/>
      <c r="AF31" s="118"/>
      <c r="AG31" s="119">
        <f>+AE60</f>
        <v>0.3</v>
      </c>
      <c r="AH31" s="100"/>
      <c r="AI31" s="100"/>
      <c r="AJ31" s="100"/>
      <c r="AK31" s="101"/>
      <c r="AL31" s="100"/>
      <c r="AM31" s="100"/>
      <c r="AN31" s="100">
        <f>-AN28*AE60</f>
        <v>-1200.0982047057739</v>
      </c>
      <c r="AO31" s="120"/>
      <c r="AP31" s="93"/>
      <c r="AQ31" s="25"/>
      <c r="AR31" s="21" t="s">
        <v>248</v>
      </c>
      <c r="AS31" s="25"/>
      <c r="AT31" s="25"/>
      <c r="AU31" s="25"/>
      <c r="AV31" s="25"/>
      <c r="AW31" s="25"/>
      <c r="AX31" s="25"/>
      <c r="AY31" s="25"/>
      <c r="AZ31" s="25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 s="25"/>
    </row>
    <row r="32" spans="2:78" ht="15.75" customHeight="1" thickBot="1" x14ac:dyDescent="0.3">
      <c r="B32" s="85"/>
      <c r="C32" s="94"/>
      <c r="D32" s="155" t="s">
        <v>67</v>
      </c>
      <c r="E32" s="155"/>
      <c r="F32" s="152"/>
      <c r="G32" s="155"/>
      <c r="H32" s="156"/>
      <c r="I32" s="162">
        <f>(((1+$D$45)^+$D$43)-((1+$I$45)^+$D$43))*+$I$46/(+$D$45-$I$45)</f>
        <v>510.51858992766302</v>
      </c>
      <c r="J32" s="157"/>
      <c r="K32" s="155"/>
      <c r="L32" s="156"/>
      <c r="M32" s="162">
        <f>(((1+$D$45)^+$D$43)-((1+$I$45)^+$D$43))*+$I$46/(+$D$45-$I$45)</f>
        <v>510.51858992766302</v>
      </c>
      <c r="N32" s="125"/>
      <c r="O32" s="93"/>
      <c r="P32" s="94"/>
      <c r="Q32" s="116" t="s">
        <v>48</v>
      </c>
      <c r="R32" s="25"/>
      <c r="S32" s="86"/>
      <c r="T32" s="123">
        <f>+T28</f>
        <v>2289.7105543858097</v>
      </c>
      <c r="U32" s="100"/>
      <c r="V32" s="123">
        <f>+V28</f>
        <v>2800.2291443134727</v>
      </c>
      <c r="W32" s="23"/>
      <c r="X32" s="25"/>
      <c r="Y32" s="25"/>
      <c r="Z32" s="123">
        <f>+Z28+Z31</f>
        <v>2800.2291443134727</v>
      </c>
      <c r="AA32" s="100"/>
      <c r="AB32" s="100"/>
      <c r="AC32" s="447"/>
      <c r="AD32" s="94"/>
      <c r="AE32" s="116" t="s">
        <v>48</v>
      </c>
      <c r="AF32" s="25"/>
      <c r="AG32" s="86"/>
      <c r="AH32" s="123">
        <f>+AH28</f>
        <v>2289.7105543858097</v>
      </c>
      <c r="AI32" s="100"/>
      <c r="AJ32" s="123">
        <f>+AJ28</f>
        <v>2800.2291443134727</v>
      </c>
      <c r="AK32" s="23"/>
      <c r="AL32" s="25"/>
      <c r="AM32" s="25"/>
      <c r="AN32" s="123">
        <f>+AN28+AN31</f>
        <v>2800.2291443134727</v>
      </c>
      <c r="AO32" s="100"/>
      <c r="AP32" s="93"/>
      <c r="AQ32" s="25"/>
      <c r="AR32" s="25"/>
      <c r="AS32" s="6"/>
      <c r="AT32" s="6"/>
      <c r="AU32" s="6"/>
      <c r="AV32" s="6"/>
      <c r="AW32" s="6"/>
      <c r="AX32" s="6"/>
      <c r="AY32" s="6"/>
      <c r="AZ32" s="6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 s="25"/>
    </row>
    <row r="33" spans="1:80" ht="16.5" thickTop="1" thickBot="1" x14ac:dyDescent="0.3">
      <c r="B33" s="85"/>
      <c r="C33" s="94"/>
      <c r="D33" s="85"/>
      <c r="E33" s="127"/>
      <c r="F33" s="128" t="s">
        <v>12</v>
      </c>
      <c r="G33" s="25"/>
      <c r="H33" s="99"/>
      <c r="I33" s="129">
        <f>+I32</f>
        <v>510.51858992766302</v>
      </c>
      <c r="J33" s="24"/>
      <c r="K33" s="25"/>
      <c r="L33" s="26"/>
      <c r="M33" s="129">
        <f>+M32</f>
        <v>510.51858992766302</v>
      </c>
      <c r="N33" s="130"/>
      <c r="O33" s="93"/>
      <c r="P33" s="94"/>
      <c r="Q33" s="116"/>
      <c r="R33" s="25"/>
      <c r="S33" s="86"/>
      <c r="T33" s="100"/>
      <c r="U33" s="100"/>
      <c r="V33" s="100"/>
      <c r="W33" s="23"/>
      <c r="X33" s="25"/>
      <c r="Y33" s="25"/>
      <c r="Z33" s="100"/>
      <c r="AA33" s="100"/>
      <c r="AB33" s="100"/>
      <c r="AC33" s="448"/>
      <c r="AD33" s="94"/>
      <c r="AE33" s="116"/>
      <c r="AF33" s="25"/>
      <c r="AG33" s="86"/>
      <c r="AH33" s="100"/>
      <c r="AI33" s="100"/>
      <c r="AJ33" s="100"/>
      <c r="AK33" s="23"/>
      <c r="AL33" s="25"/>
      <c r="AM33" s="25"/>
      <c r="AN33" s="100"/>
      <c r="AO33" s="100"/>
      <c r="AP33" s="93"/>
      <c r="AQ33" s="25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10"/>
      <c r="BS33" s="10"/>
      <c r="BT33" s="10"/>
      <c r="BU33" s="458"/>
      <c r="BY33" s="15"/>
      <c r="CA33" s="11"/>
    </row>
    <row r="34" spans="1:80" ht="15.75" thickTop="1" x14ac:dyDescent="0.25">
      <c r="A34" s="14"/>
      <c r="B34" s="85"/>
      <c r="C34" s="131"/>
      <c r="D34" s="132"/>
      <c r="E34" s="103"/>
      <c r="F34" s="133"/>
      <c r="G34" s="103"/>
      <c r="H34" s="103"/>
      <c r="I34" s="103"/>
      <c r="J34" s="134"/>
      <c r="K34" s="103"/>
      <c r="L34" s="135"/>
      <c r="M34" s="103"/>
      <c r="N34" s="103"/>
      <c r="O34" s="93"/>
      <c r="P34" s="87"/>
      <c r="Q34" s="163"/>
      <c r="R34" s="90"/>
      <c r="S34" s="89"/>
      <c r="T34" s="164"/>
      <c r="U34" s="164"/>
      <c r="V34" s="164"/>
      <c r="W34" s="165"/>
      <c r="X34" s="164"/>
      <c r="Y34" s="164"/>
      <c r="Z34" s="164"/>
      <c r="AA34" s="164"/>
      <c r="AB34" s="166"/>
      <c r="AC34" s="143"/>
      <c r="AD34" s="87"/>
      <c r="AE34" s="163"/>
      <c r="AF34" s="90"/>
      <c r="AG34" s="89"/>
      <c r="AH34" s="164"/>
      <c r="AI34" s="164"/>
      <c r="AJ34" s="164"/>
      <c r="AK34" s="165"/>
      <c r="AL34" s="164"/>
      <c r="AM34" s="164"/>
      <c r="AN34" s="164"/>
      <c r="AO34" s="166"/>
      <c r="AP34" s="93"/>
      <c r="AQ34" s="25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W34" s="459"/>
      <c r="BX34" s="460"/>
      <c r="BY34" s="461"/>
      <c r="CB34" s="462"/>
    </row>
    <row r="35" spans="1:80" ht="15.75" customHeight="1" x14ac:dyDescent="0.25">
      <c r="A35" s="15"/>
      <c r="B35" s="85"/>
      <c r="C35" s="85"/>
      <c r="D35" s="85"/>
      <c r="E35" s="25"/>
      <c r="F35" s="86"/>
      <c r="G35" s="25"/>
      <c r="H35" s="25"/>
      <c r="I35" s="25"/>
      <c r="J35" s="24"/>
      <c r="K35" s="25"/>
      <c r="L35" s="99"/>
      <c r="M35" s="25"/>
      <c r="N35" s="25"/>
      <c r="O35" s="25"/>
      <c r="P35" s="94"/>
      <c r="Q35" s="23" t="s">
        <v>66</v>
      </c>
      <c r="R35" s="25"/>
      <c r="S35" s="86"/>
      <c r="T35" s="25"/>
      <c r="U35" s="26"/>
      <c r="V35" s="25"/>
      <c r="W35" s="96"/>
      <c r="X35" s="98"/>
      <c r="Y35" s="99"/>
      <c r="Z35" s="98"/>
      <c r="AA35" s="98"/>
      <c r="AB35" s="167"/>
      <c r="AC35" s="25"/>
      <c r="AD35" s="94"/>
      <c r="AE35" s="23" t="s">
        <v>66</v>
      </c>
      <c r="AF35" s="25"/>
      <c r="AG35" s="86"/>
      <c r="AH35" s="25"/>
      <c r="AI35" s="26"/>
      <c r="AJ35" s="25"/>
      <c r="AK35" s="96"/>
      <c r="AL35" s="98"/>
      <c r="AM35" s="99"/>
      <c r="AN35" s="98"/>
      <c r="AO35" s="98"/>
      <c r="AP35" s="93"/>
      <c r="AQ35" s="25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Y35" s="463"/>
      <c r="CB35" s="462"/>
    </row>
    <row r="36" spans="1:80" ht="15.75" customHeight="1" x14ac:dyDescent="0.25">
      <c r="A36" s="10"/>
      <c r="B36" s="85"/>
      <c r="O36" s="25"/>
      <c r="P36" s="94"/>
      <c r="Q36" s="155" t="s">
        <v>67</v>
      </c>
      <c r="R36" s="155"/>
      <c r="S36" s="152"/>
      <c r="T36" s="155"/>
      <c r="U36" s="156"/>
      <c r="V36" s="162">
        <f>(((1+$D$45)^+$D$43)-((1+$I$45)^+$D$43))*+$I$46/(+$D$45-$I$45)</f>
        <v>510.51858992766302</v>
      </c>
      <c r="W36" s="157"/>
      <c r="X36" s="155"/>
      <c r="Y36" s="156"/>
      <c r="Z36" s="162">
        <f>(((1+$D$45)^+$D$43)-((1+$I$45)^+$D$43))*+$I$46/(+$D$45-$I$45)</f>
        <v>510.51858992766302</v>
      </c>
      <c r="AA36" s="124"/>
      <c r="AB36" s="455"/>
      <c r="AC36" s="25"/>
      <c r="AD36" s="94"/>
      <c r="AE36" s="155" t="s">
        <v>67</v>
      </c>
      <c r="AF36" s="155"/>
      <c r="AG36" s="152"/>
      <c r="AH36" s="155"/>
      <c r="AI36" s="156"/>
      <c r="AJ36" s="162">
        <f>(((1+$D$45)^+$D$43)-((1+$I$45)^+$D$43))*+$I$46/(+$D$45-$I$45)</f>
        <v>510.51858992766302</v>
      </c>
      <c r="AK36" s="157"/>
      <c r="AL36" s="155"/>
      <c r="AM36" s="156"/>
      <c r="AN36" s="162">
        <f>(((1+$D$45)^+$D$43)-((1+$I$45)^+$D$43))*+$I$46/(+$D$45-$I$45)</f>
        <v>510.51858992766302</v>
      </c>
      <c r="AO36" s="125"/>
      <c r="AP36" s="93"/>
      <c r="AQ36" s="25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W36" s="459"/>
    </row>
    <row r="37" spans="1:80" ht="15.75" thickBot="1" x14ac:dyDescent="0.3">
      <c r="B37" s="85"/>
      <c r="O37" s="25"/>
      <c r="P37" s="94"/>
      <c r="Q37" s="85"/>
      <c r="R37" s="127"/>
      <c r="S37" s="128" t="s">
        <v>12</v>
      </c>
      <c r="T37" s="25"/>
      <c r="U37" s="99"/>
      <c r="V37" s="129">
        <f>+V36</f>
        <v>510.51858992766302</v>
      </c>
      <c r="W37" s="24"/>
      <c r="X37" s="25"/>
      <c r="Y37" s="26"/>
      <c r="Z37" s="129">
        <f>+Z36</f>
        <v>510.51858992766302</v>
      </c>
      <c r="AA37" s="130"/>
      <c r="AB37" s="456"/>
      <c r="AC37" s="25"/>
      <c r="AD37" s="94"/>
      <c r="AE37" s="85"/>
      <c r="AF37" s="127"/>
      <c r="AG37" s="128" t="s">
        <v>12</v>
      </c>
      <c r="AH37" s="25"/>
      <c r="AI37" s="99"/>
      <c r="AJ37" s="129">
        <f>+AJ36</f>
        <v>510.51858992766302</v>
      </c>
      <c r="AK37" s="24"/>
      <c r="AL37" s="25"/>
      <c r="AM37" s="26"/>
      <c r="AN37" s="129">
        <f>+AN36</f>
        <v>510.51858992766302</v>
      </c>
      <c r="AO37" s="130"/>
      <c r="AP37" s="93"/>
      <c r="AQ37" s="25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CB37" s="462"/>
    </row>
    <row r="38" spans="1:80" ht="15.75" thickTop="1" x14ac:dyDescent="0.25">
      <c r="B38" s="85"/>
      <c r="O38" s="25"/>
      <c r="P38" s="131"/>
      <c r="Q38" s="132"/>
      <c r="R38" s="103"/>
      <c r="S38" s="133"/>
      <c r="T38" s="103"/>
      <c r="U38" s="103"/>
      <c r="V38" s="103"/>
      <c r="W38" s="134"/>
      <c r="X38" s="103"/>
      <c r="Y38" s="135"/>
      <c r="Z38" s="103"/>
      <c r="AA38" s="103"/>
      <c r="AB38" s="150"/>
      <c r="AC38" s="25"/>
      <c r="AD38" s="131"/>
      <c r="AE38" s="132"/>
      <c r="AF38" s="103"/>
      <c r="AG38" s="133"/>
      <c r="AH38" s="103"/>
      <c r="AI38" s="103"/>
      <c r="AJ38" s="103"/>
      <c r="AK38" s="134"/>
      <c r="AL38" s="103"/>
      <c r="AM38" s="135"/>
      <c r="AN38" s="103"/>
      <c r="AO38" s="150"/>
      <c r="AP38" s="25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</row>
    <row r="39" spans="1:80" ht="15" x14ac:dyDescent="0.25">
      <c r="B39" s="85"/>
      <c r="O39" s="25"/>
      <c r="P39" s="85"/>
      <c r="Q39" s="85"/>
      <c r="R39" s="25"/>
      <c r="S39" s="86"/>
      <c r="T39" s="25"/>
      <c r="U39" s="25"/>
      <c r="V39" s="25"/>
      <c r="W39" s="24"/>
      <c r="X39" s="25"/>
      <c r="Y39" s="99"/>
      <c r="Z39" s="25"/>
      <c r="AA39" s="25"/>
      <c r="AB39" s="25"/>
      <c r="AC39" s="25"/>
      <c r="AD39" s="85"/>
      <c r="AE39" s="85"/>
      <c r="AF39" s="25"/>
      <c r="AG39" s="86"/>
      <c r="AH39" s="25"/>
      <c r="AI39" s="25"/>
      <c r="AJ39" s="25"/>
      <c r="AK39" s="24"/>
      <c r="AL39" s="25"/>
      <c r="AM39" s="99"/>
      <c r="AN39" s="25"/>
      <c r="AO39" s="25"/>
      <c r="AP39" s="25"/>
      <c r="AQ39" s="25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Y39" s="463"/>
      <c r="CB39" s="462"/>
    </row>
    <row r="40" spans="1:80" ht="15" x14ac:dyDescent="0.25">
      <c r="B40" s="85"/>
      <c r="O40" s="25"/>
      <c r="BP40" s="6"/>
      <c r="BQ40" s="6"/>
      <c r="BR40" s="5"/>
      <c r="BY40" s="463"/>
      <c r="CB40" s="462"/>
    </row>
    <row r="41" spans="1:80" ht="15" hidden="1" x14ac:dyDescent="0.25">
      <c r="B41" s="85"/>
      <c r="C41" s="87"/>
      <c r="D41" s="88"/>
      <c r="E41" s="88"/>
      <c r="F41" s="139"/>
      <c r="G41" s="90"/>
      <c r="H41" s="90"/>
      <c r="I41" s="90"/>
      <c r="J41" s="91"/>
      <c r="K41" s="90"/>
      <c r="L41" s="92"/>
      <c r="M41" s="90"/>
      <c r="N41" s="140"/>
      <c r="O41" s="25"/>
      <c r="BP41" s="25"/>
      <c r="BQ41" s="25"/>
      <c r="BS41" s="459"/>
      <c r="BT41" s="459"/>
      <c r="BU41" s="16"/>
      <c r="BW41" s="459"/>
      <c r="BY41" s="463"/>
      <c r="CB41" s="462"/>
    </row>
    <row r="42" spans="1:80" ht="15" hidden="1" x14ac:dyDescent="0.25">
      <c r="B42" s="85"/>
      <c r="C42" s="93"/>
      <c r="D42" s="177" t="s">
        <v>0</v>
      </c>
      <c r="E42" s="141"/>
      <c r="F42" s="86"/>
      <c r="G42" s="25"/>
      <c r="H42" s="141"/>
      <c r="I42" s="115"/>
      <c r="J42" s="116"/>
      <c r="K42" s="25"/>
      <c r="L42" s="25"/>
      <c r="M42" s="142"/>
      <c r="N42" s="143"/>
      <c r="O42" s="25"/>
    </row>
    <row r="43" spans="1:80" ht="15" hidden="1" customHeight="1" x14ac:dyDescent="0.25">
      <c r="B43" s="85"/>
      <c r="C43" s="93"/>
      <c r="D43" s="174">
        <v>18.013999999999999</v>
      </c>
      <c r="E43" s="121" t="s">
        <v>35</v>
      </c>
      <c r="F43" s="86" t="s">
        <v>39</v>
      </c>
      <c r="G43" s="25"/>
      <c r="H43" s="25"/>
      <c r="I43" s="25"/>
      <c r="J43" s="23"/>
      <c r="K43" s="25"/>
      <c r="L43" s="25"/>
      <c r="M43" s="142"/>
      <c r="N43" s="143"/>
      <c r="O43" s="25"/>
    </row>
    <row r="44" spans="1:80" ht="15" hidden="1" x14ac:dyDescent="0.25">
      <c r="B44" s="85"/>
      <c r="C44" s="93"/>
      <c r="D44" s="175">
        <v>1000</v>
      </c>
      <c r="E44" s="121" t="s">
        <v>35</v>
      </c>
      <c r="F44" s="86" t="s">
        <v>40</v>
      </c>
      <c r="G44" s="25"/>
      <c r="H44" s="141"/>
      <c r="I44" s="136">
        <f>+D44*(1-D47)</f>
        <v>700</v>
      </c>
      <c r="J44" s="23"/>
      <c r="K44" s="127" t="s">
        <v>54</v>
      </c>
      <c r="L44" s="25"/>
      <c r="M44" s="25"/>
      <c r="N44" s="143"/>
      <c r="O44" s="25"/>
    </row>
    <row r="45" spans="1:80" ht="15" hidden="1" x14ac:dyDescent="0.25">
      <c r="B45" s="85"/>
      <c r="C45" s="93"/>
      <c r="D45" s="176">
        <v>0.08</v>
      </c>
      <c r="E45" s="121" t="s">
        <v>35</v>
      </c>
      <c r="F45" s="86" t="s">
        <v>50</v>
      </c>
      <c r="G45" s="25"/>
      <c r="H45" s="25"/>
      <c r="I45" s="137">
        <f>+D45*(1-D46)</f>
        <v>6.8000000000000005E-2</v>
      </c>
      <c r="J45" s="144"/>
      <c r="K45" s="127" t="s">
        <v>41</v>
      </c>
      <c r="L45" s="25"/>
      <c r="M45" s="142"/>
      <c r="N45" s="143"/>
      <c r="O45" s="25"/>
    </row>
    <row r="46" spans="1:80" ht="15" hidden="1" x14ac:dyDescent="0.25">
      <c r="B46" s="85"/>
      <c r="C46" s="93"/>
      <c r="D46" s="176">
        <v>0.15</v>
      </c>
      <c r="E46" s="121" t="s">
        <v>35</v>
      </c>
      <c r="F46" s="86" t="s">
        <v>59</v>
      </c>
      <c r="G46" s="25"/>
      <c r="H46" s="25"/>
      <c r="I46" s="138">
        <f>+D44*(1-D47)*D45*D46</f>
        <v>8.4</v>
      </c>
      <c r="J46" s="145"/>
      <c r="K46" s="127" t="s">
        <v>42</v>
      </c>
      <c r="L46" s="25"/>
      <c r="M46" s="25"/>
      <c r="N46" s="143"/>
      <c r="O46" s="25"/>
    </row>
    <row r="47" spans="1:80" customFormat="1" ht="15" hidden="1" x14ac:dyDescent="0.25">
      <c r="B47" s="85"/>
      <c r="C47" s="93"/>
      <c r="D47" s="176">
        <v>0.3</v>
      </c>
      <c r="E47" s="121" t="s">
        <v>35</v>
      </c>
      <c r="F47" s="86" t="s">
        <v>63</v>
      </c>
      <c r="G47" s="25"/>
      <c r="H47" s="25"/>
      <c r="I47" s="25"/>
      <c r="J47" s="23"/>
      <c r="K47" s="25"/>
      <c r="L47" s="25"/>
      <c r="M47" s="142"/>
      <c r="N47" s="143"/>
      <c r="O47" s="25"/>
      <c r="P47" s="10"/>
      <c r="Q47" s="10"/>
      <c r="R47" s="10"/>
      <c r="S47" s="16"/>
      <c r="T47" s="9"/>
      <c r="U47" s="9"/>
      <c r="V47" s="9"/>
      <c r="W47" s="15"/>
      <c r="X47" s="9"/>
      <c r="Y47" s="11"/>
      <c r="Z47" s="9"/>
      <c r="AA47" s="9"/>
      <c r="AB47" s="9"/>
      <c r="AC47" s="9"/>
      <c r="AD47" s="10"/>
      <c r="AE47" s="10"/>
      <c r="AF47" s="10"/>
      <c r="AG47" s="16"/>
      <c r="AH47" s="9"/>
      <c r="AI47" s="9"/>
      <c r="AJ47" s="9"/>
      <c r="AK47" s="15"/>
      <c r="AL47" s="9"/>
      <c r="AM47" s="11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</row>
    <row r="48" spans="1:80" customFormat="1" ht="15" hidden="1" x14ac:dyDescent="0.25">
      <c r="B48" s="85"/>
      <c r="C48" s="146"/>
      <c r="D48" s="147"/>
      <c r="E48" s="147"/>
      <c r="F48" s="133"/>
      <c r="G48" s="103"/>
      <c r="H48" s="147"/>
      <c r="I48" s="103"/>
      <c r="J48" s="148"/>
      <c r="K48" s="103"/>
      <c r="L48" s="103"/>
      <c r="M48" s="149"/>
      <c r="N48" s="150"/>
      <c r="O48" s="25"/>
      <c r="P48" s="10"/>
      <c r="Q48" s="10"/>
      <c r="R48" s="10"/>
      <c r="S48" s="16"/>
      <c r="T48" s="9"/>
      <c r="U48" s="9"/>
      <c r="V48" s="9"/>
      <c r="W48" s="15"/>
      <c r="X48" s="9"/>
      <c r="Y48" s="11"/>
      <c r="Z48" s="9"/>
      <c r="AA48" s="9"/>
      <c r="AB48" s="9"/>
      <c r="AC48" s="9"/>
      <c r="AD48" s="10"/>
      <c r="AE48" s="10"/>
      <c r="AF48" s="10"/>
      <c r="AG48" s="16"/>
      <c r="AH48" s="9"/>
      <c r="AI48" s="9"/>
      <c r="AJ48" s="9"/>
      <c r="AK48" s="15"/>
      <c r="AL48" s="9"/>
      <c r="AM48" s="11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</row>
    <row r="49" spans="3:67" customFormat="1" hidden="1" x14ac:dyDescent="0.2">
      <c r="C49" s="10"/>
      <c r="D49" s="10"/>
      <c r="E49" s="10"/>
      <c r="F49" s="16"/>
      <c r="G49" s="9"/>
      <c r="H49" s="9"/>
      <c r="I49" s="9"/>
      <c r="J49" s="15"/>
      <c r="K49" s="9"/>
      <c r="L49" s="11"/>
      <c r="M49" s="9"/>
      <c r="N49" s="9"/>
      <c r="P49" s="10"/>
      <c r="Q49" s="10"/>
      <c r="R49" s="10"/>
      <c r="S49" s="16"/>
      <c r="T49" s="9"/>
      <c r="U49" s="9"/>
      <c r="V49" s="9"/>
      <c r="W49" s="15"/>
      <c r="X49" s="9"/>
      <c r="Y49" s="11"/>
      <c r="Z49" s="9"/>
      <c r="AA49" s="9"/>
      <c r="AB49" s="9"/>
      <c r="AC49" s="9"/>
      <c r="AD49" s="10"/>
      <c r="AE49" s="10"/>
      <c r="AF49" s="10"/>
      <c r="AG49" s="16"/>
      <c r="AH49" s="9"/>
      <c r="AI49" s="9"/>
      <c r="AJ49" s="9"/>
      <c r="AK49" s="15"/>
      <c r="AL49" s="9"/>
      <c r="AM49" s="11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</row>
    <row r="50" spans="3:67" customFormat="1" ht="15" hidden="1" x14ac:dyDescent="0.25">
      <c r="C50" s="10"/>
      <c r="D50" s="10"/>
      <c r="E50" s="10"/>
      <c r="F50" s="16"/>
      <c r="G50" s="9"/>
      <c r="H50" s="9"/>
      <c r="I50" s="9"/>
      <c r="J50" s="15"/>
      <c r="K50" s="9"/>
      <c r="L50" s="11"/>
      <c r="M50" s="9"/>
      <c r="N50" s="9"/>
      <c r="P50" s="85"/>
      <c r="Q50" s="85"/>
      <c r="R50" s="85"/>
      <c r="S50" s="86"/>
      <c r="T50" s="25"/>
      <c r="U50" s="25"/>
      <c r="V50" s="25"/>
      <c r="W50" s="24"/>
      <c r="X50" s="25"/>
      <c r="Y50" s="26"/>
      <c r="Z50" s="25"/>
      <c r="AA50" s="25"/>
      <c r="AB50" s="25"/>
      <c r="AD50" s="10"/>
      <c r="AE50" s="10"/>
      <c r="AF50" s="10"/>
      <c r="AG50" s="16"/>
      <c r="AH50" s="9"/>
      <c r="AI50" s="9"/>
      <c r="AJ50" s="9"/>
      <c r="AK50" s="15"/>
      <c r="AL50" s="9"/>
      <c r="AM50" s="11"/>
      <c r="AN50" s="9"/>
      <c r="AO50" s="9"/>
    </row>
    <row r="51" spans="3:67" customFormat="1" ht="15" hidden="1" x14ac:dyDescent="0.25">
      <c r="P51" s="85"/>
      <c r="Q51" s="85"/>
      <c r="R51" s="85"/>
      <c r="S51" s="86"/>
      <c r="T51" s="25"/>
      <c r="U51" s="25"/>
      <c r="V51" s="25"/>
      <c r="W51" s="24"/>
      <c r="X51" s="25"/>
      <c r="Y51" s="26"/>
      <c r="Z51" s="124"/>
      <c r="AA51" s="25"/>
      <c r="AB51" s="25"/>
    </row>
    <row r="52" spans="3:67" customFormat="1" ht="15" hidden="1" x14ac:dyDescent="0.25">
      <c r="P52" s="85"/>
      <c r="Q52" s="25"/>
      <c r="R52" s="85"/>
      <c r="S52" s="86"/>
      <c r="T52" s="85"/>
      <c r="U52" s="25"/>
      <c r="V52" s="151"/>
      <c r="W52" s="24"/>
      <c r="X52" s="25"/>
      <c r="Y52" s="26"/>
      <c r="Z52" s="151"/>
      <c r="AA52" s="151"/>
      <c r="AB52" s="25"/>
    </row>
    <row r="53" spans="3:67" customFormat="1" ht="15" hidden="1" x14ac:dyDescent="0.25">
      <c r="P53" s="87"/>
      <c r="Q53" s="88"/>
      <c r="R53" s="88"/>
      <c r="S53" s="139"/>
      <c r="T53" s="90"/>
      <c r="U53" s="90"/>
      <c r="V53" s="90"/>
      <c r="W53" s="91"/>
      <c r="X53" s="90"/>
      <c r="Y53" s="92"/>
      <c r="Z53" s="90"/>
      <c r="AA53" s="90"/>
      <c r="AB53" s="140"/>
      <c r="AC53" s="25"/>
      <c r="AP53" s="25"/>
      <c r="AQ53" s="25"/>
      <c r="AR53" s="452"/>
      <c r="AS53" s="90"/>
      <c r="AT53" s="90"/>
      <c r="AU53" s="90"/>
      <c r="AV53" s="90"/>
      <c r="AW53" s="90"/>
      <c r="AX53" s="90"/>
      <c r="AY53" s="90"/>
      <c r="AZ53" s="90"/>
      <c r="BA53" s="90"/>
      <c r="BB53" s="88"/>
      <c r="BC53" s="140"/>
      <c r="BD53" s="9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</row>
    <row r="54" spans="3:67" customFormat="1" ht="15" hidden="1" x14ac:dyDescent="0.25">
      <c r="P54" s="93"/>
      <c r="Q54" s="449" t="s">
        <v>0</v>
      </c>
      <c r="R54" s="141"/>
      <c r="S54" s="86"/>
      <c r="T54" s="25"/>
      <c r="U54" s="141"/>
      <c r="V54" s="115"/>
      <c r="W54" s="116"/>
      <c r="X54" s="25"/>
      <c r="Y54" s="25"/>
      <c r="Z54" s="142"/>
      <c r="AA54" s="142"/>
      <c r="AB54" s="143"/>
      <c r="AC54" s="25"/>
      <c r="AD54" s="87"/>
      <c r="AE54" s="88"/>
      <c r="AF54" s="88"/>
      <c r="AG54" s="139"/>
      <c r="AH54" s="90"/>
      <c r="AI54" s="90"/>
      <c r="AJ54" s="90"/>
      <c r="AK54" s="91"/>
      <c r="AL54" s="90"/>
      <c r="AM54" s="92"/>
      <c r="AN54" s="90"/>
      <c r="AO54" s="140"/>
      <c r="AP54" s="25"/>
      <c r="AQ54" s="25"/>
      <c r="AR54" s="93"/>
      <c r="AS54" s="464" t="s">
        <v>0</v>
      </c>
      <c r="AT54" s="25"/>
      <c r="AU54" s="25"/>
      <c r="AV54" s="25"/>
      <c r="AW54" s="25"/>
      <c r="AX54" s="25"/>
      <c r="AY54" s="25"/>
      <c r="AZ54" s="25"/>
      <c r="BA54" s="25"/>
      <c r="BB54" s="85"/>
      <c r="BC54" s="143"/>
      <c r="BD54" s="25"/>
      <c r="BE54" s="25"/>
      <c r="BF54" s="25"/>
      <c r="BG54" s="25"/>
      <c r="BH54" s="25"/>
      <c r="BI54" s="25"/>
      <c r="BJ54" s="25"/>
      <c r="BK54" s="25"/>
      <c r="BL54" s="25"/>
      <c r="BM54" s="25"/>
      <c r="BN54" s="25"/>
      <c r="BO54" s="25"/>
    </row>
    <row r="55" spans="3:67" customFormat="1" ht="15" hidden="1" x14ac:dyDescent="0.25">
      <c r="P55" s="93"/>
      <c r="Q55" s="380">
        <f>+D43</f>
        <v>18.013999999999999</v>
      </c>
      <c r="R55" s="121" t="s">
        <v>35</v>
      </c>
      <c r="S55" s="86" t="s">
        <v>39</v>
      </c>
      <c r="T55" s="25"/>
      <c r="U55" s="25"/>
      <c r="V55" s="25"/>
      <c r="W55" s="23"/>
      <c r="X55" s="25"/>
      <c r="Y55" s="25"/>
      <c r="Z55" s="142"/>
      <c r="AA55" s="142"/>
      <c r="AB55" s="143"/>
      <c r="AC55" s="25"/>
      <c r="AD55" s="93"/>
      <c r="AE55" s="464" t="s">
        <v>0</v>
      </c>
      <c r="AF55" s="141"/>
      <c r="AG55" s="86"/>
      <c r="AH55" s="25"/>
      <c r="AI55" s="141"/>
      <c r="AJ55" s="115"/>
      <c r="AK55" s="116"/>
      <c r="AL55" s="25"/>
      <c r="AM55" s="25"/>
      <c r="AN55" s="142"/>
      <c r="AO55" s="143"/>
      <c r="AP55" s="25"/>
      <c r="AQ55" s="25"/>
      <c r="AR55" s="93"/>
      <c r="AS55" s="380">
        <f>+D43</f>
        <v>18.013999999999999</v>
      </c>
      <c r="AT55" s="121" t="s">
        <v>35</v>
      </c>
      <c r="AU55" s="86" t="s">
        <v>39</v>
      </c>
      <c r="AV55" s="25"/>
      <c r="AW55" s="25"/>
      <c r="AX55" s="25"/>
      <c r="AY55" s="25"/>
      <c r="AZ55" s="25"/>
      <c r="BA55" s="25"/>
      <c r="BB55" s="85"/>
      <c r="BC55" s="143"/>
      <c r="BD55" s="10"/>
      <c r="BE55" s="10"/>
      <c r="BF55" s="10"/>
      <c r="BG55" s="16"/>
      <c r="BH55" s="9"/>
      <c r="BI55" s="9"/>
      <c r="BJ55" s="9"/>
      <c r="BK55" s="15"/>
      <c r="BL55" s="9"/>
      <c r="BM55" s="11"/>
      <c r="BN55" s="9"/>
      <c r="BO55" s="9"/>
    </row>
    <row r="56" spans="3:67" customFormat="1" ht="15" hidden="1" x14ac:dyDescent="0.25">
      <c r="P56" s="93"/>
      <c r="Q56" s="380">
        <f>+D44</f>
        <v>1000</v>
      </c>
      <c r="R56" s="121" t="s">
        <v>35</v>
      </c>
      <c r="S56" s="86" t="s">
        <v>40</v>
      </c>
      <c r="T56" s="25"/>
      <c r="U56" s="141"/>
      <c r="V56" s="136">
        <f>+Q56*(1-Q59)</f>
        <v>700</v>
      </c>
      <c r="W56" s="23"/>
      <c r="X56" s="9"/>
      <c r="Y56" s="25"/>
      <c r="Z56" s="127" t="s">
        <v>54</v>
      </c>
      <c r="AA56" s="25"/>
      <c r="AB56" s="143"/>
      <c r="AC56" s="25"/>
      <c r="AD56" s="93"/>
      <c r="AE56" s="380">
        <f>+D43</f>
        <v>18.013999999999999</v>
      </c>
      <c r="AF56" s="121" t="s">
        <v>35</v>
      </c>
      <c r="AG56" s="86" t="s">
        <v>39</v>
      </c>
      <c r="AH56" s="25"/>
      <c r="AI56" s="25"/>
      <c r="AJ56" s="25"/>
      <c r="AK56" s="23"/>
      <c r="AL56" s="25"/>
      <c r="AM56" s="25"/>
      <c r="AN56" s="142"/>
      <c r="AO56" s="143"/>
      <c r="AP56" s="25"/>
      <c r="AQ56" s="9"/>
      <c r="AR56" s="93"/>
      <c r="AS56" s="380">
        <f>+D44</f>
        <v>1000</v>
      </c>
      <c r="AT56" s="121" t="s">
        <v>35</v>
      </c>
      <c r="AU56" s="86" t="s">
        <v>242</v>
      </c>
      <c r="AV56" s="25"/>
      <c r="AW56" s="25"/>
      <c r="AX56" s="25"/>
      <c r="AY56" s="25"/>
      <c r="AZ56" s="136">
        <f>+AS56*(1-AS59)</f>
        <v>700</v>
      </c>
      <c r="BA56" s="127" t="s">
        <v>54</v>
      </c>
      <c r="BB56" s="85"/>
      <c r="BC56" s="143"/>
      <c r="BD56" s="10"/>
      <c r="BE56" s="10"/>
      <c r="BF56" s="10"/>
      <c r="BG56" s="16"/>
      <c r="BH56" s="9"/>
      <c r="BI56" s="9"/>
      <c r="BJ56" s="9"/>
      <c r="BK56" s="15"/>
      <c r="BL56" s="9"/>
      <c r="BM56" s="11"/>
      <c r="BN56" s="9"/>
      <c r="BO56" s="9"/>
    </row>
    <row r="57" spans="3:67" customFormat="1" ht="15" hidden="1" x14ac:dyDescent="0.25">
      <c r="P57" s="93"/>
      <c r="Q57" s="450">
        <f>+D45</f>
        <v>0.08</v>
      </c>
      <c r="R57" s="121" t="s">
        <v>35</v>
      </c>
      <c r="S57" s="86" t="s">
        <v>50</v>
      </c>
      <c r="T57" s="25"/>
      <c r="U57" s="25"/>
      <c r="V57" s="137">
        <f>+Q57*(1-Q58)</f>
        <v>6.8000000000000005E-2</v>
      </c>
      <c r="W57" s="144"/>
      <c r="X57" s="9"/>
      <c r="Y57" s="25"/>
      <c r="Z57" s="127" t="s">
        <v>41</v>
      </c>
      <c r="AA57" s="142"/>
      <c r="AB57" s="143"/>
      <c r="AC57" s="25"/>
      <c r="AD57" s="93"/>
      <c r="AE57" s="380">
        <f>+D44</f>
        <v>1000</v>
      </c>
      <c r="AF57" s="121" t="s">
        <v>35</v>
      </c>
      <c r="AG57" s="86" t="s">
        <v>40</v>
      </c>
      <c r="AH57" s="25"/>
      <c r="AI57" s="141"/>
      <c r="AJ57" s="136">
        <f>+AE57*(1-AE60)</f>
        <v>700</v>
      </c>
      <c r="AK57" s="23"/>
      <c r="AL57" s="9"/>
      <c r="AM57" s="127" t="s">
        <v>54</v>
      </c>
      <c r="AN57" s="25"/>
      <c r="AO57" s="143"/>
      <c r="AP57" s="25"/>
      <c r="AQ57" s="9"/>
      <c r="AR57" s="93"/>
      <c r="AS57" s="450">
        <f>+D45</f>
        <v>0.08</v>
      </c>
      <c r="AT57" s="121" t="s">
        <v>35</v>
      </c>
      <c r="AU57" s="86" t="s">
        <v>50</v>
      </c>
      <c r="AV57" s="25"/>
      <c r="AW57" s="25"/>
      <c r="AX57" s="25"/>
      <c r="AY57" s="25"/>
      <c r="AZ57" s="137">
        <f>+AS57*(1-AS58)</f>
        <v>6.8000000000000005E-2</v>
      </c>
      <c r="BA57" s="127" t="s">
        <v>41</v>
      </c>
      <c r="BB57" s="85"/>
      <c r="BC57" s="143"/>
      <c r="BD57" s="10"/>
      <c r="BE57" s="9"/>
      <c r="BF57" s="10"/>
      <c r="BG57" s="16"/>
      <c r="BH57" s="10"/>
      <c r="BI57" s="9"/>
      <c r="BJ57" s="17"/>
      <c r="BK57" s="15"/>
      <c r="BL57" s="9"/>
      <c r="BM57" s="11"/>
      <c r="BN57" s="17"/>
      <c r="BO57" s="9"/>
    </row>
    <row r="58" spans="3:67" customFormat="1" ht="15" hidden="1" x14ac:dyDescent="0.25">
      <c r="P58" s="93"/>
      <c r="Q58" s="450">
        <f>+D46</f>
        <v>0.15</v>
      </c>
      <c r="R58" s="121" t="s">
        <v>35</v>
      </c>
      <c r="S58" s="86" t="s">
        <v>59</v>
      </c>
      <c r="T58" s="25"/>
      <c r="U58" s="25"/>
      <c r="V58" s="138">
        <f>+Q56*(1-Q59)*Q57*Q58</f>
        <v>8.4</v>
      </c>
      <c r="W58" s="145"/>
      <c r="X58" s="9"/>
      <c r="Y58" s="25"/>
      <c r="Z58" s="127" t="s">
        <v>42</v>
      </c>
      <c r="AA58" s="25"/>
      <c r="AB58" s="143"/>
      <c r="AC58" s="25"/>
      <c r="AD58" s="93"/>
      <c r="AE58" s="450">
        <f>+D45</f>
        <v>0.08</v>
      </c>
      <c r="AF58" s="121" t="s">
        <v>35</v>
      </c>
      <c r="AG58" s="86" t="s">
        <v>50</v>
      </c>
      <c r="AH58" s="25"/>
      <c r="AI58" s="25"/>
      <c r="AJ58" s="137">
        <f>+AE58*(1-AE59)</f>
        <v>6.8000000000000005E-2</v>
      </c>
      <c r="AK58" s="144"/>
      <c r="AL58" s="9"/>
      <c r="AM58" s="127" t="s">
        <v>41</v>
      </c>
      <c r="AN58" s="142"/>
      <c r="AO58" s="143"/>
      <c r="AP58" s="25"/>
      <c r="AQ58" s="9"/>
      <c r="AR58" s="93"/>
      <c r="AS58" s="450">
        <f>+D46</f>
        <v>0.15</v>
      </c>
      <c r="AT58" s="121" t="s">
        <v>35</v>
      </c>
      <c r="AU58" s="86" t="s">
        <v>59</v>
      </c>
      <c r="AV58" s="25"/>
      <c r="AW58" s="25"/>
      <c r="AX58" s="25"/>
      <c r="AY58" s="25"/>
      <c r="AZ58" s="138">
        <f>+AS56*(1-AS59)*AS57*AS58</f>
        <v>8.4</v>
      </c>
      <c r="BA58" s="127" t="s">
        <v>42</v>
      </c>
      <c r="BB58" s="85"/>
      <c r="BC58" s="143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</row>
    <row r="59" spans="3:67" customFormat="1" ht="15" hidden="1" x14ac:dyDescent="0.25">
      <c r="P59" s="93"/>
      <c r="Q59" s="450">
        <f>+D47</f>
        <v>0.3</v>
      </c>
      <c r="R59" s="121" t="s">
        <v>35</v>
      </c>
      <c r="S59" s="86" t="s">
        <v>63</v>
      </c>
      <c r="T59" s="25"/>
      <c r="U59" s="25"/>
      <c r="V59" s="25"/>
      <c r="W59" s="23"/>
      <c r="X59" s="25"/>
      <c r="Y59" s="25"/>
      <c r="Z59" s="142"/>
      <c r="AA59" s="142"/>
      <c r="AB59" s="143"/>
      <c r="AC59" s="25"/>
      <c r="AD59" s="93"/>
      <c r="AE59" s="450">
        <f>+D46</f>
        <v>0.15</v>
      </c>
      <c r="AF59" s="121" t="s">
        <v>35</v>
      </c>
      <c r="AG59" s="86" t="s">
        <v>59</v>
      </c>
      <c r="AH59" s="25"/>
      <c r="AI59" s="25"/>
      <c r="AJ59" s="138">
        <f>+AE57*(1-AE60)*AE58*AE59</f>
        <v>8.4</v>
      </c>
      <c r="AK59" s="145"/>
      <c r="AL59" s="9"/>
      <c r="AM59" s="127" t="s">
        <v>42</v>
      </c>
      <c r="AN59" s="25"/>
      <c r="AO59" s="143"/>
      <c r="AP59" s="25"/>
      <c r="AQ59" s="9"/>
      <c r="AR59" s="93"/>
      <c r="AS59" s="450">
        <f>+D47</f>
        <v>0.3</v>
      </c>
      <c r="AT59" s="121" t="s">
        <v>35</v>
      </c>
      <c r="AU59" s="86" t="s">
        <v>243</v>
      </c>
      <c r="AV59" s="25"/>
      <c r="AW59" s="25"/>
      <c r="AX59" s="25"/>
      <c r="AY59" s="25"/>
      <c r="AZ59" s="25"/>
      <c r="BA59" s="25"/>
      <c r="BB59" s="85"/>
      <c r="BC59" s="143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</row>
    <row r="60" spans="3:67" customFormat="1" ht="15" hidden="1" x14ac:dyDescent="0.25">
      <c r="P60" s="146"/>
      <c r="Q60" s="147"/>
      <c r="R60" s="147"/>
      <c r="S60" s="133"/>
      <c r="T60" s="103"/>
      <c r="U60" s="147"/>
      <c r="V60" s="103"/>
      <c r="W60" s="148"/>
      <c r="X60" s="103"/>
      <c r="Y60" s="103"/>
      <c r="Z60" s="149"/>
      <c r="AA60" s="149"/>
      <c r="AB60" s="150"/>
      <c r="AD60" s="93"/>
      <c r="AE60" s="450">
        <f>+D47</f>
        <v>0.3</v>
      </c>
      <c r="AF60" s="121" t="s">
        <v>35</v>
      </c>
      <c r="AG60" s="86" t="s">
        <v>63</v>
      </c>
      <c r="AH60" s="25"/>
      <c r="AI60" s="25"/>
      <c r="AJ60" s="25"/>
      <c r="AK60" s="23"/>
      <c r="AL60" s="25"/>
      <c r="AM60" s="25"/>
      <c r="AN60" s="142"/>
      <c r="AO60" s="143"/>
      <c r="AQ60" s="9"/>
      <c r="AR60" s="228"/>
      <c r="AS60" s="397"/>
      <c r="AT60" s="397"/>
      <c r="AU60" s="397"/>
      <c r="AV60" s="397"/>
      <c r="AW60" s="397"/>
      <c r="AX60" s="397"/>
      <c r="AY60" s="397"/>
      <c r="AZ60" s="397"/>
      <c r="BA60" s="397"/>
      <c r="BB60" s="244"/>
      <c r="BC60" s="305"/>
    </row>
    <row r="61" spans="3:67" customFormat="1" ht="15" hidden="1" x14ac:dyDescent="0.25">
      <c r="P61" s="10"/>
      <c r="Q61" s="10"/>
      <c r="R61" s="10"/>
      <c r="S61" s="16"/>
      <c r="T61" s="9"/>
      <c r="U61" s="9"/>
      <c r="V61" s="9"/>
      <c r="W61" s="15"/>
      <c r="X61" s="9"/>
      <c r="Y61" s="11"/>
      <c r="Z61" s="9"/>
      <c r="AA61" s="9"/>
      <c r="AB61" s="9"/>
      <c r="AD61" s="131"/>
      <c r="AE61" s="132"/>
      <c r="AF61" s="132"/>
      <c r="AG61" s="133"/>
      <c r="AH61" s="103"/>
      <c r="AI61" s="103"/>
      <c r="AJ61" s="103"/>
      <c r="AK61" s="134"/>
      <c r="AL61" s="103"/>
      <c r="AM61" s="172"/>
      <c r="AN61" s="103"/>
      <c r="AO61" s="150"/>
    </row>
    <row r="62" spans="3:67" customFormat="1" ht="15" hidden="1" x14ac:dyDescent="0.25">
      <c r="P62" s="10"/>
      <c r="Q62" s="10"/>
      <c r="R62" s="10"/>
      <c r="S62" s="16"/>
      <c r="T62" s="9"/>
      <c r="U62" s="9"/>
      <c r="V62" s="9"/>
      <c r="W62" s="15"/>
      <c r="X62" s="9"/>
      <c r="Y62" s="11"/>
      <c r="Z62" s="9"/>
      <c r="AA62" s="9"/>
      <c r="AB62" s="9"/>
      <c r="AD62" s="85"/>
      <c r="AE62" s="85"/>
      <c r="AF62" s="85"/>
      <c r="AG62" s="86"/>
      <c r="AH62" s="25"/>
      <c r="AI62" s="25"/>
      <c r="AJ62" s="25"/>
      <c r="AK62" s="24"/>
      <c r="AL62" s="25"/>
      <c r="AM62" s="26"/>
      <c r="AN62" s="25"/>
      <c r="AO62" s="25"/>
    </row>
    <row r="63" spans="3:67" customFormat="1" ht="15" hidden="1" x14ac:dyDescent="0.25">
      <c r="AD63" s="85"/>
      <c r="AE63" s="25"/>
      <c r="AF63" s="85"/>
      <c r="AG63" s="86"/>
      <c r="AH63" s="85"/>
      <c r="AI63" s="25"/>
      <c r="AJ63" s="151"/>
      <c r="AK63" s="24"/>
      <c r="AL63" s="25"/>
      <c r="AM63" s="26"/>
      <c r="AN63" s="151"/>
      <c r="AO63" s="25"/>
    </row>
    <row r="64" spans="3:67" customFormat="1" x14ac:dyDescent="0.2"/>
    <row r="65" spans="2:53" customFormat="1" x14ac:dyDescent="0.2"/>
    <row r="66" spans="2:53" customFormat="1" x14ac:dyDescent="0.2"/>
    <row r="67" spans="2:53" customFormat="1" x14ac:dyDescent="0.2"/>
    <row r="68" spans="2:53" customFormat="1" x14ac:dyDescent="0.2"/>
    <row r="69" spans="2:53" customFormat="1" x14ac:dyDescent="0.2"/>
    <row r="70" spans="2:53" customFormat="1" x14ac:dyDescent="0.2"/>
    <row r="71" spans="2:53" customFormat="1" x14ac:dyDescent="0.2"/>
    <row r="72" spans="2:53" x14ac:dyDescent="0.2"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D72"/>
      <c r="AE72"/>
      <c r="AF72"/>
      <c r="AG72"/>
      <c r="AH72"/>
      <c r="AI72"/>
      <c r="AJ72"/>
      <c r="AK72"/>
      <c r="AL72"/>
      <c r="AM72"/>
      <c r="AN72"/>
      <c r="AO72"/>
      <c r="AQ72"/>
      <c r="AR72"/>
      <c r="AS72"/>
      <c r="AT72"/>
      <c r="AU72"/>
      <c r="AV72"/>
      <c r="AW72"/>
      <c r="AX72"/>
      <c r="AY72"/>
      <c r="AZ72"/>
      <c r="BA72"/>
    </row>
    <row r="73" spans="2:53" x14ac:dyDescent="0.2"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D73"/>
      <c r="AE73"/>
      <c r="AF73"/>
      <c r="AG73"/>
      <c r="AH73"/>
      <c r="AI73"/>
      <c r="AJ73"/>
      <c r="AK73"/>
      <c r="AL73"/>
      <c r="AM73"/>
      <c r="AN73"/>
      <c r="AO73"/>
    </row>
    <row r="74" spans="2:53" x14ac:dyDescent="0.2">
      <c r="P74"/>
      <c r="Q74"/>
      <c r="R74"/>
      <c r="S74"/>
      <c r="T74"/>
      <c r="U74"/>
      <c r="V74"/>
      <c r="W74"/>
      <c r="X74"/>
      <c r="Y74"/>
      <c r="Z74"/>
      <c r="AA74"/>
      <c r="AB74"/>
      <c r="AD74"/>
      <c r="AE74"/>
      <c r="AF74"/>
      <c r="AG74"/>
      <c r="AH74"/>
      <c r="AI74"/>
      <c r="AJ74"/>
      <c r="AK74"/>
      <c r="AL74"/>
      <c r="AM74"/>
      <c r="AN74"/>
      <c r="AO74"/>
    </row>
    <row r="75" spans="2:53" x14ac:dyDescent="0.2">
      <c r="P75"/>
      <c r="Q75"/>
      <c r="R75"/>
      <c r="S75"/>
      <c r="T75"/>
      <c r="U75"/>
      <c r="V75"/>
      <c r="W75"/>
      <c r="X75"/>
      <c r="Y75"/>
      <c r="Z75"/>
      <c r="AA75"/>
      <c r="AB75"/>
      <c r="AD75"/>
      <c r="AE75"/>
      <c r="AF75"/>
      <c r="AG75"/>
      <c r="AH75"/>
      <c r="AI75"/>
      <c r="AJ75"/>
      <c r="AK75"/>
      <c r="AL75"/>
      <c r="AM75"/>
      <c r="AN75"/>
      <c r="AO75"/>
    </row>
    <row r="76" spans="2:53" x14ac:dyDescent="0.2">
      <c r="P76"/>
      <c r="Q76"/>
      <c r="R76"/>
      <c r="S76"/>
      <c r="T76"/>
      <c r="U76"/>
      <c r="V76"/>
      <c r="W76"/>
      <c r="X76"/>
      <c r="Y76"/>
      <c r="Z76"/>
      <c r="AA76"/>
      <c r="AB76"/>
    </row>
    <row r="77" spans="2:53" x14ac:dyDescent="0.2">
      <c r="P77"/>
      <c r="Q77"/>
      <c r="R77"/>
      <c r="S77"/>
      <c r="T77"/>
      <c r="U77"/>
      <c r="V77"/>
      <c r="W77"/>
      <c r="X77"/>
      <c r="Y77"/>
      <c r="Z77"/>
      <c r="AA77"/>
      <c r="AB77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D2AE74-7EFD-4066-995D-5F6B0350C3D2}">
  <dimension ref="A2:AF62"/>
  <sheetViews>
    <sheetView showGridLines="0" workbookViewId="0"/>
  </sheetViews>
  <sheetFormatPr defaultColWidth="9.140625" defaultRowHeight="12.75" x14ac:dyDescent="0.2"/>
  <cols>
    <col min="1" max="1" width="1.7109375" style="9" customWidth="1"/>
    <col min="2" max="2" width="2.28515625" style="10" customWidth="1"/>
    <col min="3" max="3" width="3" style="10" customWidth="1"/>
    <col min="4" max="4" width="18" style="10" customWidth="1"/>
    <col min="5" max="5" width="5.5703125" style="10" customWidth="1"/>
    <col min="6" max="6" width="5.28515625" style="16" customWidth="1"/>
    <col min="7" max="7" width="11.7109375" style="9" customWidth="1"/>
    <col min="8" max="8" width="2.140625" style="9" customWidth="1"/>
    <col min="9" max="9" width="11.7109375" style="9" customWidth="1"/>
    <col min="10" max="10" width="2.5703125" style="15" customWidth="1"/>
    <col min="11" max="11" width="11.7109375" style="9" customWidth="1"/>
    <col min="12" max="12" width="3.140625" style="11" customWidth="1"/>
    <col min="13" max="13" width="11.7109375" style="9" customWidth="1"/>
    <col min="14" max="15" width="2.7109375" style="9" customWidth="1"/>
    <col min="16" max="18" width="9.140625" style="9"/>
    <col min="19" max="19" width="3.140625" style="9" customWidth="1"/>
    <col min="20" max="20" width="18" style="9" customWidth="1"/>
    <col min="21" max="22" width="5.5703125" style="9" customWidth="1"/>
    <col min="23" max="23" width="9.140625" style="9"/>
    <col min="24" max="24" width="3" style="9" customWidth="1"/>
    <col min="25" max="25" width="9.140625" style="9"/>
    <col min="26" max="26" width="3.7109375" style="9" customWidth="1"/>
    <col min="27" max="27" width="9.140625" style="9" customWidth="1"/>
    <col min="28" max="28" width="4.28515625" style="9" customWidth="1"/>
    <col min="29" max="29" width="13.28515625" style="9" customWidth="1"/>
    <col min="30" max="16384" width="9.140625" style="9"/>
  </cols>
  <sheetData>
    <row r="2" spans="2:30" ht="15.75" x14ac:dyDescent="0.25">
      <c r="D2" s="18"/>
      <c r="E2" s="18"/>
      <c r="F2" s="19" t="s">
        <v>282</v>
      </c>
      <c r="H2" s="19"/>
      <c r="I2" s="19"/>
      <c r="J2" s="20"/>
      <c r="K2" s="21"/>
    </row>
    <row r="3" spans="2:30" ht="15.75" x14ac:dyDescent="0.25">
      <c r="D3" s="18"/>
      <c r="E3" s="18"/>
      <c r="F3" s="19"/>
      <c r="G3" s="21" t="s">
        <v>160</v>
      </c>
      <c r="H3" s="19"/>
      <c r="I3" s="19"/>
      <c r="J3" s="20"/>
      <c r="K3" s="21"/>
      <c r="V3" s="19" t="s">
        <v>265</v>
      </c>
      <c r="X3" s="19"/>
      <c r="Y3" s="19"/>
      <c r="Z3" s="20"/>
      <c r="AA3" s="21"/>
      <c r="AB3" s="11"/>
    </row>
    <row r="4" spans="2:30" ht="15.75" thickBot="1" x14ac:dyDescent="0.3">
      <c r="B4" s="85"/>
      <c r="C4" s="85"/>
      <c r="D4" s="85"/>
      <c r="E4" s="85"/>
      <c r="F4" s="86"/>
      <c r="G4" s="25"/>
      <c r="H4" s="25"/>
      <c r="I4" s="25"/>
      <c r="J4" s="24"/>
      <c r="K4" s="25"/>
      <c r="L4" s="26"/>
      <c r="M4" s="25"/>
      <c r="N4" s="25"/>
      <c r="O4" s="25"/>
    </row>
    <row r="5" spans="2:30" ht="15" x14ac:dyDescent="0.25">
      <c r="B5" s="85"/>
      <c r="C5" s="87"/>
      <c r="D5" s="88"/>
      <c r="E5" s="88"/>
      <c r="F5" s="89"/>
      <c r="G5" s="90"/>
      <c r="H5" s="90"/>
      <c r="I5" s="90"/>
      <c r="J5" s="91"/>
      <c r="K5" s="90"/>
      <c r="L5" s="92"/>
      <c r="M5" s="90"/>
      <c r="N5" s="90"/>
      <c r="O5" s="93"/>
      <c r="S5" s="87"/>
      <c r="T5" s="88"/>
      <c r="U5" s="88"/>
      <c r="V5" s="89"/>
      <c r="W5" s="90"/>
      <c r="X5" s="90"/>
      <c r="Y5" s="341"/>
      <c r="Z5" s="359"/>
      <c r="AA5" s="343"/>
      <c r="AB5" s="342"/>
      <c r="AC5" s="343"/>
      <c r="AD5" s="344"/>
    </row>
    <row r="6" spans="2:30" ht="15" x14ac:dyDescent="0.25">
      <c r="B6" s="85"/>
      <c r="C6" s="94"/>
      <c r="D6" s="25"/>
      <c r="E6" s="25"/>
      <c r="F6" s="86"/>
      <c r="G6" s="95" t="s">
        <v>36</v>
      </c>
      <c r="H6" s="96"/>
      <c r="I6" s="95" t="s">
        <v>124</v>
      </c>
      <c r="J6" s="95" t="s">
        <v>37</v>
      </c>
      <c r="K6" s="95" t="s">
        <v>273</v>
      </c>
      <c r="L6" s="95" t="s">
        <v>35</v>
      </c>
      <c r="M6" s="95" t="s">
        <v>125</v>
      </c>
      <c r="N6" s="96"/>
      <c r="O6" s="93"/>
      <c r="S6" s="94"/>
      <c r="T6" s="25"/>
      <c r="U6" s="25"/>
      <c r="V6" s="86"/>
      <c r="W6" s="95" t="s">
        <v>36</v>
      </c>
      <c r="X6" s="96"/>
      <c r="Y6" s="330" t="s">
        <v>161</v>
      </c>
      <c r="Z6" s="101" t="s">
        <v>37</v>
      </c>
      <c r="AA6" s="331" t="s">
        <v>162</v>
      </c>
      <c r="AB6" s="96" t="s">
        <v>35</v>
      </c>
      <c r="AC6" s="95" t="s">
        <v>125</v>
      </c>
      <c r="AD6" s="332"/>
    </row>
    <row r="7" spans="2:30" ht="15" x14ac:dyDescent="0.25">
      <c r="B7" s="85"/>
      <c r="C7" s="94"/>
      <c r="D7" s="97" t="s">
        <v>55</v>
      </c>
      <c r="E7" s="25"/>
      <c r="F7" s="86"/>
      <c r="G7" s="98"/>
      <c r="H7" s="98"/>
      <c r="I7" s="98"/>
      <c r="J7" s="96"/>
      <c r="K7" s="98"/>
      <c r="L7" s="99"/>
      <c r="M7" s="98"/>
      <c r="N7" s="98"/>
      <c r="O7" s="93"/>
      <c r="S7" s="94"/>
      <c r="T7" s="97" t="s">
        <v>55</v>
      </c>
      <c r="U7" s="25"/>
      <c r="V7" s="86"/>
      <c r="W7" s="98"/>
      <c r="X7" s="98"/>
      <c r="Y7" s="333"/>
      <c r="Z7" s="96"/>
      <c r="AA7" s="98"/>
      <c r="AB7" s="99"/>
      <c r="AC7" s="98"/>
      <c r="AD7" s="363"/>
    </row>
    <row r="8" spans="2:30" ht="15" x14ac:dyDescent="0.25">
      <c r="B8" s="85"/>
      <c r="C8" s="94"/>
      <c r="D8" s="25" t="s">
        <v>40</v>
      </c>
      <c r="E8" s="25"/>
      <c r="F8" s="86"/>
      <c r="G8" s="100">
        <f>+D35</f>
        <v>1000</v>
      </c>
      <c r="H8" s="100"/>
      <c r="I8" s="100">
        <f>+D35</f>
        <v>1000</v>
      </c>
      <c r="J8" s="101"/>
      <c r="K8" s="100"/>
      <c r="L8" s="100"/>
      <c r="M8" s="100">
        <f>+D35</f>
        <v>1000</v>
      </c>
      <c r="N8" s="100"/>
      <c r="O8" s="93"/>
      <c r="S8" s="94"/>
      <c r="T8" s="25" t="s">
        <v>40</v>
      </c>
      <c r="U8" s="25"/>
      <c r="V8" s="86"/>
      <c r="W8" s="100">
        <f>+T35</f>
        <v>1000</v>
      </c>
      <c r="X8" s="100"/>
      <c r="Y8" s="364"/>
      <c r="Z8" s="101"/>
      <c r="AA8" s="100"/>
      <c r="AB8" s="100"/>
      <c r="AC8" s="100">
        <f>+T35</f>
        <v>1000</v>
      </c>
      <c r="AD8" s="365"/>
    </row>
    <row r="9" spans="2:30" ht="15" x14ac:dyDescent="0.25">
      <c r="B9" s="85"/>
      <c r="C9" s="94"/>
      <c r="D9" s="25" t="s">
        <v>57</v>
      </c>
      <c r="E9" s="102">
        <f>+D38</f>
        <v>0.3</v>
      </c>
      <c r="F9" s="86"/>
      <c r="G9" s="100">
        <f>-G8*+D38</f>
        <v>-300</v>
      </c>
      <c r="H9" s="100"/>
      <c r="I9" s="100">
        <f>-I8*D38</f>
        <v>-300</v>
      </c>
      <c r="J9" s="101"/>
      <c r="K9" s="100"/>
      <c r="L9" s="100"/>
      <c r="M9" s="100">
        <f>-M8*D38</f>
        <v>-300</v>
      </c>
      <c r="N9" s="100"/>
      <c r="O9" s="93"/>
      <c r="S9" s="94"/>
      <c r="T9" s="6" t="s">
        <v>163</v>
      </c>
      <c r="U9" s="334"/>
      <c r="V9" s="340"/>
      <c r="W9" s="100">
        <f>-W8*+T38</f>
        <v>-300</v>
      </c>
      <c r="X9" s="100"/>
      <c r="Y9" s="364"/>
      <c r="Z9" s="101"/>
      <c r="AA9" s="366"/>
      <c r="AB9" s="362" t="s">
        <v>164</v>
      </c>
      <c r="AC9" s="100">
        <f>-AC8*Y34</f>
        <v>-200</v>
      </c>
      <c r="AD9" s="365"/>
    </row>
    <row r="10" spans="2:30" ht="15" x14ac:dyDescent="0.25">
      <c r="B10" s="85"/>
      <c r="C10" s="94"/>
      <c r="D10" s="103" t="s">
        <v>64</v>
      </c>
      <c r="E10" s="103"/>
      <c r="F10" s="86"/>
      <c r="G10" s="104"/>
      <c r="H10" s="100"/>
      <c r="I10" s="104"/>
      <c r="J10" s="101"/>
      <c r="K10" s="104"/>
      <c r="L10" s="100"/>
      <c r="M10" s="104">
        <f>-M9</f>
        <v>300</v>
      </c>
      <c r="N10" s="100"/>
      <c r="O10" s="93"/>
      <c r="S10" s="94"/>
      <c r="T10" s="103" t="s">
        <v>64</v>
      </c>
      <c r="U10" s="103"/>
      <c r="V10" s="86"/>
      <c r="W10" s="104"/>
      <c r="X10" s="100"/>
      <c r="Y10" s="367"/>
      <c r="Z10" s="101"/>
      <c r="AA10" s="104"/>
      <c r="AB10" s="100"/>
      <c r="AC10" s="104">
        <f>-AC9</f>
        <v>200</v>
      </c>
      <c r="AD10" s="365"/>
    </row>
    <row r="11" spans="2:30" ht="15" x14ac:dyDescent="0.25">
      <c r="B11" s="85"/>
      <c r="C11" s="94"/>
      <c r="D11" s="25" t="s">
        <v>51</v>
      </c>
      <c r="E11" s="26"/>
      <c r="F11" s="86"/>
      <c r="G11" s="100">
        <f>SUM(G8:G10)</f>
        <v>700</v>
      </c>
      <c r="H11" s="100"/>
      <c r="I11" s="100">
        <f>SUM(I8:I10)</f>
        <v>700</v>
      </c>
      <c r="J11" s="101" t="s">
        <v>37</v>
      </c>
      <c r="K11" s="100">
        <f>+M11-I11</f>
        <v>300</v>
      </c>
      <c r="L11" s="101" t="s">
        <v>35</v>
      </c>
      <c r="M11" s="100">
        <f>SUM(M8:M10)</f>
        <v>1000</v>
      </c>
      <c r="N11" s="100"/>
      <c r="O11" s="93"/>
      <c r="S11" s="94"/>
      <c r="T11" s="25" t="s">
        <v>51</v>
      </c>
      <c r="U11" s="26"/>
      <c r="V11" s="86"/>
      <c r="W11" s="100">
        <f>SUM(W8:W10)</f>
        <v>700</v>
      </c>
      <c r="X11" s="100"/>
      <c r="Y11" s="364">
        <f>+AC11-AA11</f>
        <v>800</v>
      </c>
      <c r="Z11" s="101" t="s">
        <v>37</v>
      </c>
      <c r="AA11" s="100">
        <f>+AC10</f>
        <v>200</v>
      </c>
      <c r="AB11" s="96" t="s">
        <v>35</v>
      </c>
      <c r="AC11" s="100">
        <f>SUM(AC8:AC10)</f>
        <v>1000</v>
      </c>
      <c r="AD11" s="365"/>
    </row>
    <row r="12" spans="2:30" ht="15" x14ac:dyDescent="0.25">
      <c r="B12" s="85"/>
      <c r="C12" s="94"/>
      <c r="D12" s="25"/>
      <c r="E12" s="26"/>
      <c r="F12" s="86"/>
      <c r="G12" s="100"/>
      <c r="H12" s="100"/>
      <c r="I12" s="100"/>
      <c r="J12" s="101"/>
      <c r="K12" s="100"/>
      <c r="L12" s="100"/>
      <c r="M12" s="100"/>
      <c r="N12" s="100"/>
      <c r="O12" s="93"/>
      <c r="S12" s="94"/>
      <c r="T12" s="25"/>
      <c r="U12" s="26"/>
      <c r="V12" s="86"/>
      <c r="W12" s="100"/>
      <c r="X12" s="100"/>
      <c r="Y12" s="364"/>
      <c r="Z12" s="101"/>
      <c r="AA12" s="100"/>
      <c r="AB12" s="99"/>
      <c r="AC12" s="100"/>
      <c r="AD12" s="365"/>
    </row>
    <row r="13" spans="2:30" ht="14.25" x14ac:dyDescent="0.2">
      <c r="B13" s="85"/>
      <c r="C13" s="94"/>
      <c r="D13" s="25"/>
      <c r="E13" s="26"/>
      <c r="F13" s="86"/>
      <c r="G13" s="201">
        <f>+I36</f>
        <v>6.8000000000000005E-2</v>
      </c>
      <c r="H13" s="202"/>
      <c r="I13" s="201">
        <f>+D36</f>
        <v>0.08</v>
      </c>
      <c r="J13" s="205"/>
      <c r="K13" s="201">
        <f>+D36</f>
        <v>0.08</v>
      </c>
      <c r="L13" s="202"/>
      <c r="M13" s="201">
        <f>+D36</f>
        <v>0.08</v>
      </c>
      <c r="N13" s="105"/>
      <c r="O13" s="93"/>
      <c r="S13" s="94"/>
      <c r="T13" s="25"/>
      <c r="U13" s="26"/>
      <c r="V13" s="86"/>
      <c r="W13" s="201">
        <f>+Y36</f>
        <v>6.8000000000000005E-2</v>
      </c>
      <c r="X13" s="202"/>
      <c r="Y13" s="345">
        <f>+T36</f>
        <v>0.08</v>
      </c>
      <c r="Z13" s="205"/>
      <c r="AA13" s="201">
        <f>+T36</f>
        <v>0.08</v>
      </c>
      <c r="AB13" s="360"/>
      <c r="AC13" s="201">
        <f>+T36</f>
        <v>0.08</v>
      </c>
      <c r="AD13" s="346"/>
    </row>
    <row r="14" spans="2:30" ht="15" x14ac:dyDescent="0.25">
      <c r="B14" s="85"/>
      <c r="C14" s="94"/>
      <c r="D14" s="97" t="s">
        <v>43</v>
      </c>
      <c r="E14" s="106"/>
      <c r="F14" s="107"/>
      <c r="G14" s="204" t="s">
        <v>45</v>
      </c>
      <c r="H14" s="204"/>
      <c r="I14" s="204" t="s">
        <v>46</v>
      </c>
      <c r="J14" s="206"/>
      <c r="K14" s="204" t="s">
        <v>46</v>
      </c>
      <c r="L14" s="204"/>
      <c r="M14" s="204" t="s">
        <v>46</v>
      </c>
      <c r="N14" s="108"/>
      <c r="O14" s="93"/>
      <c r="Q14"/>
      <c r="S14" s="94"/>
      <c r="T14" s="97" t="s">
        <v>43</v>
      </c>
      <c r="U14" s="106"/>
      <c r="V14" s="107"/>
      <c r="W14" s="204" t="s">
        <v>45</v>
      </c>
      <c r="X14" s="204"/>
      <c r="Y14" s="368" t="s">
        <v>46</v>
      </c>
      <c r="Z14" s="206"/>
      <c r="AA14" s="204" t="s">
        <v>46</v>
      </c>
      <c r="AB14" s="369"/>
      <c r="AC14" s="204" t="s">
        <v>46</v>
      </c>
      <c r="AD14" s="370"/>
    </row>
    <row r="15" spans="2:30" ht="15" x14ac:dyDescent="0.25">
      <c r="B15" s="85"/>
      <c r="C15" s="94"/>
      <c r="D15" s="25" t="s">
        <v>44</v>
      </c>
      <c r="E15" s="26"/>
      <c r="F15" s="86"/>
      <c r="G15" s="109">
        <f>+G17-G11</f>
        <v>1589.7105543858097</v>
      </c>
      <c r="H15" s="100"/>
      <c r="I15" s="109">
        <f>+I17-I11</f>
        <v>2100.2291443134727</v>
      </c>
      <c r="J15" s="101" t="s">
        <v>37</v>
      </c>
      <c r="K15" s="109">
        <f>+K17-K11</f>
        <v>900.09820470577415</v>
      </c>
      <c r="L15" s="101" t="s">
        <v>35</v>
      </c>
      <c r="M15" s="100">
        <f>+I15+K15</f>
        <v>3000.3273490192469</v>
      </c>
      <c r="N15" s="109"/>
      <c r="O15" s="93"/>
      <c r="Q15"/>
      <c r="S15" s="94"/>
      <c r="T15" s="25" t="s">
        <v>44</v>
      </c>
      <c r="U15" s="26"/>
      <c r="V15" s="86"/>
      <c r="W15" s="109">
        <f>+W17-W11</f>
        <v>1589.7105543858097</v>
      </c>
      <c r="X15" s="100"/>
      <c r="Y15" s="347">
        <f>+Y17-Y11</f>
        <v>2400.2618792153976</v>
      </c>
      <c r="Z15" s="101" t="s">
        <v>37</v>
      </c>
      <c r="AA15" s="109">
        <f>+AA17-AA11</f>
        <v>600.0654698038494</v>
      </c>
      <c r="AB15" s="96" t="s">
        <v>35</v>
      </c>
      <c r="AC15" s="100">
        <f>+AC17-AC11</f>
        <v>3000.3273490192469</v>
      </c>
      <c r="AD15" s="348"/>
    </row>
    <row r="16" spans="2:30" ht="14.25" x14ac:dyDescent="0.2">
      <c r="B16" s="85"/>
      <c r="C16" s="94"/>
      <c r="D16" s="110"/>
      <c r="E16" s="106"/>
      <c r="F16" s="107"/>
      <c r="G16" s="111"/>
      <c r="H16" s="108"/>
      <c r="I16" s="111"/>
      <c r="J16" s="112"/>
      <c r="K16" s="111"/>
      <c r="L16" s="111"/>
      <c r="M16" s="111"/>
      <c r="N16" s="108"/>
      <c r="O16" s="93"/>
      <c r="Q16"/>
      <c r="S16" s="94"/>
      <c r="T16" s="110"/>
      <c r="U16" s="106"/>
      <c r="V16" s="107"/>
      <c r="W16" s="111"/>
      <c r="X16" s="108"/>
      <c r="Y16" s="371"/>
      <c r="Z16" s="112"/>
      <c r="AA16" s="108"/>
      <c r="AB16" s="372"/>
      <c r="AC16" s="111"/>
      <c r="AD16" s="370"/>
    </row>
    <row r="17" spans="1:30" ht="15" x14ac:dyDescent="0.25">
      <c r="B17" s="85"/>
      <c r="C17" s="94"/>
      <c r="D17" s="25" t="s">
        <v>56</v>
      </c>
      <c r="E17" s="113">
        <f>+D34</f>
        <v>18.013999999999999</v>
      </c>
      <c r="F17" s="114" t="s">
        <v>47</v>
      </c>
      <c r="G17" s="100">
        <f>FV(D36*(1-D37),D34,0,-G11)</f>
        <v>2289.7105543858097</v>
      </c>
      <c r="H17" s="100"/>
      <c r="I17" s="100">
        <f>FV(D36,D34,0,-I11)</f>
        <v>2800.2291443134727</v>
      </c>
      <c r="J17" s="101" t="s">
        <v>37</v>
      </c>
      <c r="K17" s="100">
        <f>FV(D36,D34,0,-K11)</f>
        <v>1200.0982047057742</v>
      </c>
      <c r="L17" s="100" t="s">
        <v>35</v>
      </c>
      <c r="M17" s="100">
        <f>+I17+K17</f>
        <v>4000.3273490192469</v>
      </c>
      <c r="N17" s="100"/>
      <c r="O17" s="93"/>
      <c r="Q17"/>
      <c r="S17" s="94"/>
      <c r="T17" s="25" t="s">
        <v>56</v>
      </c>
      <c r="U17" s="113">
        <f>+T34</f>
        <v>18.013999999999999</v>
      </c>
      <c r="V17" s="114" t="s">
        <v>47</v>
      </c>
      <c r="W17" s="100">
        <f>FV(T36*(1-T37),T34,0,-W11)</f>
        <v>2289.7105543858097</v>
      </c>
      <c r="X17" s="100"/>
      <c r="Y17" s="364">
        <f>FV(T36,T34,0,-Y11)</f>
        <v>3200.2618792153976</v>
      </c>
      <c r="Z17" s="101" t="s">
        <v>37</v>
      </c>
      <c r="AA17" s="100">
        <f>FV(T36,T34,0,-AA11)</f>
        <v>800.0654698038494</v>
      </c>
      <c r="AB17" s="96" t="s">
        <v>35</v>
      </c>
      <c r="AC17" s="100">
        <f>FV(T36,T34,0,-AC11)</f>
        <v>4000.3273490192469</v>
      </c>
      <c r="AD17" s="365"/>
    </row>
    <row r="18" spans="1:30" ht="15" x14ac:dyDescent="0.25">
      <c r="B18" s="25"/>
      <c r="C18" s="94"/>
      <c r="D18" s="25"/>
      <c r="E18" s="25"/>
      <c r="F18" s="86"/>
      <c r="G18" s="115"/>
      <c r="H18" s="115"/>
      <c r="I18" s="115"/>
      <c r="J18" s="116"/>
      <c r="K18" s="115"/>
      <c r="L18" s="115"/>
      <c r="M18" s="115"/>
      <c r="N18" s="115"/>
      <c r="O18" s="93"/>
      <c r="S18" s="94"/>
      <c r="T18" s="25"/>
      <c r="U18" s="25"/>
      <c r="V18" s="86"/>
      <c r="W18" s="115"/>
      <c r="X18" s="115"/>
      <c r="Y18" s="349"/>
      <c r="Z18" s="116"/>
      <c r="AA18" s="115"/>
      <c r="AB18" s="115"/>
      <c r="AC18" s="115"/>
      <c r="AD18" s="350"/>
    </row>
    <row r="19" spans="1:30" ht="12.75" customHeight="1" x14ac:dyDescent="0.25">
      <c r="B19" s="85"/>
      <c r="C19" s="94"/>
      <c r="D19" s="97" t="s">
        <v>62</v>
      </c>
      <c r="E19" s="117"/>
      <c r="F19" s="86"/>
      <c r="G19" s="100"/>
      <c r="H19" s="100"/>
      <c r="I19" s="100"/>
      <c r="J19" s="101"/>
      <c r="K19" s="100"/>
      <c r="L19" s="100"/>
      <c r="M19" s="100"/>
      <c r="N19" s="100"/>
      <c r="O19" s="93"/>
      <c r="S19" s="94"/>
      <c r="T19" s="97" t="s">
        <v>62</v>
      </c>
      <c r="U19" s="335"/>
      <c r="V19" s="86"/>
      <c r="W19" s="100"/>
      <c r="X19" s="100"/>
      <c r="Y19" s="364"/>
      <c r="Z19" s="101"/>
      <c r="AA19" s="100"/>
      <c r="AB19" s="100"/>
      <c r="AC19" s="100"/>
      <c r="AD19" s="365"/>
    </row>
    <row r="20" spans="1:30" ht="12.75" hidden="1" customHeight="1" x14ac:dyDescent="0.25">
      <c r="B20" s="85"/>
      <c r="C20" s="94"/>
      <c r="D20" s="97"/>
      <c r="E20" s="118" t="s">
        <v>61</v>
      </c>
      <c r="F20" s="86"/>
      <c r="G20" s="100"/>
      <c r="H20" s="100"/>
      <c r="I20" s="100"/>
      <c r="J20" s="101"/>
      <c r="K20" s="100"/>
      <c r="L20" s="100"/>
      <c r="M20" s="104">
        <f>+M21-M19</f>
        <v>-1200.0982047057739</v>
      </c>
      <c r="N20" s="100"/>
      <c r="O20" s="93"/>
      <c r="S20" s="94"/>
      <c r="T20" s="97"/>
      <c r="U20" s="118" t="s">
        <v>61</v>
      </c>
      <c r="V20" s="86"/>
      <c r="W20" s="100"/>
      <c r="X20" s="100"/>
      <c r="Y20" s="364"/>
      <c r="Z20" s="101"/>
      <c r="AA20" s="100"/>
      <c r="AB20" s="100"/>
      <c r="AC20" s="104">
        <f>+AC21-AC19</f>
        <v>-800.0654698038494</v>
      </c>
      <c r="AD20" s="365"/>
    </row>
    <row r="21" spans="1:30" ht="12.75" customHeight="1" x14ac:dyDescent="0.25">
      <c r="B21" s="85"/>
      <c r="C21" s="94"/>
      <c r="D21" s="85"/>
      <c r="E21" s="118" t="s">
        <v>52</v>
      </c>
      <c r="F21" s="119">
        <f>+D38</f>
        <v>0.3</v>
      </c>
      <c r="G21" s="100"/>
      <c r="H21" s="100"/>
      <c r="I21" s="100"/>
      <c r="J21" s="101"/>
      <c r="K21" s="100"/>
      <c r="L21" s="100"/>
      <c r="M21" s="100">
        <f>-M17*D38</f>
        <v>-1200.0982047057739</v>
      </c>
      <c r="N21" s="120"/>
      <c r="O21" s="93"/>
      <c r="S21" s="94"/>
      <c r="T21" s="85"/>
      <c r="U21" s="118" t="s">
        <v>165</v>
      </c>
      <c r="V21" s="336">
        <f>+Y34</f>
        <v>0.2</v>
      </c>
      <c r="W21" s="100"/>
      <c r="X21" s="100"/>
      <c r="Y21" s="364"/>
      <c r="Z21" s="101"/>
      <c r="AA21" s="100"/>
      <c r="AB21" s="100"/>
      <c r="AC21" s="100">
        <f>-AC17*Y34</f>
        <v>-800.0654698038494</v>
      </c>
      <c r="AD21" s="373"/>
    </row>
    <row r="22" spans="1:30" ht="12.75" customHeight="1" x14ac:dyDescent="0.25">
      <c r="B22" s="85"/>
      <c r="C22" s="94"/>
      <c r="D22" s="158"/>
      <c r="E22" s="159" t="s">
        <v>58</v>
      </c>
      <c r="F22" s="160">
        <f>+I34-D38</f>
        <v>-9.9999999999999978E-2</v>
      </c>
      <c r="G22" s="153"/>
      <c r="H22" s="153"/>
      <c r="I22" s="153"/>
      <c r="J22" s="154"/>
      <c r="K22" s="153"/>
      <c r="L22" s="153"/>
      <c r="M22" s="153">
        <f>-M17*(I34-D38)</f>
        <v>400.03273490192458</v>
      </c>
      <c r="N22" s="100"/>
      <c r="O22" s="93"/>
      <c r="S22" s="94"/>
      <c r="T22"/>
      <c r="U22"/>
      <c r="V22"/>
      <c r="W22"/>
      <c r="X22"/>
      <c r="Y22" s="339"/>
      <c r="Z22"/>
      <c r="AA22"/>
      <c r="AB22"/>
      <c r="AC22"/>
      <c r="AD22" s="365"/>
    </row>
    <row r="23" spans="1:30" ht="15.75" thickBot="1" x14ac:dyDescent="0.3">
      <c r="B23" s="85"/>
      <c r="C23" s="94"/>
      <c r="D23" s="116" t="s">
        <v>48</v>
      </c>
      <c r="E23" s="25"/>
      <c r="F23" s="86"/>
      <c r="G23" s="123">
        <f>+G17</f>
        <v>2289.7105543858097</v>
      </c>
      <c r="H23" s="100"/>
      <c r="I23" s="123">
        <f>+I17</f>
        <v>2800.2291443134727</v>
      </c>
      <c r="J23" s="23"/>
      <c r="K23" s="25"/>
      <c r="L23" s="25"/>
      <c r="M23" s="123">
        <f>+M17+M21+M22</f>
        <v>3200.2618792153971</v>
      </c>
      <c r="N23" s="100"/>
      <c r="O23" s="93"/>
      <c r="S23" s="94"/>
      <c r="T23" s="116" t="s">
        <v>48</v>
      </c>
      <c r="U23" s="25"/>
      <c r="V23" s="86"/>
      <c r="W23" s="123">
        <f>+W17</f>
        <v>2289.7105543858097</v>
      </c>
      <c r="X23" s="100"/>
      <c r="Y23" s="374">
        <f>+Y17</f>
        <v>3200.2618792153976</v>
      </c>
      <c r="Z23" s="23"/>
      <c r="AA23" s="25"/>
      <c r="AB23" s="25"/>
      <c r="AC23" s="123">
        <f>+AC17+AC21+AC22</f>
        <v>3200.2618792153976</v>
      </c>
      <c r="AD23" s="365"/>
    </row>
    <row r="24" spans="1:30" ht="15.75" thickTop="1" x14ac:dyDescent="0.25">
      <c r="B24" s="85"/>
      <c r="C24" s="94"/>
      <c r="D24" s="116"/>
      <c r="E24" s="25"/>
      <c r="F24" s="86"/>
      <c r="G24" s="100"/>
      <c r="H24" s="100"/>
      <c r="I24" s="100"/>
      <c r="J24" s="23"/>
      <c r="K24" s="25"/>
      <c r="L24" s="25"/>
      <c r="M24" s="100"/>
      <c r="N24" s="100"/>
      <c r="O24" s="93"/>
      <c r="S24" s="94"/>
      <c r="T24" s="116"/>
      <c r="U24" s="25"/>
      <c r="V24" s="86"/>
      <c r="W24" s="100"/>
      <c r="X24" s="100"/>
      <c r="Y24" s="364"/>
      <c r="Z24" s="23"/>
      <c r="AA24" s="25"/>
      <c r="AB24" s="25"/>
      <c r="AC24" s="100"/>
      <c r="AD24" s="365"/>
    </row>
    <row r="25" spans="1:30" ht="15" x14ac:dyDescent="0.25">
      <c r="B25" s="85"/>
      <c r="C25" s="87"/>
      <c r="D25" s="163"/>
      <c r="E25" s="90"/>
      <c r="F25" s="89"/>
      <c r="G25" s="164"/>
      <c r="H25" s="164"/>
      <c r="I25" s="164"/>
      <c r="J25" s="165"/>
      <c r="K25" s="164"/>
      <c r="L25" s="164"/>
      <c r="M25" s="164"/>
      <c r="N25" s="166"/>
      <c r="O25" s="93"/>
      <c r="S25" s="87"/>
      <c r="T25" s="163"/>
      <c r="U25" s="90"/>
      <c r="V25" s="89"/>
      <c r="W25" s="164"/>
      <c r="X25" s="164"/>
      <c r="Y25" s="375"/>
      <c r="Z25" s="165"/>
      <c r="AA25" s="100"/>
      <c r="AB25" s="164"/>
      <c r="AC25" s="164"/>
      <c r="AD25" s="376"/>
    </row>
    <row r="26" spans="1:30" ht="15" x14ac:dyDescent="0.25">
      <c r="B26" s="85"/>
      <c r="C26" s="94"/>
      <c r="D26" s="23" t="s">
        <v>66</v>
      </c>
      <c r="E26" s="25"/>
      <c r="F26" s="86"/>
      <c r="G26" s="25"/>
      <c r="H26" s="26"/>
      <c r="I26" s="25"/>
      <c r="J26" s="96"/>
      <c r="K26" s="98"/>
      <c r="L26" s="99"/>
      <c r="M26" s="98"/>
      <c r="N26" s="167"/>
      <c r="O26" s="93"/>
      <c r="S26" s="94"/>
      <c r="T26" s="23" t="s">
        <v>66</v>
      </c>
      <c r="U26" s="25"/>
      <c r="V26" s="86"/>
      <c r="W26" s="25"/>
      <c r="X26" s="26"/>
      <c r="Y26" s="351"/>
      <c r="Z26" s="96"/>
      <c r="AA26" s="98"/>
      <c r="AB26" s="99"/>
      <c r="AC26"/>
      <c r="AD26" s="363"/>
    </row>
    <row r="27" spans="1:30" ht="12.75" customHeight="1" x14ac:dyDescent="0.25">
      <c r="B27" s="85"/>
      <c r="C27" s="94"/>
      <c r="D27" s="25" t="s">
        <v>67</v>
      </c>
      <c r="E27" s="25"/>
      <c r="F27" s="86"/>
      <c r="G27" s="25"/>
      <c r="H27" s="26"/>
      <c r="I27" s="124">
        <f>(((1+$D$36)^+$D$34)-((1+$I$36)^+$D$34))*+$I$37/(+$D$36-$I$36)</f>
        <v>510.51858992766302</v>
      </c>
      <c r="J27" s="24"/>
      <c r="K27" s="25"/>
      <c r="L27" s="26"/>
      <c r="M27" s="124">
        <f>(((1+$D$36)^+$D$34)-((1+$I$36)^+$D$34))*+$I$37/(+$D$36-$I$36)</f>
        <v>510.51858992766302</v>
      </c>
      <c r="N27" s="125"/>
      <c r="O27" s="93"/>
      <c r="S27" s="94"/>
      <c r="T27" s="155" t="s">
        <v>169</v>
      </c>
      <c r="U27" s="155"/>
      <c r="V27" s="152"/>
      <c r="W27" s="155"/>
      <c r="X27" s="156"/>
      <c r="Y27" s="492"/>
      <c r="Z27" s="157"/>
      <c r="AA27" s="155"/>
      <c r="AB27" s="156"/>
      <c r="AC27" s="494">
        <f>+AC23-W23</f>
        <v>910.55132482958788</v>
      </c>
      <c r="AD27" s="352"/>
    </row>
    <row r="28" spans="1:30" ht="15.75" x14ac:dyDescent="0.25">
      <c r="A28" s="13"/>
      <c r="B28" s="85"/>
      <c r="C28" s="94"/>
      <c r="D28" s="155" t="s">
        <v>49</v>
      </c>
      <c r="E28" s="155"/>
      <c r="F28" s="152"/>
      <c r="G28" s="155"/>
      <c r="H28" s="156"/>
      <c r="I28" s="155"/>
      <c r="J28" s="157"/>
      <c r="K28" s="155"/>
      <c r="L28" s="156"/>
      <c r="M28" s="161">
        <f>-M17*(I34-D38)</f>
        <v>400.03273490192458</v>
      </c>
      <c r="N28" s="124"/>
      <c r="O28" s="93"/>
      <c r="S28" s="94"/>
      <c r="T28"/>
      <c r="U28"/>
      <c r="V28"/>
      <c r="W28"/>
      <c r="X28"/>
      <c r="Y28" s="339"/>
      <c r="Z28"/>
      <c r="AA28"/>
      <c r="AB28"/>
      <c r="AC28" s="469"/>
      <c r="AD28" s="377"/>
    </row>
    <row r="29" spans="1:30" ht="16.5" thickBot="1" x14ac:dyDescent="0.3">
      <c r="B29" s="85"/>
      <c r="C29" s="94"/>
      <c r="D29" s="85"/>
      <c r="E29" s="127"/>
      <c r="F29" s="128" t="s">
        <v>12</v>
      </c>
      <c r="G29" s="25"/>
      <c r="H29" s="99"/>
      <c r="I29" s="129">
        <f>+I27+I28</f>
        <v>510.51858992766302</v>
      </c>
      <c r="J29" s="24"/>
      <c r="K29" s="25"/>
      <c r="L29" s="26"/>
      <c r="M29" s="493">
        <f>+M27+M28</f>
        <v>910.55132482958766</v>
      </c>
      <c r="N29" s="130"/>
      <c r="O29" s="93"/>
      <c r="S29" s="94"/>
      <c r="T29" s="85"/>
      <c r="U29" s="127"/>
      <c r="V29" s="128" t="s">
        <v>12</v>
      </c>
      <c r="W29" s="25"/>
      <c r="X29" s="99"/>
      <c r="Y29" s="339"/>
      <c r="Z29" s="24"/>
      <c r="AA29" s="25"/>
      <c r="AB29" s="26"/>
      <c r="AC29" s="493">
        <f>+AC27+AC28</f>
        <v>910.55132482958788</v>
      </c>
      <c r="AD29" s="378"/>
    </row>
    <row r="30" spans="1:30" ht="16.5" thickTop="1" thickBot="1" x14ac:dyDescent="0.3">
      <c r="A30" s="14"/>
      <c r="B30" s="85"/>
      <c r="C30" s="131"/>
      <c r="D30" s="132"/>
      <c r="E30" s="103"/>
      <c r="F30" s="133"/>
      <c r="G30" s="103"/>
      <c r="H30" s="103"/>
      <c r="I30" s="103"/>
      <c r="J30" s="134"/>
      <c r="K30" s="103"/>
      <c r="L30" s="135"/>
      <c r="M30" s="103"/>
      <c r="N30" s="103"/>
      <c r="O30" s="93"/>
      <c r="S30" s="131"/>
      <c r="T30" s="132"/>
      <c r="U30" s="103"/>
      <c r="V30" s="133"/>
      <c r="W30" s="103"/>
      <c r="X30" s="103"/>
      <c r="Y30" s="353"/>
      <c r="Z30" s="361"/>
      <c r="AA30" s="354"/>
      <c r="AB30" s="379"/>
      <c r="AC30" s="354"/>
      <c r="AD30" s="355"/>
    </row>
    <row r="31" spans="1:30" ht="7.5" customHeight="1" x14ac:dyDescent="0.25">
      <c r="A31" s="15"/>
      <c r="B31" s="85"/>
      <c r="C31" s="85"/>
      <c r="D31" s="85"/>
      <c r="E31" s="25"/>
      <c r="F31" s="86"/>
      <c r="G31" s="25"/>
      <c r="H31" s="25"/>
      <c r="I31" s="25"/>
      <c r="J31" s="24"/>
      <c r="K31" s="25"/>
      <c r="L31" s="99"/>
      <c r="M31" s="25"/>
      <c r="N31" s="25"/>
      <c r="O31" s="25"/>
      <c r="S31" s="85"/>
      <c r="T31" s="85"/>
      <c r="U31" s="25"/>
      <c r="V31" s="86"/>
      <c r="W31" s="25"/>
      <c r="X31" s="25"/>
      <c r="Y31" s="25"/>
      <c r="Z31" s="24"/>
      <c r="AA31" s="25"/>
      <c r="AB31" s="99"/>
      <c r="AC31" s="25"/>
      <c r="AD31" s="25"/>
    </row>
    <row r="32" spans="1:30" ht="8.25" customHeight="1" x14ac:dyDescent="0.25">
      <c r="A32" s="10"/>
      <c r="B32" s="85"/>
      <c r="C32" s="87"/>
      <c r="D32" s="88"/>
      <c r="E32" s="88"/>
      <c r="F32" s="139"/>
      <c r="G32" s="90"/>
      <c r="H32" s="90"/>
      <c r="I32" s="90"/>
      <c r="J32" s="91"/>
      <c r="K32" s="90"/>
      <c r="L32" s="92"/>
      <c r="M32" s="90"/>
      <c r="N32" s="140"/>
      <c r="O32" s="25"/>
      <c r="S32" s="87"/>
      <c r="T32" s="88"/>
      <c r="U32" s="88"/>
      <c r="V32" s="139"/>
      <c r="W32" s="90"/>
      <c r="X32" s="90"/>
      <c r="Y32" s="90"/>
      <c r="Z32" s="91"/>
      <c r="AA32" s="90"/>
      <c r="AB32" s="92"/>
      <c r="AC32" s="90"/>
      <c r="AD32" s="140"/>
    </row>
    <row r="33" spans="2:32" ht="15" x14ac:dyDescent="0.25">
      <c r="B33" s="85"/>
      <c r="C33" s="93"/>
      <c r="D33" s="177" t="s">
        <v>0</v>
      </c>
      <c r="E33" s="141"/>
      <c r="F33" s="86"/>
      <c r="G33" s="25"/>
      <c r="H33" s="141"/>
      <c r="I33" s="115"/>
      <c r="J33" s="116"/>
      <c r="K33" s="25"/>
      <c r="L33" s="25"/>
      <c r="M33" s="142"/>
      <c r="N33" s="143"/>
      <c r="O33" s="25"/>
      <c r="S33" s="93"/>
      <c r="T33"/>
      <c r="U33" s="141"/>
      <c r="V33" s="86"/>
      <c r="W33" s="25"/>
      <c r="X33" s="141"/>
      <c r="Y33" s="115"/>
      <c r="Z33" s="116"/>
      <c r="AA33" s="25"/>
      <c r="AB33" s="25"/>
      <c r="AC33" s="142"/>
      <c r="AD33" s="143"/>
    </row>
    <row r="34" spans="2:32" ht="15" x14ac:dyDescent="0.25">
      <c r="B34" s="85"/>
      <c r="C34" s="93"/>
      <c r="D34" s="174">
        <v>18.013999999999999</v>
      </c>
      <c r="E34" s="121" t="s">
        <v>35</v>
      </c>
      <c r="F34" s="86" t="s">
        <v>39</v>
      </c>
      <c r="G34" s="25"/>
      <c r="H34" s="25"/>
      <c r="I34" s="176">
        <v>0.2</v>
      </c>
      <c r="J34" s="23"/>
      <c r="K34" s="173" t="s">
        <v>65</v>
      </c>
      <c r="L34" s="25"/>
      <c r="M34" s="142"/>
      <c r="N34" s="143"/>
      <c r="O34" s="25"/>
      <c r="S34" s="93"/>
      <c r="T34" s="380">
        <f>+D34</f>
        <v>18.013999999999999</v>
      </c>
      <c r="U34" s="121" t="s">
        <v>35</v>
      </c>
      <c r="V34" s="86" t="s">
        <v>39</v>
      </c>
      <c r="W34" s="25"/>
      <c r="X34" s="25"/>
      <c r="Y34" s="356">
        <f>+I34</f>
        <v>0.2</v>
      </c>
      <c r="Z34" s="23"/>
      <c r="AA34" s="173" t="s">
        <v>65</v>
      </c>
      <c r="AB34" s="25"/>
      <c r="AC34" s="142"/>
      <c r="AD34" s="143"/>
    </row>
    <row r="35" spans="2:32" ht="15" x14ac:dyDescent="0.25">
      <c r="B35" s="85"/>
      <c r="C35" s="93"/>
      <c r="D35" s="175">
        <v>1000</v>
      </c>
      <c r="E35" s="121" t="s">
        <v>35</v>
      </c>
      <c r="F35" s="86" t="s">
        <v>40</v>
      </c>
      <c r="G35" s="25"/>
      <c r="H35" s="141"/>
      <c r="I35" s="136">
        <f>+D35*(1-D38)</f>
        <v>700</v>
      </c>
      <c r="J35" s="23"/>
      <c r="K35" s="127" t="s">
        <v>54</v>
      </c>
      <c r="L35" s="25"/>
      <c r="M35" s="25"/>
      <c r="N35" s="143"/>
      <c r="O35" s="25"/>
      <c r="S35" s="93"/>
      <c r="T35" s="381">
        <f>+D35</f>
        <v>1000</v>
      </c>
      <c r="U35" s="121" t="s">
        <v>35</v>
      </c>
      <c r="V35" s="86" t="s">
        <v>40</v>
      </c>
      <c r="W35" s="25"/>
      <c r="X35" s="141"/>
      <c r="Y35" s="136">
        <f>+T35*(1-T38)</f>
        <v>700</v>
      </c>
      <c r="Z35" s="23"/>
      <c r="AA35" s="127" t="s">
        <v>54</v>
      </c>
      <c r="AB35" s="25"/>
      <c r="AC35" s="25"/>
      <c r="AD35" s="143"/>
    </row>
    <row r="36" spans="2:32" ht="15" x14ac:dyDescent="0.25">
      <c r="B36" s="85"/>
      <c r="C36" s="93"/>
      <c r="D36" s="176">
        <v>0.08</v>
      </c>
      <c r="E36" s="121" t="s">
        <v>35</v>
      </c>
      <c r="F36" s="86" t="s">
        <v>50</v>
      </c>
      <c r="G36" s="25"/>
      <c r="H36" s="25"/>
      <c r="I36" s="137">
        <f>+D36*(1-D37)</f>
        <v>6.8000000000000005E-2</v>
      </c>
      <c r="J36" s="144"/>
      <c r="K36" s="127" t="s">
        <v>41</v>
      </c>
      <c r="L36" s="25"/>
      <c r="M36" s="142"/>
      <c r="N36" s="143"/>
      <c r="O36" s="25"/>
      <c r="S36" s="93"/>
      <c r="T36" s="356">
        <f>+D36</f>
        <v>0.08</v>
      </c>
      <c r="U36" s="121" t="s">
        <v>35</v>
      </c>
      <c r="V36" s="86" t="s">
        <v>50</v>
      </c>
      <c r="W36" s="25"/>
      <c r="X36" s="25"/>
      <c r="Y36" s="337">
        <f>+T36*(1-T37)</f>
        <v>6.8000000000000005E-2</v>
      </c>
      <c r="Z36" s="338"/>
      <c r="AA36" s="127" t="s">
        <v>41</v>
      </c>
      <c r="AB36" s="25"/>
      <c r="AC36" s="142"/>
      <c r="AD36" s="143"/>
    </row>
    <row r="37" spans="2:32" ht="15" x14ac:dyDescent="0.25">
      <c r="B37" s="85"/>
      <c r="C37" s="93"/>
      <c r="D37" s="176">
        <v>0.15</v>
      </c>
      <c r="E37" s="121" t="s">
        <v>35</v>
      </c>
      <c r="F37" s="86" t="s">
        <v>59</v>
      </c>
      <c r="G37" s="25"/>
      <c r="H37" s="25"/>
      <c r="I37" s="138">
        <f>+D35*(1-D38)*D36*D37</f>
        <v>8.4</v>
      </c>
      <c r="J37" s="145"/>
      <c r="K37" s="127" t="s">
        <v>42</v>
      </c>
      <c r="L37" s="25"/>
      <c r="M37" s="25"/>
      <c r="N37" s="143"/>
      <c r="O37" s="25"/>
      <c r="S37" s="93"/>
      <c r="T37" s="356">
        <f>+D37</f>
        <v>0.15</v>
      </c>
      <c r="U37" s="121" t="s">
        <v>35</v>
      </c>
      <c r="V37" s="86" t="s">
        <v>59</v>
      </c>
      <c r="W37" s="25"/>
      <c r="X37" s="25"/>
      <c r="Y37" s="138">
        <f>+T35*(1-T38)*T36*T37</f>
        <v>8.4</v>
      </c>
      <c r="Z37" s="145"/>
      <c r="AA37" s="127" t="s">
        <v>42</v>
      </c>
      <c r="AB37" s="25"/>
      <c r="AC37" s="25"/>
      <c r="AD37" s="143"/>
    </row>
    <row r="38" spans="2:32" ht="15" x14ac:dyDescent="0.25">
      <c r="B38" s="85"/>
      <c r="C38" s="93"/>
      <c r="D38" s="176">
        <v>0.3</v>
      </c>
      <c r="E38" s="121" t="s">
        <v>35</v>
      </c>
      <c r="F38" s="86" t="s">
        <v>60</v>
      </c>
      <c r="G38" s="25"/>
      <c r="H38" s="25"/>
      <c r="I38" s="25"/>
      <c r="J38" s="23"/>
      <c r="K38" s="25"/>
      <c r="L38" s="25"/>
      <c r="M38" s="142"/>
      <c r="N38" s="143"/>
      <c r="O38" s="25"/>
      <c r="S38" s="93"/>
      <c r="T38" s="356">
        <f>+D38</f>
        <v>0.3</v>
      </c>
      <c r="U38" s="121" t="s">
        <v>35</v>
      </c>
      <c r="V38" s="86" t="s">
        <v>60</v>
      </c>
      <c r="W38" s="25"/>
      <c r="X38" s="25"/>
      <c r="Y38" s="25"/>
      <c r="Z38" s="23"/>
      <c r="AA38" s="25"/>
      <c r="AB38" s="25"/>
      <c r="AC38" s="142"/>
      <c r="AD38" s="143"/>
    </row>
    <row r="39" spans="2:32" ht="9.75" customHeight="1" x14ac:dyDescent="0.25">
      <c r="B39" s="85"/>
      <c r="C39" s="146"/>
      <c r="D39" s="147"/>
      <c r="E39" s="147"/>
      <c r="F39" s="133"/>
      <c r="G39" s="103"/>
      <c r="H39" s="147"/>
      <c r="I39" s="103"/>
      <c r="J39" s="134"/>
      <c r="K39" s="103"/>
      <c r="L39" s="172"/>
      <c r="M39" s="103"/>
      <c r="N39" s="150"/>
      <c r="O39" s="25"/>
      <c r="S39" s="146"/>
      <c r="T39" s="147"/>
      <c r="U39" s="147"/>
      <c r="V39" s="133"/>
      <c r="W39" s="103"/>
      <c r="X39" s="147"/>
      <c r="Y39" s="103"/>
      <c r="Z39" s="134"/>
      <c r="AA39" s="103"/>
      <c r="AB39" s="172"/>
      <c r="AC39" s="103"/>
      <c r="AD39" s="150"/>
    </row>
    <row r="40" spans="2:32" ht="15" x14ac:dyDescent="0.25">
      <c r="B40" s="85"/>
      <c r="C40" s="85"/>
      <c r="D40" s="85"/>
      <c r="E40" s="85"/>
      <c r="F40" s="86"/>
      <c r="G40" s="25"/>
      <c r="H40" s="25"/>
      <c r="I40" s="25"/>
      <c r="J40" s="24"/>
      <c r="K40" s="25"/>
      <c r="L40" s="26"/>
      <c r="M40" s="25"/>
      <c r="N40" s="25"/>
      <c r="O40" s="25"/>
    </row>
    <row r="41" spans="2:32" ht="15" x14ac:dyDescent="0.25">
      <c r="B41" s="85"/>
      <c r="C41" s="85"/>
      <c r="D41" s="85"/>
      <c r="E41" s="85"/>
      <c r="F41" s="86"/>
      <c r="G41" s="85" t="s">
        <v>53</v>
      </c>
      <c r="H41" s="25"/>
      <c r="I41" s="151">
        <f>I23-G23</f>
        <v>510.51858992766302</v>
      </c>
      <c r="J41" s="24"/>
      <c r="K41" s="25"/>
      <c r="L41" s="26"/>
      <c r="M41" s="151">
        <f>M23-G23</f>
        <v>910.55132482958743</v>
      </c>
      <c r="N41" s="25"/>
      <c r="O41" s="25"/>
    </row>
    <row r="42" spans="2:32" ht="15" x14ac:dyDescent="0.25">
      <c r="B42" s="85"/>
      <c r="C42" s="85"/>
      <c r="D42" s="25"/>
      <c r="E42" s="85"/>
      <c r="F42" s="86"/>
      <c r="H42" s="25"/>
      <c r="I42" s="25"/>
      <c r="J42" s="24"/>
      <c r="K42" s="25"/>
      <c r="L42" s="26"/>
      <c r="M42" s="25"/>
      <c r="N42" s="25"/>
      <c r="O42" s="25"/>
    </row>
    <row r="43" spans="2:32" ht="15.75" x14ac:dyDescent="0.25">
      <c r="B43" s="85"/>
      <c r="C43" s="85"/>
      <c r="D43" s="18" t="s">
        <v>168</v>
      </c>
      <c r="E43" s="18"/>
      <c r="F43" s="22"/>
      <c r="G43" s="19"/>
      <c r="H43" s="19"/>
      <c r="I43" s="19"/>
      <c r="J43" s="20"/>
      <c r="K43" s="19"/>
      <c r="L43" s="20"/>
      <c r="M43" s="19"/>
      <c r="N43" s="19"/>
      <c r="O43" s="19"/>
      <c r="P43" s="19"/>
      <c r="Q43" s="19"/>
      <c r="S43" s="18"/>
      <c r="T43" s="18" t="s">
        <v>166</v>
      </c>
      <c r="U43" s="10"/>
      <c r="V43" s="16"/>
      <c r="Z43" s="15"/>
      <c r="AB43" s="11"/>
    </row>
    <row r="44" spans="2:32" ht="15.75" x14ac:dyDescent="0.25">
      <c r="B44" s="85"/>
      <c r="C44" s="85"/>
      <c r="D44" s="18" t="s">
        <v>167</v>
      </c>
      <c r="E44" s="18"/>
      <c r="F44" s="22"/>
      <c r="G44" s="19"/>
      <c r="H44" s="19"/>
      <c r="I44" s="19"/>
      <c r="J44" s="20"/>
      <c r="K44" s="19"/>
      <c r="L44" s="20"/>
      <c r="M44" s="19"/>
      <c r="N44" s="19"/>
      <c r="O44" s="19"/>
      <c r="P44" s="19"/>
      <c r="Q44" s="19"/>
      <c r="S44" s="18"/>
      <c r="T44" s="18" t="s">
        <v>264</v>
      </c>
      <c r="U44" s="10"/>
      <c r="V44" s="16"/>
      <c r="Z44" s="15"/>
      <c r="AB44" s="11"/>
    </row>
    <row r="45" spans="2:32" ht="15.75" x14ac:dyDescent="0.25">
      <c r="S45" s="18"/>
      <c r="T45" s="19" t="s">
        <v>266</v>
      </c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</row>
    <row r="46" spans="2:32" ht="15.75" x14ac:dyDescent="0.25">
      <c r="D46" s="18" t="s">
        <v>263</v>
      </c>
      <c r="S46" s="18"/>
      <c r="T46" s="19" t="s">
        <v>268</v>
      </c>
      <c r="U46" s="19" t="s">
        <v>269</v>
      </c>
      <c r="AE46" s="19"/>
      <c r="AF46" s="19"/>
    </row>
    <row r="47" spans="2:32" ht="15.75" x14ac:dyDescent="0.25">
      <c r="S47" s="18"/>
      <c r="T47" s="19" t="s">
        <v>178</v>
      </c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</row>
    <row r="48" spans="2:32" ht="15.75" x14ac:dyDescent="0.25">
      <c r="S48" s="18"/>
      <c r="T48" s="19" t="s">
        <v>267</v>
      </c>
      <c r="U48" s="19"/>
      <c r="V48" s="19"/>
      <c r="W48" s="19"/>
      <c r="X48" s="19"/>
      <c r="Y48" s="19"/>
      <c r="Z48" s="19"/>
      <c r="AA48" s="19"/>
      <c r="AB48" s="19"/>
      <c r="AC48" s="19"/>
      <c r="AD48" s="19"/>
      <c r="AF48" s="19"/>
    </row>
    <row r="49" spans="19:30" ht="15.75" x14ac:dyDescent="0.25">
      <c r="S49" s="18"/>
      <c r="U49" s="19" t="s">
        <v>270</v>
      </c>
      <c r="V49" s="16"/>
      <c r="Z49" s="15"/>
      <c r="AB49" s="11"/>
    </row>
    <row r="50" spans="19:30" x14ac:dyDescent="0.2">
      <c r="S50" s="10"/>
      <c r="T50" s="10"/>
      <c r="U50" s="10"/>
      <c r="V50" s="16"/>
      <c r="Z50" s="15"/>
      <c r="AB50" s="11"/>
    </row>
    <row r="51" spans="19:30" ht="15.75" x14ac:dyDescent="0.25">
      <c r="S51" s="10"/>
      <c r="T51" s="329" t="s">
        <v>254</v>
      </c>
      <c r="U51" s="329"/>
      <c r="V51" s="357"/>
      <c r="W51" s="358"/>
      <c r="Z51" s="15"/>
      <c r="AB51" s="11"/>
    </row>
    <row r="52" spans="19:30" ht="15.75" customHeight="1" x14ac:dyDescent="0.25">
      <c r="S52" s="10"/>
      <c r="T52" s="329"/>
      <c r="U52" s="329" t="s">
        <v>255</v>
      </c>
      <c r="V52" s="357"/>
      <c r="W52" s="358"/>
      <c r="Z52" s="15"/>
      <c r="AB52" s="11"/>
    </row>
    <row r="53" spans="19:30" ht="15.75" x14ac:dyDescent="0.25">
      <c r="S53" s="10"/>
      <c r="T53" s="329" t="s">
        <v>283</v>
      </c>
      <c r="V53" s="357"/>
      <c r="W53" s="358"/>
      <c r="Z53" s="15"/>
      <c r="AB53" s="11"/>
    </row>
    <row r="54" spans="19:30" ht="15.75" x14ac:dyDescent="0.25">
      <c r="S54" s="10"/>
      <c r="T54" s="382"/>
      <c r="U54" s="383" t="s">
        <v>253</v>
      </c>
      <c r="V54" s="357"/>
      <c r="W54" s="358"/>
      <c r="Z54" s="15"/>
      <c r="AB54" s="11"/>
    </row>
    <row r="55" spans="19:30" ht="15.75" customHeight="1" x14ac:dyDescent="0.2">
      <c r="S55" s="10"/>
    </row>
    <row r="56" spans="19:30" ht="15.75" customHeight="1" x14ac:dyDescent="0.25">
      <c r="S56" s="10"/>
      <c r="T56" s="329" t="s">
        <v>284</v>
      </c>
      <c r="U56" s="471"/>
      <c r="V56" s="472"/>
      <c r="W56" s="473"/>
      <c r="X56" s="473"/>
      <c r="Y56" s="473"/>
      <c r="Z56" s="474"/>
      <c r="AA56" s="473"/>
      <c r="AB56" s="474"/>
      <c r="AC56" s="473"/>
      <c r="AD56" s="473"/>
    </row>
    <row r="57" spans="19:30" ht="15.75" customHeight="1" x14ac:dyDescent="0.25">
      <c r="S57" s="10"/>
      <c r="T57" s="329" t="s">
        <v>285</v>
      </c>
      <c r="V57" s="472"/>
      <c r="W57" s="473"/>
      <c r="X57" s="473"/>
      <c r="Y57" s="473"/>
      <c r="Z57" s="474"/>
      <c r="AA57" s="473"/>
      <c r="AB57" s="474"/>
      <c r="AC57" s="473"/>
      <c r="AD57" s="473"/>
    </row>
    <row r="58" spans="19:30" ht="15.75" customHeight="1" x14ac:dyDescent="0.25">
      <c r="S58" s="10"/>
      <c r="T58" s="329" t="s">
        <v>286</v>
      </c>
      <c r="U58" s="471"/>
      <c r="V58" s="472"/>
      <c r="W58" s="473"/>
      <c r="X58" s="473"/>
      <c r="Y58" s="473"/>
      <c r="Z58" s="474"/>
      <c r="AA58" s="473"/>
      <c r="AB58" s="474"/>
      <c r="AC58" s="473"/>
      <c r="AD58" s="473"/>
    </row>
    <row r="59" spans="19:30" ht="15.75" customHeight="1" x14ac:dyDescent="0.25">
      <c r="S59" s="10"/>
      <c r="T59" s="329"/>
      <c r="U59" s="471"/>
      <c r="V59" s="472"/>
      <c r="W59" s="473"/>
      <c r="X59" s="473"/>
      <c r="Y59" s="473"/>
      <c r="Z59" s="474"/>
      <c r="AA59" s="473"/>
      <c r="AB59" s="474"/>
      <c r="AC59" s="473"/>
      <c r="AD59" s="473"/>
    </row>
    <row r="60" spans="19:30" ht="15.75" customHeight="1" x14ac:dyDescent="0.25">
      <c r="S60" s="10"/>
      <c r="T60" s="329"/>
      <c r="U60" s="471"/>
      <c r="V60" s="472"/>
      <c r="W60" s="473"/>
      <c r="X60" s="473"/>
      <c r="Y60" s="473"/>
      <c r="Z60" s="474"/>
      <c r="AA60" s="473"/>
      <c r="AB60" s="474"/>
      <c r="AC60" s="473"/>
      <c r="AD60" s="473"/>
    </row>
    <row r="61" spans="19:30" ht="15.75" customHeight="1" x14ac:dyDescent="0.2">
      <c r="T61" s="473"/>
      <c r="U61" s="473"/>
      <c r="V61" s="473"/>
      <c r="W61" s="473"/>
      <c r="X61" s="473"/>
      <c r="Y61" s="473"/>
      <c r="Z61" s="473"/>
      <c r="AA61" s="473"/>
      <c r="AB61" s="473"/>
      <c r="AC61" s="473"/>
      <c r="AD61" s="473"/>
    </row>
    <row r="62" spans="19:30" ht="15.75" customHeight="1" x14ac:dyDescent="0.2"/>
  </sheetData>
  <pageMargins left="0.7" right="0.7" top="0.75" bottom="0.75" header="0.3" footer="0.3"/>
  <pageSetup orientation="portrait" horizontalDpi="30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89727-39D0-457A-893E-E039A800E47D}">
  <dimension ref="A2:U41"/>
  <sheetViews>
    <sheetView showGridLines="0" workbookViewId="0"/>
  </sheetViews>
  <sheetFormatPr defaultColWidth="9.140625" defaultRowHeight="12.75" x14ac:dyDescent="0.2"/>
  <cols>
    <col min="1" max="1" width="1.7109375" style="9" customWidth="1"/>
    <col min="2" max="2" width="2.28515625" style="10" customWidth="1"/>
    <col min="3" max="3" width="3" style="10" customWidth="1"/>
    <col min="4" max="4" width="18" style="10" customWidth="1"/>
    <col min="5" max="5" width="5.5703125" style="10" customWidth="1"/>
    <col min="6" max="6" width="5.28515625" style="16" customWidth="1"/>
    <col min="7" max="7" width="11.7109375" style="9" customWidth="1"/>
    <col min="8" max="8" width="3.28515625" style="9" customWidth="1"/>
    <col min="9" max="9" width="11.7109375" style="9" customWidth="1"/>
    <col min="10" max="10" width="2.5703125" style="15" customWidth="1"/>
    <col min="11" max="11" width="11.7109375" style="9" customWidth="1"/>
    <col min="12" max="12" width="3.140625" style="11" customWidth="1"/>
    <col min="13" max="13" width="11.7109375" style="9" customWidth="1"/>
    <col min="14" max="14" width="2.7109375" style="9" customWidth="1"/>
    <col min="15" max="15" width="6.7109375" style="9" customWidth="1"/>
    <col min="16" max="16384" width="9.140625" style="9"/>
  </cols>
  <sheetData>
    <row r="2" spans="2:21" ht="15.75" x14ac:dyDescent="0.25">
      <c r="D2" s="18"/>
      <c r="E2" s="19" t="s">
        <v>287</v>
      </c>
      <c r="F2" s="22"/>
      <c r="H2" s="19"/>
      <c r="I2" s="19"/>
      <c r="J2" s="20"/>
      <c r="K2" s="21"/>
      <c r="L2" s="232"/>
      <c r="O2"/>
      <c r="P2"/>
    </row>
    <row r="3" spans="2:21" ht="15" x14ac:dyDescent="0.25">
      <c r="B3" s="85"/>
      <c r="C3" s="85"/>
      <c r="D3" s="85"/>
      <c r="E3" s="85"/>
      <c r="F3" s="86"/>
      <c r="G3" s="25"/>
      <c r="H3" s="25"/>
      <c r="I3" s="25"/>
      <c r="J3" s="24"/>
      <c r="K3" s="25"/>
      <c r="L3" s="26"/>
      <c r="M3" s="25"/>
      <c r="N3" s="25"/>
      <c r="O3" s="25"/>
    </row>
    <row r="4" spans="2:21" ht="15" x14ac:dyDescent="0.25">
      <c r="B4" s="85"/>
      <c r="C4" s="87"/>
      <c r="D4" s="88"/>
      <c r="E4" s="88"/>
      <c r="F4" s="89"/>
      <c r="G4" s="90"/>
      <c r="H4" s="90"/>
      <c r="I4" s="91" t="s">
        <v>106</v>
      </c>
      <c r="J4" s="91"/>
      <c r="K4" s="91"/>
      <c r="L4" s="92"/>
      <c r="M4" s="91" t="s">
        <v>114</v>
      </c>
      <c r="N4" s="90"/>
      <c r="O4" s="93"/>
    </row>
    <row r="5" spans="2:21" ht="15" x14ac:dyDescent="0.25">
      <c r="B5" s="85"/>
      <c r="C5" s="94"/>
      <c r="D5" s="25"/>
      <c r="E5" s="25"/>
      <c r="F5" s="86"/>
      <c r="G5" s="95" t="s">
        <v>36</v>
      </c>
      <c r="H5" s="96"/>
      <c r="I5" s="95" t="s">
        <v>124</v>
      </c>
      <c r="J5" s="95"/>
      <c r="K5" s="331" t="s">
        <v>273</v>
      </c>
      <c r="L5" s="95"/>
      <c r="M5" s="95" t="s">
        <v>125</v>
      </c>
      <c r="N5" s="96"/>
      <c r="O5" s="93"/>
      <c r="P5" s="25" t="s">
        <v>288</v>
      </c>
      <c r="Q5" s="25"/>
      <c r="R5" s="25"/>
      <c r="S5" s="25"/>
      <c r="T5" s="25"/>
      <c r="U5" s="25"/>
    </row>
    <row r="6" spans="2:21" ht="15" x14ac:dyDescent="0.25">
      <c r="B6" s="85"/>
      <c r="C6" s="94"/>
      <c r="D6" s="97" t="s">
        <v>55</v>
      </c>
      <c r="E6" s="25"/>
      <c r="F6" s="86"/>
      <c r="G6" s="98"/>
      <c r="H6" s="98"/>
      <c r="I6" s="98"/>
      <c r="J6" s="96"/>
      <c r="K6" s="98"/>
      <c r="L6" s="99"/>
      <c r="M6" s="98"/>
      <c r="N6" s="98"/>
      <c r="O6" s="93"/>
      <c r="P6" s="25" t="s">
        <v>271</v>
      </c>
      <c r="Q6" s="25"/>
      <c r="R6" s="25"/>
      <c r="S6" s="25"/>
      <c r="T6" s="25"/>
      <c r="U6" s="25"/>
    </row>
    <row r="7" spans="2:21" ht="15" x14ac:dyDescent="0.25">
      <c r="B7" s="85"/>
      <c r="C7" s="94"/>
      <c r="D7" s="25" t="s">
        <v>40</v>
      </c>
      <c r="E7" s="25"/>
      <c r="F7" s="86"/>
      <c r="G7" s="100">
        <f>+D33</f>
        <v>1000</v>
      </c>
      <c r="H7" s="100"/>
      <c r="I7" s="100">
        <f>+D33</f>
        <v>1000</v>
      </c>
      <c r="J7" s="101"/>
      <c r="K7" s="100"/>
      <c r="L7" s="100"/>
      <c r="M7" s="100">
        <f>+D33</f>
        <v>1000</v>
      </c>
      <c r="N7" s="100"/>
      <c r="O7" s="93"/>
      <c r="P7" s="25" t="s">
        <v>156</v>
      </c>
      <c r="Q7" s="25"/>
      <c r="R7" s="25"/>
      <c r="S7" s="25"/>
      <c r="T7" s="25"/>
      <c r="U7" s="25"/>
    </row>
    <row r="8" spans="2:21" ht="15" x14ac:dyDescent="0.25">
      <c r="B8" s="85"/>
      <c r="C8" s="94"/>
      <c r="D8" s="25" t="s">
        <v>57</v>
      </c>
      <c r="E8" s="102">
        <f>+D37</f>
        <v>0.3</v>
      </c>
      <c r="F8" s="86"/>
      <c r="G8" s="100">
        <f>-G7*+D37</f>
        <v>-300</v>
      </c>
      <c r="H8" s="100"/>
      <c r="I8" s="100">
        <f>-I7*D37</f>
        <v>-300</v>
      </c>
      <c r="J8" s="101"/>
      <c r="K8" s="100"/>
      <c r="L8" s="100"/>
      <c r="M8" s="100">
        <f>-M7*D37</f>
        <v>-300</v>
      </c>
      <c r="N8" s="100"/>
      <c r="O8" s="93"/>
      <c r="P8" s="25" t="s">
        <v>289</v>
      </c>
      <c r="Q8" s="25"/>
      <c r="R8" s="25"/>
      <c r="S8" s="25"/>
      <c r="T8" s="25"/>
      <c r="U8" s="25"/>
    </row>
    <row r="9" spans="2:21" ht="15" x14ac:dyDescent="0.25">
      <c r="B9" s="85"/>
      <c r="C9" s="94"/>
      <c r="D9" s="103" t="s">
        <v>64</v>
      </c>
      <c r="E9" s="103"/>
      <c r="F9" s="86"/>
      <c r="G9" s="104"/>
      <c r="H9" s="100"/>
      <c r="I9" s="104"/>
      <c r="J9" s="101"/>
      <c r="K9" s="104"/>
      <c r="L9" s="100"/>
      <c r="M9" s="104">
        <f>-M8</f>
        <v>300</v>
      </c>
      <c r="N9" s="100"/>
      <c r="O9" s="93"/>
      <c r="P9" s="25"/>
      <c r="Q9" s="25"/>
      <c r="R9" s="25"/>
      <c r="S9" s="25"/>
      <c r="T9" s="25"/>
      <c r="U9" s="25"/>
    </row>
    <row r="10" spans="2:21" ht="15" x14ac:dyDescent="0.25">
      <c r="B10" s="85"/>
      <c r="C10" s="94"/>
      <c r="D10" s="25" t="s">
        <v>51</v>
      </c>
      <c r="E10" s="26"/>
      <c r="F10" s="86"/>
      <c r="G10" s="100">
        <f>SUM(G7:G9)</f>
        <v>700</v>
      </c>
      <c r="H10" s="100"/>
      <c r="I10" s="100">
        <f>SUM(I7:I9)</f>
        <v>700</v>
      </c>
      <c r="J10" s="101"/>
      <c r="K10" s="100">
        <f>+M9</f>
        <v>300</v>
      </c>
      <c r="L10" s="101"/>
      <c r="M10" s="100">
        <f>SUM(M7:M9)</f>
        <v>1000</v>
      </c>
      <c r="N10" s="100"/>
      <c r="O10" s="93"/>
      <c r="P10" s="25"/>
      <c r="Q10" s="25"/>
      <c r="R10" s="25"/>
      <c r="S10" s="25"/>
      <c r="T10" s="25"/>
      <c r="U10" s="25"/>
    </row>
    <row r="11" spans="2:21" ht="15" x14ac:dyDescent="0.25">
      <c r="B11" s="85"/>
      <c r="C11" s="94"/>
      <c r="D11" s="25"/>
      <c r="E11" s="26"/>
      <c r="F11" s="86"/>
      <c r="G11" s="100"/>
      <c r="H11" s="100"/>
      <c r="I11" s="100"/>
      <c r="J11" s="101"/>
      <c r="K11" s="100"/>
      <c r="L11" s="100"/>
      <c r="M11" s="100"/>
      <c r="N11" s="100"/>
      <c r="O11" s="93"/>
      <c r="P11" s="25" t="s">
        <v>290</v>
      </c>
      <c r="Q11" s="25"/>
      <c r="R11" s="25"/>
      <c r="S11" s="25"/>
      <c r="T11" s="25"/>
      <c r="U11" s="25"/>
    </row>
    <row r="12" spans="2:21" ht="14.25" x14ac:dyDescent="0.2">
      <c r="B12" s="85"/>
      <c r="C12" s="94"/>
      <c r="D12" s="25"/>
      <c r="E12" s="26"/>
      <c r="F12" s="86"/>
      <c r="G12" s="201">
        <f>+I34</f>
        <v>6.8000000000000005E-2</v>
      </c>
      <c r="H12" s="202"/>
      <c r="I12" s="201">
        <f>+D34</f>
        <v>0.08</v>
      </c>
      <c r="J12" s="205"/>
      <c r="K12" s="201">
        <f>+I35</f>
        <v>7.0000000000000007E-2</v>
      </c>
      <c r="L12" s="202"/>
      <c r="M12" s="201">
        <f>+I35</f>
        <v>7.0000000000000007E-2</v>
      </c>
      <c r="N12" s="105"/>
      <c r="O12" s="93"/>
      <c r="P12" s="25" t="s">
        <v>291</v>
      </c>
      <c r="Q12" s="25"/>
      <c r="R12" s="25"/>
      <c r="S12" s="25"/>
      <c r="T12" s="25"/>
      <c r="U12" s="25"/>
    </row>
    <row r="13" spans="2:21" ht="15" x14ac:dyDescent="0.25">
      <c r="B13" s="85"/>
      <c r="C13" s="94"/>
      <c r="D13" s="97" t="s">
        <v>43</v>
      </c>
      <c r="E13" s="106"/>
      <c r="F13" s="107"/>
      <c r="G13" s="204" t="s">
        <v>45</v>
      </c>
      <c r="H13" s="204"/>
      <c r="I13" s="204" t="s">
        <v>46</v>
      </c>
      <c r="J13" s="206"/>
      <c r="K13" s="204" t="s">
        <v>46</v>
      </c>
      <c r="L13" s="204"/>
      <c r="M13" s="204" t="s">
        <v>46</v>
      </c>
      <c r="N13" s="108"/>
      <c r="O13" s="93"/>
      <c r="P13" s="25" t="s">
        <v>292</v>
      </c>
      <c r="Q13" s="25"/>
      <c r="R13" s="25"/>
      <c r="S13" s="25"/>
      <c r="T13" s="25"/>
      <c r="U13" s="25"/>
    </row>
    <row r="14" spans="2:21" ht="15" x14ac:dyDescent="0.25">
      <c r="B14" s="85"/>
      <c r="C14" s="94"/>
      <c r="D14" s="25" t="s">
        <v>44</v>
      </c>
      <c r="E14" s="26"/>
      <c r="F14" s="86"/>
      <c r="G14" s="109">
        <f>+G16-G10</f>
        <v>1589.7105543858097</v>
      </c>
      <c r="H14" s="100"/>
      <c r="I14" s="109">
        <f>+I16-I10</f>
        <v>2100.2291443134727</v>
      </c>
      <c r="J14" s="101"/>
      <c r="K14" s="109">
        <f>+K16-K10</f>
        <v>714.94060067756516</v>
      </c>
      <c r="L14" s="101"/>
      <c r="M14" s="109">
        <f>+M16-M10</f>
        <v>2383.1353355918836</v>
      </c>
      <c r="N14" s="109"/>
      <c r="O14" s="93"/>
      <c r="P14" s="25"/>
      <c r="Q14" s="25"/>
      <c r="R14" s="25"/>
      <c r="S14" s="25"/>
      <c r="T14" s="25"/>
      <c r="U14" s="25"/>
    </row>
    <row r="15" spans="2:21" ht="14.25" x14ac:dyDescent="0.2">
      <c r="B15" s="85"/>
      <c r="C15" s="94"/>
      <c r="D15" s="110"/>
      <c r="E15" s="106"/>
      <c r="F15" s="107"/>
      <c r="G15" s="111"/>
      <c r="H15" s="108"/>
      <c r="I15" s="111"/>
      <c r="J15" s="112"/>
      <c r="K15" s="111"/>
      <c r="L15" s="111"/>
      <c r="M15" s="111"/>
      <c r="N15" s="108"/>
      <c r="O15" s="93"/>
      <c r="P15" s="25" t="s">
        <v>294</v>
      </c>
      <c r="Q15" s="25"/>
      <c r="R15" s="25"/>
      <c r="S15" s="25"/>
      <c r="T15" s="25"/>
      <c r="U15" s="25"/>
    </row>
    <row r="16" spans="2:21" ht="15" x14ac:dyDescent="0.25">
      <c r="B16" s="85"/>
      <c r="C16" s="94"/>
      <c r="D16" s="25" t="s">
        <v>56</v>
      </c>
      <c r="E16" s="113">
        <f>+D32</f>
        <v>18.013999999999999</v>
      </c>
      <c r="F16" s="114" t="s">
        <v>47</v>
      </c>
      <c r="G16" s="100">
        <f>FV(D34*(1-D36),D32,0,-I33)</f>
        <v>2289.7105543858097</v>
      </c>
      <c r="H16" s="100"/>
      <c r="I16" s="100">
        <f>FV(D34,D32,0,-I33)</f>
        <v>2800.2291443134727</v>
      </c>
      <c r="J16" s="101"/>
      <c r="K16" s="100">
        <f>FV(I35,D32,0,-K10)</f>
        <v>1014.9406006775652</v>
      </c>
      <c r="L16" s="100"/>
      <c r="M16" s="100">
        <f>FV(+I35,+D32,0,-M10)</f>
        <v>3383.1353355918836</v>
      </c>
      <c r="N16" s="100"/>
      <c r="O16" s="93"/>
      <c r="P16" s="25" t="s">
        <v>293</v>
      </c>
      <c r="Q16" s="25"/>
      <c r="R16" s="25"/>
      <c r="S16" s="25"/>
      <c r="T16" s="25"/>
      <c r="U16" s="25"/>
    </row>
    <row r="17" spans="1:21" ht="15" x14ac:dyDescent="0.25">
      <c r="B17" s="25"/>
      <c r="C17" s="94"/>
      <c r="D17" s="25"/>
      <c r="E17" s="25"/>
      <c r="F17" s="86"/>
      <c r="G17" s="115"/>
      <c r="H17" s="115"/>
      <c r="I17" s="115"/>
      <c r="J17" s="116"/>
      <c r="K17" s="115"/>
      <c r="L17" s="115"/>
      <c r="M17" s="115"/>
      <c r="N17" s="115"/>
      <c r="O17" s="93"/>
      <c r="P17" s="25"/>
      <c r="Q17" s="25"/>
      <c r="R17" s="25"/>
      <c r="S17" s="25"/>
      <c r="T17" s="25"/>
      <c r="U17" s="25"/>
    </row>
    <row r="18" spans="1:21" ht="12.75" customHeight="1" x14ac:dyDescent="0.25">
      <c r="B18" s="85"/>
      <c r="C18" s="94"/>
      <c r="D18" s="97" t="s">
        <v>62</v>
      </c>
      <c r="E18" s="117"/>
      <c r="F18" s="86"/>
      <c r="G18" s="100"/>
      <c r="H18" s="100"/>
      <c r="I18" s="100"/>
      <c r="J18" s="101"/>
      <c r="K18" s="100"/>
      <c r="L18" s="100"/>
      <c r="M18" s="100"/>
      <c r="N18" s="100"/>
      <c r="O18" s="93"/>
      <c r="P18" s="25"/>
      <c r="Q18" s="25"/>
      <c r="R18" s="25"/>
      <c r="S18" s="25"/>
      <c r="T18" s="25"/>
      <c r="U18" s="25"/>
    </row>
    <row r="19" spans="1:21" ht="12.75" hidden="1" customHeight="1" x14ac:dyDescent="0.25">
      <c r="B19" s="85"/>
      <c r="C19" s="94"/>
      <c r="D19" s="97"/>
      <c r="E19" s="118" t="s">
        <v>61</v>
      </c>
      <c r="F19" s="86"/>
      <c r="G19" s="100"/>
      <c r="H19" s="100"/>
      <c r="I19" s="100"/>
      <c r="J19" s="101"/>
      <c r="K19" s="100"/>
      <c r="L19" s="100"/>
      <c r="M19" s="104">
        <f>+M20-M18</f>
        <v>-1014.940600677565</v>
      </c>
      <c r="N19" s="100"/>
      <c r="O19" s="93"/>
      <c r="P19" s="25"/>
      <c r="Q19" s="25"/>
      <c r="R19" s="25"/>
      <c r="S19" s="25"/>
      <c r="T19" s="25"/>
      <c r="U19" s="25"/>
    </row>
    <row r="20" spans="1:21" ht="12.75" customHeight="1" x14ac:dyDescent="0.25">
      <c r="B20" s="85"/>
      <c r="C20" s="94"/>
      <c r="D20" s="85"/>
      <c r="E20" s="118" t="s">
        <v>52</v>
      </c>
      <c r="F20" s="119">
        <f>+D37</f>
        <v>0.3</v>
      </c>
      <c r="G20" s="100"/>
      <c r="H20" s="100"/>
      <c r="I20" s="100"/>
      <c r="J20" s="101"/>
      <c r="K20" s="100"/>
      <c r="L20" s="100"/>
      <c r="M20" s="100">
        <f>-M16*D37</f>
        <v>-1014.940600677565</v>
      </c>
      <c r="N20" s="120"/>
      <c r="O20" s="93"/>
      <c r="P20" s="25" t="s">
        <v>180</v>
      </c>
      <c r="Q20" s="25"/>
      <c r="R20" s="25"/>
      <c r="S20" s="25"/>
      <c r="T20" s="25"/>
      <c r="U20" s="25"/>
    </row>
    <row r="21" spans="1:21" ht="15.75" thickBot="1" x14ac:dyDescent="0.3">
      <c r="B21" s="85"/>
      <c r="C21" s="94"/>
      <c r="D21" s="116" t="s">
        <v>48</v>
      </c>
      <c r="E21" s="25"/>
      <c r="F21" s="86"/>
      <c r="G21" s="123">
        <f>+G16</f>
        <v>2289.7105543858097</v>
      </c>
      <c r="H21" s="100"/>
      <c r="I21" s="123">
        <f>+I16</f>
        <v>2800.2291443134727</v>
      </c>
      <c r="J21" s="23"/>
      <c r="K21" s="25"/>
      <c r="L21" s="25"/>
      <c r="M21" s="123">
        <f>+M16+M20</f>
        <v>2368.1947349143184</v>
      </c>
      <c r="N21" s="100"/>
      <c r="O21" s="93"/>
      <c r="P21" s="25" t="s">
        <v>296</v>
      </c>
      <c r="Q21" s="25"/>
      <c r="R21" s="25"/>
      <c r="S21" s="25"/>
      <c r="T21" s="25"/>
      <c r="U21" s="25"/>
    </row>
    <row r="22" spans="1:21" ht="15.75" thickTop="1" x14ac:dyDescent="0.25">
      <c r="B22" s="85"/>
      <c r="C22" s="94"/>
      <c r="D22" s="116"/>
      <c r="E22" s="25"/>
      <c r="F22" s="86"/>
      <c r="G22" s="100"/>
      <c r="H22" s="100"/>
      <c r="I22" s="100"/>
      <c r="J22" s="23"/>
      <c r="K22" s="25"/>
      <c r="L22" s="25"/>
      <c r="M22" s="100"/>
      <c r="N22" s="100"/>
      <c r="O22" s="93"/>
      <c r="P22" s="25" t="s">
        <v>295</v>
      </c>
      <c r="Q22" s="25"/>
      <c r="R22" s="25"/>
      <c r="S22" s="25"/>
      <c r="T22" s="25"/>
      <c r="U22" s="25"/>
    </row>
    <row r="23" spans="1:21" ht="15" x14ac:dyDescent="0.25">
      <c r="B23" s="85"/>
      <c r="C23" s="87"/>
      <c r="D23" s="163"/>
      <c r="E23" s="90"/>
      <c r="F23" s="89"/>
      <c r="G23" s="164"/>
      <c r="H23" s="164"/>
      <c r="I23" s="164"/>
      <c r="J23" s="165"/>
      <c r="K23" s="164"/>
      <c r="L23" s="164"/>
      <c r="M23" s="164"/>
      <c r="N23" s="166"/>
      <c r="O23" s="93"/>
      <c r="P23" s="25" t="s">
        <v>179</v>
      </c>
      <c r="Q23" s="25"/>
      <c r="R23" s="25"/>
      <c r="S23" s="25"/>
      <c r="T23" s="25"/>
      <c r="U23" s="25"/>
    </row>
    <row r="24" spans="1:21" ht="15" x14ac:dyDescent="0.25">
      <c r="B24" s="85"/>
      <c r="C24" s="94"/>
      <c r="D24" s="23" t="s">
        <v>66</v>
      </c>
      <c r="E24" s="25"/>
      <c r="F24" s="86"/>
      <c r="G24" s="25"/>
      <c r="H24" s="26"/>
      <c r="I24" s="25"/>
      <c r="J24" s="96"/>
      <c r="K24" s="98"/>
      <c r="L24" s="99"/>
      <c r="M24" s="98"/>
      <c r="N24" s="98"/>
      <c r="O24" s="93"/>
      <c r="P24" s="25"/>
      <c r="Q24" s="25"/>
      <c r="R24" s="25"/>
      <c r="S24" s="25"/>
      <c r="T24" s="25"/>
      <c r="U24" s="25"/>
    </row>
    <row r="25" spans="1:21" ht="15" x14ac:dyDescent="0.25">
      <c r="B25" s="85"/>
      <c r="C25" s="94"/>
      <c r="D25" s="155" t="s">
        <v>111</v>
      </c>
      <c r="E25" s="155"/>
      <c r="F25" s="152"/>
      <c r="G25" s="155"/>
      <c r="H25" s="156"/>
      <c r="I25" s="155"/>
      <c r="J25" s="168"/>
      <c r="K25" s="169"/>
      <c r="L25" s="170"/>
      <c r="M25" s="169">
        <f>+M16-K16-I16</f>
        <v>-432.03440939915436</v>
      </c>
      <c r="N25" s="98"/>
      <c r="O25" s="93"/>
    </row>
    <row r="26" spans="1:21" ht="12.75" customHeight="1" x14ac:dyDescent="0.25">
      <c r="B26" s="85"/>
      <c r="C26" s="94"/>
      <c r="D26" s="25" t="s">
        <v>67</v>
      </c>
      <c r="E26" s="25"/>
      <c r="F26" s="86"/>
      <c r="G26" s="25"/>
      <c r="H26" s="26"/>
      <c r="I26" s="124">
        <f>+I14-G14</f>
        <v>510.51858992766302</v>
      </c>
      <c r="J26" s="24"/>
      <c r="K26" s="25"/>
      <c r="L26" s="26"/>
      <c r="M26" s="124">
        <f>+I26</f>
        <v>510.51858992766302</v>
      </c>
      <c r="N26" s="125"/>
      <c r="O26" s="93"/>
    </row>
    <row r="27" spans="1:21" ht="15.75" thickBot="1" x14ac:dyDescent="0.3">
      <c r="B27" s="85"/>
      <c r="C27" s="94"/>
      <c r="D27" s="85"/>
      <c r="E27" s="127"/>
      <c r="F27" s="128" t="s">
        <v>12</v>
      </c>
      <c r="G27" s="25"/>
      <c r="H27" s="99"/>
      <c r="I27" s="129">
        <f>+I26</f>
        <v>510.51858992766302</v>
      </c>
      <c r="J27" s="24"/>
      <c r="K27" s="25"/>
      <c r="L27" s="26"/>
      <c r="M27" s="129">
        <f>+M25+M26</f>
        <v>78.484180528508659</v>
      </c>
      <c r="N27" s="130"/>
      <c r="O27" s="93"/>
    </row>
    <row r="28" spans="1:21" ht="15.75" thickTop="1" x14ac:dyDescent="0.25">
      <c r="A28" s="14"/>
      <c r="B28" s="85"/>
      <c r="C28" s="131"/>
      <c r="D28" s="132"/>
      <c r="E28" s="103"/>
      <c r="F28" s="133"/>
      <c r="G28" s="103"/>
      <c r="H28" s="103"/>
      <c r="I28" s="103"/>
      <c r="J28" s="134"/>
      <c r="K28" s="103"/>
      <c r="L28" s="135"/>
      <c r="M28" s="103"/>
      <c r="N28" s="103"/>
      <c r="O28" s="93"/>
    </row>
    <row r="29" spans="1:21" ht="8.25" customHeight="1" x14ac:dyDescent="0.25">
      <c r="A29" s="15"/>
      <c r="B29" s="85"/>
      <c r="C29" s="85"/>
      <c r="D29" s="85"/>
      <c r="E29" s="25"/>
      <c r="F29" s="86"/>
      <c r="G29" s="25"/>
      <c r="H29" s="25"/>
      <c r="I29" s="25"/>
      <c r="J29" s="24"/>
      <c r="K29" s="25"/>
      <c r="L29" s="99"/>
      <c r="M29" s="25"/>
      <c r="N29" s="25"/>
      <c r="O29" s="25"/>
    </row>
    <row r="30" spans="1:21" ht="6" customHeight="1" x14ac:dyDescent="0.25">
      <c r="A30" s="10"/>
      <c r="B30" s="85"/>
      <c r="C30" s="87"/>
      <c r="D30" s="88"/>
      <c r="E30" s="88"/>
      <c r="F30" s="139"/>
      <c r="G30" s="90"/>
      <c r="H30" s="90"/>
      <c r="I30" s="90"/>
      <c r="J30" s="91"/>
      <c r="K30" s="90"/>
      <c r="L30" s="92"/>
      <c r="M30" s="90"/>
      <c r="N30" s="140"/>
      <c r="O30" s="25"/>
    </row>
    <row r="31" spans="1:21" ht="15" x14ac:dyDescent="0.25">
      <c r="B31" s="85"/>
      <c r="C31" s="93"/>
      <c r="D31" s="177" t="s">
        <v>0</v>
      </c>
      <c r="E31" s="141"/>
      <c r="F31" s="86"/>
      <c r="G31" s="25"/>
      <c r="H31" s="141"/>
      <c r="I31" s="115"/>
      <c r="J31" s="116"/>
      <c r="K31" s="25"/>
      <c r="L31" s="25"/>
      <c r="M31" s="142"/>
      <c r="N31" s="143"/>
      <c r="O31" s="25"/>
    </row>
    <row r="32" spans="1:21" ht="15" x14ac:dyDescent="0.25">
      <c r="B32" s="85"/>
      <c r="C32" s="93"/>
      <c r="D32" s="174">
        <v>18.013999999999999</v>
      </c>
      <c r="E32" s="121" t="s">
        <v>35</v>
      </c>
      <c r="F32" s="86" t="s">
        <v>39</v>
      </c>
      <c r="G32" s="25"/>
      <c r="H32" s="25"/>
      <c r="I32" s="25"/>
      <c r="J32" s="23"/>
      <c r="K32" s="25"/>
      <c r="L32" s="25"/>
      <c r="M32" s="142"/>
      <c r="N32" s="143"/>
      <c r="O32" s="25"/>
    </row>
    <row r="33" spans="2:15" ht="15" x14ac:dyDescent="0.25">
      <c r="B33" s="85"/>
      <c r="C33" s="93"/>
      <c r="D33" s="175">
        <v>1000</v>
      </c>
      <c r="E33" s="121" t="s">
        <v>35</v>
      </c>
      <c r="F33" s="86" t="s">
        <v>40</v>
      </c>
      <c r="G33" s="25"/>
      <c r="H33" s="141"/>
      <c r="I33" s="136">
        <f>+D33*(1-D37)</f>
        <v>700</v>
      </c>
      <c r="J33" s="23"/>
      <c r="K33" s="127" t="s">
        <v>54</v>
      </c>
      <c r="L33" s="25"/>
      <c r="M33" s="25"/>
      <c r="N33" s="143"/>
      <c r="O33" s="25"/>
    </row>
    <row r="34" spans="2:15" ht="15" x14ac:dyDescent="0.25">
      <c r="B34" s="85"/>
      <c r="C34" s="93"/>
      <c r="D34" s="176">
        <v>0.08</v>
      </c>
      <c r="E34" s="121" t="s">
        <v>35</v>
      </c>
      <c r="F34" s="86" t="s">
        <v>50</v>
      </c>
      <c r="G34" s="25"/>
      <c r="H34" s="25"/>
      <c r="I34" s="137">
        <f>+D34*(1-D36)</f>
        <v>6.8000000000000005E-2</v>
      </c>
      <c r="J34" s="144"/>
      <c r="K34" s="127" t="s">
        <v>41</v>
      </c>
      <c r="L34" s="25"/>
      <c r="M34" s="142"/>
      <c r="N34" s="143"/>
      <c r="O34" s="25"/>
    </row>
    <row r="35" spans="2:15" ht="15" x14ac:dyDescent="0.25">
      <c r="B35" s="85"/>
      <c r="C35" s="93"/>
      <c r="D35" s="176">
        <v>0.01</v>
      </c>
      <c r="E35" s="121" t="s">
        <v>35</v>
      </c>
      <c r="F35" s="86" t="s">
        <v>113</v>
      </c>
      <c r="G35" s="25"/>
      <c r="H35" s="25"/>
      <c r="I35" s="137">
        <f>+D34-D35</f>
        <v>7.0000000000000007E-2</v>
      </c>
      <c r="J35" s="144"/>
      <c r="K35" s="127" t="s">
        <v>112</v>
      </c>
      <c r="L35" s="25"/>
      <c r="M35" s="142"/>
      <c r="N35" s="143"/>
      <c r="O35" s="25"/>
    </row>
    <row r="36" spans="2:15" ht="15" x14ac:dyDescent="0.25">
      <c r="B36" s="85"/>
      <c r="C36" s="93"/>
      <c r="D36" s="176">
        <v>0.15</v>
      </c>
      <c r="E36" s="121" t="s">
        <v>35</v>
      </c>
      <c r="F36" s="86" t="s">
        <v>59</v>
      </c>
      <c r="G36" s="25"/>
      <c r="H36" s="25"/>
      <c r="I36" s="138">
        <f>+D33*(1-D37)*D34*D36</f>
        <v>8.4</v>
      </c>
      <c r="J36" s="145"/>
      <c r="K36" s="127" t="s">
        <v>42</v>
      </c>
      <c r="L36" s="25"/>
      <c r="M36" s="25"/>
      <c r="N36" s="143"/>
      <c r="O36" s="25"/>
    </row>
    <row r="37" spans="2:15" ht="15" x14ac:dyDescent="0.25">
      <c r="B37" s="85"/>
      <c r="C37" s="93"/>
      <c r="D37" s="176">
        <v>0.3</v>
      </c>
      <c r="E37" s="121" t="s">
        <v>35</v>
      </c>
      <c r="F37" s="86" t="s">
        <v>63</v>
      </c>
      <c r="G37" s="25"/>
      <c r="H37" s="25"/>
      <c r="I37" s="25"/>
      <c r="J37" s="23"/>
      <c r="K37" s="25"/>
      <c r="L37" s="25"/>
      <c r="M37" s="142"/>
      <c r="N37" s="143"/>
      <c r="O37" s="25"/>
    </row>
    <row r="38" spans="2:15" ht="8.25" customHeight="1" x14ac:dyDescent="0.25">
      <c r="B38" s="85"/>
      <c r="C38" s="146"/>
      <c r="D38" s="147"/>
      <c r="E38" s="147"/>
      <c r="F38" s="133"/>
      <c r="G38" s="103"/>
      <c r="H38" s="147"/>
      <c r="I38" s="103"/>
      <c r="J38" s="148"/>
      <c r="K38" s="103"/>
      <c r="L38" s="103"/>
      <c r="M38" s="149"/>
      <c r="N38" s="150"/>
      <c r="O38" s="25"/>
    </row>
    <row r="39" spans="2:15" ht="15" x14ac:dyDescent="0.25">
      <c r="B39" s="85"/>
      <c r="C39" s="85"/>
      <c r="D39" s="85"/>
      <c r="E39" s="85"/>
      <c r="F39" s="86"/>
      <c r="G39" s="25"/>
      <c r="H39" s="25"/>
      <c r="I39" s="25"/>
      <c r="J39" s="24"/>
      <c r="K39" s="25"/>
      <c r="L39" s="26"/>
      <c r="M39" s="25"/>
      <c r="N39" s="25"/>
      <c r="O39" s="25"/>
    </row>
    <row r="40" spans="2:15" ht="15" x14ac:dyDescent="0.25">
      <c r="B40" s="85"/>
      <c r="C40" s="85"/>
      <c r="D40" s="85"/>
      <c r="E40" s="85"/>
      <c r="F40" s="86"/>
      <c r="G40" s="25"/>
      <c r="H40" s="25"/>
      <c r="I40" s="25"/>
      <c r="J40" s="24"/>
      <c r="K40" s="25"/>
      <c r="L40" s="26"/>
      <c r="M40" s="25"/>
      <c r="N40" s="25"/>
      <c r="O40" s="25"/>
    </row>
    <row r="41" spans="2:15" ht="15" x14ac:dyDescent="0.25">
      <c r="B41" s="85"/>
      <c r="C41" s="85"/>
      <c r="D41" s="25"/>
      <c r="E41" s="85"/>
      <c r="F41" s="86"/>
      <c r="G41" s="85" t="s">
        <v>53</v>
      </c>
      <c r="H41" s="25"/>
      <c r="I41" s="151">
        <f>I21-G21</f>
        <v>510.51858992766302</v>
      </c>
      <c r="J41" s="24"/>
      <c r="K41" s="25"/>
      <c r="L41" s="26"/>
      <c r="M41" s="151">
        <f>M21-G21</f>
        <v>78.484180528508659</v>
      </c>
      <c r="N41" s="25"/>
      <c r="O41" s="25"/>
    </row>
  </sheetData>
  <pageMargins left="0.7" right="0.7" top="0.75" bottom="0.75" header="0.3" footer="0.3"/>
  <pageSetup orientation="portrait" horizontalDpi="30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5FE24-8F35-4017-8BE8-06BCA0FFC2A5}">
  <dimension ref="A1:W38"/>
  <sheetViews>
    <sheetView showGridLines="0" workbookViewId="0"/>
  </sheetViews>
  <sheetFormatPr defaultColWidth="9.140625" defaultRowHeight="12.75" x14ac:dyDescent="0.2"/>
  <cols>
    <col min="1" max="1" width="1.7109375" style="9" customWidth="1"/>
    <col min="2" max="2" width="2.28515625" style="390" customWidth="1"/>
    <col min="3" max="3" width="3" style="390" customWidth="1"/>
    <col min="4" max="4" width="18" style="390" customWidth="1"/>
    <col min="5" max="5" width="5.5703125" style="390" customWidth="1"/>
    <col min="6" max="6" width="5.28515625" style="16" customWidth="1"/>
    <col min="7" max="7" width="11.7109375" style="9" customWidth="1"/>
    <col min="8" max="8" width="3.28515625" style="9" customWidth="1"/>
    <col min="9" max="9" width="11.7109375" style="9" customWidth="1"/>
    <col min="10" max="10" width="2.5703125" style="15" hidden="1" customWidth="1"/>
    <col min="11" max="11" width="11.7109375" style="9" hidden="1" customWidth="1"/>
    <col min="12" max="12" width="1.7109375" style="11" hidden="1" customWidth="1"/>
    <col min="13" max="13" width="15.42578125" style="9" customWidth="1"/>
    <col min="14" max="15" width="2.7109375" style="9" customWidth="1"/>
    <col min="16" max="16" width="6.85546875" style="9" customWidth="1"/>
    <col min="17" max="17" width="10.140625" style="9" bestFit="1" customWidth="1"/>
    <col min="18" max="18" width="9.140625" style="9"/>
    <col min="19" max="19" width="16.7109375" style="9" bestFit="1" customWidth="1"/>
    <col min="20" max="16384" width="9.140625" style="9"/>
  </cols>
  <sheetData>
    <row r="1" spans="2:23" ht="15" customHeight="1" x14ac:dyDescent="0.2"/>
    <row r="2" spans="2:23" ht="15" customHeight="1" x14ac:dyDescent="0.25">
      <c r="D2" s="392" t="s">
        <v>297</v>
      </c>
      <c r="E2" s="391"/>
      <c r="F2" s="398"/>
      <c r="G2" s="21"/>
      <c r="H2" s="21"/>
      <c r="I2" s="21"/>
      <c r="J2" s="20"/>
      <c r="K2" s="21"/>
      <c r="L2" s="399"/>
      <c r="M2" s="21"/>
      <c r="N2" s="21"/>
      <c r="O2" s="21"/>
    </row>
    <row r="3" spans="2:23" ht="15" customHeight="1" x14ac:dyDescent="0.25">
      <c r="D3" s="391"/>
      <c r="E3" s="391"/>
      <c r="F3" s="398"/>
      <c r="G3" s="21"/>
      <c r="H3" s="21"/>
      <c r="I3" s="21"/>
      <c r="J3" s="20"/>
      <c r="K3" s="21"/>
      <c r="L3" s="399"/>
      <c r="M3" s="21"/>
      <c r="N3" s="21"/>
      <c r="O3" s="21"/>
    </row>
    <row r="4" spans="2:23" ht="9" customHeight="1" x14ac:dyDescent="0.25">
      <c r="B4" s="401"/>
      <c r="C4" s="402"/>
      <c r="D4" s="403"/>
      <c r="E4" s="403"/>
      <c r="F4" s="89"/>
      <c r="G4" s="90"/>
      <c r="H4" s="90"/>
      <c r="I4" s="90"/>
      <c r="J4" s="91"/>
      <c r="K4" s="90"/>
      <c r="L4" s="92"/>
      <c r="M4" s="90"/>
      <c r="N4" s="140"/>
      <c r="O4" s="93"/>
    </row>
    <row r="5" spans="2:23" ht="15" x14ac:dyDescent="0.25">
      <c r="B5" s="401"/>
      <c r="C5" s="404"/>
      <c r="D5" s="401"/>
      <c r="E5" s="401"/>
      <c r="F5" s="86"/>
      <c r="G5" s="25"/>
      <c r="H5" s="25"/>
      <c r="I5" s="116" t="s">
        <v>298</v>
      </c>
      <c r="J5" s="24"/>
      <c r="K5" s="25"/>
      <c r="L5" s="26"/>
      <c r="M5" s="101" t="s">
        <v>299</v>
      </c>
      <c r="N5" s="143"/>
      <c r="O5" s="93"/>
    </row>
    <row r="6" spans="2:23" ht="15" x14ac:dyDescent="0.25">
      <c r="B6" s="401"/>
      <c r="C6" s="404"/>
      <c r="D6" s="25"/>
      <c r="E6" s="25"/>
      <c r="F6" s="86"/>
      <c r="G6" s="430" t="s">
        <v>36</v>
      </c>
      <c r="H6" s="410"/>
      <c r="I6" s="331" t="s">
        <v>124</v>
      </c>
      <c r="J6" s="405" t="s">
        <v>37</v>
      </c>
      <c r="K6" s="405" t="s">
        <v>38</v>
      </c>
      <c r="L6" s="405" t="s">
        <v>35</v>
      </c>
      <c r="M6" s="331" t="s">
        <v>175</v>
      </c>
      <c r="N6" s="406"/>
      <c r="O6" s="93"/>
    </row>
    <row r="7" spans="2:23" ht="15" x14ac:dyDescent="0.25">
      <c r="B7" s="401"/>
      <c r="C7" s="404"/>
      <c r="D7" s="97" t="s">
        <v>55</v>
      </c>
      <c r="E7" s="25"/>
      <c r="F7" s="86"/>
      <c r="G7" s="407"/>
      <c r="H7" s="407"/>
      <c r="I7" s="407"/>
      <c r="J7" s="406"/>
      <c r="K7" s="407"/>
      <c r="L7" s="408"/>
      <c r="M7" s="407"/>
      <c r="N7" s="407"/>
      <c r="O7" s="93"/>
    </row>
    <row r="8" spans="2:23" ht="15" x14ac:dyDescent="0.25">
      <c r="B8" s="401"/>
      <c r="C8" s="404"/>
      <c r="D8" s="25" t="s">
        <v>40</v>
      </c>
      <c r="E8" s="25"/>
      <c r="F8" s="86"/>
      <c r="G8" s="409">
        <f>+D32</f>
        <v>1000</v>
      </c>
      <c r="H8" s="409"/>
      <c r="I8" s="409">
        <f>+D32</f>
        <v>1000</v>
      </c>
      <c r="J8" s="410"/>
      <c r="K8" s="409"/>
      <c r="L8" s="409"/>
      <c r="M8" s="409">
        <f>I8*2</f>
        <v>2000</v>
      </c>
      <c r="N8" s="409"/>
      <c r="O8" s="93"/>
    </row>
    <row r="9" spans="2:23" ht="15" x14ac:dyDescent="0.25">
      <c r="B9" s="401"/>
      <c r="C9" s="404"/>
      <c r="D9" s="25" t="s">
        <v>57</v>
      </c>
      <c r="E9" s="334">
        <f>+D36</f>
        <v>0.3</v>
      </c>
      <c r="F9" s="86"/>
      <c r="G9" s="409">
        <f>-G8*+D36</f>
        <v>-300</v>
      </c>
      <c r="H9" s="409"/>
      <c r="I9" s="409">
        <f>-I8*D36</f>
        <v>-300</v>
      </c>
      <c r="J9" s="410"/>
      <c r="K9" s="409"/>
      <c r="L9" s="409"/>
      <c r="M9" s="409">
        <f>-M8*D36</f>
        <v>-600</v>
      </c>
      <c r="N9" s="409"/>
      <c r="O9" s="93"/>
    </row>
    <row r="10" spans="2:23" ht="15" x14ac:dyDescent="0.25">
      <c r="B10" s="401"/>
      <c r="C10" s="404"/>
      <c r="D10" s="103" t="s">
        <v>64</v>
      </c>
      <c r="E10" s="103"/>
      <c r="F10" s="86"/>
      <c r="G10" s="411"/>
      <c r="H10" s="409"/>
      <c r="I10" s="411"/>
      <c r="J10" s="410"/>
      <c r="K10" s="411"/>
      <c r="L10" s="409"/>
      <c r="M10" s="411">
        <f>-M9</f>
        <v>600</v>
      </c>
      <c r="N10" s="409"/>
      <c r="O10" s="93"/>
    </row>
    <row r="11" spans="2:23" ht="15" x14ac:dyDescent="0.25">
      <c r="B11" s="401"/>
      <c r="C11" s="404"/>
      <c r="D11" s="25" t="s">
        <v>51</v>
      </c>
      <c r="E11" s="26"/>
      <c r="F11" s="86"/>
      <c r="G11" s="409">
        <f>SUM(G8:G10)</f>
        <v>700</v>
      </c>
      <c r="H11" s="409"/>
      <c r="I11" s="409">
        <f>SUM(I8:I10)</f>
        <v>700</v>
      </c>
      <c r="J11" s="410" t="s">
        <v>37</v>
      </c>
      <c r="K11" s="412">
        <f>+M11-I11</f>
        <v>1300</v>
      </c>
      <c r="L11" s="410" t="s">
        <v>35</v>
      </c>
      <c r="M11" s="409">
        <f>SUM(M8:M10)</f>
        <v>2000</v>
      </c>
      <c r="N11" s="409"/>
      <c r="O11" s="93"/>
    </row>
    <row r="12" spans="2:23" ht="15" x14ac:dyDescent="0.25">
      <c r="B12" s="401"/>
      <c r="C12" s="404"/>
      <c r="D12" s="25"/>
      <c r="E12" s="26"/>
      <c r="F12" s="86"/>
      <c r="G12" s="409"/>
      <c r="H12" s="409"/>
      <c r="I12" s="409"/>
      <c r="J12" s="410"/>
      <c r="K12" s="412"/>
      <c r="L12" s="409"/>
      <c r="M12" s="409"/>
      <c r="N12" s="409"/>
      <c r="O12" s="93"/>
    </row>
    <row r="13" spans="2:23" ht="14.25" x14ac:dyDescent="0.2">
      <c r="B13" s="401"/>
      <c r="C13" s="404"/>
      <c r="D13" s="25"/>
      <c r="E13" s="26"/>
      <c r="F13" s="86"/>
      <c r="G13" s="201">
        <f>+I33</f>
        <v>6.8000000000000005E-2</v>
      </c>
      <c r="H13" s="202"/>
      <c r="I13" s="201">
        <f>+D33</f>
        <v>0.08</v>
      </c>
      <c r="J13" s="205"/>
      <c r="K13" s="395">
        <f>+D33</f>
        <v>0.08</v>
      </c>
      <c r="L13" s="202"/>
      <c r="M13" s="201">
        <f>+I34</f>
        <v>7.0000000000000007E-2</v>
      </c>
      <c r="N13" s="105"/>
      <c r="O13" s="93"/>
    </row>
    <row r="14" spans="2:23" ht="15" x14ac:dyDescent="0.25">
      <c r="B14" s="401"/>
      <c r="C14" s="404"/>
      <c r="D14" s="97" t="s">
        <v>43</v>
      </c>
      <c r="E14" s="106"/>
      <c r="F14" s="107"/>
      <c r="G14" s="413" t="s">
        <v>45</v>
      </c>
      <c r="H14" s="413"/>
      <c r="I14" s="413" t="s">
        <v>46</v>
      </c>
      <c r="J14" s="414"/>
      <c r="K14" s="415" t="s">
        <v>46</v>
      </c>
      <c r="L14" s="413"/>
      <c r="M14" s="413" t="s">
        <v>46</v>
      </c>
      <c r="N14" s="416"/>
      <c r="O14" s="93"/>
      <c r="W14" s="9">
        <v>0</v>
      </c>
    </row>
    <row r="15" spans="2:23" ht="15" x14ac:dyDescent="0.25">
      <c r="B15" s="401"/>
      <c r="C15" s="404"/>
      <c r="D15" s="25" t="s">
        <v>44</v>
      </c>
      <c r="E15" s="26"/>
      <c r="F15" s="86"/>
      <c r="G15" s="109">
        <f>+G17-G11</f>
        <v>1587.6026368867001</v>
      </c>
      <c r="H15" s="409"/>
      <c r="I15" s="109">
        <f>+I17-I11</f>
        <v>2097.2136494294532</v>
      </c>
      <c r="J15" s="410" t="s">
        <v>37</v>
      </c>
      <c r="K15" s="396">
        <f>+K17-K11</f>
        <v>3894.8253489404133</v>
      </c>
      <c r="L15" s="410" t="s">
        <v>35</v>
      </c>
      <c r="M15" s="109">
        <f>+M17-M11</f>
        <v>4759.8645514650707</v>
      </c>
      <c r="N15" s="109"/>
      <c r="O15" s="93"/>
    </row>
    <row r="16" spans="2:23" ht="14.25" x14ac:dyDescent="0.2">
      <c r="B16" s="401"/>
      <c r="C16" s="404"/>
      <c r="D16" s="110"/>
      <c r="E16" s="106"/>
      <c r="F16" s="107"/>
      <c r="G16" s="417"/>
      <c r="H16" s="416"/>
      <c r="I16" s="417"/>
      <c r="J16" s="418"/>
      <c r="K16" s="419"/>
      <c r="L16" s="417"/>
      <c r="M16" s="417"/>
      <c r="N16" s="416"/>
      <c r="O16" s="93"/>
    </row>
    <row r="17" spans="1:17" ht="15" x14ac:dyDescent="0.25">
      <c r="B17" s="401"/>
      <c r="C17" s="404"/>
      <c r="D17" s="25" t="s">
        <v>56</v>
      </c>
      <c r="E17" s="113">
        <f>+D31</f>
        <v>18</v>
      </c>
      <c r="F17" s="114" t="s">
        <v>47</v>
      </c>
      <c r="G17" s="409">
        <f>FV(D33*(1-D35),D31,0,-I32)</f>
        <v>2287.6026368867001</v>
      </c>
      <c r="H17" s="409"/>
      <c r="I17" s="409">
        <f>FV(D33,D31,0,-I32)</f>
        <v>2797.2136494294532</v>
      </c>
      <c r="J17" s="410" t="s">
        <v>37</v>
      </c>
      <c r="K17" s="412">
        <f>FV(D33,D31,0,-K11)</f>
        <v>5194.8253489404133</v>
      </c>
      <c r="L17" s="409" t="s">
        <v>35</v>
      </c>
      <c r="M17" s="409">
        <f>FV(I34,D31,0,-M11)</f>
        <v>6759.8645514650707</v>
      </c>
      <c r="N17" s="409"/>
      <c r="O17" s="93"/>
    </row>
    <row r="18" spans="1:17" ht="15" x14ac:dyDescent="0.25">
      <c r="B18" s="25"/>
      <c r="C18" s="404"/>
      <c r="D18" s="25"/>
      <c r="E18" s="25"/>
      <c r="F18" s="86"/>
      <c r="G18" s="115"/>
      <c r="H18" s="115"/>
      <c r="I18" s="115"/>
      <c r="J18" s="116"/>
      <c r="K18" s="115"/>
      <c r="L18" s="115"/>
      <c r="M18" s="115"/>
      <c r="N18" s="115"/>
      <c r="O18" s="93"/>
    </row>
    <row r="19" spans="1:17" ht="12.75" customHeight="1" x14ac:dyDescent="0.25">
      <c r="B19" s="401"/>
      <c r="C19" s="404"/>
      <c r="D19" s="97" t="s">
        <v>173</v>
      </c>
      <c r="E19" s="335"/>
      <c r="F19" s="86"/>
      <c r="G19" s="409"/>
      <c r="H19" s="409"/>
      <c r="I19" s="409"/>
      <c r="J19" s="410"/>
      <c r="K19" s="409"/>
      <c r="L19" s="409"/>
      <c r="M19" s="409"/>
      <c r="N19" s="409"/>
      <c r="O19" s="93"/>
    </row>
    <row r="20" spans="1:17" ht="12.75" hidden="1" customHeight="1" x14ac:dyDescent="0.25">
      <c r="B20" s="401"/>
      <c r="C20" s="404"/>
      <c r="D20" s="97"/>
      <c r="E20" s="118" t="s">
        <v>61</v>
      </c>
      <c r="F20" s="86"/>
      <c r="G20" s="409"/>
      <c r="H20" s="409"/>
      <c r="I20" s="409"/>
      <c r="J20" s="410"/>
      <c r="K20" s="409"/>
      <c r="L20" s="409"/>
      <c r="M20" s="411">
        <f>+M21-M19</f>
        <v>-1351.9729102930141</v>
      </c>
      <c r="N20" s="409"/>
      <c r="O20" s="93"/>
    </row>
    <row r="21" spans="1:17" ht="12.75" customHeight="1" x14ac:dyDescent="0.25">
      <c r="B21" s="401"/>
      <c r="C21" s="404"/>
      <c r="D21" s="401"/>
      <c r="E21" s="118" t="s">
        <v>174</v>
      </c>
      <c r="F21" s="336">
        <f>+I31</f>
        <v>0.2</v>
      </c>
      <c r="G21" s="409"/>
      <c r="H21" s="409"/>
      <c r="I21" s="409"/>
      <c r="J21" s="410"/>
      <c r="K21" s="409"/>
      <c r="L21" s="409"/>
      <c r="M21" s="409">
        <f>-M17*I31</f>
        <v>-1351.9729102930141</v>
      </c>
      <c r="N21" s="420"/>
      <c r="O21" s="93"/>
    </row>
    <row r="22" spans="1:17" ht="15.75" thickBot="1" x14ac:dyDescent="0.3">
      <c r="B22" s="401"/>
      <c r="C22" s="404"/>
      <c r="D22" s="116" t="s">
        <v>48</v>
      </c>
      <c r="E22" s="25"/>
      <c r="F22" s="86"/>
      <c r="G22" s="421">
        <f>+G17</f>
        <v>2287.6026368867001</v>
      </c>
      <c r="H22" s="409"/>
      <c r="I22" s="421">
        <f>+I17</f>
        <v>2797.2136494294532</v>
      </c>
      <c r="J22" s="23"/>
      <c r="K22" s="25"/>
      <c r="L22" s="25"/>
      <c r="M22" s="421">
        <f>+M17+M21</f>
        <v>5407.8916411720566</v>
      </c>
      <c r="N22" s="409"/>
      <c r="O22" s="93"/>
      <c r="Q22" s="394"/>
    </row>
    <row r="23" spans="1:17" ht="15.75" thickTop="1" x14ac:dyDescent="0.25">
      <c r="B23" s="401"/>
      <c r="C23" s="422"/>
      <c r="D23" s="210"/>
      <c r="E23" s="103"/>
      <c r="F23" s="133"/>
      <c r="G23" s="411"/>
      <c r="H23" s="411"/>
      <c r="I23" s="411"/>
      <c r="J23" s="148"/>
      <c r="K23" s="103"/>
      <c r="L23" s="103"/>
      <c r="M23" s="411"/>
      <c r="N23" s="423"/>
      <c r="O23" s="93"/>
    </row>
    <row r="24" spans="1:17" ht="15" customHeight="1" x14ac:dyDescent="0.25">
      <c r="B24" s="85"/>
      <c r="C24" s="87"/>
      <c r="D24" s="163"/>
      <c r="E24" s="90"/>
      <c r="F24" s="89"/>
      <c r="G24" s="164"/>
      <c r="H24" s="164"/>
      <c r="I24" s="164"/>
      <c r="J24" s="165"/>
      <c r="K24" s="164"/>
      <c r="L24" s="164"/>
      <c r="M24" s="164"/>
      <c r="N24" s="166"/>
      <c r="O24" s="93"/>
      <c r="Q24" s="9" t="s">
        <v>181</v>
      </c>
    </row>
    <row r="25" spans="1:17" ht="15" customHeight="1" thickBot="1" x14ac:dyDescent="0.3">
      <c r="B25" s="85"/>
      <c r="C25" s="94"/>
      <c r="D25" s="23" t="s">
        <v>66</v>
      </c>
      <c r="E25" s="25"/>
      <c r="F25" s="86"/>
      <c r="G25" s="25"/>
      <c r="H25" s="26"/>
      <c r="I25" s="129">
        <f>+I22-G22</f>
        <v>509.61101254275309</v>
      </c>
      <c r="J25" s="24"/>
      <c r="K25" s="25"/>
      <c r="L25" s="26"/>
      <c r="M25" s="129">
        <f>+M22-G22</f>
        <v>3120.2890042853564</v>
      </c>
      <c r="N25" s="98"/>
      <c r="O25" s="93"/>
      <c r="Q25" s="9" t="s">
        <v>182</v>
      </c>
    </row>
    <row r="26" spans="1:17" ht="15" customHeight="1" thickTop="1" x14ac:dyDescent="0.25">
      <c r="A26" s="14"/>
      <c r="B26" s="85"/>
      <c r="C26" s="131"/>
      <c r="D26" s="132"/>
      <c r="E26" s="103"/>
      <c r="F26" s="133"/>
      <c r="G26" s="103"/>
      <c r="H26" s="103"/>
      <c r="I26" s="103"/>
      <c r="J26" s="134"/>
      <c r="K26" s="103"/>
      <c r="L26" s="135"/>
      <c r="M26" s="103"/>
      <c r="N26" s="103"/>
      <c r="O26" s="93"/>
      <c r="Q26" s="9" t="s">
        <v>183</v>
      </c>
    </row>
    <row r="27" spans="1:17" customFormat="1" x14ac:dyDescent="0.2">
      <c r="Q27" s="9"/>
    </row>
    <row r="28" spans="1:17" customFormat="1" x14ac:dyDescent="0.2"/>
    <row r="29" spans="1:17" customFormat="1" ht="6" customHeight="1" x14ac:dyDescent="0.2">
      <c r="C29" s="236"/>
      <c r="D29" s="239"/>
      <c r="E29" s="239"/>
      <c r="F29" s="239"/>
      <c r="G29" s="239"/>
      <c r="H29" s="239"/>
      <c r="I29" s="239"/>
      <c r="J29" s="239"/>
      <c r="K29" s="239"/>
      <c r="L29" s="239"/>
      <c r="M29" s="239"/>
      <c r="N29" s="239"/>
      <c r="O29" s="239"/>
      <c r="P29" s="322"/>
    </row>
    <row r="30" spans="1:17" ht="15" x14ac:dyDescent="0.25">
      <c r="B30" s="401"/>
      <c r="C30" s="93"/>
      <c r="D30" s="177" t="s">
        <v>0</v>
      </c>
      <c r="E30" s="141"/>
      <c r="F30" s="86"/>
      <c r="G30" s="25"/>
      <c r="H30" s="141"/>
      <c r="I30" s="115"/>
      <c r="J30" s="116"/>
      <c r="L30" s="9"/>
      <c r="M30" s="25"/>
      <c r="N30" s="25"/>
      <c r="O30" s="424"/>
      <c r="P30" s="143"/>
    </row>
    <row r="31" spans="1:17" ht="15" x14ac:dyDescent="0.25">
      <c r="B31" s="401"/>
      <c r="C31" s="93"/>
      <c r="D31" s="425">
        <v>18</v>
      </c>
      <c r="E31" s="121" t="s">
        <v>35</v>
      </c>
      <c r="F31" s="86" t="s">
        <v>39</v>
      </c>
      <c r="G31" s="25"/>
      <c r="H31" s="25"/>
      <c r="I31" s="400">
        <v>0.2</v>
      </c>
      <c r="J31" s="23"/>
      <c r="L31" s="9"/>
      <c r="M31" s="127" t="s">
        <v>65</v>
      </c>
      <c r="N31" s="25"/>
      <c r="O31" s="424"/>
      <c r="P31" s="143"/>
    </row>
    <row r="32" spans="1:17" ht="15" x14ac:dyDescent="0.25">
      <c r="B32" s="401"/>
      <c r="C32" s="93"/>
      <c r="D32" s="426">
        <v>1000</v>
      </c>
      <c r="E32" s="121" t="s">
        <v>35</v>
      </c>
      <c r="F32" s="86" t="s">
        <v>40</v>
      </c>
      <c r="G32" s="25"/>
      <c r="H32" s="141"/>
      <c r="I32" s="136">
        <f>+D32*(1-D36)</f>
        <v>700</v>
      </c>
      <c r="J32" s="23"/>
      <c r="L32" s="9"/>
      <c r="M32" s="127" t="s">
        <v>54</v>
      </c>
      <c r="N32" s="25"/>
      <c r="O32" s="25"/>
      <c r="P32" s="143"/>
    </row>
    <row r="33" spans="2:16" ht="15" x14ac:dyDescent="0.25">
      <c r="B33" s="401"/>
      <c r="C33" s="93"/>
      <c r="D33" s="393">
        <v>0.08</v>
      </c>
      <c r="E33" s="121" t="s">
        <v>35</v>
      </c>
      <c r="F33" s="86" t="s">
        <v>50</v>
      </c>
      <c r="G33" s="25"/>
      <c r="H33" s="25"/>
      <c r="I33" s="337">
        <f>+D33*(1-D35)</f>
        <v>6.8000000000000005E-2</v>
      </c>
      <c r="J33" s="338"/>
      <c r="L33" s="9"/>
      <c r="M33" s="127" t="s">
        <v>41</v>
      </c>
      <c r="N33" s="25"/>
      <c r="O33" s="424"/>
      <c r="P33" s="143"/>
    </row>
    <row r="34" spans="2:16" ht="15" x14ac:dyDescent="0.25">
      <c r="B34" s="85"/>
      <c r="C34" s="93"/>
      <c r="D34" s="176">
        <v>0.01</v>
      </c>
      <c r="E34" s="121" t="s">
        <v>35</v>
      </c>
      <c r="F34" s="86" t="s">
        <v>177</v>
      </c>
      <c r="G34" s="25"/>
      <c r="H34" s="25"/>
      <c r="I34" s="137">
        <f>+D33-D34</f>
        <v>7.0000000000000007E-2</v>
      </c>
      <c r="J34" s="144"/>
      <c r="K34" s="127" t="s">
        <v>112</v>
      </c>
      <c r="L34" s="25"/>
      <c r="M34" s="127" t="s">
        <v>176</v>
      </c>
      <c r="N34" s="143"/>
      <c r="O34" s="25"/>
      <c r="P34" s="188"/>
    </row>
    <row r="35" spans="2:16" ht="15" x14ac:dyDescent="0.25">
      <c r="B35" s="401"/>
      <c r="C35" s="93"/>
      <c r="D35" s="393">
        <v>0.15</v>
      </c>
      <c r="E35" s="121" t="s">
        <v>35</v>
      </c>
      <c r="F35" s="86" t="s">
        <v>59</v>
      </c>
      <c r="G35" s="25"/>
      <c r="H35" s="25"/>
      <c r="I35" s="427"/>
      <c r="J35" s="428"/>
      <c r="L35" s="9"/>
      <c r="M35" s="127"/>
      <c r="N35" s="25"/>
      <c r="O35" s="25"/>
      <c r="P35" s="143"/>
    </row>
    <row r="36" spans="2:16" ht="15" x14ac:dyDescent="0.25">
      <c r="B36" s="401"/>
      <c r="C36" s="93"/>
      <c r="D36" s="393">
        <v>0.3</v>
      </c>
      <c r="E36" s="121" t="s">
        <v>35</v>
      </c>
      <c r="F36" s="86" t="s">
        <v>60</v>
      </c>
      <c r="G36" s="25"/>
      <c r="H36" s="25"/>
      <c r="I36" s="25"/>
      <c r="J36" s="23"/>
      <c r="L36" s="9"/>
      <c r="M36" s="25"/>
      <c r="N36" s="25"/>
      <c r="O36" s="424"/>
      <c r="P36" s="143"/>
    </row>
    <row r="37" spans="2:16" ht="8.25" customHeight="1" x14ac:dyDescent="0.25">
      <c r="B37" s="401"/>
      <c r="C37" s="146"/>
      <c r="D37" s="147"/>
      <c r="E37" s="147"/>
      <c r="F37" s="133"/>
      <c r="G37" s="103"/>
      <c r="H37" s="147"/>
      <c r="I37" s="103"/>
      <c r="J37" s="148"/>
      <c r="K37" s="397"/>
      <c r="L37" s="397"/>
      <c r="M37" s="103"/>
      <c r="N37" s="103"/>
      <c r="O37" s="429"/>
      <c r="P37" s="150"/>
    </row>
    <row r="38" spans="2:16" ht="15" x14ac:dyDescent="0.25">
      <c r="B38" s="401"/>
      <c r="C38" s="401"/>
      <c r="D38" s="401"/>
      <c r="E38" s="401"/>
      <c r="F38" s="86"/>
      <c r="G38" s="25"/>
      <c r="H38" s="25"/>
      <c r="I38" s="25"/>
      <c r="J38" s="24"/>
      <c r="K38" s="25"/>
      <c r="L38" s="26"/>
      <c r="M38" s="25"/>
      <c r="N38" s="25"/>
      <c r="O38" s="25"/>
    </row>
  </sheetData>
  <pageMargins left="0.7" right="0.7" top="0.75" bottom="0.75" header="0.3" footer="0.3"/>
  <pageSetup orientation="portrait" horizontalDpi="30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Q75"/>
  <sheetViews>
    <sheetView showGridLines="0" workbookViewId="0"/>
  </sheetViews>
  <sheetFormatPr defaultRowHeight="12.75" x14ac:dyDescent="0.2"/>
  <cols>
    <col min="2" max="2" width="1.28515625" customWidth="1"/>
    <col min="3" max="3" width="9.28515625" bestFit="1" customWidth="1"/>
    <col min="4" max="4" width="1.7109375" customWidth="1"/>
    <col min="5" max="5" width="12.140625" style="1" customWidth="1"/>
    <col min="6" max="6" width="16.42578125" style="1" customWidth="1"/>
    <col min="7" max="7" width="8.5703125" style="1" customWidth="1"/>
    <col min="8" max="8" width="11.42578125" style="1" customWidth="1"/>
    <col min="9" max="9" width="9.140625" style="1"/>
    <col min="11" max="11" width="9.140625" style="1"/>
    <col min="12" max="12" width="9.140625" style="2"/>
    <col min="18" max="18" width="3" customWidth="1"/>
  </cols>
  <sheetData>
    <row r="2" spans="1:17" ht="15.75" x14ac:dyDescent="0.25">
      <c r="C2" s="3" t="s">
        <v>202</v>
      </c>
      <c r="D2" s="1"/>
      <c r="F2"/>
      <c r="G2" s="27"/>
      <c r="H2" s="27"/>
      <c r="I2" s="27"/>
    </row>
    <row r="3" spans="1:17" x14ac:dyDescent="0.2">
      <c r="C3" s="178" t="s">
        <v>68</v>
      </c>
      <c r="D3" s="1"/>
      <c r="F3"/>
      <c r="G3" s="27"/>
      <c r="H3" s="27"/>
      <c r="I3" s="27"/>
    </row>
    <row r="4" spans="1:17" ht="15.75" x14ac:dyDescent="0.25">
      <c r="D4" s="179" t="s">
        <v>69</v>
      </c>
      <c r="F4"/>
      <c r="G4" s="27"/>
      <c r="H4" s="27"/>
      <c r="I4" s="27"/>
      <c r="K4" s="467" t="s">
        <v>190</v>
      </c>
      <c r="L4" s="468" t="s">
        <v>77</v>
      </c>
      <c r="M4" s="469"/>
      <c r="N4" s="469"/>
      <c r="O4" s="469"/>
      <c r="P4" s="469"/>
      <c r="Q4" s="469"/>
    </row>
    <row r="5" spans="1:17" ht="15" x14ac:dyDescent="0.2">
      <c r="C5" s="178" t="s">
        <v>70</v>
      </c>
      <c r="D5" s="1"/>
      <c r="F5"/>
      <c r="K5" s="467"/>
      <c r="L5" s="470"/>
      <c r="M5" s="469"/>
      <c r="N5" s="469"/>
      <c r="O5" s="469"/>
      <c r="P5" s="469"/>
      <c r="Q5" s="469"/>
    </row>
    <row r="6" spans="1:17" ht="15" x14ac:dyDescent="0.2">
      <c r="C6" s="178"/>
      <c r="D6" s="1"/>
      <c r="F6"/>
      <c r="K6" s="467"/>
      <c r="L6" s="470" t="s">
        <v>300</v>
      </c>
      <c r="M6" s="469"/>
      <c r="N6" s="469"/>
      <c r="O6" s="469"/>
      <c r="P6" s="469"/>
      <c r="Q6" s="469"/>
    </row>
    <row r="7" spans="1:17" ht="15" x14ac:dyDescent="0.2">
      <c r="A7" s="6"/>
      <c r="B7" s="6"/>
      <c r="C7" s="6"/>
      <c r="D7" s="6"/>
      <c r="E7" s="32"/>
      <c r="F7" s="32"/>
      <c r="G7" s="32"/>
      <c r="H7" s="32"/>
      <c r="I7" s="32"/>
      <c r="J7" s="6"/>
      <c r="K7" s="467"/>
      <c r="L7" s="470" t="s">
        <v>78</v>
      </c>
      <c r="M7" s="469"/>
      <c r="N7" s="469"/>
      <c r="O7" s="469"/>
      <c r="P7" s="469"/>
      <c r="Q7" s="469"/>
    </row>
    <row r="8" spans="1:17" ht="15" x14ac:dyDescent="0.2">
      <c r="A8" s="6"/>
      <c r="B8" s="6"/>
      <c r="C8" s="6"/>
      <c r="D8" s="6"/>
      <c r="E8" s="32"/>
      <c r="F8" s="32"/>
      <c r="G8" s="32"/>
      <c r="H8" s="32"/>
      <c r="I8" s="32"/>
      <c r="J8" s="6"/>
      <c r="K8" s="467"/>
      <c r="L8" s="470" t="s">
        <v>74</v>
      </c>
      <c r="M8" s="469"/>
      <c r="N8" s="469"/>
      <c r="O8" s="469"/>
      <c r="P8" s="469"/>
      <c r="Q8" s="469"/>
    </row>
    <row r="9" spans="1:17" ht="15" x14ac:dyDescent="0.2">
      <c r="A9" s="6"/>
      <c r="B9" s="6"/>
      <c r="C9" s="6"/>
      <c r="D9" s="6"/>
      <c r="E9" s="32"/>
      <c r="F9" s="32"/>
      <c r="G9" s="32"/>
      <c r="H9" s="32"/>
      <c r="I9" s="32"/>
      <c r="J9" s="6"/>
      <c r="K9" s="467"/>
      <c r="L9" s="470" t="s">
        <v>103</v>
      </c>
      <c r="M9" s="469"/>
      <c r="N9" s="469"/>
      <c r="O9" s="469"/>
      <c r="P9" s="469"/>
      <c r="Q9" s="469"/>
    </row>
    <row r="10" spans="1:17" ht="15" x14ac:dyDescent="0.2">
      <c r="A10" s="6"/>
      <c r="B10" s="6"/>
      <c r="C10" s="6"/>
      <c r="D10" s="6"/>
      <c r="E10" s="32"/>
      <c r="F10" s="32"/>
      <c r="G10" s="32"/>
      <c r="H10" s="32"/>
      <c r="I10" s="32"/>
      <c r="J10" s="6"/>
      <c r="K10" s="467"/>
      <c r="L10" s="470" t="s">
        <v>79</v>
      </c>
      <c r="M10" s="469"/>
      <c r="N10" s="469"/>
      <c r="O10" s="469"/>
      <c r="P10" s="469"/>
      <c r="Q10" s="469"/>
    </row>
    <row r="11" spans="1:17" ht="15" x14ac:dyDescent="0.2">
      <c r="A11" s="6"/>
      <c r="B11" s="6"/>
      <c r="C11" s="6"/>
      <c r="D11" s="6"/>
      <c r="E11" s="32"/>
      <c r="F11" s="32"/>
      <c r="G11" s="32"/>
      <c r="H11" s="32"/>
      <c r="I11" s="32"/>
      <c r="J11" s="6"/>
      <c r="K11" s="467"/>
      <c r="L11" s="470" t="s">
        <v>80</v>
      </c>
      <c r="M11" s="469"/>
      <c r="N11" s="469"/>
      <c r="O11" s="469"/>
      <c r="P11" s="469"/>
      <c r="Q11" s="469"/>
    </row>
    <row r="12" spans="1:17" ht="15" x14ac:dyDescent="0.2">
      <c r="A12" s="6"/>
      <c r="B12" s="6"/>
      <c r="C12" s="6"/>
      <c r="D12" s="6"/>
      <c r="E12" s="32"/>
      <c r="F12" s="32"/>
      <c r="G12" s="32"/>
      <c r="H12" s="32"/>
      <c r="I12" s="32"/>
      <c r="J12" s="6"/>
      <c r="K12" s="467"/>
      <c r="L12" s="470" t="s">
        <v>192</v>
      </c>
      <c r="M12" s="469"/>
      <c r="N12" s="469"/>
      <c r="O12" s="469"/>
      <c r="P12" s="469"/>
      <c r="Q12" s="469"/>
    </row>
    <row r="13" spans="1:17" ht="15" x14ac:dyDescent="0.2">
      <c r="A13" s="6"/>
      <c r="B13" s="6"/>
      <c r="C13" s="6"/>
      <c r="D13" s="6"/>
      <c r="E13" s="32"/>
      <c r="F13" s="32"/>
      <c r="G13" s="32"/>
      <c r="H13" s="32"/>
      <c r="I13" s="32"/>
      <c r="J13" s="6"/>
      <c r="K13" s="467"/>
      <c r="L13" s="470"/>
      <c r="M13" s="469"/>
      <c r="N13" s="469"/>
      <c r="O13" s="469"/>
      <c r="P13" s="469"/>
      <c r="Q13" s="469"/>
    </row>
    <row r="14" spans="1:17" ht="15" x14ac:dyDescent="0.2">
      <c r="A14" s="6"/>
      <c r="B14" s="6"/>
      <c r="C14" s="6"/>
      <c r="D14" s="6"/>
      <c r="E14" s="32"/>
      <c r="F14" s="32"/>
      <c r="G14" s="32"/>
      <c r="H14" s="32"/>
      <c r="I14" s="32"/>
      <c r="J14" s="6"/>
      <c r="K14" s="467"/>
      <c r="L14" s="470" t="s">
        <v>193</v>
      </c>
      <c r="M14" s="469"/>
      <c r="N14" s="469"/>
      <c r="O14" s="469"/>
      <c r="P14" s="469"/>
      <c r="Q14" s="469"/>
    </row>
    <row r="15" spans="1:17" ht="15" x14ac:dyDescent="0.2">
      <c r="A15" s="6"/>
      <c r="B15" s="6"/>
      <c r="C15" s="6"/>
      <c r="D15" s="6"/>
      <c r="E15" s="32"/>
      <c r="F15" s="32"/>
      <c r="G15" s="32"/>
      <c r="H15" s="32"/>
      <c r="I15" s="32"/>
      <c r="J15" s="6"/>
      <c r="K15" s="467"/>
      <c r="L15" s="470"/>
      <c r="M15" s="469" t="s">
        <v>194</v>
      </c>
      <c r="N15" s="469"/>
      <c r="O15" s="469"/>
      <c r="P15" s="469"/>
      <c r="Q15" s="469"/>
    </row>
    <row r="16" spans="1:17" ht="15" x14ac:dyDescent="0.2">
      <c r="A16" s="6"/>
      <c r="B16" s="6"/>
      <c r="C16" s="6"/>
      <c r="D16" s="6"/>
      <c r="E16" s="32"/>
      <c r="F16" s="32"/>
      <c r="G16" s="32"/>
      <c r="H16" s="32"/>
      <c r="I16" s="32"/>
      <c r="J16" s="6"/>
      <c r="K16" s="469"/>
      <c r="L16" s="470"/>
      <c r="M16" s="469" t="s">
        <v>195</v>
      </c>
      <c r="N16" s="469"/>
      <c r="O16" s="469"/>
      <c r="P16" s="469"/>
      <c r="Q16" s="469"/>
    </row>
    <row r="17" spans="1:17" ht="15" x14ac:dyDescent="0.2">
      <c r="A17" s="6"/>
      <c r="B17" s="6"/>
      <c r="C17" s="6"/>
      <c r="D17" s="6"/>
      <c r="E17" s="32"/>
      <c r="F17" s="32"/>
      <c r="G17" s="32"/>
      <c r="H17" s="32"/>
      <c r="I17" s="32"/>
      <c r="J17" s="6"/>
      <c r="K17" s="467"/>
      <c r="L17" s="470"/>
      <c r="M17" s="469"/>
      <c r="N17" s="469"/>
      <c r="O17" s="469"/>
      <c r="P17" s="469"/>
      <c r="Q17" s="469"/>
    </row>
    <row r="18" spans="1:17" ht="15" x14ac:dyDescent="0.2">
      <c r="A18" s="6"/>
      <c r="B18" s="6"/>
      <c r="C18" s="6"/>
      <c r="D18" s="6"/>
      <c r="E18" s="32"/>
      <c r="F18" s="32"/>
      <c r="G18" s="32"/>
      <c r="H18" s="32"/>
      <c r="I18" s="32"/>
      <c r="J18" s="6"/>
      <c r="K18" s="467"/>
      <c r="L18" s="470"/>
      <c r="M18" s="469"/>
      <c r="N18" s="469"/>
      <c r="O18" s="469"/>
      <c r="P18" s="469"/>
      <c r="Q18" s="469"/>
    </row>
    <row r="19" spans="1:17" ht="15" x14ac:dyDescent="0.2">
      <c r="A19" s="6"/>
      <c r="B19" s="6"/>
      <c r="C19" s="6"/>
      <c r="D19" s="6"/>
      <c r="E19" s="32"/>
      <c r="F19" s="32"/>
      <c r="G19" s="32"/>
      <c r="H19" s="32"/>
      <c r="I19" s="32"/>
      <c r="J19" s="6"/>
      <c r="K19" s="467" t="s">
        <v>191</v>
      </c>
      <c r="L19" s="470" t="s">
        <v>301</v>
      </c>
      <c r="M19" s="469"/>
      <c r="N19" s="469"/>
      <c r="O19" s="469"/>
      <c r="P19" s="469"/>
      <c r="Q19" s="469"/>
    </row>
    <row r="20" spans="1:17" ht="15" x14ac:dyDescent="0.2">
      <c r="A20" s="6"/>
      <c r="B20" s="6"/>
      <c r="C20" s="6"/>
      <c r="D20" s="6"/>
      <c r="E20" s="32"/>
      <c r="F20" s="32"/>
      <c r="G20" s="32"/>
      <c r="H20" s="32"/>
      <c r="I20" s="32"/>
      <c r="J20" s="6"/>
      <c r="K20" s="467"/>
      <c r="L20" s="470" t="s">
        <v>81</v>
      </c>
      <c r="M20" s="469"/>
      <c r="N20" s="469"/>
      <c r="O20" s="469"/>
      <c r="P20" s="469"/>
      <c r="Q20" s="469"/>
    </row>
    <row r="21" spans="1:17" ht="15" x14ac:dyDescent="0.2">
      <c r="A21" s="6"/>
      <c r="B21" s="6"/>
      <c r="C21" s="6"/>
      <c r="D21" s="6"/>
      <c r="E21" s="32"/>
      <c r="F21" s="32"/>
      <c r="G21" s="32"/>
      <c r="H21" s="32"/>
      <c r="I21" s="32"/>
      <c r="J21" s="6"/>
      <c r="K21" s="467"/>
      <c r="L21" s="470" t="s">
        <v>187</v>
      </c>
      <c r="M21" s="469"/>
      <c r="N21" s="469"/>
      <c r="O21" s="469"/>
      <c r="P21" s="469"/>
      <c r="Q21" s="469"/>
    </row>
    <row r="22" spans="1:17" ht="15" x14ac:dyDescent="0.2">
      <c r="A22" s="6"/>
      <c r="B22" s="6"/>
      <c r="C22" s="6"/>
      <c r="D22" s="6"/>
      <c r="E22" s="32"/>
      <c r="F22" s="32"/>
      <c r="G22" s="32"/>
      <c r="H22" s="32"/>
      <c r="I22" s="32"/>
      <c r="J22" s="6"/>
      <c r="K22" s="467"/>
      <c r="L22" s="470" t="s">
        <v>188</v>
      </c>
      <c r="M22" s="469"/>
      <c r="N22" s="469"/>
      <c r="O22" s="469"/>
      <c r="P22" s="469"/>
      <c r="Q22" s="469"/>
    </row>
    <row r="23" spans="1:17" ht="15" x14ac:dyDescent="0.2">
      <c r="A23" s="6"/>
      <c r="B23" s="6"/>
      <c r="C23" s="6"/>
      <c r="D23" s="6"/>
      <c r="E23" s="32"/>
      <c r="F23" s="32"/>
      <c r="G23" s="32"/>
      <c r="H23" s="32"/>
      <c r="I23" s="32"/>
      <c r="J23" s="6"/>
      <c r="K23" s="467"/>
      <c r="L23" s="470" t="s">
        <v>189</v>
      </c>
      <c r="M23" s="469"/>
      <c r="N23" s="469"/>
      <c r="O23" s="469"/>
      <c r="P23" s="469"/>
      <c r="Q23" s="469"/>
    </row>
    <row r="24" spans="1:17" ht="15" x14ac:dyDescent="0.2">
      <c r="A24" s="6"/>
      <c r="B24" s="6"/>
      <c r="C24" s="6"/>
      <c r="D24" s="6"/>
      <c r="E24" s="32"/>
      <c r="F24" s="32"/>
      <c r="G24" s="32"/>
      <c r="H24" s="32"/>
      <c r="I24" s="32"/>
      <c r="J24" s="6"/>
      <c r="K24" s="467"/>
    </row>
    <row r="25" spans="1:17" ht="15" x14ac:dyDescent="0.2">
      <c r="A25" s="6"/>
      <c r="B25" s="6"/>
      <c r="C25" s="6"/>
      <c r="D25" s="6"/>
      <c r="E25" s="32"/>
      <c r="F25" s="32"/>
      <c r="G25" s="32"/>
      <c r="H25" s="32"/>
      <c r="I25" s="32"/>
      <c r="J25" s="6"/>
      <c r="K25" s="467"/>
      <c r="L25" s="470" t="s">
        <v>75</v>
      </c>
      <c r="M25" s="469"/>
      <c r="N25" s="469"/>
      <c r="O25" s="469"/>
      <c r="P25" s="469"/>
      <c r="Q25" s="469"/>
    </row>
    <row r="26" spans="1:17" ht="15" customHeight="1" x14ac:dyDescent="0.2">
      <c r="A26" s="6"/>
      <c r="B26" s="31"/>
      <c r="C26" s="31"/>
      <c r="D26" s="31"/>
      <c r="E26" s="45"/>
      <c r="F26" s="45"/>
      <c r="G26" s="45"/>
      <c r="H26" s="45"/>
      <c r="I26" s="45"/>
      <c r="J26" s="6"/>
      <c r="K26" s="467"/>
      <c r="L26" s="470" t="s">
        <v>76</v>
      </c>
      <c r="M26" s="469"/>
      <c r="N26" s="469"/>
      <c r="O26" s="469"/>
      <c r="P26" s="469"/>
      <c r="Q26" s="469"/>
    </row>
    <row r="27" spans="1:17" ht="15.75" x14ac:dyDescent="0.25">
      <c r="A27" s="6"/>
      <c r="B27" s="33"/>
      <c r="C27" s="431" t="s">
        <v>0</v>
      </c>
      <c r="D27" s="34"/>
      <c r="E27" s="35"/>
      <c r="F27" s="35"/>
      <c r="G27" s="35"/>
      <c r="H27" s="35"/>
      <c r="I27" s="36"/>
      <c r="J27" s="6"/>
      <c r="K27" s="467"/>
      <c r="L27" s="470" t="s">
        <v>184</v>
      </c>
      <c r="M27" s="469"/>
      <c r="N27" s="469"/>
      <c r="O27" s="469"/>
      <c r="P27" s="469"/>
      <c r="Q27" s="469"/>
    </row>
    <row r="28" spans="1:17" ht="15" x14ac:dyDescent="0.2">
      <c r="A28" s="6"/>
      <c r="B28" s="28"/>
      <c r="C28" s="39">
        <v>1000</v>
      </c>
      <c r="D28" s="6"/>
      <c r="E28" s="40" t="s">
        <v>6</v>
      </c>
      <c r="F28" s="37"/>
      <c r="G28" s="41">
        <f>+C28*(1-C29)</f>
        <v>1000</v>
      </c>
      <c r="H28" s="40" t="s">
        <v>7</v>
      </c>
      <c r="I28" s="38"/>
      <c r="J28" s="6"/>
      <c r="K28" s="467"/>
      <c r="L28" s="470"/>
      <c r="M28" s="469"/>
      <c r="N28" s="469"/>
      <c r="O28" s="469"/>
      <c r="P28" s="469"/>
      <c r="Q28" s="469"/>
    </row>
    <row r="29" spans="1:17" ht="15" x14ac:dyDescent="0.2">
      <c r="A29" s="6"/>
      <c r="B29" s="28"/>
      <c r="C29" s="42">
        <v>0</v>
      </c>
      <c r="D29" s="6"/>
      <c r="E29" s="40" t="s">
        <v>185</v>
      </c>
      <c r="F29" s="37"/>
      <c r="G29" s="37"/>
      <c r="H29" s="37"/>
      <c r="I29" s="38"/>
      <c r="J29" s="6"/>
      <c r="K29" s="467"/>
      <c r="L29" s="470"/>
      <c r="M29" s="469"/>
      <c r="N29" s="469"/>
      <c r="O29" s="469"/>
      <c r="P29" s="469"/>
      <c r="Q29" s="469"/>
    </row>
    <row r="30" spans="1:17" ht="15" x14ac:dyDescent="0.2">
      <c r="A30" s="6"/>
      <c r="B30" s="28"/>
      <c r="C30" s="42">
        <v>0.2</v>
      </c>
      <c r="D30" s="6"/>
      <c r="E30" s="40" t="s">
        <v>186</v>
      </c>
      <c r="F30" s="37"/>
      <c r="G30" s="43">
        <f>C30-C29</f>
        <v>0.2</v>
      </c>
      <c r="H30" s="40" t="s">
        <v>11</v>
      </c>
      <c r="I30" s="38"/>
      <c r="J30" s="6"/>
      <c r="K30" s="467"/>
      <c r="L30" s="470"/>
      <c r="M30" s="469"/>
      <c r="N30" s="469"/>
      <c r="O30" s="469"/>
      <c r="P30" s="469"/>
      <c r="Q30" s="469"/>
    </row>
    <row r="31" spans="1:17" ht="15" x14ac:dyDescent="0.2">
      <c r="A31" s="6"/>
      <c r="B31" s="28"/>
      <c r="C31" s="42">
        <v>0.15</v>
      </c>
      <c r="D31" s="6"/>
      <c r="E31" s="40" t="s">
        <v>1</v>
      </c>
      <c r="F31" s="37"/>
      <c r="G31" s="37"/>
      <c r="H31" s="37"/>
      <c r="I31" s="38"/>
      <c r="J31" s="6"/>
      <c r="K31" s="467" t="s">
        <v>196</v>
      </c>
      <c r="L31" s="470" t="s">
        <v>206</v>
      </c>
      <c r="M31" s="469"/>
      <c r="N31" s="469"/>
      <c r="O31" s="469"/>
      <c r="P31" s="469"/>
      <c r="Q31" s="469"/>
    </row>
    <row r="32" spans="1:17" ht="15" x14ac:dyDescent="0.2">
      <c r="A32" s="6"/>
      <c r="B32" s="28"/>
      <c r="C32" s="42">
        <v>0.06</v>
      </c>
      <c r="D32" s="6"/>
      <c r="E32" s="40" t="s">
        <v>4</v>
      </c>
      <c r="F32" s="37"/>
      <c r="G32" s="44">
        <f>+C32*(1-C31)</f>
        <v>5.0999999999999997E-2</v>
      </c>
      <c r="H32" s="40" t="s">
        <v>5</v>
      </c>
      <c r="I32" s="38"/>
      <c r="J32" s="6"/>
      <c r="K32" s="467"/>
      <c r="L32" s="470" t="s">
        <v>302</v>
      </c>
      <c r="M32" s="469"/>
      <c r="N32" s="469"/>
      <c r="O32" s="469"/>
      <c r="P32" s="469"/>
      <c r="Q32" s="469"/>
    </row>
    <row r="33" spans="1:17" ht="15" x14ac:dyDescent="0.2">
      <c r="A33" s="6"/>
      <c r="B33" s="29"/>
      <c r="C33" s="31"/>
      <c r="D33" s="31"/>
      <c r="E33" s="45"/>
      <c r="F33" s="45"/>
      <c r="G33" s="45"/>
      <c r="H33" s="45"/>
      <c r="I33" s="46"/>
      <c r="J33" s="6"/>
      <c r="K33" s="467"/>
      <c r="L33" s="470"/>
      <c r="M33" s="469"/>
      <c r="N33" s="469"/>
      <c r="O33" s="469"/>
      <c r="P33" s="469"/>
      <c r="Q33" s="469"/>
    </row>
    <row r="34" spans="1:17" ht="14.25" x14ac:dyDescent="0.2">
      <c r="A34" s="6"/>
      <c r="B34" s="6"/>
      <c r="C34" s="6"/>
      <c r="D34" s="6"/>
      <c r="E34" s="32"/>
      <c r="F34" s="32"/>
      <c r="G34" s="32"/>
      <c r="H34" s="32"/>
      <c r="I34" s="32"/>
      <c r="J34" s="6"/>
    </row>
    <row r="35" spans="1:17" ht="14.25" x14ac:dyDescent="0.2">
      <c r="A35" s="6"/>
      <c r="B35" s="6"/>
      <c r="C35" s="6" t="s">
        <v>2</v>
      </c>
      <c r="D35" s="6"/>
      <c r="E35" s="32" t="s">
        <v>10</v>
      </c>
      <c r="F35" s="32" t="s">
        <v>8</v>
      </c>
      <c r="G35" s="32"/>
      <c r="H35" s="32" t="s">
        <v>12</v>
      </c>
      <c r="I35" s="32" t="s">
        <v>14</v>
      </c>
      <c r="J35" s="6"/>
    </row>
    <row r="36" spans="1:17" ht="14.25" x14ac:dyDescent="0.2">
      <c r="A36" s="6"/>
      <c r="B36" s="6"/>
      <c r="C36" s="6"/>
      <c r="D36" s="6"/>
      <c r="E36" s="32" t="s">
        <v>3</v>
      </c>
      <c r="F36" s="32" t="s">
        <v>9</v>
      </c>
      <c r="G36" s="32"/>
      <c r="H36" s="32" t="s">
        <v>13</v>
      </c>
      <c r="I36" s="32" t="s">
        <v>15</v>
      </c>
      <c r="J36" s="6"/>
    </row>
    <row r="37" spans="1:17" ht="14.25" x14ac:dyDescent="0.2">
      <c r="A37" s="6"/>
      <c r="B37" s="6"/>
      <c r="C37" s="6"/>
      <c r="D37" s="6"/>
      <c r="E37" s="32"/>
      <c r="F37" s="32"/>
      <c r="G37" s="32"/>
      <c r="H37" s="32"/>
      <c r="I37" s="32"/>
      <c r="J37" s="6"/>
    </row>
    <row r="38" spans="1:17" ht="14.25" x14ac:dyDescent="0.2">
      <c r="A38" s="6"/>
      <c r="B38" s="6"/>
      <c r="C38" s="6">
        <v>1</v>
      </c>
      <c r="D38" s="6"/>
      <c r="E38" s="32">
        <f>FV($C$32,C38,0,-$G$28)-FV($G$32,C38,0,-$G$28)</f>
        <v>9</v>
      </c>
      <c r="F38" s="32">
        <f>-FV($C$32,C38,0,$C$28)*$G$30</f>
        <v>212</v>
      </c>
      <c r="G38" s="32"/>
      <c r="H38" s="32">
        <f>+E38-F38</f>
        <v>-203</v>
      </c>
      <c r="I38" s="32">
        <f t="shared" ref="I38:I72" si="0">FV($C$32,C38,0,-$C$28)*(1-$C$30)-FV($G$32,C38,0,-$G$28)</f>
        <v>-203</v>
      </c>
      <c r="J38" s="6"/>
    </row>
    <row r="39" spans="1:17" ht="14.25" x14ac:dyDescent="0.2">
      <c r="A39" s="6"/>
      <c r="B39" s="6"/>
      <c r="C39" s="6">
        <f>+C38+1</f>
        <v>2</v>
      </c>
      <c r="D39" s="6"/>
      <c r="E39" s="32">
        <f>FV($C$32,C39,0,-$G$28)-FV($G$32,C39,0,-$G$28)</f>
        <v>18.999000000000251</v>
      </c>
      <c r="F39" s="32">
        <f t="shared" ref="F39:F72" si="1">-FV($C$32,C39,0,$C$28)*$G$30</f>
        <v>224.72000000000003</v>
      </c>
      <c r="G39" s="32"/>
      <c r="H39" s="32">
        <f t="shared" ref="H39:H72" si="2">+E39-F39</f>
        <v>-205.72099999999978</v>
      </c>
      <c r="I39" s="32">
        <f t="shared" si="0"/>
        <v>-205.72099999999978</v>
      </c>
      <c r="J39" s="6"/>
    </row>
    <row r="40" spans="1:17" ht="14.25" x14ac:dyDescent="0.2">
      <c r="A40" s="6"/>
      <c r="B40" s="6"/>
      <c r="C40" s="6">
        <f t="shared" ref="C40:C72" si="3">+C39+1</f>
        <v>3</v>
      </c>
      <c r="D40" s="6"/>
      <c r="E40" s="32">
        <f t="shared" ref="E40:E72" si="4">FV($C$32,C40,0,-$G$28)-FV($G$32,C40,0,-$G$28)</f>
        <v>30.080349000000297</v>
      </c>
      <c r="F40" s="32">
        <f t="shared" si="1"/>
        <v>238.20320000000007</v>
      </c>
      <c r="G40" s="32"/>
      <c r="H40" s="32">
        <f t="shared" si="2"/>
        <v>-208.12285099999977</v>
      </c>
      <c r="I40" s="32">
        <f t="shared" si="0"/>
        <v>-208.12285099999974</v>
      </c>
      <c r="J40" s="6"/>
    </row>
    <row r="41" spans="1:17" ht="14.25" x14ac:dyDescent="0.2">
      <c r="A41" s="6"/>
      <c r="B41" s="6"/>
      <c r="C41" s="6">
        <f t="shared" si="3"/>
        <v>4</v>
      </c>
      <c r="D41" s="6"/>
      <c r="E41" s="32">
        <f t="shared" si="4"/>
        <v>42.333590799000376</v>
      </c>
      <c r="F41" s="32">
        <f t="shared" si="1"/>
        <v>252.49539200000009</v>
      </c>
      <c r="G41" s="32"/>
      <c r="H41" s="32">
        <f t="shared" si="2"/>
        <v>-210.16180120099972</v>
      </c>
      <c r="I41" s="32">
        <f t="shared" si="0"/>
        <v>-210.16180120099966</v>
      </c>
      <c r="J41" s="6"/>
    </row>
    <row r="42" spans="1:17" ht="14.25" x14ac:dyDescent="0.2">
      <c r="A42" s="6"/>
      <c r="B42" s="6"/>
      <c r="C42" s="6">
        <f t="shared" si="3"/>
        <v>5</v>
      </c>
      <c r="D42" s="6"/>
      <c r="E42" s="32">
        <f t="shared" si="4"/>
        <v>55.854896569749599</v>
      </c>
      <c r="F42" s="32">
        <f t="shared" si="1"/>
        <v>267.6451155200001</v>
      </c>
      <c r="G42" s="32"/>
      <c r="H42" s="32">
        <f t="shared" si="2"/>
        <v>-211.79021895025051</v>
      </c>
      <c r="I42" s="32">
        <f t="shared" si="0"/>
        <v>-211.79021895025039</v>
      </c>
      <c r="J42" s="6"/>
    </row>
    <row r="43" spans="1:17" ht="14.25" x14ac:dyDescent="0.2">
      <c r="A43" s="6"/>
      <c r="B43" s="6"/>
      <c r="C43" s="6">
        <f t="shared" si="3"/>
        <v>6</v>
      </c>
      <c r="D43" s="6"/>
      <c r="E43" s="32">
        <f t="shared" si="4"/>
        <v>70.747526493207033</v>
      </c>
      <c r="F43" s="32">
        <f t="shared" si="1"/>
        <v>283.70382245120015</v>
      </c>
      <c r="G43" s="32"/>
      <c r="H43" s="32">
        <f t="shared" si="2"/>
        <v>-212.95629595799312</v>
      </c>
      <c r="I43" s="32">
        <f t="shared" si="0"/>
        <v>-212.95629595799301</v>
      </c>
      <c r="J43" s="6"/>
    </row>
    <row r="44" spans="1:17" ht="14.25" x14ac:dyDescent="0.2">
      <c r="A44" s="6"/>
      <c r="B44" s="6"/>
      <c r="C44" s="6">
        <f t="shared" si="3"/>
        <v>7</v>
      </c>
      <c r="D44" s="6"/>
      <c r="E44" s="32">
        <f t="shared" si="4"/>
        <v>87.122322354664675</v>
      </c>
      <c r="F44" s="32">
        <f t="shared" si="1"/>
        <v>300.72605179827218</v>
      </c>
      <c r="G44" s="32"/>
      <c r="H44" s="32">
        <f t="shared" si="2"/>
        <v>-213.60372944360751</v>
      </c>
      <c r="I44" s="32">
        <f t="shared" si="0"/>
        <v>-213.60372944360734</v>
      </c>
      <c r="J44" s="6"/>
    </row>
    <row r="45" spans="1:17" ht="14.25" x14ac:dyDescent="0.2">
      <c r="A45" s="6"/>
      <c r="B45" s="6"/>
      <c r="C45" s="6">
        <f t="shared" si="3"/>
        <v>8</v>
      </c>
      <c r="D45" s="6"/>
      <c r="E45" s="32">
        <f t="shared" si="4"/>
        <v>105.0982331256746</v>
      </c>
      <c r="F45" s="32">
        <f t="shared" si="1"/>
        <v>318.7696149061685</v>
      </c>
      <c r="G45" s="32"/>
      <c r="H45" s="32">
        <f t="shared" si="2"/>
        <v>-213.6713817804939</v>
      </c>
      <c r="I45" s="32">
        <f t="shared" si="0"/>
        <v>-213.67138178049368</v>
      </c>
      <c r="J45" s="6"/>
    </row>
    <row r="46" spans="1:17" ht="14.25" x14ac:dyDescent="0.2">
      <c r="A46" s="6"/>
      <c r="B46" s="6"/>
      <c r="C46" s="6">
        <f t="shared" si="3"/>
        <v>9</v>
      </c>
      <c r="D46" s="6"/>
      <c r="E46" s="32">
        <f t="shared" si="4"/>
        <v>124.80287568586164</v>
      </c>
      <c r="F46" s="32">
        <f t="shared" si="1"/>
        <v>337.89579180053857</v>
      </c>
      <c r="G46" s="32"/>
      <c r="H46" s="32">
        <f t="shared" si="2"/>
        <v>-213.09291611467694</v>
      </c>
      <c r="I46" s="32">
        <f t="shared" si="0"/>
        <v>-213.09291611467688</v>
      </c>
      <c r="J46" s="6"/>
    </row>
    <row r="47" spans="1:17" ht="14.25" x14ac:dyDescent="0.2">
      <c r="A47" s="6"/>
      <c r="B47" s="6"/>
      <c r="C47" s="6">
        <f t="shared" si="3"/>
        <v>10</v>
      </c>
      <c r="D47" s="6"/>
      <c r="E47" s="32">
        <f t="shared" si="4"/>
        <v>146.37313297686524</v>
      </c>
      <c r="F47" s="32">
        <f t="shared" si="1"/>
        <v>358.16953930857096</v>
      </c>
      <c r="G47" s="32"/>
      <c r="H47" s="32">
        <f t="shared" si="2"/>
        <v>-211.79640633170573</v>
      </c>
      <c r="I47" s="32">
        <f t="shared" si="0"/>
        <v>-211.79640633170561</v>
      </c>
      <c r="J47" s="6"/>
    </row>
    <row r="48" spans="1:17" ht="14.25" x14ac:dyDescent="0.2">
      <c r="A48" s="6"/>
      <c r="B48" s="6"/>
      <c r="C48" s="6">
        <f t="shared" si="3"/>
        <v>11</v>
      </c>
      <c r="D48" s="6"/>
      <c r="E48" s="32">
        <f t="shared" si="4"/>
        <v>169.95579202757108</v>
      </c>
      <c r="F48" s="32">
        <f t="shared" si="1"/>
        <v>379.65971166708528</v>
      </c>
      <c r="G48" s="32"/>
      <c r="H48" s="32">
        <f t="shared" si="2"/>
        <v>-209.7039196395142</v>
      </c>
      <c r="I48" s="32">
        <f t="shared" si="0"/>
        <v>-209.70391963951397</v>
      </c>
      <c r="J48" s="6"/>
    </row>
    <row r="49" spans="1:10" ht="14.25" x14ac:dyDescent="0.2">
      <c r="A49" s="6"/>
      <c r="B49" s="6"/>
      <c r="C49" s="6">
        <f t="shared" si="3"/>
        <v>12</v>
      </c>
      <c r="D49" s="6"/>
      <c r="E49" s="32">
        <f t="shared" si="4"/>
        <v>195.70822444599617</v>
      </c>
      <c r="F49" s="32">
        <f t="shared" si="1"/>
        <v>402.43929436711039</v>
      </c>
      <c r="G49" s="32"/>
      <c r="H49" s="32">
        <f t="shared" si="2"/>
        <v>-206.73106992111423</v>
      </c>
      <c r="I49" s="32">
        <f t="shared" si="0"/>
        <v>-206.73106992111411</v>
      </c>
      <c r="J49" s="6"/>
    </row>
    <row r="50" spans="1:10" ht="14.25" x14ac:dyDescent="0.2">
      <c r="A50" s="6"/>
      <c r="B50" s="6"/>
      <c r="C50" s="6">
        <f t="shared" si="3"/>
        <v>13</v>
      </c>
      <c r="D50" s="6"/>
      <c r="E50" s="32">
        <f t="shared" si="4"/>
        <v>223.79911213926243</v>
      </c>
      <c r="F50" s="32">
        <f t="shared" si="1"/>
        <v>426.58565202913707</v>
      </c>
      <c r="G50" s="32"/>
      <c r="H50" s="32">
        <f t="shared" si="2"/>
        <v>-202.78653988987463</v>
      </c>
      <c r="I50" s="32">
        <f t="shared" si="0"/>
        <v>-202.78653988987458</v>
      </c>
      <c r="J50" s="6"/>
    </row>
    <row r="51" spans="1:10" ht="14.25" x14ac:dyDescent="0.2">
      <c r="A51" s="6"/>
      <c r="B51" s="6"/>
      <c r="C51" s="6">
        <f t="shared" si="3"/>
        <v>14</v>
      </c>
      <c r="D51" s="6"/>
      <c r="E51" s="32">
        <f t="shared" si="4"/>
        <v>254.40922119967581</v>
      </c>
      <c r="F51" s="32">
        <f t="shared" si="1"/>
        <v>452.18079115088523</v>
      </c>
      <c r="G51" s="32"/>
      <c r="H51" s="32">
        <f t="shared" si="2"/>
        <v>-197.77156995120941</v>
      </c>
      <c r="I51" s="32">
        <f t="shared" si="0"/>
        <v>-197.77156995120936</v>
      </c>
      <c r="J51" s="6"/>
    </row>
    <row r="52" spans="1:10" ht="14.25" x14ac:dyDescent="0.2">
      <c r="A52" s="6"/>
      <c r="B52" s="6"/>
      <c r="C52" s="6">
        <f t="shared" si="3"/>
        <v>15</v>
      </c>
      <c r="D52" s="6"/>
      <c r="E52" s="32">
        <f t="shared" si="4"/>
        <v>287.73222708264939</v>
      </c>
      <c r="F52" s="32">
        <f t="shared" si="1"/>
        <v>479.31163861993849</v>
      </c>
      <c r="G52" s="32"/>
      <c r="H52" s="32">
        <f t="shared" si="2"/>
        <v>-191.5794115372891</v>
      </c>
      <c r="I52" s="32">
        <f t="shared" si="0"/>
        <v>-191.57941153728893</v>
      </c>
      <c r="J52" s="6"/>
    </row>
    <row r="53" spans="1:10" ht="14.25" x14ac:dyDescent="0.2">
      <c r="A53" s="6"/>
      <c r="B53" s="6"/>
      <c r="C53" s="6">
        <f t="shared" si="3"/>
        <v>16</v>
      </c>
      <c r="D53" s="6"/>
      <c r="E53" s="32">
        <f t="shared" si="4"/>
        <v>323.97559440176155</v>
      </c>
      <c r="F53" s="32">
        <f t="shared" si="1"/>
        <v>508.0703369371347</v>
      </c>
      <c r="G53" s="32"/>
      <c r="H53" s="32">
        <f t="shared" si="2"/>
        <v>-184.09474253537314</v>
      </c>
      <c r="I53" s="32">
        <f t="shared" si="0"/>
        <v>-184.09474253537292</v>
      </c>
      <c r="J53" s="6"/>
    </row>
    <row r="54" spans="1:10" ht="14.25" x14ac:dyDescent="0.2">
      <c r="A54" s="6"/>
      <c r="B54" s="6"/>
      <c r="C54" s="6">
        <f t="shared" si="3"/>
        <v>17</v>
      </c>
      <c r="D54" s="6"/>
      <c r="E54" s="32">
        <f t="shared" si="4"/>
        <v>363.36151487842289</v>
      </c>
      <c r="F54" s="32">
        <f t="shared" si="1"/>
        <v>538.55455715336291</v>
      </c>
      <c r="G54" s="32"/>
      <c r="H54" s="32">
        <f t="shared" si="2"/>
        <v>-175.19304227494001</v>
      </c>
      <c r="I54" s="32">
        <f t="shared" si="0"/>
        <v>-175.19304227493967</v>
      </c>
      <c r="J54" s="6"/>
    </row>
    <row r="55" spans="1:10" ht="14.25" x14ac:dyDescent="0.2">
      <c r="A55" s="6"/>
      <c r="B55" s="6"/>
      <c r="C55" s="6">
        <f t="shared" si="3"/>
        <v>18</v>
      </c>
      <c r="D55" s="6"/>
      <c r="E55" s="32">
        <f t="shared" si="4"/>
        <v>406.1279072091238</v>
      </c>
      <c r="F55" s="32">
        <f t="shared" si="1"/>
        <v>570.86783058256458</v>
      </c>
      <c r="G55" s="32"/>
      <c r="H55" s="32">
        <f t="shared" si="2"/>
        <v>-164.73992337344077</v>
      </c>
      <c r="I55" s="32">
        <f t="shared" si="0"/>
        <v>-164.73992337344089</v>
      </c>
      <c r="J55" s="6"/>
    </row>
    <row r="56" spans="1:10" ht="14.25" x14ac:dyDescent="0.2">
      <c r="A56" s="6"/>
      <c r="B56" s="6"/>
      <c r="C56" s="6">
        <f t="shared" si="3"/>
        <v>19</v>
      </c>
      <c r="D56" s="6"/>
      <c r="E56" s="32">
        <f t="shared" si="4"/>
        <v>452.52948285300499</v>
      </c>
      <c r="F56" s="32">
        <f t="shared" si="1"/>
        <v>605.11990041751858</v>
      </c>
      <c r="G56" s="32"/>
      <c r="H56" s="32">
        <f t="shared" si="2"/>
        <v>-152.59041756451359</v>
      </c>
      <c r="I56" s="32">
        <f t="shared" si="0"/>
        <v>-152.59041756451325</v>
      </c>
      <c r="J56" s="6"/>
    </row>
    <row r="57" spans="1:10" ht="14.25" x14ac:dyDescent="0.2">
      <c r="A57" s="6"/>
      <c r="B57" s="6"/>
      <c r="C57" s="6">
        <f t="shared" si="3"/>
        <v>20</v>
      </c>
      <c r="D57" s="6"/>
      <c r="E57" s="32">
        <f t="shared" si="4"/>
        <v>502.83888199729608</v>
      </c>
      <c r="F57" s="32">
        <f t="shared" si="1"/>
        <v>641.42709444256968</v>
      </c>
      <c r="G57" s="32"/>
      <c r="H57" s="32">
        <f t="shared" si="2"/>
        <v>-138.5882124452736</v>
      </c>
      <c r="I57" s="32">
        <f t="shared" si="0"/>
        <v>-138.58821244527326</v>
      </c>
      <c r="J57" s="6"/>
    </row>
    <row r="58" spans="1:10" ht="14.25" x14ac:dyDescent="0.2">
      <c r="A58" s="6"/>
      <c r="B58" s="6"/>
      <c r="C58" s="6">
        <f t="shared" si="3"/>
        <v>21</v>
      </c>
      <c r="D58" s="6"/>
      <c r="E58" s="32">
        <f t="shared" si="4"/>
        <v>557.34788422907468</v>
      </c>
      <c r="F58" s="32">
        <f t="shared" si="1"/>
        <v>679.91272010912394</v>
      </c>
      <c r="G58" s="32"/>
      <c r="H58" s="32">
        <f t="shared" si="2"/>
        <v>-122.56483588004926</v>
      </c>
      <c r="I58" s="32">
        <f t="shared" si="0"/>
        <v>-122.56483588004903</v>
      </c>
      <c r="J58" s="6"/>
    </row>
    <row r="59" spans="1:10" ht="14.25" x14ac:dyDescent="0.2">
      <c r="A59" s="6"/>
      <c r="B59" s="6"/>
      <c r="C59" s="6">
        <f t="shared" si="3"/>
        <v>22</v>
      </c>
      <c r="D59" s="6"/>
      <c r="E59" s="32">
        <f t="shared" si="4"/>
        <v>616.36869872966827</v>
      </c>
      <c r="F59" s="32">
        <f t="shared" si="1"/>
        <v>720.70748331567142</v>
      </c>
      <c r="G59" s="32"/>
      <c r="H59" s="32">
        <f t="shared" si="2"/>
        <v>-104.33878458600316</v>
      </c>
      <c r="I59" s="32">
        <f t="shared" si="0"/>
        <v>-104.33878458600293</v>
      </c>
      <c r="J59" s="6"/>
    </row>
    <row r="60" spans="1:10" ht="14.25" x14ac:dyDescent="0.2">
      <c r="A60" s="6"/>
      <c r="B60" s="6"/>
      <c r="C60" s="6">
        <f t="shared" si="3"/>
        <v>23</v>
      </c>
      <c r="D60" s="6"/>
      <c r="E60" s="32">
        <f t="shared" si="4"/>
        <v>680.23533911408731</v>
      </c>
      <c r="F60" s="32">
        <f t="shared" si="1"/>
        <v>763.94993231461183</v>
      </c>
      <c r="G60" s="32"/>
      <c r="H60" s="32">
        <f t="shared" si="2"/>
        <v>-83.714593200524519</v>
      </c>
      <c r="I60" s="32">
        <f t="shared" si="0"/>
        <v>-83.714593200524178</v>
      </c>
      <c r="J60" s="6"/>
    </row>
    <row r="61" spans="1:10" ht="14.25" x14ac:dyDescent="0.2">
      <c r="A61" s="6"/>
      <c r="B61" s="6"/>
      <c r="C61" s="6">
        <f t="shared" si="3"/>
        <v>24</v>
      </c>
      <c r="D61" s="6"/>
      <c r="E61" s="32">
        <f t="shared" si="4"/>
        <v>749.30508836306262</v>
      </c>
      <c r="F61" s="32">
        <f t="shared" si="1"/>
        <v>809.78692825348844</v>
      </c>
      <c r="G61" s="32"/>
      <c r="H61" s="32">
        <f t="shared" si="2"/>
        <v>-60.481839890425817</v>
      </c>
      <c r="I61" s="32">
        <f t="shared" si="0"/>
        <v>-60.481839890425363</v>
      </c>
      <c r="J61" s="6"/>
    </row>
    <row r="62" spans="1:10" ht="14.25" x14ac:dyDescent="0.2">
      <c r="A62" s="6"/>
      <c r="B62" s="6"/>
      <c r="C62" s="6">
        <f t="shared" si="3"/>
        <v>25</v>
      </c>
      <c r="D62" s="6"/>
      <c r="E62" s="32">
        <f t="shared" si="4"/>
        <v>823.96005964098504</v>
      </c>
      <c r="F62" s="32">
        <f t="shared" si="1"/>
        <v>858.37414394869757</v>
      </c>
      <c r="G62" s="32"/>
      <c r="H62" s="32">
        <f t="shared" si="2"/>
        <v>-34.414084307712528</v>
      </c>
      <c r="I62" s="32">
        <f t="shared" si="0"/>
        <v>-34.414084307712528</v>
      </c>
      <c r="J62" s="6"/>
    </row>
    <row r="63" spans="1:10" ht="14.25" x14ac:dyDescent="0.2">
      <c r="A63" s="6"/>
      <c r="B63" s="6"/>
      <c r="C63" s="6">
        <f t="shared" si="3"/>
        <v>26</v>
      </c>
      <c r="D63" s="6"/>
      <c r="E63" s="32">
        <f t="shared" si="4"/>
        <v>904.60885916036796</v>
      </c>
      <c r="F63" s="32">
        <f t="shared" si="1"/>
        <v>909.87659258561962</v>
      </c>
      <c r="G63" s="32"/>
      <c r="H63" s="32">
        <f t="shared" si="2"/>
        <v>-5.267733425251663</v>
      </c>
      <c r="I63" s="32">
        <f t="shared" si="0"/>
        <v>-5.267733425251663</v>
      </c>
      <c r="J63" s="6"/>
    </row>
    <row r="64" spans="1:10" ht="14.25" x14ac:dyDescent="0.2">
      <c r="A64" s="6"/>
      <c r="B64" s="6"/>
      <c r="C64" s="6">
        <f t="shared" si="3"/>
        <v>27</v>
      </c>
      <c r="D64" s="6"/>
      <c r="E64" s="32">
        <f t="shared" si="4"/>
        <v>991.68835764389996</v>
      </c>
      <c r="F64" s="32">
        <f t="shared" si="1"/>
        <v>964.46918814075696</v>
      </c>
      <c r="G64" s="32"/>
      <c r="H64" s="32">
        <f t="shared" si="2"/>
        <v>27.219169503143007</v>
      </c>
      <c r="I64" s="32">
        <f t="shared" si="0"/>
        <v>27.219169503143348</v>
      </c>
      <c r="J64" s="6"/>
    </row>
    <row r="65" spans="1:11" ht="14.25" x14ac:dyDescent="0.2">
      <c r="A65" s="6"/>
      <c r="B65" s="6"/>
      <c r="C65" s="6">
        <f t="shared" si="3"/>
        <v>28</v>
      </c>
      <c r="D65" s="6"/>
      <c r="E65" s="32">
        <f t="shared" si="4"/>
        <v>1085.6655773500738</v>
      </c>
      <c r="F65" s="32">
        <f t="shared" si="1"/>
        <v>1022.3373394292025</v>
      </c>
      <c r="G65" s="32"/>
      <c r="H65" s="32">
        <f t="shared" si="2"/>
        <v>63.328237920871288</v>
      </c>
      <c r="I65" s="32">
        <f t="shared" si="0"/>
        <v>63.328237920871743</v>
      </c>
      <c r="J65" s="6"/>
    </row>
    <row r="66" spans="1:11" ht="14.25" x14ac:dyDescent="0.2">
      <c r="A66" s="6"/>
      <c r="B66" s="6"/>
      <c r="C66" s="6">
        <f t="shared" si="3"/>
        <v>29</v>
      </c>
      <c r="D66" s="6"/>
      <c r="E66" s="32">
        <f t="shared" si="4"/>
        <v>1187.0397020692417</v>
      </c>
      <c r="F66" s="32">
        <f t="shared" si="1"/>
        <v>1083.6775797949547</v>
      </c>
      <c r="G66" s="32"/>
      <c r="H66" s="32">
        <f t="shared" si="2"/>
        <v>103.362122274287</v>
      </c>
      <c r="I66" s="32">
        <f t="shared" si="0"/>
        <v>103.36212227428769</v>
      </c>
      <c r="J66" s="6"/>
    </row>
    <row r="67" spans="1:11" ht="14.25" x14ac:dyDescent="0.2">
      <c r="A67" s="6"/>
      <c r="B67" s="6"/>
      <c r="C67" s="6">
        <f t="shared" si="3"/>
        <v>30</v>
      </c>
      <c r="D67" s="6"/>
      <c r="E67" s="32">
        <f t="shared" si="4"/>
        <v>1296.3442179655458</v>
      </c>
      <c r="F67" s="32">
        <f t="shared" si="1"/>
        <v>1148.6982345826518</v>
      </c>
      <c r="G67" s="32"/>
      <c r="H67" s="32">
        <f t="shared" si="2"/>
        <v>147.64598338289397</v>
      </c>
      <c r="I67" s="32">
        <f t="shared" si="0"/>
        <v>147.64598338289397</v>
      </c>
      <c r="J67" s="6"/>
    </row>
    <row r="68" spans="1:11" ht="14.25" x14ac:dyDescent="0.2">
      <c r="A68" s="6"/>
      <c r="B68" s="6"/>
      <c r="C68" s="6">
        <f t="shared" si="3"/>
        <v>31</v>
      </c>
      <c r="D68" s="6"/>
      <c r="E68" s="32">
        <f t="shared" si="4"/>
        <v>1414.1491936380098</v>
      </c>
      <c r="F68" s="32">
        <f t="shared" si="1"/>
        <v>1217.6201286576113</v>
      </c>
      <c r="G68" s="32"/>
      <c r="H68" s="32">
        <f t="shared" si="2"/>
        <v>196.52906498039852</v>
      </c>
      <c r="I68" s="32">
        <f t="shared" si="0"/>
        <v>196.52906498039829</v>
      </c>
      <c r="J68" s="6"/>
    </row>
    <row r="69" spans="1:11" ht="14.25" x14ac:dyDescent="0.2">
      <c r="A69" s="6"/>
      <c r="B69" s="6"/>
      <c r="C69" s="6">
        <f t="shared" si="3"/>
        <v>32</v>
      </c>
      <c r="D69" s="6"/>
      <c r="E69" s="32">
        <f t="shared" si="4"/>
        <v>1541.0637083031397</v>
      </c>
      <c r="F69" s="32">
        <f t="shared" si="1"/>
        <v>1290.6773363770678</v>
      </c>
      <c r="G69" s="32"/>
      <c r="H69" s="32">
        <f t="shared" si="2"/>
        <v>250.38637192607189</v>
      </c>
      <c r="I69" s="32">
        <f t="shared" si="0"/>
        <v>250.38637192607257</v>
      </c>
      <c r="J69" s="6"/>
    </row>
    <row r="70" spans="1:11" ht="14.25" x14ac:dyDescent="0.2">
      <c r="A70" s="6"/>
      <c r="B70" s="6"/>
      <c r="C70" s="6">
        <f t="shared" si="3"/>
        <v>33</v>
      </c>
      <c r="D70" s="6"/>
      <c r="E70" s="32">
        <f t="shared" si="4"/>
        <v>1677.7384375635684</v>
      </c>
      <c r="F70" s="32">
        <f t="shared" si="1"/>
        <v>1368.1179765596919</v>
      </c>
      <c r="G70" s="32"/>
      <c r="H70" s="32">
        <f t="shared" si="2"/>
        <v>309.62046100387647</v>
      </c>
      <c r="I70" s="32">
        <f t="shared" si="0"/>
        <v>309.6204610038767</v>
      </c>
      <c r="J70" s="6"/>
    </row>
    <row r="71" spans="1:11" ht="14.25" x14ac:dyDescent="0.2">
      <c r="A71" s="6"/>
      <c r="B71" s="6"/>
      <c r="C71" s="6">
        <f t="shared" si="3"/>
        <v>34</v>
      </c>
      <c r="D71" s="6"/>
      <c r="E71" s="32">
        <f t="shared" si="4"/>
        <v>1824.8684068244984</v>
      </c>
      <c r="F71" s="32">
        <f t="shared" si="1"/>
        <v>1450.2050551532736</v>
      </c>
      <c r="G71" s="32"/>
      <c r="H71" s="32">
        <f t="shared" si="2"/>
        <v>374.66335167122475</v>
      </c>
      <c r="I71" s="32">
        <f t="shared" si="0"/>
        <v>374.66335167122543</v>
      </c>
      <c r="J71" s="6"/>
    </row>
    <row r="72" spans="1:11" ht="14.25" x14ac:dyDescent="0.2">
      <c r="A72" s="6"/>
      <c r="B72" s="6"/>
      <c r="C72" s="6">
        <f t="shared" si="3"/>
        <v>35</v>
      </c>
      <c r="D72" s="6"/>
      <c r="E72" s="32">
        <f t="shared" si="4"/>
        <v>1983.1959230544462</v>
      </c>
      <c r="F72" s="32">
        <f t="shared" si="1"/>
        <v>1537.2173584624702</v>
      </c>
      <c r="G72" s="32"/>
      <c r="H72" s="32">
        <f t="shared" si="2"/>
        <v>445.97856459197601</v>
      </c>
      <c r="I72" s="32">
        <f t="shared" si="0"/>
        <v>445.97856459197646</v>
      </c>
      <c r="J72" s="6"/>
    </row>
    <row r="73" spans="1:11" ht="14.25" x14ac:dyDescent="0.2">
      <c r="A73" s="6"/>
      <c r="B73" s="6"/>
      <c r="C73" s="6"/>
      <c r="D73" s="6"/>
      <c r="E73" s="32"/>
      <c r="F73" s="32"/>
      <c r="G73" s="32"/>
      <c r="H73" s="32"/>
      <c r="I73" s="32"/>
      <c r="J73" s="6"/>
      <c r="K73" s="2"/>
    </row>
    <row r="74" spans="1:11" ht="14.25" x14ac:dyDescent="0.2">
      <c r="A74" s="6"/>
      <c r="B74" s="6"/>
      <c r="C74" s="6"/>
      <c r="D74" s="6"/>
      <c r="E74" s="32"/>
      <c r="F74" s="32"/>
      <c r="G74" s="32"/>
      <c r="H74" s="32"/>
      <c r="I74" s="32"/>
      <c r="J74" s="6"/>
    </row>
    <row r="75" spans="1:11" ht="14.25" x14ac:dyDescent="0.2">
      <c r="A75" s="6"/>
      <c r="B75" s="6"/>
      <c r="C75" s="6"/>
      <c r="D75" s="6"/>
      <c r="E75" s="32"/>
      <c r="F75" s="32"/>
      <c r="G75" s="32"/>
      <c r="H75" s="32"/>
      <c r="I75" s="32"/>
      <c r="J75" s="6"/>
    </row>
  </sheetData>
  <pageMargins left="0.75" right="0.75" top="1" bottom="1" header="0.5" footer="0.5"/>
  <pageSetup orientation="portrait" horizontalDpi="300" verticalDpi="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538E9-C774-4149-A191-B8999D7B99ED}">
  <dimension ref="A2:V152"/>
  <sheetViews>
    <sheetView showGridLines="0" workbookViewId="0"/>
  </sheetViews>
  <sheetFormatPr defaultRowHeight="12.75" x14ac:dyDescent="0.2"/>
  <cols>
    <col min="1" max="1" width="9.5703125" customWidth="1"/>
    <col min="2" max="2" width="9.5703125" bestFit="1" customWidth="1"/>
    <col min="5" max="6" width="7.7109375" style="7" customWidth="1"/>
    <col min="7" max="7" width="4.140625" customWidth="1"/>
    <col min="11" max="12" width="7.7109375" style="7" customWidth="1"/>
    <col min="13" max="13" width="3.5703125" customWidth="1"/>
    <col min="17" max="18" width="7.7109375" style="7" customWidth="1"/>
    <col min="24" max="24" width="16.85546875" customWidth="1"/>
  </cols>
  <sheetData>
    <row r="2" spans="4:17" ht="15.75" x14ac:dyDescent="0.25">
      <c r="D2" s="3" t="s">
        <v>197</v>
      </c>
      <c r="G2" s="432" t="s">
        <v>201</v>
      </c>
      <c r="H2" s="4"/>
    </row>
    <row r="6" spans="4:17" x14ac:dyDescent="0.2">
      <c r="M6" s="326" t="s">
        <v>199</v>
      </c>
    </row>
    <row r="7" spans="4:17" x14ac:dyDescent="0.2">
      <c r="N7" s="326" t="s">
        <v>198</v>
      </c>
    </row>
    <row r="8" spans="4:17" x14ac:dyDescent="0.2">
      <c r="N8" s="326" t="s">
        <v>200</v>
      </c>
    </row>
    <row r="10" spans="4:17" x14ac:dyDescent="0.2">
      <c r="M10" s="326" t="s">
        <v>16</v>
      </c>
      <c r="Q10"/>
    </row>
    <row r="11" spans="4:17" x14ac:dyDescent="0.2">
      <c r="O11" t="s">
        <v>20</v>
      </c>
      <c r="Q11"/>
    </row>
    <row r="12" spans="4:17" x14ac:dyDescent="0.2">
      <c r="N12" s="326" t="s">
        <v>303</v>
      </c>
    </row>
    <row r="16" spans="4:17" x14ac:dyDescent="0.2">
      <c r="M16" s="4" t="s">
        <v>72</v>
      </c>
    </row>
    <row r="17" spans="1:22" x14ac:dyDescent="0.2">
      <c r="M17" s="178" t="s">
        <v>71</v>
      </c>
    </row>
    <row r="18" spans="1:22" x14ac:dyDescent="0.2">
      <c r="M18" s="178" t="s">
        <v>73</v>
      </c>
    </row>
    <row r="22" spans="1:22" x14ac:dyDescent="0.2">
      <c r="E22"/>
      <c r="F22"/>
      <c r="K22"/>
      <c r="L22"/>
    </row>
    <row r="23" spans="1:22" x14ac:dyDescent="0.2">
      <c r="E23"/>
      <c r="F23"/>
      <c r="K23"/>
      <c r="L23"/>
      <c r="R23"/>
    </row>
    <row r="24" spans="1:22" x14ac:dyDescent="0.2">
      <c r="E24"/>
      <c r="F24"/>
      <c r="K24"/>
      <c r="L24"/>
    </row>
    <row r="25" spans="1:22" ht="15" x14ac:dyDescent="0.25">
      <c r="A25" s="6"/>
      <c r="B25" s="6"/>
      <c r="C25" s="434"/>
      <c r="D25" s="6"/>
      <c r="E25" s="47"/>
      <c r="F25" s="47"/>
      <c r="G25" s="6"/>
      <c r="H25" s="6"/>
      <c r="I25" s="6"/>
      <c r="J25" s="6"/>
      <c r="K25" s="47"/>
      <c r="L25" s="47"/>
      <c r="M25" s="6"/>
      <c r="N25" s="6"/>
      <c r="O25" s="6"/>
      <c r="P25" s="6"/>
      <c r="Q25" s="47"/>
      <c r="R25" s="47"/>
      <c r="S25" s="6"/>
      <c r="T25" s="6"/>
      <c r="U25" s="6"/>
      <c r="V25" s="6"/>
    </row>
    <row r="26" spans="1:22" ht="15" x14ac:dyDescent="0.25">
      <c r="A26" s="6"/>
      <c r="B26" s="6"/>
      <c r="C26" s="48" t="s">
        <v>17</v>
      </c>
      <c r="D26" s="5"/>
      <c r="E26" s="47"/>
      <c r="F26" s="47"/>
      <c r="G26" s="6"/>
      <c r="H26" s="6"/>
      <c r="I26" s="49" t="s">
        <v>18</v>
      </c>
      <c r="J26" s="5"/>
      <c r="K26" s="47"/>
      <c r="L26" s="47"/>
      <c r="M26" s="6"/>
      <c r="N26" s="6"/>
      <c r="O26" s="50" t="s">
        <v>19</v>
      </c>
      <c r="P26" s="5"/>
      <c r="Q26" s="47"/>
      <c r="R26" s="47"/>
      <c r="S26" s="6"/>
      <c r="T26" s="6"/>
      <c r="U26" s="6"/>
      <c r="V26" s="6"/>
    </row>
    <row r="27" spans="1:22" ht="15" x14ac:dyDescent="0.25">
      <c r="A27" s="6"/>
      <c r="B27" s="8" t="s">
        <v>0</v>
      </c>
      <c r="C27" s="5"/>
      <c r="D27" s="5"/>
      <c r="E27" s="47"/>
      <c r="F27" s="47"/>
      <c r="G27" s="6"/>
      <c r="H27" s="8" t="s">
        <v>0</v>
      </c>
      <c r="I27" s="5"/>
      <c r="J27" s="5"/>
      <c r="K27" s="47"/>
      <c r="L27" s="47"/>
      <c r="M27" s="6"/>
      <c r="N27" s="8" t="s">
        <v>0</v>
      </c>
      <c r="O27" s="5"/>
      <c r="P27" s="5"/>
      <c r="Q27" s="47"/>
      <c r="R27" s="47"/>
      <c r="S27" s="6"/>
      <c r="T27" s="6"/>
      <c r="U27" s="6"/>
      <c r="V27" s="6"/>
    </row>
    <row r="28" spans="1:22" ht="15" x14ac:dyDescent="0.25">
      <c r="A28" s="6"/>
      <c r="B28" s="51">
        <v>1000</v>
      </c>
      <c r="C28" s="52" t="s">
        <v>21</v>
      </c>
      <c r="D28" s="52"/>
      <c r="E28" s="53"/>
      <c r="F28" s="53"/>
      <c r="G28" s="54"/>
      <c r="H28" s="55">
        <v>1000</v>
      </c>
      <c r="I28" s="52" t="s">
        <v>21</v>
      </c>
      <c r="J28" s="52"/>
      <c r="K28" s="53"/>
      <c r="L28" s="53"/>
      <c r="M28" s="54"/>
      <c r="N28" s="56">
        <v>1000</v>
      </c>
      <c r="O28" s="52" t="s">
        <v>21</v>
      </c>
      <c r="P28" s="52"/>
      <c r="Q28" s="47"/>
      <c r="R28" s="47"/>
      <c r="S28" s="6"/>
      <c r="T28" s="6"/>
      <c r="U28" s="6"/>
      <c r="V28" s="6"/>
    </row>
    <row r="29" spans="1:22" ht="15" x14ac:dyDescent="0.25">
      <c r="A29" s="6"/>
      <c r="B29" s="57">
        <v>0.03</v>
      </c>
      <c r="C29" s="58" t="s">
        <v>22</v>
      </c>
      <c r="D29" s="58"/>
      <c r="E29" s="47"/>
      <c r="F29" s="47"/>
      <c r="G29" s="58"/>
      <c r="H29" s="59">
        <v>0.06</v>
      </c>
      <c r="I29" s="58" t="s">
        <v>22</v>
      </c>
      <c r="J29" s="58"/>
      <c r="K29" s="47"/>
      <c r="L29" s="47"/>
      <c r="M29" s="58"/>
      <c r="N29" s="60">
        <v>0.03</v>
      </c>
      <c r="O29" s="58" t="s">
        <v>22</v>
      </c>
      <c r="P29" s="58"/>
      <c r="Q29" s="47"/>
      <c r="R29" s="47"/>
      <c r="S29" s="6"/>
      <c r="T29" s="6"/>
      <c r="U29" s="6"/>
      <c r="V29" s="6"/>
    </row>
    <row r="30" spans="1:22" ht="15" x14ac:dyDescent="0.25">
      <c r="A30" s="6"/>
      <c r="B30" s="61">
        <v>0.3</v>
      </c>
      <c r="C30" s="58" t="s">
        <v>23</v>
      </c>
      <c r="D30" s="58"/>
      <c r="E30" s="47"/>
      <c r="F30" s="47"/>
      <c r="G30" s="58"/>
      <c r="H30" s="62">
        <v>0.15</v>
      </c>
      <c r="I30" s="58" t="s">
        <v>23</v>
      </c>
      <c r="J30" s="58"/>
      <c r="K30" s="47"/>
      <c r="L30" s="47"/>
      <c r="M30" s="58"/>
      <c r="N30" s="63">
        <v>0.75</v>
      </c>
      <c r="O30" s="58" t="s">
        <v>23</v>
      </c>
      <c r="P30" s="58"/>
      <c r="Q30" s="47"/>
      <c r="R30" s="47"/>
      <c r="S30" s="6"/>
      <c r="T30" s="6"/>
      <c r="U30" s="6"/>
      <c r="V30" s="6"/>
    </row>
    <row r="31" spans="1:22" ht="15" x14ac:dyDescent="0.25">
      <c r="A31" s="6"/>
      <c r="B31" s="61">
        <v>0.25</v>
      </c>
      <c r="C31" s="58" t="s">
        <v>24</v>
      </c>
      <c r="D31" s="58"/>
      <c r="E31" s="47"/>
      <c r="F31" s="47"/>
      <c r="G31" s="58"/>
      <c r="H31" s="62">
        <v>0.25</v>
      </c>
      <c r="I31" s="58" t="s">
        <v>24</v>
      </c>
      <c r="J31" s="58"/>
      <c r="K31" s="47"/>
      <c r="L31" s="47"/>
      <c r="M31" s="58"/>
      <c r="N31" s="63">
        <v>0.25</v>
      </c>
      <c r="O31" s="58" t="s">
        <v>24</v>
      </c>
      <c r="P31" s="58"/>
      <c r="Q31" s="47"/>
      <c r="R31" s="47"/>
      <c r="S31" s="6"/>
      <c r="T31" s="6"/>
      <c r="U31" s="6"/>
      <c r="V31" s="6"/>
    </row>
    <row r="32" spans="1:22" ht="15" x14ac:dyDescent="0.25">
      <c r="A32" s="6"/>
      <c r="B32" s="61">
        <v>0.25</v>
      </c>
      <c r="C32" s="58" t="s">
        <v>25</v>
      </c>
      <c r="D32" s="58"/>
      <c r="E32" s="47"/>
      <c r="F32" s="47"/>
      <c r="G32" s="58"/>
      <c r="H32" s="62">
        <v>0.25</v>
      </c>
      <c r="I32" s="58" t="s">
        <v>25</v>
      </c>
      <c r="J32" s="58"/>
      <c r="K32" s="47"/>
      <c r="L32" s="47"/>
      <c r="M32" s="58"/>
      <c r="N32" s="63">
        <v>0.25</v>
      </c>
      <c r="O32" s="58" t="s">
        <v>25</v>
      </c>
      <c r="P32" s="58"/>
      <c r="Q32" s="47"/>
      <c r="R32" s="47"/>
      <c r="S32" s="6"/>
      <c r="T32" s="6"/>
      <c r="U32" s="6"/>
      <c r="V32" s="6"/>
    </row>
    <row r="33" spans="1:22" ht="15" x14ac:dyDescent="0.25">
      <c r="A33" s="6"/>
      <c r="B33" s="64">
        <f>+B29*(1-B30)</f>
        <v>2.0999999999999998E-2</v>
      </c>
      <c r="C33" s="58" t="s">
        <v>26</v>
      </c>
      <c r="D33" s="58"/>
      <c r="E33" s="47"/>
      <c r="F33" s="47"/>
      <c r="G33" s="58"/>
      <c r="H33" s="64">
        <f>+H29*(1-H30)</f>
        <v>5.0999999999999997E-2</v>
      </c>
      <c r="I33" s="58" t="s">
        <v>26</v>
      </c>
      <c r="J33" s="58"/>
      <c r="K33" s="47"/>
      <c r="L33" s="47"/>
      <c r="M33" s="58"/>
      <c r="N33" s="64">
        <f>+N29*(1-N30)</f>
        <v>7.4999999999999997E-3</v>
      </c>
      <c r="O33" s="58" t="s">
        <v>26</v>
      </c>
      <c r="P33" s="58"/>
      <c r="Q33" s="47"/>
      <c r="R33" s="47"/>
      <c r="S33" s="6"/>
      <c r="T33" s="6"/>
      <c r="U33" s="6"/>
      <c r="V33" s="6"/>
    </row>
    <row r="34" spans="1:22" ht="15.75" thickBot="1" x14ac:dyDescent="0.3">
      <c r="A34" s="6"/>
      <c r="B34" s="64"/>
      <c r="C34" s="58"/>
      <c r="D34" s="58"/>
      <c r="E34" s="47"/>
      <c r="F34" s="47"/>
      <c r="G34" s="58"/>
      <c r="H34" s="64"/>
      <c r="I34" s="58"/>
      <c r="J34" s="58"/>
      <c r="K34" s="47"/>
      <c r="L34" s="47"/>
      <c r="M34" s="58"/>
      <c r="N34" s="64"/>
      <c r="O34" s="58"/>
      <c r="P34" s="58"/>
      <c r="Q34" s="47"/>
      <c r="R34" s="47"/>
      <c r="S34" s="6"/>
      <c r="T34" s="6"/>
      <c r="U34" s="6"/>
      <c r="V34" s="6"/>
    </row>
    <row r="35" spans="1:22" ht="15" x14ac:dyDescent="0.25">
      <c r="A35" s="65" t="s">
        <v>27</v>
      </c>
      <c r="B35" s="66">
        <f>100*(+B29-B33)</f>
        <v>0.90000000000000013</v>
      </c>
      <c r="C35" s="67" t="s">
        <v>28</v>
      </c>
      <c r="D35" s="67"/>
      <c r="E35" s="68"/>
      <c r="F35" s="68"/>
      <c r="G35" s="69"/>
      <c r="H35" s="66">
        <f>100*(+H29-H33)</f>
        <v>0.90000000000000013</v>
      </c>
      <c r="I35" s="67" t="s">
        <v>28</v>
      </c>
      <c r="J35" s="67"/>
      <c r="K35" s="68"/>
      <c r="L35" s="68"/>
      <c r="M35" s="69"/>
      <c r="N35" s="66">
        <f>100*(+N29-N33)</f>
        <v>2.25</v>
      </c>
      <c r="O35" s="67" t="s">
        <v>28</v>
      </c>
      <c r="P35" s="67"/>
      <c r="Q35" s="67"/>
      <c r="R35" s="70"/>
      <c r="S35" s="47"/>
      <c r="T35" s="6"/>
      <c r="U35" s="6"/>
      <c r="V35" s="6"/>
    </row>
    <row r="36" spans="1:22" ht="15.75" thickBot="1" x14ac:dyDescent="0.3">
      <c r="A36" s="71" t="s">
        <v>29</v>
      </c>
      <c r="B36" s="72">
        <f>((1+B33)/(1+B29)-1)*-100</f>
        <v>0.87378640776699656</v>
      </c>
      <c r="C36" s="73" t="s">
        <v>28</v>
      </c>
      <c r="D36" s="73"/>
      <c r="E36" s="74"/>
      <c r="F36" s="74"/>
      <c r="G36" s="75"/>
      <c r="H36" s="72">
        <f>((1+H33)/(1+H29)-1)*-100</f>
        <v>0.84905660377360137</v>
      </c>
      <c r="I36" s="73" t="s">
        <v>28</v>
      </c>
      <c r="J36" s="73"/>
      <c r="K36" s="74"/>
      <c r="L36" s="74"/>
      <c r="M36" s="75"/>
      <c r="N36" s="72">
        <f>((1+N33)/(1+N29)-1)*-100</f>
        <v>2.1844660194174748</v>
      </c>
      <c r="O36" s="73" t="s">
        <v>28</v>
      </c>
      <c r="P36" s="73"/>
      <c r="Q36" s="73"/>
      <c r="R36" s="76"/>
      <c r="S36" s="47"/>
      <c r="T36" s="6"/>
      <c r="U36" s="6"/>
      <c r="V36" s="6"/>
    </row>
    <row r="37" spans="1:22" ht="15" x14ac:dyDescent="0.25">
      <c r="A37" s="6"/>
      <c r="B37" s="77"/>
      <c r="C37" s="6"/>
      <c r="D37" s="6"/>
      <c r="E37" s="78" t="s">
        <v>32</v>
      </c>
      <c r="F37" s="78" t="s">
        <v>33</v>
      </c>
      <c r="G37" s="6"/>
      <c r="H37" s="77"/>
      <c r="I37" s="6"/>
      <c r="J37" s="6"/>
      <c r="K37" s="78" t="s">
        <v>32</v>
      </c>
      <c r="L37" s="78" t="s">
        <v>33</v>
      </c>
      <c r="M37" s="6"/>
      <c r="N37" s="77"/>
      <c r="O37" s="6"/>
      <c r="P37" s="6"/>
      <c r="Q37" s="78" t="s">
        <v>32</v>
      </c>
      <c r="R37" s="78" t="s">
        <v>33</v>
      </c>
      <c r="S37" s="6"/>
      <c r="T37" s="6"/>
      <c r="U37" s="6"/>
      <c r="V37" s="6"/>
    </row>
    <row r="38" spans="1:22" ht="14.25" x14ac:dyDescent="0.2">
      <c r="A38" s="79" t="s">
        <v>2</v>
      </c>
      <c r="B38" s="80" t="s">
        <v>33</v>
      </c>
      <c r="C38" s="81" t="s">
        <v>30</v>
      </c>
      <c r="D38" s="81" t="s">
        <v>34</v>
      </c>
      <c r="E38" s="82" t="s">
        <v>31</v>
      </c>
      <c r="F38" s="82" t="s">
        <v>31</v>
      </c>
      <c r="G38" s="30"/>
      <c r="H38" s="80" t="s">
        <v>33</v>
      </c>
      <c r="I38" s="81" t="s">
        <v>30</v>
      </c>
      <c r="J38" s="81" t="s">
        <v>34</v>
      </c>
      <c r="K38" s="82" t="s">
        <v>31</v>
      </c>
      <c r="L38" s="82" t="s">
        <v>31</v>
      </c>
      <c r="M38" s="31"/>
      <c r="N38" s="80" t="s">
        <v>33</v>
      </c>
      <c r="O38" s="81" t="s">
        <v>30</v>
      </c>
      <c r="P38" s="81" t="s">
        <v>34</v>
      </c>
      <c r="Q38" s="82" t="s">
        <v>31</v>
      </c>
      <c r="R38" s="82" t="s">
        <v>31</v>
      </c>
      <c r="S38" s="6"/>
      <c r="T38" s="6"/>
      <c r="U38" s="6"/>
      <c r="V38" s="6"/>
    </row>
    <row r="39" spans="1:22" ht="15" x14ac:dyDescent="0.25">
      <c r="A39" s="6">
        <v>1</v>
      </c>
      <c r="B39" s="83">
        <f t="shared" ref="B39:B92" si="0">+$B$28*(1+$B$29)^A39</f>
        <v>1030</v>
      </c>
      <c r="C39" s="54">
        <f t="shared" ref="C39:C92" si="1">+$B$28*(1+$B$33)^A39</f>
        <v>1020.9999999999999</v>
      </c>
      <c r="D39" s="54">
        <f>+B39+(B39/(1-B$31)*(B$31-B$32))</f>
        <v>1030</v>
      </c>
      <c r="E39" s="47">
        <f>+D39-C39</f>
        <v>9.0000000000001137</v>
      </c>
      <c r="F39" s="47">
        <f t="shared" ref="F39:F92" si="2">+B39-C39</f>
        <v>9.0000000000001137</v>
      </c>
      <c r="G39" s="84"/>
      <c r="H39" s="83">
        <f t="shared" ref="H39:H92" si="3">+$H$28*(1+$H$29)^A39</f>
        <v>1060</v>
      </c>
      <c r="I39" s="54">
        <f t="shared" ref="I39:I92" si="4">+$H$28*(1+$H$33)^A39</f>
        <v>1051</v>
      </c>
      <c r="J39" s="54">
        <f>+H39+(H39/(1-H$31)*(H$31-H$32))</f>
        <v>1060</v>
      </c>
      <c r="K39" s="47">
        <f>+J39-I39</f>
        <v>9</v>
      </c>
      <c r="L39" s="47">
        <f>+H39-I39</f>
        <v>9</v>
      </c>
      <c r="M39" s="6"/>
      <c r="N39" s="83">
        <f t="shared" ref="N39:N92" si="5">+$N$28*(1+$N$29)^A39</f>
        <v>1030</v>
      </c>
      <c r="O39" s="54">
        <f t="shared" ref="O39:O92" si="6">+$N$28*(1+$N$33)^A39</f>
        <v>1007.5000000000001</v>
      </c>
      <c r="P39" s="54">
        <f>+N39+(N39/(1-N$31)*(N$31-N$32))</f>
        <v>1030</v>
      </c>
      <c r="Q39" s="47">
        <f>+P39-O39</f>
        <v>22.499999999999886</v>
      </c>
      <c r="R39" s="47">
        <f>+N39-O39</f>
        <v>22.499999999999886</v>
      </c>
      <c r="S39" s="6"/>
      <c r="T39" s="6"/>
      <c r="U39" s="6"/>
      <c r="V39" s="6"/>
    </row>
    <row r="40" spans="1:22" ht="15" x14ac:dyDescent="0.25">
      <c r="A40" s="6">
        <f>+A39+1</f>
        <v>2</v>
      </c>
      <c r="B40" s="83">
        <f t="shared" si="0"/>
        <v>1060.8999999999999</v>
      </c>
      <c r="C40" s="54">
        <f t="shared" si="1"/>
        <v>1042.4409999999998</v>
      </c>
      <c r="D40" s="54">
        <f t="shared" ref="D40:D92" si="7">+B40+(B40/(1-B$31)*(B$31-B$32))</f>
        <v>1060.8999999999999</v>
      </c>
      <c r="E40" s="47">
        <f t="shared" ref="E40:E92" si="8">+D40-C40</f>
        <v>18.45900000000006</v>
      </c>
      <c r="F40" s="47">
        <f t="shared" si="2"/>
        <v>18.45900000000006</v>
      </c>
      <c r="G40" s="84"/>
      <c r="H40" s="83">
        <f t="shared" si="3"/>
        <v>1123.6000000000001</v>
      </c>
      <c r="I40" s="54">
        <f t="shared" si="4"/>
        <v>1104.6009999999999</v>
      </c>
      <c r="J40" s="54">
        <f t="shared" ref="J40:J92" si="9">+H40+(H40/(1-H$31)*(H$31-H$32))</f>
        <v>1123.6000000000001</v>
      </c>
      <c r="K40" s="47">
        <f t="shared" ref="K40:K92" si="10">+J40-I40</f>
        <v>18.999000000000251</v>
      </c>
      <c r="L40" s="47">
        <f t="shared" ref="L40:L92" si="11">+H40-I40</f>
        <v>18.999000000000251</v>
      </c>
      <c r="M40" s="6"/>
      <c r="N40" s="83">
        <f t="shared" si="5"/>
        <v>1060.8999999999999</v>
      </c>
      <c r="O40" s="54">
        <f t="shared" si="6"/>
        <v>1015.0562500000002</v>
      </c>
      <c r="P40" s="54">
        <f t="shared" ref="P40:P92" si="12">+N40+(N40/(1-N$31)*(N$31-N$32))</f>
        <v>1060.8999999999999</v>
      </c>
      <c r="Q40" s="47">
        <f t="shared" ref="Q40:Q92" si="13">+P40-O40</f>
        <v>45.843749999999659</v>
      </c>
      <c r="R40" s="47">
        <f t="shared" ref="R40:R92" si="14">+N40-O40</f>
        <v>45.843749999999659</v>
      </c>
      <c r="S40" s="6"/>
      <c r="T40" s="6"/>
      <c r="U40" s="6"/>
      <c r="V40" s="6"/>
    </row>
    <row r="41" spans="1:22" ht="15" x14ac:dyDescent="0.25">
      <c r="A41" s="6">
        <f t="shared" ref="A41:A92" si="15">+A40+1</f>
        <v>3</v>
      </c>
      <c r="B41" s="83">
        <f t="shared" si="0"/>
        <v>1092.7270000000001</v>
      </c>
      <c r="C41" s="54">
        <f t="shared" si="1"/>
        <v>1064.3322609999996</v>
      </c>
      <c r="D41" s="54">
        <f t="shared" si="7"/>
        <v>1092.7270000000001</v>
      </c>
      <c r="E41" s="47">
        <f t="shared" si="8"/>
        <v>28.394739000000527</v>
      </c>
      <c r="F41" s="47">
        <f t="shared" si="2"/>
        <v>28.394739000000527</v>
      </c>
      <c r="G41" s="84"/>
      <c r="H41" s="83">
        <f t="shared" si="3"/>
        <v>1191.0160000000003</v>
      </c>
      <c r="I41" s="54">
        <f t="shared" si="4"/>
        <v>1160.935651</v>
      </c>
      <c r="J41" s="54">
        <f t="shared" si="9"/>
        <v>1191.0160000000003</v>
      </c>
      <c r="K41" s="47">
        <f t="shared" si="10"/>
        <v>30.080349000000297</v>
      </c>
      <c r="L41" s="47">
        <f t="shared" si="11"/>
        <v>30.080349000000297</v>
      </c>
      <c r="M41" s="6"/>
      <c r="N41" s="83">
        <f t="shared" si="5"/>
        <v>1092.7270000000001</v>
      </c>
      <c r="O41" s="54">
        <f t="shared" si="6"/>
        <v>1022.6691718750003</v>
      </c>
      <c r="P41" s="54">
        <f t="shared" si="12"/>
        <v>1092.7270000000001</v>
      </c>
      <c r="Q41" s="47">
        <f t="shared" si="13"/>
        <v>70.057828124999787</v>
      </c>
      <c r="R41" s="47">
        <f t="shared" si="14"/>
        <v>70.057828124999787</v>
      </c>
      <c r="S41" s="6"/>
      <c r="T41" s="6"/>
      <c r="U41" s="6"/>
      <c r="V41" s="6"/>
    </row>
    <row r="42" spans="1:22" ht="15" x14ac:dyDescent="0.25">
      <c r="A42" s="6">
        <f t="shared" si="15"/>
        <v>4</v>
      </c>
      <c r="B42" s="83">
        <f t="shared" si="0"/>
        <v>1125.5088099999998</v>
      </c>
      <c r="C42" s="54">
        <f t="shared" si="1"/>
        <v>1086.6832384809995</v>
      </c>
      <c r="D42" s="54">
        <f t="shared" si="7"/>
        <v>1125.5088099999998</v>
      </c>
      <c r="E42" s="47">
        <f t="shared" si="8"/>
        <v>38.825571519000277</v>
      </c>
      <c r="F42" s="47">
        <f t="shared" si="2"/>
        <v>38.825571519000277</v>
      </c>
      <c r="G42" s="84"/>
      <c r="H42" s="83">
        <f t="shared" si="3"/>
        <v>1262.4769600000004</v>
      </c>
      <c r="I42" s="54">
        <f t="shared" si="4"/>
        <v>1220.143369201</v>
      </c>
      <c r="J42" s="54">
        <f t="shared" si="9"/>
        <v>1262.4769600000004</v>
      </c>
      <c r="K42" s="47">
        <f t="shared" si="10"/>
        <v>42.333590799000376</v>
      </c>
      <c r="L42" s="47">
        <f t="shared" si="11"/>
        <v>42.333590799000376</v>
      </c>
      <c r="M42" s="6"/>
      <c r="N42" s="83">
        <f t="shared" si="5"/>
        <v>1125.5088099999998</v>
      </c>
      <c r="O42" s="54">
        <f t="shared" si="6"/>
        <v>1030.3391906640629</v>
      </c>
      <c r="P42" s="54">
        <f t="shared" si="12"/>
        <v>1125.5088099999998</v>
      </c>
      <c r="Q42" s="47">
        <f t="shared" si="13"/>
        <v>95.169619335936886</v>
      </c>
      <c r="R42" s="47">
        <f t="shared" si="14"/>
        <v>95.169619335936886</v>
      </c>
      <c r="S42" s="6"/>
      <c r="T42" s="6"/>
      <c r="U42" s="6"/>
      <c r="V42" s="6"/>
    </row>
    <row r="43" spans="1:22" ht="15" x14ac:dyDescent="0.25">
      <c r="A43" s="6">
        <f t="shared" si="15"/>
        <v>5</v>
      </c>
      <c r="B43" s="83">
        <f t="shared" si="0"/>
        <v>1159.2740742999999</v>
      </c>
      <c r="C43" s="54">
        <f t="shared" si="1"/>
        <v>1109.5035864891004</v>
      </c>
      <c r="D43" s="54">
        <f t="shared" si="7"/>
        <v>1159.2740742999999</v>
      </c>
      <c r="E43" s="47">
        <f t="shared" si="8"/>
        <v>49.770487810899567</v>
      </c>
      <c r="F43" s="47">
        <f t="shared" si="2"/>
        <v>49.770487810899567</v>
      </c>
      <c r="G43" s="84"/>
      <c r="H43" s="83">
        <f t="shared" si="3"/>
        <v>1338.2255776000004</v>
      </c>
      <c r="I43" s="54">
        <f t="shared" si="4"/>
        <v>1282.3706810302508</v>
      </c>
      <c r="J43" s="54">
        <f t="shared" si="9"/>
        <v>1338.2255776000004</v>
      </c>
      <c r="K43" s="47">
        <f t="shared" si="10"/>
        <v>55.854896569749599</v>
      </c>
      <c r="L43" s="47">
        <f t="shared" si="11"/>
        <v>55.854896569749599</v>
      </c>
      <c r="M43" s="6"/>
      <c r="N43" s="83">
        <f t="shared" si="5"/>
        <v>1159.2740742999999</v>
      </c>
      <c r="O43" s="54">
        <f t="shared" si="6"/>
        <v>1038.0667345940433</v>
      </c>
      <c r="P43" s="54">
        <f t="shared" si="12"/>
        <v>1159.2740742999999</v>
      </c>
      <c r="Q43" s="47">
        <f t="shared" si="13"/>
        <v>121.20733970595666</v>
      </c>
      <c r="R43" s="47">
        <f t="shared" si="14"/>
        <v>121.20733970595666</v>
      </c>
      <c r="S43" s="6"/>
      <c r="T43" s="6"/>
      <c r="U43" s="6"/>
      <c r="V43" s="6"/>
    </row>
    <row r="44" spans="1:22" ht="15" x14ac:dyDescent="0.25">
      <c r="A44" s="6">
        <f t="shared" si="15"/>
        <v>6</v>
      </c>
      <c r="B44" s="83">
        <f t="shared" si="0"/>
        <v>1194.0522965289999</v>
      </c>
      <c r="C44" s="54">
        <f t="shared" si="1"/>
        <v>1132.8031618053712</v>
      </c>
      <c r="D44" s="54">
        <f t="shared" si="7"/>
        <v>1194.0522965289999</v>
      </c>
      <c r="E44" s="47">
        <f t="shared" si="8"/>
        <v>61.249134723628686</v>
      </c>
      <c r="F44" s="47">
        <f t="shared" si="2"/>
        <v>61.249134723628686</v>
      </c>
      <c r="G44" s="84"/>
      <c r="H44" s="83">
        <f t="shared" si="3"/>
        <v>1418.5191122560007</v>
      </c>
      <c r="I44" s="54">
        <f t="shared" si="4"/>
        <v>1347.7715857627936</v>
      </c>
      <c r="J44" s="54">
        <f t="shared" si="9"/>
        <v>1418.5191122560007</v>
      </c>
      <c r="K44" s="47">
        <f t="shared" si="10"/>
        <v>70.747526493207033</v>
      </c>
      <c r="L44" s="47">
        <f t="shared" si="11"/>
        <v>70.747526493207033</v>
      </c>
      <c r="M44" s="6"/>
      <c r="N44" s="83">
        <f t="shared" si="5"/>
        <v>1194.0522965289999</v>
      </c>
      <c r="O44" s="54">
        <f t="shared" si="6"/>
        <v>1045.852235103499</v>
      </c>
      <c r="P44" s="54">
        <f t="shared" si="12"/>
        <v>1194.0522965289999</v>
      </c>
      <c r="Q44" s="47">
        <f t="shared" si="13"/>
        <v>148.20006142550096</v>
      </c>
      <c r="R44" s="47">
        <f t="shared" si="14"/>
        <v>148.20006142550096</v>
      </c>
      <c r="S44" s="6"/>
      <c r="T44" s="6"/>
      <c r="U44" s="6"/>
      <c r="V44" s="6"/>
    </row>
    <row r="45" spans="1:22" ht="15" x14ac:dyDescent="0.25">
      <c r="A45" s="6">
        <f t="shared" si="15"/>
        <v>7</v>
      </c>
      <c r="B45" s="83">
        <f t="shared" si="0"/>
        <v>1229.87386542487</v>
      </c>
      <c r="C45" s="54">
        <f t="shared" si="1"/>
        <v>1156.5920282032839</v>
      </c>
      <c r="D45" s="54">
        <f t="shared" si="7"/>
        <v>1229.87386542487</v>
      </c>
      <c r="E45" s="47">
        <f t="shared" si="8"/>
        <v>73.281837221586102</v>
      </c>
      <c r="F45" s="47">
        <f t="shared" si="2"/>
        <v>73.281837221586102</v>
      </c>
      <c r="G45" s="84"/>
      <c r="H45" s="83">
        <f t="shared" si="3"/>
        <v>1503.6302589913607</v>
      </c>
      <c r="I45" s="54">
        <f t="shared" si="4"/>
        <v>1416.5079366366961</v>
      </c>
      <c r="J45" s="54">
        <f t="shared" si="9"/>
        <v>1503.6302589913607</v>
      </c>
      <c r="K45" s="47">
        <f t="shared" si="10"/>
        <v>87.122322354664675</v>
      </c>
      <c r="L45" s="47">
        <f t="shared" si="11"/>
        <v>87.122322354664675</v>
      </c>
      <c r="M45" s="6"/>
      <c r="N45" s="83">
        <f t="shared" si="5"/>
        <v>1229.87386542487</v>
      </c>
      <c r="O45" s="54">
        <f t="shared" si="6"/>
        <v>1053.6961268667753</v>
      </c>
      <c r="P45" s="54">
        <f t="shared" si="12"/>
        <v>1229.87386542487</v>
      </c>
      <c r="Q45" s="47">
        <f t="shared" si="13"/>
        <v>176.17773855809469</v>
      </c>
      <c r="R45" s="47">
        <f t="shared" si="14"/>
        <v>176.17773855809469</v>
      </c>
      <c r="S45" s="6"/>
      <c r="T45" s="6"/>
      <c r="U45" s="6"/>
      <c r="V45" s="6"/>
    </row>
    <row r="46" spans="1:22" ht="15" x14ac:dyDescent="0.25">
      <c r="A46" s="6">
        <f t="shared" si="15"/>
        <v>8</v>
      </c>
      <c r="B46" s="83">
        <f t="shared" si="0"/>
        <v>1266.7700813876158</v>
      </c>
      <c r="C46" s="54">
        <f t="shared" si="1"/>
        <v>1180.8804607955528</v>
      </c>
      <c r="D46" s="54">
        <f t="shared" si="7"/>
        <v>1266.7700813876158</v>
      </c>
      <c r="E46" s="47">
        <f t="shared" si="8"/>
        <v>85.889620592063011</v>
      </c>
      <c r="F46" s="47">
        <f t="shared" si="2"/>
        <v>85.889620592063011</v>
      </c>
      <c r="G46" s="84"/>
      <c r="H46" s="83">
        <f t="shared" si="3"/>
        <v>1593.8480745308423</v>
      </c>
      <c r="I46" s="54">
        <f t="shared" si="4"/>
        <v>1488.7498414051677</v>
      </c>
      <c r="J46" s="54">
        <f t="shared" si="9"/>
        <v>1593.8480745308423</v>
      </c>
      <c r="K46" s="47">
        <f t="shared" si="10"/>
        <v>105.0982331256746</v>
      </c>
      <c r="L46" s="47">
        <f t="shared" si="11"/>
        <v>105.0982331256746</v>
      </c>
      <c r="M46" s="6"/>
      <c r="N46" s="83">
        <f t="shared" si="5"/>
        <v>1266.7700813876158</v>
      </c>
      <c r="O46" s="54">
        <f t="shared" si="6"/>
        <v>1061.598847818276</v>
      </c>
      <c r="P46" s="54">
        <f t="shared" si="12"/>
        <v>1266.7700813876158</v>
      </c>
      <c r="Q46" s="47">
        <f t="shared" si="13"/>
        <v>205.17123356933985</v>
      </c>
      <c r="R46" s="47">
        <f t="shared" si="14"/>
        <v>205.17123356933985</v>
      </c>
      <c r="S46" s="6"/>
      <c r="T46" s="6"/>
      <c r="U46" s="6"/>
      <c r="V46" s="6"/>
    </row>
    <row r="47" spans="1:22" ht="15" x14ac:dyDescent="0.25">
      <c r="A47" s="6">
        <f t="shared" si="15"/>
        <v>9</v>
      </c>
      <c r="B47" s="83">
        <f t="shared" si="0"/>
        <v>1304.7731838292445</v>
      </c>
      <c r="C47" s="54">
        <f t="shared" si="1"/>
        <v>1205.6789504722592</v>
      </c>
      <c r="D47" s="54">
        <f t="shared" si="7"/>
        <v>1304.7731838292445</v>
      </c>
      <c r="E47" s="47">
        <f t="shared" si="8"/>
        <v>99.094233356985342</v>
      </c>
      <c r="F47" s="47">
        <f t="shared" si="2"/>
        <v>99.094233356985342</v>
      </c>
      <c r="G47" s="84"/>
      <c r="H47" s="83">
        <f t="shared" si="3"/>
        <v>1689.4789590026928</v>
      </c>
      <c r="I47" s="54">
        <f t="shared" si="4"/>
        <v>1564.6760833168312</v>
      </c>
      <c r="J47" s="54">
        <f t="shared" si="9"/>
        <v>1689.4789590026928</v>
      </c>
      <c r="K47" s="47">
        <f t="shared" si="10"/>
        <v>124.80287568586164</v>
      </c>
      <c r="L47" s="47">
        <f t="shared" si="11"/>
        <v>124.80287568586164</v>
      </c>
      <c r="M47" s="6"/>
      <c r="N47" s="83">
        <f t="shared" si="5"/>
        <v>1304.7731838292445</v>
      </c>
      <c r="O47" s="54">
        <f t="shared" si="6"/>
        <v>1069.5608391769131</v>
      </c>
      <c r="P47" s="54">
        <f t="shared" si="12"/>
        <v>1304.7731838292445</v>
      </c>
      <c r="Q47" s="47">
        <f t="shared" si="13"/>
        <v>235.21234465233147</v>
      </c>
      <c r="R47" s="47">
        <f t="shared" si="14"/>
        <v>235.21234465233147</v>
      </c>
      <c r="S47" s="6"/>
      <c r="T47" s="6"/>
      <c r="U47" s="6"/>
      <c r="V47" s="6"/>
    </row>
    <row r="48" spans="1:22" ht="15" x14ac:dyDescent="0.25">
      <c r="A48" s="6">
        <f t="shared" si="15"/>
        <v>10</v>
      </c>
      <c r="B48" s="83">
        <f t="shared" si="0"/>
        <v>1343.9163793441219</v>
      </c>
      <c r="C48" s="54">
        <f t="shared" si="1"/>
        <v>1230.9982084321764</v>
      </c>
      <c r="D48" s="54">
        <f t="shared" si="7"/>
        <v>1343.9163793441219</v>
      </c>
      <c r="E48" s="47">
        <f t="shared" si="8"/>
        <v>112.91817091194548</v>
      </c>
      <c r="F48" s="47">
        <f t="shared" si="2"/>
        <v>112.91817091194548</v>
      </c>
      <c r="G48" s="84"/>
      <c r="H48" s="83">
        <f t="shared" si="3"/>
        <v>1790.8476965428547</v>
      </c>
      <c r="I48" s="54">
        <f t="shared" si="4"/>
        <v>1644.4745635659895</v>
      </c>
      <c r="J48" s="54">
        <f t="shared" si="9"/>
        <v>1790.8476965428547</v>
      </c>
      <c r="K48" s="47">
        <f t="shared" si="10"/>
        <v>146.37313297686524</v>
      </c>
      <c r="L48" s="47">
        <f t="shared" si="11"/>
        <v>146.37313297686524</v>
      </c>
      <c r="M48" s="6"/>
      <c r="N48" s="83">
        <f t="shared" si="5"/>
        <v>1343.9163793441219</v>
      </c>
      <c r="O48" s="54">
        <f t="shared" si="6"/>
        <v>1077.5825454707401</v>
      </c>
      <c r="P48" s="54">
        <f t="shared" si="12"/>
        <v>1343.9163793441219</v>
      </c>
      <c r="Q48" s="47">
        <f t="shared" si="13"/>
        <v>266.33383387338176</v>
      </c>
      <c r="R48" s="47">
        <f t="shared" si="14"/>
        <v>266.33383387338176</v>
      </c>
      <c r="S48" s="6"/>
      <c r="T48" s="6"/>
      <c r="U48" s="6"/>
      <c r="V48" s="6"/>
    </row>
    <row r="49" spans="1:22" ht="15" x14ac:dyDescent="0.25">
      <c r="A49" s="6">
        <f t="shared" si="15"/>
        <v>11</v>
      </c>
      <c r="B49" s="83">
        <f t="shared" si="0"/>
        <v>1384.2338707244455</v>
      </c>
      <c r="C49" s="54">
        <f t="shared" si="1"/>
        <v>1256.8491708092522</v>
      </c>
      <c r="D49" s="54">
        <f t="shared" si="7"/>
        <v>1384.2338707244455</v>
      </c>
      <c r="E49" s="47">
        <f t="shared" si="8"/>
        <v>127.38469991519332</v>
      </c>
      <c r="F49" s="47">
        <f t="shared" si="2"/>
        <v>127.38469991519332</v>
      </c>
      <c r="G49" s="84"/>
      <c r="H49" s="83">
        <f t="shared" si="3"/>
        <v>1898.2985583354262</v>
      </c>
      <c r="I49" s="54">
        <f t="shared" si="4"/>
        <v>1728.3427663078551</v>
      </c>
      <c r="J49" s="54">
        <f t="shared" si="9"/>
        <v>1898.2985583354262</v>
      </c>
      <c r="K49" s="47">
        <f t="shared" si="10"/>
        <v>169.95579202757108</v>
      </c>
      <c r="L49" s="47">
        <f t="shared" si="11"/>
        <v>169.95579202757108</v>
      </c>
      <c r="M49" s="6"/>
      <c r="N49" s="83">
        <f t="shared" si="5"/>
        <v>1384.2338707244455</v>
      </c>
      <c r="O49" s="54">
        <f t="shared" si="6"/>
        <v>1085.6644145617709</v>
      </c>
      <c r="P49" s="54">
        <f t="shared" si="12"/>
        <v>1384.2338707244455</v>
      </c>
      <c r="Q49" s="47">
        <f t="shared" si="13"/>
        <v>298.56945616267467</v>
      </c>
      <c r="R49" s="47">
        <f t="shared" si="14"/>
        <v>298.56945616267467</v>
      </c>
      <c r="S49" s="6"/>
      <c r="T49" s="6"/>
      <c r="U49" s="6"/>
      <c r="V49" s="6"/>
    </row>
    <row r="50" spans="1:22" ht="15" x14ac:dyDescent="0.25">
      <c r="A50" s="6">
        <f t="shared" si="15"/>
        <v>12</v>
      </c>
      <c r="B50" s="83">
        <f t="shared" si="0"/>
        <v>1425.7608868461787</v>
      </c>
      <c r="C50" s="54">
        <f t="shared" si="1"/>
        <v>1283.2430033962462</v>
      </c>
      <c r="D50" s="54">
        <f t="shared" si="7"/>
        <v>1425.7608868461787</v>
      </c>
      <c r="E50" s="47">
        <f t="shared" si="8"/>
        <v>142.51788344993247</v>
      </c>
      <c r="F50" s="47">
        <f t="shared" si="2"/>
        <v>142.51788344993247</v>
      </c>
      <c r="G50" s="84"/>
      <c r="H50" s="83">
        <f t="shared" si="3"/>
        <v>2012.1964718355518</v>
      </c>
      <c r="I50" s="54">
        <f t="shared" si="4"/>
        <v>1816.4882473895557</v>
      </c>
      <c r="J50" s="54">
        <f t="shared" si="9"/>
        <v>2012.1964718355518</v>
      </c>
      <c r="K50" s="47">
        <f t="shared" si="10"/>
        <v>195.70822444599617</v>
      </c>
      <c r="L50" s="47">
        <f t="shared" si="11"/>
        <v>195.70822444599617</v>
      </c>
      <c r="M50" s="6"/>
      <c r="N50" s="83">
        <f t="shared" si="5"/>
        <v>1425.7608868461787</v>
      </c>
      <c r="O50" s="54">
        <f t="shared" si="6"/>
        <v>1093.8068976709842</v>
      </c>
      <c r="P50" s="54">
        <f t="shared" si="12"/>
        <v>1425.7608868461787</v>
      </c>
      <c r="Q50" s="47">
        <f t="shared" si="13"/>
        <v>331.95398917519447</v>
      </c>
      <c r="R50" s="47">
        <f t="shared" si="14"/>
        <v>331.95398917519447</v>
      </c>
      <c r="S50" s="6"/>
      <c r="T50" s="6"/>
      <c r="U50" s="6"/>
      <c r="V50" s="6"/>
    </row>
    <row r="51" spans="1:22" ht="15" x14ac:dyDescent="0.25">
      <c r="A51" s="6">
        <f t="shared" si="15"/>
        <v>13</v>
      </c>
      <c r="B51" s="83">
        <f t="shared" si="0"/>
        <v>1468.5337134515639</v>
      </c>
      <c r="C51" s="54">
        <f t="shared" si="1"/>
        <v>1310.1911064675671</v>
      </c>
      <c r="D51" s="54">
        <f t="shared" si="7"/>
        <v>1468.5337134515639</v>
      </c>
      <c r="E51" s="47">
        <f t="shared" si="8"/>
        <v>158.3426069839968</v>
      </c>
      <c r="F51" s="47">
        <f t="shared" si="2"/>
        <v>158.3426069839968</v>
      </c>
      <c r="G51" s="84"/>
      <c r="H51" s="83">
        <f t="shared" si="3"/>
        <v>2132.9282601456853</v>
      </c>
      <c r="I51" s="54">
        <f t="shared" si="4"/>
        <v>1909.1291480064228</v>
      </c>
      <c r="J51" s="54">
        <f t="shared" si="9"/>
        <v>2132.9282601456853</v>
      </c>
      <c r="K51" s="47">
        <f t="shared" si="10"/>
        <v>223.79911213926243</v>
      </c>
      <c r="L51" s="47">
        <f t="shared" si="11"/>
        <v>223.79911213926243</v>
      </c>
      <c r="M51" s="6"/>
      <c r="N51" s="83">
        <f t="shared" si="5"/>
        <v>1468.5337134515639</v>
      </c>
      <c r="O51" s="54">
        <f t="shared" si="6"/>
        <v>1102.0104494035165</v>
      </c>
      <c r="P51" s="54">
        <f t="shared" si="12"/>
        <v>1468.5337134515639</v>
      </c>
      <c r="Q51" s="47">
        <f t="shared" si="13"/>
        <v>366.52326404804739</v>
      </c>
      <c r="R51" s="47">
        <f t="shared" si="14"/>
        <v>366.52326404804739</v>
      </c>
      <c r="S51" s="6"/>
      <c r="T51" s="6"/>
      <c r="U51" s="6"/>
      <c r="V51" s="6"/>
    </row>
    <row r="52" spans="1:22" ht="15" x14ac:dyDescent="0.25">
      <c r="A52" s="6">
        <f t="shared" si="15"/>
        <v>14</v>
      </c>
      <c r="B52" s="83">
        <f t="shared" si="0"/>
        <v>1512.5897248551109</v>
      </c>
      <c r="C52" s="54">
        <f t="shared" si="1"/>
        <v>1337.7051197033861</v>
      </c>
      <c r="D52" s="54">
        <f t="shared" si="7"/>
        <v>1512.5897248551109</v>
      </c>
      <c r="E52" s="47">
        <f t="shared" si="8"/>
        <v>174.88460515172483</v>
      </c>
      <c r="F52" s="47">
        <f t="shared" si="2"/>
        <v>174.88460515172483</v>
      </c>
      <c r="G52" s="84"/>
      <c r="H52" s="83">
        <f t="shared" si="3"/>
        <v>2260.9039557544261</v>
      </c>
      <c r="I52" s="54">
        <f t="shared" si="4"/>
        <v>2006.4947345547503</v>
      </c>
      <c r="J52" s="54">
        <f t="shared" si="9"/>
        <v>2260.9039557544261</v>
      </c>
      <c r="K52" s="47">
        <f t="shared" si="10"/>
        <v>254.40922119967581</v>
      </c>
      <c r="L52" s="47">
        <f t="shared" si="11"/>
        <v>254.40922119967581</v>
      </c>
      <c r="M52" s="6"/>
      <c r="N52" s="83">
        <f t="shared" si="5"/>
        <v>1512.5897248551109</v>
      </c>
      <c r="O52" s="54">
        <f t="shared" si="6"/>
        <v>1110.2755277740432</v>
      </c>
      <c r="P52" s="54">
        <f t="shared" si="12"/>
        <v>1512.5897248551109</v>
      </c>
      <c r="Q52" s="47">
        <f t="shared" si="13"/>
        <v>402.31419708106773</v>
      </c>
      <c r="R52" s="47">
        <f t="shared" si="14"/>
        <v>402.31419708106773</v>
      </c>
      <c r="S52" s="6"/>
      <c r="T52" s="6"/>
      <c r="U52" s="6"/>
      <c r="V52" s="6"/>
    </row>
    <row r="53" spans="1:22" ht="15" x14ac:dyDescent="0.25">
      <c r="A53" s="6">
        <f t="shared" si="15"/>
        <v>15</v>
      </c>
      <c r="B53" s="83">
        <f t="shared" si="0"/>
        <v>1557.9674166007644</v>
      </c>
      <c r="C53" s="54">
        <f t="shared" si="1"/>
        <v>1365.7969272171567</v>
      </c>
      <c r="D53" s="54">
        <f t="shared" si="7"/>
        <v>1557.9674166007644</v>
      </c>
      <c r="E53" s="47">
        <f t="shared" si="8"/>
        <v>192.17048938360767</v>
      </c>
      <c r="F53" s="47">
        <f t="shared" si="2"/>
        <v>192.17048938360767</v>
      </c>
      <c r="G53" s="84"/>
      <c r="H53" s="83">
        <f t="shared" si="3"/>
        <v>2396.5581930996923</v>
      </c>
      <c r="I53" s="54">
        <f t="shared" si="4"/>
        <v>2108.8259660170429</v>
      </c>
      <c r="J53" s="54">
        <f t="shared" si="9"/>
        <v>2396.5581930996923</v>
      </c>
      <c r="K53" s="47">
        <f t="shared" si="10"/>
        <v>287.73222708264939</v>
      </c>
      <c r="L53" s="47">
        <f t="shared" si="11"/>
        <v>287.73222708264939</v>
      </c>
      <c r="M53" s="6"/>
      <c r="N53" s="83">
        <f t="shared" si="5"/>
        <v>1557.9674166007644</v>
      </c>
      <c r="O53" s="54">
        <f t="shared" si="6"/>
        <v>1118.6025942323488</v>
      </c>
      <c r="P53" s="54">
        <f t="shared" si="12"/>
        <v>1557.9674166007644</v>
      </c>
      <c r="Q53" s="47">
        <f t="shared" si="13"/>
        <v>439.36482236841562</v>
      </c>
      <c r="R53" s="47">
        <f t="shared" si="14"/>
        <v>439.36482236841562</v>
      </c>
      <c r="S53" s="6"/>
      <c r="T53" s="6"/>
      <c r="U53" s="6"/>
      <c r="V53" s="6"/>
    </row>
    <row r="54" spans="1:22" ht="15" x14ac:dyDescent="0.25">
      <c r="A54" s="6">
        <f t="shared" si="15"/>
        <v>16</v>
      </c>
      <c r="B54" s="83">
        <f t="shared" si="0"/>
        <v>1604.7064390987871</v>
      </c>
      <c r="C54" s="54">
        <f t="shared" si="1"/>
        <v>1394.4786626887171</v>
      </c>
      <c r="D54" s="54">
        <f t="shared" si="7"/>
        <v>1604.7064390987871</v>
      </c>
      <c r="E54" s="47">
        <f t="shared" si="8"/>
        <v>210.22777641006996</v>
      </c>
      <c r="F54" s="47">
        <f t="shared" si="2"/>
        <v>210.22777641006996</v>
      </c>
      <c r="G54" s="84"/>
      <c r="H54" s="83">
        <f t="shared" si="3"/>
        <v>2540.3516846856733</v>
      </c>
      <c r="I54" s="54">
        <f t="shared" si="4"/>
        <v>2216.3760902839117</v>
      </c>
      <c r="J54" s="54">
        <f t="shared" si="9"/>
        <v>2540.3516846856733</v>
      </c>
      <c r="K54" s="47">
        <f t="shared" si="10"/>
        <v>323.97559440176155</v>
      </c>
      <c r="L54" s="47">
        <f t="shared" si="11"/>
        <v>323.97559440176155</v>
      </c>
      <c r="M54" s="6"/>
      <c r="N54" s="83">
        <f t="shared" si="5"/>
        <v>1604.7064390987871</v>
      </c>
      <c r="O54" s="54">
        <f t="shared" si="6"/>
        <v>1126.9921136890912</v>
      </c>
      <c r="P54" s="54">
        <f t="shared" si="12"/>
        <v>1604.7064390987871</v>
      </c>
      <c r="Q54" s="47">
        <f t="shared" si="13"/>
        <v>477.7143254096959</v>
      </c>
      <c r="R54" s="47">
        <f t="shared" si="14"/>
        <v>477.7143254096959</v>
      </c>
      <c r="S54" s="6"/>
      <c r="T54" s="6"/>
      <c r="U54" s="6"/>
      <c r="V54" s="6"/>
    </row>
    <row r="55" spans="1:22" ht="15" x14ac:dyDescent="0.25">
      <c r="A55" s="6">
        <f t="shared" si="15"/>
        <v>17</v>
      </c>
      <c r="B55" s="83">
        <f t="shared" si="0"/>
        <v>1652.8476322717506</v>
      </c>
      <c r="C55" s="54">
        <f t="shared" si="1"/>
        <v>1423.76271460518</v>
      </c>
      <c r="D55" s="54">
        <f t="shared" si="7"/>
        <v>1652.8476322717506</v>
      </c>
      <c r="E55" s="47">
        <f t="shared" si="8"/>
        <v>229.08491766657062</v>
      </c>
      <c r="F55" s="47">
        <f t="shared" si="2"/>
        <v>229.08491766657062</v>
      </c>
      <c r="G55" s="84"/>
      <c r="H55" s="83">
        <f t="shared" si="3"/>
        <v>2692.7727857668142</v>
      </c>
      <c r="I55" s="54">
        <f t="shared" si="4"/>
        <v>2329.4112708883913</v>
      </c>
      <c r="J55" s="54">
        <f t="shared" si="9"/>
        <v>2692.7727857668142</v>
      </c>
      <c r="K55" s="47">
        <f t="shared" si="10"/>
        <v>363.36151487842289</v>
      </c>
      <c r="L55" s="47">
        <f t="shared" si="11"/>
        <v>363.36151487842289</v>
      </c>
      <c r="M55" s="6"/>
      <c r="N55" s="83">
        <f t="shared" si="5"/>
        <v>1652.8476322717506</v>
      </c>
      <c r="O55" s="54">
        <f t="shared" si="6"/>
        <v>1135.4445545417595</v>
      </c>
      <c r="P55" s="54">
        <f t="shared" si="12"/>
        <v>1652.8476322717506</v>
      </c>
      <c r="Q55" s="47">
        <f t="shared" si="13"/>
        <v>517.40307772999108</v>
      </c>
      <c r="R55" s="47">
        <f t="shared" si="14"/>
        <v>517.40307772999108</v>
      </c>
      <c r="S55" s="6"/>
      <c r="T55" s="6"/>
      <c r="U55" s="6"/>
      <c r="V55" s="6"/>
    </row>
    <row r="56" spans="1:22" ht="15" x14ac:dyDescent="0.25">
      <c r="A56" s="6">
        <f t="shared" si="15"/>
        <v>18</v>
      </c>
      <c r="B56" s="83">
        <f t="shared" si="0"/>
        <v>1702.4330612399033</v>
      </c>
      <c r="C56" s="54">
        <f t="shared" si="1"/>
        <v>1453.6617316118884</v>
      </c>
      <c r="D56" s="54">
        <f t="shared" si="7"/>
        <v>1702.4330612399033</v>
      </c>
      <c r="E56" s="47">
        <f t="shared" si="8"/>
        <v>248.77132962801488</v>
      </c>
      <c r="F56" s="47">
        <f t="shared" si="2"/>
        <v>248.77132962801488</v>
      </c>
      <c r="G56" s="84"/>
      <c r="H56" s="83">
        <f t="shared" si="3"/>
        <v>2854.339152912823</v>
      </c>
      <c r="I56" s="54">
        <f t="shared" si="4"/>
        <v>2448.2112457036992</v>
      </c>
      <c r="J56" s="54">
        <f t="shared" si="9"/>
        <v>2854.339152912823</v>
      </c>
      <c r="K56" s="47">
        <f t="shared" si="10"/>
        <v>406.1279072091238</v>
      </c>
      <c r="L56" s="47">
        <f t="shared" si="11"/>
        <v>406.1279072091238</v>
      </c>
      <c r="M56" s="6"/>
      <c r="N56" s="83">
        <f t="shared" si="5"/>
        <v>1702.4330612399033</v>
      </c>
      <c r="O56" s="54">
        <f t="shared" si="6"/>
        <v>1143.9603887008229</v>
      </c>
      <c r="P56" s="54">
        <f t="shared" si="12"/>
        <v>1702.4330612399033</v>
      </c>
      <c r="Q56" s="47">
        <f t="shared" si="13"/>
        <v>558.47267253908035</v>
      </c>
      <c r="R56" s="47">
        <f t="shared" si="14"/>
        <v>558.47267253908035</v>
      </c>
      <c r="S56" s="6"/>
      <c r="T56" s="6"/>
      <c r="U56" s="6"/>
      <c r="V56" s="6"/>
    </row>
    <row r="57" spans="1:22" ht="15" x14ac:dyDescent="0.25">
      <c r="A57" s="6">
        <f t="shared" si="15"/>
        <v>19</v>
      </c>
      <c r="B57" s="83">
        <f t="shared" si="0"/>
        <v>1753.5060530771002</v>
      </c>
      <c r="C57" s="54">
        <f t="shared" si="1"/>
        <v>1484.1886279757382</v>
      </c>
      <c r="D57" s="54">
        <f t="shared" si="7"/>
        <v>1753.5060530771002</v>
      </c>
      <c r="E57" s="47">
        <f t="shared" si="8"/>
        <v>269.31742510136201</v>
      </c>
      <c r="F57" s="47">
        <f t="shared" si="2"/>
        <v>269.31742510136201</v>
      </c>
      <c r="G57" s="84"/>
      <c r="H57" s="83">
        <f t="shared" si="3"/>
        <v>3025.5995020875926</v>
      </c>
      <c r="I57" s="54">
        <f t="shared" si="4"/>
        <v>2573.0700192345876</v>
      </c>
      <c r="J57" s="54">
        <f t="shared" si="9"/>
        <v>3025.5995020875926</v>
      </c>
      <c r="K57" s="47">
        <f t="shared" si="10"/>
        <v>452.52948285300499</v>
      </c>
      <c r="L57" s="47">
        <f t="shared" si="11"/>
        <v>452.52948285300499</v>
      </c>
      <c r="M57" s="6"/>
      <c r="N57" s="83">
        <f t="shared" si="5"/>
        <v>1753.5060530771002</v>
      </c>
      <c r="O57" s="54">
        <f t="shared" si="6"/>
        <v>1152.5400916160791</v>
      </c>
      <c r="P57" s="54">
        <f t="shared" si="12"/>
        <v>1753.5060530771002</v>
      </c>
      <c r="Q57" s="47">
        <f t="shared" si="13"/>
        <v>600.96596146102115</v>
      </c>
      <c r="R57" s="47">
        <f t="shared" si="14"/>
        <v>600.96596146102115</v>
      </c>
      <c r="S57" s="6"/>
      <c r="T57" s="6"/>
      <c r="U57" s="6"/>
      <c r="V57" s="6"/>
    </row>
    <row r="58" spans="1:22" ht="15" x14ac:dyDescent="0.25">
      <c r="A58" s="6">
        <f t="shared" si="15"/>
        <v>20</v>
      </c>
      <c r="B58" s="83">
        <f t="shared" si="0"/>
        <v>1806.1112346694133</v>
      </c>
      <c r="C58" s="54">
        <f t="shared" si="1"/>
        <v>1515.3565891632284</v>
      </c>
      <c r="D58" s="54">
        <f t="shared" si="7"/>
        <v>1806.1112346694133</v>
      </c>
      <c r="E58" s="47">
        <f t="shared" si="8"/>
        <v>290.75464550618494</v>
      </c>
      <c r="F58" s="47">
        <f t="shared" si="2"/>
        <v>290.75464550618494</v>
      </c>
      <c r="G58" s="84"/>
      <c r="H58" s="83">
        <f t="shared" si="3"/>
        <v>3207.1354722128481</v>
      </c>
      <c r="I58" s="54">
        <f t="shared" si="4"/>
        <v>2704.296590215552</v>
      </c>
      <c r="J58" s="54">
        <f t="shared" si="9"/>
        <v>3207.1354722128481</v>
      </c>
      <c r="K58" s="47">
        <f t="shared" si="10"/>
        <v>502.83888199729608</v>
      </c>
      <c r="L58" s="47">
        <f t="shared" si="11"/>
        <v>502.83888199729608</v>
      </c>
      <c r="M58" s="6"/>
      <c r="N58" s="83">
        <f t="shared" si="5"/>
        <v>1806.1112346694133</v>
      </c>
      <c r="O58" s="54">
        <f t="shared" si="6"/>
        <v>1161.1841423031999</v>
      </c>
      <c r="P58" s="54">
        <f t="shared" si="12"/>
        <v>1806.1112346694133</v>
      </c>
      <c r="Q58" s="47">
        <f t="shared" si="13"/>
        <v>644.9270923662134</v>
      </c>
      <c r="R58" s="47">
        <f t="shared" si="14"/>
        <v>644.9270923662134</v>
      </c>
      <c r="S58" s="6"/>
      <c r="T58" s="6"/>
      <c r="U58" s="6"/>
      <c r="V58" s="6"/>
    </row>
    <row r="59" spans="1:22" ht="15" x14ac:dyDescent="0.25">
      <c r="A59" s="6">
        <f t="shared" si="15"/>
        <v>21</v>
      </c>
      <c r="B59" s="83">
        <f t="shared" si="0"/>
        <v>1860.2945717094954</v>
      </c>
      <c r="C59" s="54">
        <f t="shared" si="1"/>
        <v>1547.179077535656</v>
      </c>
      <c r="D59" s="54">
        <f t="shared" si="7"/>
        <v>1860.2945717094954</v>
      </c>
      <c r="E59" s="47">
        <f t="shared" si="8"/>
        <v>313.11549417383935</v>
      </c>
      <c r="F59" s="47">
        <f t="shared" si="2"/>
        <v>313.11549417383935</v>
      </c>
      <c r="G59" s="84"/>
      <c r="H59" s="83">
        <f t="shared" si="3"/>
        <v>3399.5636005456195</v>
      </c>
      <c r="I59" s="54">
        <f t="shared" si="4"/>
        <v>2842.2157163165448</v>
      </c>
      <c r="J59" s="54">
        <f t="shared" si="9"/>
        <v>3399.5636005456195</v>
      </c>
      <c r="K59" s="47">
        <f t="shared" si="10"/>
        <v>557.34788422907468</v>
      </c>
      <c r="L59" s="47">
        <f t="shared" si="11"/>
        <v>557.34788422907468</v>
      </c>
      <c r="M59" s="6"/>
      <c r="N59" s="83">
        <f t="shared" si="5"/>
        <v>1860.2945717094954</v>
      </c>
      <c r="O59" s="54">
        <f t="shared" si="6"/>
        <v>1169.8930233704739</v>
      </c>
      <c r="P59" s="54">
        <f t="shared" si="12"/>
        <v>1860.2945717094954</v>
      </c>
      <c r="Q59" s="47">
        <f t="shared" si="13"/>
        <v>690.40154833902147</v>
      </c>
      <c r="R59" s="47">
        <f t="shared" si="14"/>
        <v>690.40154833902147</v>
      </c>
      <c r="S59" s="6"/>
      <c r="T59" s="6"/>
      <c r="U59" s="6"/>
      <c r="V59" s="6"/>
    </row>
    <row r="60" spans="1:22" ht="15" x14ac:dyDescent="0.25">
      <c r="A60" s="6">
        <f t="shared" si="15"/>
        <v>22</v>
      </c>
      <c r="B60" s="83">
        <f t="shared" si="0"/>
        <v>1916.1034088607805</v>
      </c>
      <c r="C60" s="54">
        <f t="shared" si="1"/>
        <v>1579.6698381639046</v>
      </c>
      <c r="D60" s="54">
        <f t="shared" si="7"/>
        <v>1916.1034088607805</v>
      </c>
      <c r="E60" s="47">
        <f t="shared" si="8"/>
        <v>336.4335706968759</v>
      </c>
      <c r="F60" s="47">
        <f t="shared" si="2"/>
        <v>336.4335706968759</v>
      </c>
      <c r="G60" s="84"/>
      <c r="H60" s="83">
        <f t="shared" si="3"/>
        <v>3603.5374165783569</v>
      </c>
      <c r="I60" s="54">
        <f t="shared" si="4"/>
        <v>2987.1687178486886</v>
      </c>
      <c r="J60" s="54">
        <f t="shared" si="9"/>
        <v>3603.5374165783569</v>
      </c>
      <c r="K60" s="47">
        <f t="shared" si="10"/>
        <v>616.36869872966827</v>
      </c>
      <c r="L60" s="47">
        <f t="shared" si="11"/>
        <v>616.36869872966827</v>
      </c>
      <c r="M60" s="6"/>
      <c r="N60" s="83">
        <f t="shared" si="5"/>
        <v>1916.1034088607805</v>
      </c>
      <c r="O60" s="54">
        <f t="shared" si="6"/>
        <v>1178.6672210457527</v>
      </c>
      <c r="P60" s="54">
        <f t="shared" si="12"/>
        <v>1916.1034088607805</v>
      </c>
      <c r="Q60" s="47">
        <f t="shared" si="13"/>
        <v>737.43618781502778</v>
      </c>
      <c r="R60" s="47">
        <f t="shared" si="14"/>
        <v>737.43618781502778</v>
      </c>
      <c r="S60" s="6"/>
      <c r="T60" s="6"/>
      <c r="U60" s="6"/>
      <c r="V60" s="6"/>
    </row>
    <row r="61" spans="1:22" ht="15" x14ac:dyDescent="0.25">
      <c r="A61" s="6">
        <f t="shared" si="15"/>
        <v>23</v>
      </c>
      <c r="B61" s="83">
        <f t="shared" si="0"/>
        <v>1973.5865111266039</v>
      </c>
      <c r="C61" s="54">
        <f t="shared" si="1"/>
        <v>1612.8429047653465</v>
      </c>
      <c r="D61" s="54">
        <f t="shared" si="7"/>
        <v>1973.5865111266039</v>
      </c>
      <c r="E61" s="47">
        <f t="shared" si="8"/>
        <v>360.74360636125743</v>
      </c>
      <c r="F61" s="47">
        <f t="shared" si="2"/>
        <v>360.74360636125743</v>
      </c>
      <c r="G61" s="84"/>
      <c r="H61" s="83">
        <f t="shared" si="3"/>
        <v>3819.7496615730588</v>
      </c>
      <c r="I61" s="54">
        <f t="shared" si="4"/>
        <v>3139.5143224589715</v>
      </c>
      <c r="J61" s="54">
        <f t="shared" si="9"/>
        <v>3819.7496615730588</v>
      </c>
      <c r="K61" s="47">
        <f t="shared" si="10"/>
        <v>680.23533911408731</v>
      </c>
      <c r="L61" s="47">
        <f t="shared" si="11"/>
        <v>680.23533911408731</v>
      </c>
      <c r="M61" s="6"/>
      <c r="N61" s="83">
        <f t="shared" si="5"/>
        <v>1973.5865111266039</v>
      </c>
      <c r="O61" s="54">
        <f t="shared" si="6"/>
        <v>1187.5072252035959</v>
      </c>
      <c r="P61" s="54">
        <f t="shared" si="12"/>
        <v>1973.5865111266039</v>
      </c>
      <c r="Q61" s="47">
        <f t="shared" si="13"/>
        <v>786.079285923008</v>
      </c>
      <c r="R61" s="47">
        <f t="shared" si="14"/>
        <v>786.079285923008</v>
      </c>
      <c r="S61" s="6"/>
      <c r="T61" s="6"/>
      <c r="U61" s="6"/>
      <c r="V61" s="6"/>
    </row>
    <row r="62" spans="1:22" ht="15" x14ac:dyDescent="0.25">
      <c r="A62" s="6">
        <f t="shared" si="15"/>
        <v>24</v>
      </c>
      <c r="B62" s="83">
        <f t="shared" si="0"/>
        <v>2032.7941064604017</v>
      </c>
      <c r="C62" s="54">
        <f t="shared" si="1"/>
        <v>1646.7126057654184</v>
      </c>
      <c r="D62" s="54">
        <f t="shared" si="7"/>
        <v>2032.7941064604017</v>
      </c>
      <c r="E62" s="47">
        <f t="shared" si="8"/>
        <v>386.08150069498333</v>
      </c>
      <c r="F62" s="47">
        <f t="shared" si="2"/>
        <v>386.08150069498333</v>
      </c>
      <c r="G62" s="84"/>
      <c r="H62" s="83">
        <f t="shared" si="3"/>
        <v>4048.9346412674417</v>
      </c>
      <c r="I62" s="54">
        <f t="shared" si="4"/>
        <v>3299.6295529043791</v>
      </c>
      <c r="J62" s="54">
        <f t="shared" si="9"/>
        <v>4048.9346412674417</v>
      </c>
      <c r="K62" s="47">
        <f t="shared" si="10"/>
        <v>749.30508836306262</v>
      </c>
      <c r="L62" s="47">
        <f t="shared" si="11"/>
        <v>749.30508836306262</v>
      </c>
      <c r="M62" s="6"/>
      <c r="N62" s="83">
        <f t="shared" si="5"/>
        <v>2032.7941064604017</v>
      </c>
      <c r="O62" s="54">
        <f t="shared" si="6"/>
        <v>1196.4135293926229</v>
      </c>
      <c r="P62" s="54">
        <f t="shared" si="12"/>
        <v>2032.7941064604017</v>
      </c>
      <c r="Q62" s="47">
        <f t="shared" si="13"/>
        <v>836.38057706777886</v>
      </c>
      <c r="R62" s="47">
        <f t="shared" si="14"/>
        <v>836.38057706777886</v>
      </c>
      <c r="S62" s="6"/>
      <c r="T62" s="6"/>
      <c r="U62" s="6"/>
      <c r="V62" s="6"/>
    </row>
    <row r="63" spans="1:22" ht="15" x14ac:dyDescent="0.25">
      <c r="A63" s="6">
        <f t="shared" si="15"/>
        <v>25</v>
      </c>
      <c r="B63" s="83">
        <f t="shared" si="0"/>
        <v>2093.7779296542139</v>
      </c>
      <c r="C63" s="54">
        <f t="shared" si="1"/>
        <v>1681.2935704864919</v>
      </c>
      <c r="D63" s="54">
        <f t="shared" si="7"/>
        <v>2093.7779296542139</v>
      </c>
      <c r="E63" s="47">
        <f t="shared" si="8"/>
        <v>412.484359167722</v>
      </c>
      <c r="F63" s="47">
        <f t="shared" si="2"/>
        <v>412.484359167722</v>
      </c>
      <c r="G63" s="84"/>
      <c r="H63" s="83">
        <f t="shared" si="3"/>
        <v>4291.8707197434878</v>
      </c>
      <c r="I63" s="54">
        <f t="shared" si="4"/>
        <v>3467.9106601025028</v>
      </c>
      <c r="J63" s="54">
        <f t="shared" si="9"/>
        <v>4291.8707197434878</v>
      </c>
      <c r="K63" s="47">
        <f t="shared" si="10"/>
        <v>823.96005964098504</v>
      </c>
      <c r="L63" s="47">
        <f t="shared" si="11"/>
        <v>823.96005964098504</v>
      </c>
      <c r="M63" s="6"/>
      <c r="N63" s="83">
        <f t="shared" si="5"/>
        <v>2093.7779296542139</v>
      </c>
      <c r="O63" s="54">
        <f t="shared" si="6"/>
        <v>1205.3866308630677</v>
      </c>
      <c r="P63" s="54">
        <f t="shared" si="12"/>
        <v>2093.7779296542139</v>
      </c>
      <c r="Q63" s="47">
        <f t="shared" si="13"/>
        <v>888.39129879114626</v>
      </c>
      <c r="R63" s="47">
        <f t="shared" si="14"/>
        <v>888.39129879114626</v>
      </c>
      <c r="S63" s="6"/>
      <c r="T63" s="6"/>
      <c r="U63" s="6"/>
      <c r="V63" s="6"/>
    </row>
    <row r="64" spans="1:22" ht="15" x14ac:dyDescent="0.25">
      <c r="A64" s="6">
        <f t="shared" si="15"/>
        <v>26</v>
      </c>
      <c r="B64" s="83">
        <f t="shared" si="0"/>
        <v>2156.5912675438408</v>
      </c>
      <c r="C64" s="54">
        <f t="shared" si="1"/>
        <v>1716.6007354667081</v>
      </c>
      <c r="D64" s="54">
        <f t="shared" si="7"/>
        <v>2156.5912675438408</v>
      </c>
      <c r="E64" s="47">
        <f t="shared" si="8"/>
        <v>439.99053207713268</v>
      </c>
      <c r="F64" s="47">
        <f t="shared" si="2"/>
        <v>439.99053207713268</v>
      </c>
      <c r="G64" s="84"/>
      <c r="H64" s="83">
        <f t="shared" si="3"/>
        <v>4549.3829629280981</v>
      </c>
      <c r="I64" s="54">
        <f t="shared" si="4"/>
        <v>3644.7741037677301</v>
      </c>
      <c r="J64" s="54">
        <f t="shared" si="9"/>
        <v>4549.3829629280981</v>
      </c>
      <c r="K64" s="47">
        <f t="shared" si="10"/>
        <v>904.60885916036796</v>
      </c>
      <c r="L64" s="47">
        <f t="shared" si="11"/>
        <v>904.60885916036796</v>
      </c>
      <c r="M64" s="6"/>
      <c r="N64" s="83">
        <f t="shared" si="5"/>
        <v>2156.5912675438408</v>
      </c>
      <c r="O64" s="54">
        <f t="shared" si="6"/>
        <v>1214.4270305945408</v>
      </c>
      <c r="P64" s="54">
        <f t="shared" si="12"/>
        <v>2156.5912675438408</v>
      </c>
      <c r="Q64" s="47">
        <f t="shared" si="13"/>
        <v>942.16423694929995</v>
      </c>
      <c r="R64" s="47">
        <f t="shared" si="14"/>
        <v>942.16423694929995</v>
      </c>
      <c r="S64" s="6"/>
      <c r="T64" s="6"/>
      <c r="U64" s="6"/>
      <c r="V64" s="6"/>
    </row>
    <row r="65" spans="1:22" ht="15" x14ac:dyDescent="0.25">
      <c r="A65" s="6">
        <f t="shared" si="15"/>
        <v>27</v>
      </c>
      <c r="B65" s="83">
        <f t="shared" si="0"/>
        <v>2221.2890055701555</v>
      </c>
      <c r="C65" s="54">
        <f t="shared" si="1"/>
        <v>1752.6493509115091</v>
      </c>
      <c r="D65" s="54">
        <f t="shared" si="7"/>
        <v>2221.2890055701555</v>
      </c>
      <c r="E65" s="47">
        <f t="shared" si="8"/>
        <v>468.63965465864635</v>
      </c>
      <c r="F65" s="47">
        <f t="shared" si="2"/>
        <v>468.63965465864635</v>
      </c>
      <c r="G65" s="84"/>
      <c r="H65" s="83">
        <f t="shared" si="3"/>
        <v>4822.3459407037844</v>
      </c>
      <c r="I65" s="54">
        <f t="shared" si="4"/>
        <v>3830.6575830598845</v>
      </c>
      <c r="J65" s="54">
        <f t="shared" si="9"/>
        <v>4822.3459407037844</v>
      </c>
      <c r="K65" s="47">
        <f t="shared" si="10"/>
        <v>991.68835764389996</v>
      </c>
      <c r="L65" s="47">
        <f t="shared" si="11"/>
        <v>991.68835764389996</v>
      </c>
      <c r="M65" s="6"/>
      <c r="N65" s="83">
        <f t="shared" si="5"/>
        <v>2221.2890055701555</v>
      </c>
      <c r="O65" s="54">
        <f t="shared" si="6"/>
        <v>1223.535233324</v>
      </c>
      <c r="P65" s="54">
        <f t="shared" si="12"/>
        <v>2221.2890055701555</v>
      </c>
      <c r="Q65" s="47">
        <f t="shared" si="13"/>
        <v>997.75377224615545</v>
      </c>
      <c r="R65" s="47">
        <f t="shared" si="14"/>
        <v>997.75377224615545</v>
      </c>
      <c r="S65" s="6"/>
      <c r="T65" s="6"/>
      <c r="U65" s="6"/>
      <c r="V65" s="6"/>
    </row>
    <row r="66" spans="1:22" ht="15" x14ac:dyDescent="0.25">
      <c r="A66" s="6">
        <f t="shared" si="15"/>
        <v>28</v>
      </c>
      <c r="B66" s="83">
        <f t="shared" si="0"/>
        <v>2287.9276757372604</v>
      </c>
      <c r="C66" s="54">
        <f t="shared" si="1"/>
        <v>1789.4549872806501</v>
      </c>
      <c r="D66" s="54">
        <f t="shared" si="7"/>
        <v>2287.9276757372604</v>
      </c>
      <c r="E66" s="47">
        <f t="shared" si="8"/>
        <v>498.47268845661029</v>
      </c>
      <c r="F66" s="47">
        <f t="shared" si="2"/>
        <v>498.47268845661029</v>
      </c>
      <c r="G66" s="84"/>
      <c r="H66" s="83">
        <f t="shared" si="3"/>
        <v>5111.6866971460122</v>
      </c>
      <c r="I66" s="54">
        <f t="shared" si="4"/>
        <v>4026.0211197959384</v>
      </c>
      <c r="J66" s="54">
        <f t="shared" si="9"/>
        <v>5111.6866971460122</v>
      </c>
      <c r="K66" s="47">
        <f t="shared" si="10"/>
        <v>1085.6655773500738</v>
      </c>
      <c r="L66" s="47">
        <f t="shared" si="11"/>
        <v>1085.6655773500738</v>
      </c>
      <c r="M66" s="6"/>
      <c r="N66" s="83">
        <f t="shared" si="5"/>
        <v>2287.9276757372604</v>
      </c>
      <c r="O66" s="54">
        <f t="shared" si="6"/>
        <v>1232.7117475739301</v>
      </c>
      <c r="P66" s="54">
        <f t="shared" si="12"/>
        <v>2287.9276757372604</v>
      </c>
      <c r="Q66" s="47">
        <f t="shared" si="13"/>
        <v>1055.2159281633303</v>
      </c>
      <c r="R66" s="47">
        <f t="shared" si="14"/>
        <v>1055.2159281633303</v>
      </c>
      <c r="S66" s="6"/>
      <c r="T66" s="6"/>
      <c r="U66" s="6"/>
      <c r="V66" s="6"/>
    </row>
    <row r="67" spans="1:22" ht="15" x14ac:dyDescent="0.25">
      <c r="A67" s="6">
        <f t="shared" si="15"/>
        <v>29</v>
      </c>
      <c r="B67" s="83">
        <f t="shared" si="0"/>
        <v>2356.5655060093777</v>
      </c>
      <c r="C67" s="54">
        <f t="shared" si="1"/>
        <v>1827.0335420135434</v>
      </c>
      <c r="D67" s="54">
        <f t="shared" si="7"/>
        <v>2356.5655060093777</v>
      </c>
      <c r="E67" s="47">
        <f t="shared" si="8"/>
        <v>529.5319639958343</v>
      </c>
      <c r="F67" s="47">
        <f t="shared" si="2"/>
        <v>529.5319639958343</v>
      </c>
      <c r="G67" s="84"/>
      <c r="H67" s="83">
        <f t="shared" si="3"/>
        <v>5418.3878989747727</v>
      </c>
      <c r="I67" s="54">
        <f t="shared" si="4"/>
        <v>4231.348196905531</v>
      </c>
      <c r="J67" s="54">
        <f t="shared" si="9"/>
        <v>5418.3878989747727</v>
      </c>
      <c r="K67" s="47">
        <f t="shared" si="10"/>
        <v>1187.0397020692417</v>
      </c>
      <c r="L67" s="47">
        <f t="shared" si="11"/>
        <v>1187.0397020692417</v>
      </c>
      <c r="M67" s="6"/>
      <c r="N67" s="83">
        <f t="shared" si="5"/>
        <v>2356.5655060093777</v>
      </c>
      <c r="O67" s="54">
        <f t="shared" si="6"/>
        <v>1241.9570856807345</v>
      </c>
      <c r="P67" s="54">
        <f t="shared" si="12"/>
        <v>2356.5655060093777</v>
      </c>
      <c r="Q67" s="47">
        <f t="shared" si="13"/>
        <v>1114.6084203286432</v>
      </c>
      <c r="R67" s="47">
        <f t="shared" si="14"/>
        <v>1114.6084203286432</v>
      </c>
      <c r="S67" s="6"/>
      <c r="T67" s="6"/>
      <c r="U67" s="6"/>
      <c r="V67" s="6"/>
    </row>
    <row r="68" spans="1:22" ht="15" x14ac:dyDescent="0.25">
      <c r="A68" s="6">
        <f t="shared" si="15"/>
        <v>30</v>
      </c>
      <c r="B68" s="83">
        <f t="shared" si="0"/>
        <v>2427.2624711896592</v>
      </c>
      <c r="C68" s="54">
        <f t="shared" si="1"/>
        <v>1865.4012463958281</v>
      </c>
      <c r="D68" s="54">
        <f t="shared" si="7"/>
        <v>2427.2624711896592</v>
      </c>
      <c r="E68" s="47">
        <f t="shared" si="8"/>
        <v>561.86122479383107</v>
      </c>
      <c r="F68" s="47">
        <f t="shared" si="2"/>
        <v>561.86122479383107</v>
      </c>
      <c r="G68" s="84"/>
      <c r="H68" s="83">
        <f t="shared" si="3"/>
        <v>5743.4911729132591</v>
      </c>
      <c r="I68" s="54">
        <f t="shared" si="4"/>
        <v>4447.1469549477133</v>
      </c>
      <c r="J68" s="54">
        <f t="shared" si="9"/>
        <v>5743.4911729132591</v>
      </c>
      <c r="K68" s="47">
        <f t="shared" si="10"/>
        <v>1296.3442179655458</v>
      </c>
      <c r="L68" s="47">
        <f t="shared" si="11"/>
        <v>1296.3442179655458</v>
      </c>
      <c r="M68" s="6"/>
      <c r="N68" s="83">
        <f t="shared" si="5"/>
        <v>2427.2624711896592</v>
      </c>
      <c r="O68" s="54">
        <f t="shared" si="6"/>
        <v>1251.2717638233403</v>
      </c>
      <c r="P68" s="54">
        <f t="shared" si="12"/>
        <v>2427.2624711896592</v>
      </c>
      <c r="Q68" s="47">
        <f t="shared" si="13"/>
        <v>1175.9907073663189</v>
      </c>
      <c r="R68" s="47">
        <f t="shared" si="14"/>
        <v>1175.9907073663189</v>
      </c>
      <c r="S68" s="6"/>
      <c r="T68" s="6"/>
      <c r="U68" s="6"/>
      <c r="V68" s="6"/>
    </row>
    <row r="69" spans="1:22" ht="15" x14ac:dyDescent="0.25">
      <c r="A69" s="6">
        <f t="shared" si="15"/>
        <v>31</v>
      </c>
      <c r="B69" s="83">
        <f t="shared" si="0"/>
        <v>2500.0803453253493</v>
      </c>
      <c r="C69" s="54">
        <f t="shared" si="1"/>
        <v>1904.5746725701399</v>
      </c>
      <c r="D69" s="54">
        <f t="shared" si="7"/>
        <v>2500.0803453253493</v>
      </c>
      <c r="E69" s="47">
        <f t="shared" si="8"/>
        <v>595.50567275520939</v>
      </c>
      <c r="F69" s="47">
        <f t="shared" si="2"/>
        <v>595.50567275520939</v>
      </c>
      <c r="G69" s="84"/>
      <c r="H69" s="83">
        <f t="shared" si="3"/>
        <v>6088.1006432880567</v>
      </c>
      <c r="I69" s="54">
        <f t="shared" si="4"/>
        <v>4673.9514496500469</v>
      </c>
      <c r="J69" s="54">
        <f t="shared" si="9"/>
        <v>6088.1006432880567</v>
      </c>
      <c r="K69" s="47">
        <f t="shared" si="10"/>
        <v>1414.1491936380098</v>
      </c>
      <c r="L69" s="47">
        <f t="shared" si="11"/>
        <v>1414.1491936380098</v>
      </c>
      <c r="M69" s="6"/>
      <c r="N69" s="83">
        <f t="shared" si="5"/>
        <v>2500.0803453253493</v>
      </c>
      <c r="O69" s="54">
        <f t="shared" si="6"/>
        <v>1260.6563020520157</v>
      </c>
      <c r="P69" s="54">
        <f t="shared" si="12"/>
        <v>2500.0803453253493</v>
      </c>
      <c r="Q69" s="47">
        <f t="shared" si="13"/>
        <v>1239.4240432733336</v>
      </c>
      <c r="R69" s="47">
        <f t="shared" si="14"/>
        <v>1239.4240432733336</v>
      </c>
      <c r="S69" s="6"/>
      <c r="T69" s="6"/>
      <c r="U69" s="6"/>
      <c r="V69" s="6"/>
    </row>
    <row r="70" spans="1:22" ht="15" x14ac:dyDescent="0.25">
      <c r="A70" s="6">
        <f t="shared" si="15"/>
        <v>32</v>
      </c>
      <c r="B70" s="83">
        <f t="shared" si="0"/>
        <v>2575.0827556851091</v>
      </c>
      <c r="C70" s="54">
        <f t="shared" si="1"/>
        <v>1944.5707406941128</v>
      </c>
      <c r="D70" s="54">
        <f t="shared" si="7"/>
        <v>2575.0827556851091</v>
      </c>
      <c r="E70" s="47">
        <f t="shared" si="8"/>
        <v>630.51201499099625</v>
      </c>
      <c r="F70" s="47">
        <f t="shared" si="2"/>
        <v>630.51201499099625</v>
      </c>
      <c r="G70" s="84"/>
      <c r="H70" s="83">
        <f t="shared" si="3"/>
        <v>6453.3866818853385</v>
      </c>
      <c r="I70" s="54">
        <f t="shared" si="4"/>
        <v>4912.3229735821988</v>
      </c>
      <c r="J70" s="54">
        <f t="shared" si="9"/>
        <v>6453.3866818853385</v>
      </c>
      <c r="K70" s="47">
        <f t="shared" si="10"/>
        <v>1541.0637083031397</v>
      </c>
      <c r="L70" s="47">
        <f t="shared" si="11"/>
        <v>1541.0637083031397</v>
      </c>
      <c r="M70" s="6"/>
      <c r="N70" s="83">
        <f t="shared" si="5"/>
        <v>2575.0827556851091</v>
      </c>
      <c r="O70" s="54">
        <f t="shared" si="6"/>
        <v>1270.1112243174055</v>
      </c>
      <c r="P70" s="54">
        <f t="shared" si="12"/>
        <v>2575.0827556851091</v>
      </c>
      <c r="Q70" s="47">
        <f t="shared" si="13"/>
        <v>1304.9715313677036</v>
      </c>
      <c r="R70" s="47">
        <f t="shared" si="14"/>
        <v>1304.9715313677036</v>
      </c>
      <c r="S70" s="6"/>
      <c r="T70" s="6"/>
      <c r="U70" s="6"/>
      <c r="V70" s="6"/>
    </row>
    <row r="71" spans="1:22" ht="15" x14ac:dyDescent="0.25">
      <c r="A71" s="6">
        <f t="shared" si="15"/>
        <v>33</v>
      </c>
      <c r="B71" s="83">
        <f t="shared" si="0"/>
        <v>2652.3352383556626</v>
      </c>
      <c r="C71" s="54">
        <f t="shared" si="1"/>
        <v>1985.406726248689</v>
      </c>
      <c r="D71" s="54">
        <f t="shared" si="7"/>
        <v>2652.3352383556626</v>
      </c>
      <c r="E71" s="47">
        <f t="shared" si="8"/>
        <v>666.92851210697359</v>
      </c>
      <c r="F71" s="47">
        <f t="shared" si="2"/>
        <v>666.92851210697359</v>
      </c>
      <c r="G71" s="84"/>
      <c r="H71" s="83">
        <f t="shared" si="3"/>
        <v>6840.5898827984593</v>
      </c>
      <c r="I71" s="54">
        <f t="shared" si="4"/>
        <v>5162.8514452348909</v>
      </c>
      <c r="J71" s="54">
        <f t="shared" si="9"/>
        <v>6840.5898827984593</v>
      </c>
      <c r="K71" s="47">
        <f t="shared" si="10"/>
        <v>1677.7384375635684</v>
      </c>
      <c r="L71" s="47">
        <f t="shared" si="11"/>
        <v>1677.7384375635684</v>
      </c>
      <c r="M71" s="6"/>
      <c r="N71" s="83">
        <f t="shared" si="5"/>
        <v>2652.3352383556626</v>
      </c>
      <c r="O71" s="54">
        <f t="shared" si="6"/>
        <v>1279.637058499786</v>
      </c>
      <c r="P71" s="54">
        <f t="shared" si="12"/>
        <v>2652.3352383556626</v>
      </c>
      <c r="Q71" s="47">
        <f t="shared" si="13"/>
        <v>1372.6981798558766</v>
      </c>
      <c r="R71" s="47">
        <f t="shared" si="14"/>
        <v>1372.6981798558766</v>
      </c>
      <c r="S71" s="6"/>
      <c r="T71" s="6"/>
      <c r="U71" s="6"/>
      <c r="V71" s="6"/>
    </row>
    <row r="72" spans="1:22" ht="15" x14ac:dyDescent="0.25">
      <c r="A72" s="6">
        <f t="shared" si="15"/>
        <v>34</v>
      </c>
      <c r="B72" s="83">
        <f t="shared" si="0"/>
        <v>2731.9052955063321</v>
      </c>
      <c r="C72" s="54">
        <f t="shared" si="1"/>
        <v>2027.1002674999111</v>
      </c>
      <c r="D72" s="54">
        <f t="shared" si="7"/>
        <v>2731.9052955063321</v>
      </c>
      <c r="E72" s="47">
        <f t="shared" si="8"/>
        <v>704.80502800642103</v>
      </c>
      <c r="F72" s="47">
        <f t="shared" si="2"/>
        <v>704.80502800642103</v>
      </c>
      <c r="G72" s="84"/>
      <c r="H72" s="83">
        <f t="shared" si="3"/>
        <v>7251.0252757663675</v>
      </c>
      <c r="I72" s="54">
        <f t="shared" si="4"/>
        <v>5426.1568689418691</v>
      </c>
      <c r="J72" s="54">
        <f t="shared" si="9"/>
        <v>7251.0252757663675</v>
      </c>
      <c r="K72" s="47">
        <f t="shared" si="10"/>
        <v>1824.8684068244984</v>
      </c>
      <c r="L72" s="47">
        <f t="shared" si="11"/>
        <v>1824.8684068244984</v>
      </c>
      <c r="M72" s="6"/>
      <c r="N72" s="83">
        <f t="shared" si="5"/>
        <v>2731.9052955063321</v>
      </c>
      <c r="O72" s="54">
        <f t="shared" si="6"/>
        <v>1289.2343364385349</v>
      </c>
      <c r="P72" s="54">
        <f t="shared" si="12"/>
        <v>2731.9052955063321</v>
      </c>
      <c r="Q72" s="47">
        <f t="shared" si="13"/>
        <v>1442.6709590677972</v>
      </c>
      <c r="R72" s="47">
        <f t="shared" si="14"/>
        <v>1442.6709590677972</v>
      </c>
      <c r="S72" s="6"/>
      <c r="T72" s="6"/>
      <c r="U72" s="6"/>
      <c r="V72" s="6"/>
    </row>
    <row r="73" spans="1:22" ht="15" x14ac:dyDescent="0.25">
      <c r="A73" s="6">
        <f t="shared" si="15"/>
        <v>35</v>
      </c>
      <c r="B73" s="83">
        <f t="shared" si="0"/>
        <v>2813.8624543715223</v>
      </c>
      <c r="C73" s="54">
        <f t="shared" si="1"/>
        <v>2069.6693731174091</v>
      </c>
      <c r="D73" s="54">
        <f t="shared" si="7"/>
        <v>2813.8624543715223</v>
      </c>
      <c r="E73" s="47">
        <f t="shared" si="8"/>
        <v>744.19308125411317</v>
      </c>
      <c r="F73" s="47">
        <f t="shared" si="2"/>
        <v>744.19308125411317</v>
      </c>
      <c r="G73" s="84"/>
      <c r="H73" s="83">
        <f t="shared" si="3"/>
        <v>7686.0867923123506</v>
      </c>
      <c r="I73" s="54">
        <f t="shared" si="4"/>
        <v>5702.8908692579043</v>
      </c>
      <c r="J73" s="54">
        <f t="shared" si="9"/>
        <v>7686.0867923123506</v>
      </c>
      <c r="K73" s="47">
        <f t="shared" si="10"/>
        <v>1983.1959230544462</v>
      </c>
      <c r="L73" s="47">
        <f t="shared" si="11"/>
        <v>1983.1959230544462</v>
      </c>
      <c r="M73" s="6"/>
      <c r="N73" s="83">
        <f t="shared" si="5"/>
        <v>2813.8624543715223</v>
      </c>
      <c r="O73" s="54">
        <f t="shared" si="6"/>
        <v>1298.9035939618238</v>
      </c>
      <c r="P73" s="54">
        <f t="shared" si="12"/>
        <v>2813.8624543715223</v>
      </c>
      <c r="Q73" s="47">
        <f t="shared" si="13"/>
        <v>1514.9588604096984</v>
      </c>
      <c r="R73" s="47">
        <f t="shared" si="14"/>
        <v>1514.9588604096984</v>
      </c>
      <c r="S73" s="6"/>
      <c r="T73" s="6"/>
      <c r="U73" s="6"/>
      <c r="V73" s="6"/>
    </row>
    <row r="74" spans="1:22" ht="15" x14ac:dyDescent="0.25">
      <c r="A74" s="6">
        <f t="shared" si="15"/>
        <v>36</v>
      </c>
      <c r="B74" s="83">
        <f t="shared" si="0"/>
        <v>2898.2783280026679</v>
      </c>
      <c r="C74" s="54">
        <f t="shared" si="1"/>
        <v>2113.1324299528746</v>
      </c>
      <c r="D74" s="54">
        <f t="shared" si="7"/>
        <v>2898.2783280026679</v>
      </c>
      <c r="E74" s="47">
        <f t="shared" si="8"/>
        <v>785.14589804979323</v>
      </c>
      <c r="F74" s="47">
        <f t="shared" si="2"/>
        <v>785.14589804979323</v>
      </c>
      <c r="G74" s="84"/>
      <c r="H74" s="83">
        <f t="shared" si="3"/>
        <v>8147.2519998510916</v>
      </c>
      <c r="I74" s="54">
        <f t="shared" si="4"/>
        <v>5993.7383035900584</v>
      </c>
      <c r="J74" s="54">
        <f t="shared" si="9"/>
        <v>8147.2519998510916</v>
      </c>
      <c r="K74" s="47">
        <f t="shared" si="10"/>
        <v>2153.5136962610331</v>
      </c>
      <c r="L74" s="47">
        <f t="shared" si="11"/>
        <v>2153.5136962610331</v>
      </c>
      <c r="M74" s="6"/>
      <c r="N74" s="83">
        <f t="shared" si="5"/>
        <v>2898.2783280026679</v>
      </c>
      <c r="O74" s="54">
        <f t="shared" si="6"/>
        <v>1308.6453709165376</v>
      </c>
      <c r="P74" s="54">
        <f t="shared" si="12"/>
        <v>2898.2783280026679</v>
      </c>
      <c r="Q74" s="47">
        <f t="shared" si="13"/>
        <v>1589.6329570861303</v>
      </c>
      <c r="R74" s="47">
        <f t="shared" si="14"/>
        <v>1589.6329570861303</v>
      </c>
      <c r="S74" s="6"/>
      <c r="T74" s="6"/>
      <c r="U74" s="6"/>
      <c r="V74" s="6"/>
    </row>
    <row r="75" spans="1:22" ht="15" x14ac:dyDescent="0.25">
      <c r="A75" s="6">
        <f t="shared" si="15"/>
        <v>37</v>
      </c>
      <c r="B75" s="83">
        <f t="shared" si="0"/>
        <v>2985.2266778427474</v>
      </c>
      <c r="C75" s="54">
        <f t="shared" si="1"/>
        <v>2157.5082109818845</v>
      </c>
      <c r="D75" s="54">
        <f t="shared" si="7"/>
        <v>2985.2266778427474</v>
      </c>
      <c r="E75" s="47">
        <f t="shared" si="8"/>
        <v>827.71846686086292</v>
      </c>
      <c r="F75" s="47">
        <f t="shared" si="2"/>
        <v>827.71846686086292</v>
      </c>
      <c r="G75" s="84"/>
      <c r="H75" s="83">
        <f t="shared" si="3"/>
        <v>8636.0871198421573</v>
      </c>
      <c r="I75" s="54">
        <f t="shared" si="4"/>
        <v>6299.4189570731505</v>
      </c>
      <c r="J75" s="54">
        <f t="shared" si="9"/>
        <v>8636.0871198421573</v>
      </c>
      <c r="K75" s="47">
        <f t="shared" si="10"/>
        <v>2336.6681627690068</v>
      </c>
      <c r="L75" s="47">
        <f t="shared" si="11"/>
        <v>2336.6681627690068</v>
      </c>
      <c r="M75" s="6"/>
      <c r="N75" s="83">
        <f t="shared" si="5"/>
        <v>2985.2266778427474</v>
      </c>
      <c r="O75" s="54">
        <f t="shared" si="6"/>
        <v>1318.4602111984116</v>
      </c>
      <c r="P75" s="54">
        <f t="shared" si="12"/>
        <v>2985.2266778427474</v>
      </c>
      <c r="Q75" s="47">
        <f t="shared" si="13"/>
        <v>1666.7664666443359</v>
      </c>
      <c r="R75" s="47">
        <f t="shared" si="14"/>
        <v>1666.7664666443359</v>
      </c>
      <c r="S75" s="6"/>
      <c r="T75" s="6"/>
      <c r="U75" s="6"/>
      <c r="V75" s="6"/>
    </row>
    <row r="76" spans="1:22" ht="15" x14ac:dyDescent="0.25">
      <c r="A76" s="6">
        <f t="shared" si="15"/>
        <v>38</v>
      </c>
      <c r="B76" s="83">
        <f t="shared" si="0"/>
        <v>3074.7834781780302</v>
      </c>
      <c r="C76" s="54">
        <f t="shared" si="1"/>
        <v>2202.8158834125038</v>
      </c>
      <c r="D76" s="54">
        <f t="shared" si="7"/>
        <v>3074.7834781780302</v>
      </c>
      <c r="E76" s="47">
        <f t="shared" si="8"/>
        <v>871.96759476552643</v>
      </c>
      <c r="F76" s="47">
        <f t="shared" si="2"/>
        <v>871.96759476552643</v>
      </c>
      <c r="G76" s="84"/>
      <c r="H76" s="83">
        <f t="shared" si="3"/>
        <v>9154.2523470326887</v>
      </c>
      <c r="I76" s="54">
        <f t="shared" si="4"/>
        <v>6620.689323883882</v>
      </c>
      <c r="J76" s="54">
        <f t="shared" si="9"/>
        <v>9154.2523470326887</v>
      </c>
      <c r="K76" s="47">
        <f t="shared" si="10"/>
        <v>2533.5630231488067</v>
      </c>
      <c r="L76" s="47">
        <f t="shared" si="11"/>
        <v>2533.5630231488067</v>
      </c>
      <c r="M76" s="6"/>
      <c r="N76" s="83">
        <f t="shared" si="5"/>
        <v>3074.7834781780302</v>
      </c>
      <c r="O76" s="54">
        <f t="shared" si="6"/>
        <v>1328.3486627824</v>
      </c>
      <c r="P76" s="54">
        <f t="shared" si="12"/>
        <v>3074.7834781780302</v>
      </c>
      <c r="Q76" s="47">
        <f t="shared" si="13"/>
        <v>1746.4348153956303</v>
      </c>
      <c r="R76" s="47">
        <f t="shared" si="14"/>
        <v>1746.4348153956303</v>
      </c>
      <c r="S76" s="6"/>
      <c r="T76" s="6"/>
      <c r="U76" s="6"/>
      <c r="V76" s="6"/>
    </row>
    <row r="77" spans="1:22" ht="15" x14ac:dyDescent="0.25">
      <c r="A77" s="6">
        <f t="shared" si="15"/>
        <v>39</v>
      </c>
      <c r="B77" s="83">
        <f t="shared" si="0"/>
        <v>3167.0269825233713</v>
      </c>
      <c r="C77" s="54">
        <f t="shared" si="1"/>
        <v>2249.075016964166</v>
      </c>
      <c r="D77" s="54">
        <f t="shared" si="7"/>
        <v>3167.0269825233713</v>
      </c>
      <c r="E77" s="47">
        <f t="shared" si="8"/>
        <v>917.95196555920529</v>
      </c>
      <c r="F77" s="47">
        <f t="shared" si="2"/>
        <v>917.95196555920529</v>
      </c>
      <c r="G77" s="84"/>
      <c r="H77" s="83">
        <f t="shared" si="3"/>
        <v>9703.5074878546511</v>
      </c>
      <c r="I77" s="54">
        <f t="shared" si="4"/>
        <v>6958.3444794019597</v>
      </c>
      <c r="J77" s="54">
        <f t="shared" si="9"/>
        <v>9703.5074878546511</v>
      </c>
      <c r="K77" s="47">
        <f t="shared" si="10"/>
        <v>2745.1630084526914</v>
      </c>
      <c r="L77" s="47">
        <f t="shared" si="11"/>
        <v>2745.1630084526914</v>
      </c>
      <c r="M77" s="6"/>
      <c r="N77" s="83">
        <f t="shared" si="5"/>
        <v>3167.0269825233713</v>
      </c>
      <c r="O77" s="54">
        <f t="shared" si="6"/>
        <v>1338.3112777532681</v>
      </c>
      <c r="P77" s="54">
        <f t="shared" si="12"/>
        <v>3167.0269825233713</v>
      </c>
      <c r="Q77" s="47">
        <f t="shared" si="13"/>
        <v>1828.7157047701032</v>
      </c>
      <c r="R77" s="47">
        <f t="shared" si="14"/>
        <v>1828.7157047701032</v>
      </c>
      <c r="S77" s="6"/>
      <c r="T77" s="6"/>
      <c r="U77" s="6"/>
      <c r="V77" s="6"/>
    </row>
    <row r="78" spans="1:22" ht="15" x14ac:dyDescent="0.25">
      <c r="A78" s="6">
        <f t="shared" si="15"/>
        <v>40</v>
      </c>
      <c r="B78" s="83">
        <f t="shared" si="0"/>
        <v>3262.0377919990719</v>
      </c>
      <c r="C78" s="54">
        <f t="shared" si="1"/>
        <v>2296.3055923204133</v>
      </c>
      <c r="D78" s="54">
        <f t="shared" si="7"/>
        <v>3262.0377919990719</v>
      </c>
      <c r="E78" s="47">
        <f t="shared" si="8"/>
        <v>965.73219967865862</v>
      </c>
      <c r="F78" s="47">
        <f t="shared" si="2"/>
        <v>965.73219967865862</v>
      </c>
      <c r="G78" s="84"/>
      <c r="H78" s="83">
        <f t="shared" si="3"/>
        <v>10285.717937125928</v>
      </c>
      <c r="I78" s="54">
        <f t="shared" si="4"/>
        <v>7313.2200478514587</v>
      </c>
      <c r="J78" s="54">
        <f t="shared" si="9"/>
        <v>10285.717937125928</v>
      </c>
      <c r="K78" s="47">
        <f t="shared" si="10"/>
        <v>2972.4978892744693</v>
      </c>
      <c r="L78" s="47">
        <f t="shared" si="11"/>
        <v>2972.4978892744693</v>
      </c>
      <c r="M78" s="6"/>
      <c r="N78" s="83">
        <f t="shared" si="5"/>
        <v>3262.0377919990719</v>
      </c>
      <c r="O78" s="54">
        <f t="shared" si="6"/>
        <v>1348.3486123364178</v>
      </c>
      <c r="P78" s="54">
        <f t="shared" si="12"/>
        <v>3262.0377919990719</v>
      </c>
      <c r="Q78" s="47">
        <f t="shared" si="13"/>
        <v>1913.6891796626542</v>
      </c>
      <c r="R78" s="47">
        <f t="shared" si="14"/>
        <v>1913.6891796626542</v>
      </c>
      <c r="S78" s="6"/>
      <c r="T78" s="6"/>
      <c r="U78" s="6"/>
      <c r="V78" s="6"/>
    </row>
    <row r="79" spans="1:22" ht="15" x14ac:dyDescent="0.25">
      <c r="A79" s="6">
        <f t="shared" si="15"/>
        <v>41</v>
      </c>
      <c r="B79" s="83">
        <f t="shared" si="0"/>
        <v>3359.8989257590442</v>
      </c>
      <c r="C79" s="54">
        <f t="shared" si="1"/>
        <v>2344.5280097591412</v>
      </c>
      <c r="D79" s="54">
        <f t="shared" si="7"/>
        <v>3359.8989257590442</v>
      </c>
      <c r="E79" s="47">
        <f t="shared" si="8"/>
        <v>1015.370915999903</v>
      </c>
      <c r="F79" s="47">
        <f t="shared" si="2"/>
        <v>1015.370915999903</v>
      </c>
      <c r="G79" s="84"/>
      <c r="H79" s="83">
        <f t="shared" si="3"/>
        <v>10902.861013353484</v>
      </c>
      <c r="I79" s="54">
        <f t="shared" si="4"/>
        <v>7686.1942702918832</v>
      </c>
      <c r="J79" s="54">
        <f t="shared" si="9"/>
        <v>10902.861013353484</v>
      </c>
      <c r="K79" s="47">
        <f t="shared" si="10"/>
        <v>3216.6667430616008</v>
      </c>
      <c r="L79" s="47">
        <f t="shared" si="11"/>
        <v>3216.6667430616008</v>
      </c>
      <c r="M79" s="6"/>
      <c r="N79" s="83">
        <f t="shared" si="5"/>
        <v>3359.8989257590442</v>
      </c>
      <c r="O79" s="54">
        <f t="shared" si="6"/>
        <v>1358.461226928941</v>
      </c>
      <c r="P79" s="54">
        <f t="shared" si="12"/>
        <v>3359.8989257590442</v>
      </c>
      <c r="Q79" s="47">
        <f t="shared" si="13"/>
        <v>2001.4376988301033</v>
      </c>
      <c r="R79" s="47">
        <f t="shared" si="14"/>
        <v>2001.4376988301033</v>
      </c>
      <c r="S79" s="6"/>
      <c r="T79" s="6"/>
      <c r="U79" s="6"/>
      <c r="V79" s="6"/>
    </row>
    <row r="80" spans="1:22" ht="15" x14ac:dyDescent="0.25">
      <c r="A80" s="6">
        <f t="shared" si="15"/>
        <v>42</v>
      </c>
      <c r="B80" s="83">
        <f t="shared" si="0"/>
        <v>3460.6958935318157</v>
      </c>
      <c r="C80" s="54">
        <f t="shared" si="1"/>
        <v>2393.7630979640835</v>
      </c>
      <c r="D80" s="54">
        <f t="shared" si="7"/>
        <v>3460.6958935318157</v>
      </c>
      <c r="E80" s="47">
        <f t="shared" si="8"/>
        <v>1066.9327955677322</v>
      </c>
      <c r="F80" s="47">
        <f t="shared" si="2"/>
        <v>1066.9327955677322</v>
      </c>
      <c r="G80" s="84"/>
      <c r="H80" s="83">
        <f t="shared" si="3"/>
        <v>11557.032674154694</v>
      </c>
      <c r="I80" s="54">
        <f t="shared" si="4"/>
        <v>8078.1901780767685</v>
      </c>
      <c r="J80" s="54">
        <f t="shared" si="9"/>
        <v>11557.032674154694</v>
      </c>
      <c r="K80" s="47">
        <f t="shared" si="10"/>
        <v>3478.8424960779257</v>
      </c>
      <c r="L80" s="47">
        <f t="shared" si="11"/>
        <v>3478.8424960779257</v>
      </c>
      <c r="M80" s="6"/>
      <c r="N80" s="83">
        <f t="shared" si="5"/>
        <v>3460.6958935318157</v>
      </c>
      <c r="O80" s="54">
        <f t="shared" si="6"/>
        <v>1368.6496861309081</v>
      </c>
      <c r="P80" s="54">
        <f t="shared" si="12"/>
        <v>3460.6958935318157</v>
      </c>
      <c r="Q80" s="47">
        <f t="shared" si="13"/>
        <v>2092.0462074009074</v>
      </c>
      <c r="R80" s="47">
        <f t="shared" si="14"/>
        <v>2092.0462074009074</v>
      </c>
      <c r="S80" s="6"/>
      <c r="T80" s="6"/>
      <c r="U80" s="6"/>
      <c r="V80" s="6"/>
    </row>
    <row r="81" spans="1:22" ht="15" x14ac:dyDescent="0.25">
      <c r="A81" s="6">
        <f t="shared" si="15"/>
        <v>43</v>
      </c>
      <c r="B81" s="83">
        <f t="shared" si="0"/>
        <v>3564.5167703377701</v>
      </c>
      <c r="C81" s="54">
        <f t="shared" si="1"/>
        <v>2444.032123021329</v>
      </c>
      <c r="D81" s="54">
        <f t="shared" si="7"/>
        <v>3564.5167703377701</v>
      </c>
      <c r="E81" s="47">
        <f t="shared" si="8"/>
        <v>1120.4846473164412</v>
      </c>
      <c r="F81" s="47">
        <f t="shared" si="2"/>
        <v>1120.4846473164412</v>
      </c>
      <c r="G81" s="84"/>
      <c r="H81" s="83">
        <f t="shared" si="3"/>
        <v>12250.454634603977</v>
      </c>
      <c r="I81" s="54">
        <f t="shared" si="4"/>
        <v>8490.1778771586851</v>
      </c>
      <c r="J81" s="54">
        <f t="shared" si="9"/>
        <v>12250.454634603977</v>
      </c>
      <c r="K81" s="47">
        <f t="shared" si="10"/>
        <v>3760.2767574452919</v>
      </c>
      <c r="L81" s="47">
        <f t="shared" si="11"/>
        <v>3760.2767574452919</v>
      </c>
      <c r="M81" s="6"/>
      <c r="N81" s="83">
        <f t="shared" si="5"/>
        <v>3564.5167703377701</v>
      </c>
      <c r="O81" s="54">
        <f t="shared" si="6"/>
        <v>1378.9145587768901</v>
      </c>
      <c r="P81" s="54">
        <f t="shared" si="12"/>
        <v>3564.5167703377701</v>
      </c>
      <c r="Q81" s="47">
        <f t="shared" si="13"/>
        <v>2185.6022115608803</v>
      </c>
      <c r="R81" s="47">
        <f t="shared" si="14"/>
        <v>2185.6022115608803</v>
      </c>
      <c r="S81" s="6"/>
      <c r="T81" s="6"/>
      <c r="U81" s="6"/>
      <c r="V81" s="6"/>
    </row>
    <row r="82" spans="1:22" ht="15" x14ac:dyDescent="0.25">
      <c r="A82" s="6">
        <f t="shared" si="15"/>
        <v>44</v>
      </c>
      <c r="B82" s="83">
        <f t="shared" si="0"/>
        <v>3671.4522734479028</v>
      </c>
      <c r="C82" s="54">
        <f t="shared" si="1"/>
        <v>2495.3567976047761</v>
      </c>
      <c r="D82" s="54">
        <f t="shared" si="7"/>
        <v>3671.4522734479028</v>
      </c>
      <c r="E82" s="47">
        <f t="shared" si="8"/>
        <v>1176.0954758431267</v>
      </c>
      <c r="F82" s="47">
        <f t="shared" si="2"/>
        <v>1176.0954758431267</v>
      </c>
      <c r="G82" s="84"/>
      <c r="H82" s="83">
        <f t="shared" si="3"/>
        <v>12985.481912680218</v>
      </c>
      <c r="I82" s="54">
        <f t="shared" si="4"/>
        <v>8923.1769488937771</v>
      </c>
      <c r="J82" s="54">
        <f t="shared" si="9"/>
        <v>12985.481912680218</v>
      </c>
      <c r="K82" s="47">
        <f t="shared" si="10"/>
        <v>4062.3049637864406</v>
      </c>
      <c r="L82" s="47">
        <f t="shared" si="11"/>
        <v>4062.3049637864406</v>
      </c>
      <c r="M82" s="6"/>
      <c r="N82" s="83">
        <f t="shared" si="5"/>
        <v>3671.4522734479028</v>
      </c>
      <c r="O82" s="54">
        <f t="shared" si="6"/>
        <v>1389.256417967717</v>
      </c>
      <c r="P82" s="54">
        <f t="shared" si="12"/>
        <v>3671.4522734479028</v>
      </c>
      <c r="Q82" s="47">
        <f t="shared" si="13"/>
        <v>2282.1958554801859</v>
      </c>
      <c r="R82" s="47">
        <f t="shared" si="14"/>
        <v>2282.1958554801859</v>
      </c>
      <c r="S82" s="6"/>
      <c r="T82" s="6"/>
      <c r="U82" s="6"/>
      <c r="V82" s="6"/>
    </row>
    <row r="83" spans="1:22" ht="15" x14ac:dyDescent="0.25">
      <c r="A83" s="6">
        <f t="shared" si="15"/>
        <v>45</v>
      </c>
      <c r="B83" s="83">
        <f t="shared" si="0"/>
        <v>3781.5958416513399</v>
      </c>
      <c r="C83" s="54">
        <f t="shared" si="1"/>
        <v>2547.759290354476</v>
      </c>
      <c r="D83" s="54">
        <f t="shared" si="7"/>
        <v>3781.5958416513399</v>
      </c>
      <c r="E83" s="47">
        <f t="shared" si="8"/>
        <v>1233.8365512968639</v>
      </c>
      <c r="F83" s="47">
        <f t="shared" si="2"/>
        <v>1233.8365512968639</v>
      </c>
      <c r="G83" s="84"/>
      <c r="H83" s="83">
        <f t="shared" si="3"/>
        <v>13764.610827441031</v>
      </c>
      <c r="I83" s="54">
        <f t="shared" si="4"/>
        <v>9378.2589732873585</v>
      </c>
      <c r="J83" s="54">
        <f t="shared" si="9"/>
        <v>13764.610827441031</v>
      </c>
      <c r="K83" s="47">
        <f t="shared" si="10"/>
        <v>4386.3518541536723</v>
      </c>
      <c r="L83" s="47">
        <f t="shared" si="11"/>
        <v>4386.3518541536723</v>
      </c>
      <c r="M83" s="6"/>
      <c r="N83" s="83">
        <f t="shared" si="5"/>
        <v>3781.5958416513399</v>
      </c>
      <c r="O83" s="54">
        <f t="shared" si="6"/>
        <v>1399.6758411024748</v>
      </c>
      <c r="P83" s="54">
        <f t="shared" si="12"/>
        <v>3781.5958416513399</v>
      </c>
      <c r="Q83" s="47">
        <f t="shared" si="13"/>
        <v>2381.9200005488651</v>
      </c>
      <c r="R83" s="47">
        <f t="shared" si="14"/>
        <v>2381.9200005488651</v>
      </c>
      <c r="S83" s="6"/>
      <c r="T83" s="6"/>
      <c r="U83" s="6"/>
      <c r="V83" s="6"/>
    </row>
    <row r="84" spans="1:22" ht="15" x14ac:dyDescent="0.25">
      <c r="A84" s="6">
        <f t="shared" si="15"/>
        <v>46</v>
      </c>
      <c r="B84" s="83">
        <f t="shared" si="0"/>
        <v>3895.0437169008801</v>
      </c>
      <c r="C84" s="54">
        <f t="shared" si="1"/>
        <v>2601.2622354519203</v>
      </c>
      <c r="D84" s="54">
        <f t="shared" si="7"/>
        <v>3895.0437169008801</v>
      </c>
      <c r="E84" s="47">
        <f t="shared" si="8"/>
        <v>1293.7814814489598</v>
      </c>
      <c r="F84" s="47">
        <f t="shared" si="2"/>
        <v>1293.7814814489598</v>
      </c>
      <c r="G84" s="84"/>
      <c r="H84" s="83">
        <f t="shared" si="3"/>
        <v>14590.487477087492</v>
      </c>
      <c r="I84" s="54">
        <f t="shared" si="4"/>
        <v>9856.5501809250163</v>
      </c>
      <c r="J84" s="54">
        <f t="shared" si="9"/>
        <v>14590.487477087492</v>
      </c>
      <c r="K84" s="47">
        <f t="shared" si="10"/>
        <v>4733.9372961624758</v>
      </c>
      <c r="L84" s="47">
        <f t="shared" si="11"/>
        <v>4733.9372961624758</v>
      </c>
      <c r="M84" s="6"/>
      <c r="N84" s="83">
        <f t="shared" si="5"/>
        <v>3895.0437169008801</v>
      </c>
      <c r="O84" s="54">
        <f t="shared" si="6"/>
        <v>1410.1734099107437</v>
      </c>
      <c r="P84" s="54">
        <f t="shared" si="12"/>
        <v>3895.0437169008801</v>
      </c>
      <c r="Q84" s="47">
        <f t="shared" si="13"/>
        <v>2484.8703069901367</v>
      </c>
      <c r="R84" s="47">
        <f t="shared" si="14"/>
        <v>2484.8703069901367</v>
      </c>
      <c r="S84" s="6"/>
      <c r="T84" s="6"/>
      <c r="U84" s="6"/>
      <c r="V84" s="6"/>
    </row>
    <row r="85" spans="1:22" ht="15" x14ac:dyDescent="0.25">
      <c r="A85" s="6">
        <f t="shared" si="15"/>
        <v>47</v>
      </c>
      <c r="B85" s="83">
        <f t="shared" si="0"/>
        <v>4011.8950284079069</v>
      </c>
      <c r="C85" s="54">
        <f t="shared" si="1"/>
        <v>2655.8887423964102</v>
      </c>
      <c r="D85" s="54">
        <f t="shared" si="7"/>
        <v>4011.8950284079069</v>
      </c>
      <c r="E85" s="47">
        <f t="shared" si="8"/>
        <v>1356.0062860114967</v>
      </c>
      <c r="F85" s="47">
        <f t="shared" si="2"/>
        <v>1356.0062860114967</v>
      </c>
      <c r="G85" s="84"/>
      <c r="H85" s="83">
        <f t="shared" si="3"/>
        <v>15465.916725712746</v>
      </c>
      <c r="I85" s="54">
        <f t="shared" si="4"/>
        <v>10359.234240152193</v>
      </c>
      <c r="J85" s="54">
        <f t="shared" si="9"/>
        <v>15465.916725712746</v>
      </c>
      <c r="K85" s="47">
        <f t="shared" si="10"/>
        <v>5106.6824855605537</v>
      </c>
      <c r="L85" s="47">
        <f t="shared" si="11"/>
        <v>5106.6824855605537</v>
      </c>
      <c r="M85" s="6"/>
      <c r="N85" s="83">
        <f t="shared" si="5"/>
        <v>4011.8950284079069</v>
      </c>
      <c r="O85" s="54">
        <f t="shared" si="6"/>
        <v>1420.7497104850743</v>
      </c>
      <c r="P85" s="54">
        <f t="shared" si="12"/>
        <v>4011.8950284079069</v>
      </c>
      <c r="Q85" s="47">
        <f t="shared" si="13"/>
        <v>2591.1453179228329</v>
      </c>
      <c r="R85" s="47">
        <f t="shared" si="14"/>
        <v>2591.1453179228329</v>
      </c>
      <c r="S85" s="6"/>
      <c r="T85" s="6"/>
      <c r="U85" s="6"/>
      <c r="V85" s="6"/>
    </row>
    <row r="86" spans="1:22" ht="15" x14ac:dyDescent="0.25">
      <c r="A86" s="6">
        <f t="shared" si="15"/>
        <v>48</v>
      </c>
      <c r="B86" s="83">
        <f t="shared" si="0"/>
        <v>4132.2518792601441</v>
      </c>
      <c r="C86" s="54">
        <f t="shared" si="1"/>
        <v>2711.6624059867345</v>
      </c>
      <c r="D86" s="54">
        <f t="shared" si="7"/>
        <v>4132.2518792601441</v>
      </c>
      <c r="E86" s="47">
        <f t="shared" si="8"/>
        <v>1420.5894732734096</v>
      </c>
      <c r="F86" s="47">
        <f t="shared" si="2"/>
        <v>1420.5894732734096</v>
      </c>
      <c r="G86" s="84"/>
      <c r="H86" s="83">
        <f t="shared" si="3"/>
        <v>16393.871729255508</v>
      </c>
      <c r="I86" s="54">
        <f t="shared" si="4"/>
        <v>10887.555186399952</v>
      </c>
      <c r="J86" s="54">
        <f t="shared" si="9"/>
        <v>16393.871729255508</v>
      </c>
      <c r="K86" s="47">
        <f t="shared" si="10"/>
        <v>5506.3165428555567</v>
      </c>
      <c r="L86" s="47">
        <f t="shared" si="11"/>
        <v>5506.3165428555567</v>
      </c>
      <c r="M86" s="6"/>
      <c r="N86" s="83">
        <f t="shared" si="5"/>
        <v>4132.2518792601441</v>
      </c>
      <c r="O86" s="54">
        <f t="shared" si="6"/>
        <v>1431.4053333137124</v>
      </c>
      <c r="P86" s="54">
        <f t="shared" si="12"/>
        <v>4132.2518792601441</v>
      </c>
      <c r="Q86" s="47">
        <f t="shared" si="13"/>
        <v>2700.8465459464314</v>
      </c>
      <c r="R86" s="47">
        <f t="shared" si="14"/>
        <v>2700.8465459464314</v>
      </c>
      <c r="S86" s="6"/>
      <c r="T86" s="6"/>
      <c r="U86" s="6"/>
      <c r="V86" s="6"/>
    </row>
    <row r="87" spans="1:22" ht="15" x14ac:dyDescent="0.25">
      <c r="A87" s="6">
        <f t="shared" si="15"/>
        <v>49</v>
      </c>
      <c r="B87" s="83">
        <f t="shared" si="0"/>
        <v>4256.2194356379478</v>
      </c>
      <c r="C87" s="54">
        <f t="shared" si="1"/>
        <v>2768.6073165124562</v>
      </c>
      <c r="D87" s="54">
        <f t="shared" si="7"/>
        <v>4256.2194356379478</v>
      </c>
      <c r="E87" s="47">
        <f t="shared" si="8"/>
        <v>1487.6121191254915</v>
      </c>
      <c r="F87" s="47">
        <f t="shared" si="2"/>
        <v>1487.6121191254915</v>
      </c>
      <c r="G87" s="84"/>
      <c r="H87" s="83">
        <f t="shared" si="3"/>
        <v>17377.504033010839</v>
      </c>
      <c r="I87" s="54">
        <f t="shared" si="4"/>
        <v>11442.820500906349</v>
      </c>
      <c r="J87" s="54">
        <f t="shared" si="9"/>
        <v>17377.504033010839</v>
      </c>
      <c r="K87" s="47">
        <f t="shared" si="10"/>
        <v>5934.6835321044891</v>
      </c>
      <c r="L87" s="47">
        <f t="shared" si="11"/>
        <v>5934.6835321044891</v>
      </c>
      <c r="M87" s="6"/>
      <c r="N87" s="83">
        <f t="shared" si="5"/>
        <v>4256.2194356379478</v>
      </c>
      <c r="O87" s="54">
        <f t="shared" si="6"/>
        <v>1442.1408733135652</v>
      </c>
      <c r="P87" s="54">
        <f t="shared" si="12"/>
        <v>4256.2194356379478</v>
      </c>
      <c r="Q87" s="47">
        <f t="shared" si="13"/>
        <v>2814.0785623243828</v>
      </c>
      <c r="R87" s="47">
        <f t="shared" si="14"/>
        <v>2814.0785623243828</v>
      </c>
      <c r="S87" s="6"/>
      <c r="T87" s="6"/>
      <c r="U87" s="6"/>
      <c r="V87" s="6"/>
    </row>
    <row r="88" spans="1:22" ht="15" x14ac:dyDescent="0.25">
      <c r="A88" s="6">
        <f t="shared" si="15"/>
        <v>50</v>
      </c>
      <c r="B88" s="83">
        <f t="shared" si="0"/>
        <v>4383.9060187070863</v>
      </c>
      <c r="C88" s="54">
        <f t="shared" si="1"/>
        <v>2826.7480701592167</v>
      </c>
      <c r="D88" s="54">
        <f t="shared" si="7"/>
        <v>4383.9060187070863</v>
      </c>
      <c r="E88" s="47">
        <f t="shared" si="8"/>
        <v>1557.1579485478696</v>
      </c>
      <c r="F88" s="47">
        <f t="shared" si="2"/>
        <v>1557.1579485478696</v>
      </c>
      <c r="G88" s="84"/>
      <c r="H88" s="83">
        <f t="shared" si="3"/>
        <v>18420.154274991488</v>
      </c>
      <c r="I88" s="54">
        <f t="shared" si="4"/>
        <v>12026.404346452575</v>
      </c>
      <c r="J88" s="54">
        <f t="shared" si="9"/>
        <v>18420.154274991488</v>
      </c>
      <c r="K88" s="47">
        <f t="shared" si="10"/>
        <v>6393.7499285389131</v>
      </c>
      <c r="L88" s="47">
        <f t="shared" si="11"/>
        <v>6393.7499285389131</v>
      </c>
      <c r="M88" s="6"/>
      <c r="N88" s="83">
        <f t="shared" si="5"/>
        <v>4383.9060187070863</v>
      </c>
      <c r="O88" s="54">
        <f t="shared" si="6"/>
        <v>1452.9569298634174</v>
      </c>
      <c r="P88" s="54">
        <f t="shared" si="12"/>
        <v>4383.9060187070863</v>
      </c>
      <c r="Q88" s="47">
        <f t="shared" si="13"/>
        <v>2930.949088843669</v>
      </c>
      <c r="R88" s="47">
        <f t="shared" si="14"/>
        <v>2930.949088843669</v>
      </c>
      <c r="S88" s="6"/>
      <c r="T88" s="6"/>
      <c r="U88" s="6"/>
      <c r="V88" s="6"/>
    </row>
    <row r="89" spans="1:22" ht="15" x14ac:dyDescent="0.25">
      <c r="A89" s="6">
        <f t="shared" si="15"/>
        <v>51</v>
      </c>
      <c r="B89" s="83">
        <f t="shared" si="0"/>
        <v>4515.423199268299</v>
      </c>
      <c r="C89" s="54">
        <f t="shared" si="1"/>
        <v>2886.1097796325603</v>
      </c>
      <c r="D89" s="54">
        <f t="shared" si="7"/>
        <v>4515.423199268299</v>
      </c>
      <c r="E89" s="47">
        <f t="shared" si="8"/>
        <v>1629.3134196357387</v>
      </c>
      <c r="F89" s="47">
        <f t="shared" si="2"/>
        <v>1629.3134196357387</v>
      </c>
      <c r="G89" s="84"/>
      <c r="H89" s="83">
        <f t="shared" si="3"/>
        <v>19525.363531490981</v>
      </c>
      <c r="I89" s="54">
        <f t="shared" si="4"/>
        <v>12639.750968121654</v>
      </c>
      <c r="J89" s="54">
        <f t="shared" si="9"/>
        <v>19525.363531490981</v>
      </c>
      <c r="K89" s="47">
        <f t="shared" si="10"/>
        <v>6885.6125633693264</v>
      </c>
      <c r="L89" s="47">
        <f t="shared" si="11"/>
        <v>6885.6125633693264</v>
      </c>
      <c r="M89" s="6"/>
      <c r="N89" s="83">
        <f t="shared" si="5"/>
        <v>4515.423199268299</v>
      </c>
      <c r="O89" s="54">
        <f t="shared" si="6"/>
        <v>1463.8541068373929</v>
      </c>
      <c r="P89" s="54">
        <f t="shared" si="12"/>
        <v>4515.423199268299</v>
      </c>
      <c r="Q89" s="47">
        <f t="shared" si="13"/>
        <v>3051.569092430906</v>
      </c>
      <c r="R89" s="47">
        <f t="shared" si="14"/>
        <v>3051.569092430906</v>
      </c>
      <c r="S89" s="6"/>
      <c r="T89" s="6"/>
      <c r="U89" s="6"/>
      <c r="V89" s="6"/>
    </row>
    <row r="90" spans="1:22" ht="15" x14ac:dyDescent="0.25">
      <c r="A90" s="6">
        <f t="shared" si="15"/>
        <v>52</v>
      </c>
      <c r="B90" s="83">
        <f t="shared" si="0"/>
        <v>4650.8858952463479</v>
      </c>
      <c r="C90" s="54">
        <f t="shared" si="1"/>
        <v>2946.7180850048435</v>
      </c>
      <c r="D90" s="54">
        <f t="shared" si="7"/>
        <v>4650.8858952463479</v>
      </c>
      <c r="E90" s="47">
        <f t="shared" si="8"/>
        <v>1704.1678102415044</v>
      </c>
      <c r="F90" s="47">
        <f t="shared" si="2"/>
        <v>1704.1678102415044</v>
      </c>
      <c r="G90" s="84"/>
      <c r="H90" s="83">
        <f t="shared" si="3"/>
        <v>20696.88534338044</v>
      </c>
      <c r="I90" s="54">
        <f t="shared" si="4"/>
        <v>13284.37826749586</v>
      </c>
      <c r="J90" s="54">
        <f t="shared" si="9"/>
        <v>20696.88534338044</v>
      </c>
      <c r="K90" s="47">
        <f t="shared" si="10"/>
        <v>7412.5070758845795</v>
      </c>
      <c r="L90" s="47">
        <f t="shared" si="11"/>
        <v>7412.5070758845795</v>
      </c>
      <c r="M90" s="6"/>
      <c r="N90" s="83">
        <f t="shared" si="5"/>
        <v>4650.8858952463479</v>
      </c>
      <c r="O90" s="54">
        <f t="shared" si="6"/>
        <v>1474.8330126386738</v>
      </c>
      <c r="P90" s="54">
        <f t="shared" si="12"/>
        <v>4650.8858952463479</v>
      </c>
      <c r="Q90" s="47">
        <f t="shared" si="13"/>
        <v>3176.0528826076743</v>
      </c>
      <c r="R90" s="47">
        <f t="shared" si="14"/>
        <v>3176.0528826076743</v>
      </c>
      <c r="S90" s="6"/>
      <c r="T90" s="6"/>
      <c r="U90" s="6"/>
      <c r="V90" s="6"/>
    </row>
    <row r="91" spans="1:22" ht="15" x14ac:dyDescent="0.25">
      <c r="A91" s="6">
        <f t="shared" si="15"/>
        <v>53</v>
      </c>
      <c r="B91" s="83">
        <f t="shared" si="0"/>
        <v>4790.4124721037369</v>
      </c>
      <c r="C91" s="54">
        <f t="shared" si="1"/>
        <v>3008.5991647899446</v>
      </c>
      <c r="D91" s="54">
        <f t="shared" si="7"/>
        <v>4790.4124721037369</v>
      </c>
      <c r="E91" s="47">
        <f t="shared" si="8"/>
        <v>1781.8133073137924</v>
      </c>
      <c r="F91" s="47">
        <f t="shared" si="2"/>
        <v>1781.8133073137924</v>
      </c>
      <c r="G91" s="84"/>
      <c r="H91" s="83">
        <f t="shared" si="3"/>
        <v>21938.698463983274</v>
      </c>
      <c r="I91" s="54">
        <f t="shared" si="4"/>
        <v>13961.881559138148</v>
      </c>
      <c r="J91" s="54">
        <f t="shared" si="9"/>
        <v>21938.698463983274</v>
      </c>
      <c r="K91" s="47">
        <f t="shared" si="10"/>
        <v>7976.8169048451255</v>
      </c>
      <c r="L91" s="47">
        <f t="shared" si="11"/>
        <v>7976.8169048451255</v>
      </c>
      <c r="M91" s="6"/>
      <c r="N91" s="83">
        <f t="shared" si="5"/>
        <v>4790.4124721037369</v>
      </c>
      <c r="O91" s="54">
        <f t="shared" si="6"/>
        <v>1485.8942602334637</v>
      </c>
      <c r="P91" s="54">
        <f t="shared" si="12"/>
        <v>4790.4124721037369</v>
      </c>
      <c r="Q91" s="47">
        <f t="shared" si="13"/>
        <v>3304.5182118702733</v>
      </c>
      <c r="R91" s="47">
        <f t="shared" si="14"/>
        <v>3304.5182118702733</v>
      </c>
      <c r="S91" s="6"/>
      <c r="T91" s="6"/>
      <c r="U91" s="6"/>
      <c r="V91" s="6"/>
    </row>
    <row r="92" spans="1:22" ht="15" x14ac:dyDescent="0.25">
      <c r="A92" s="6">
        <f t="shared" si="15"/>
        <v>54</v>
      </c>
      <c r="B92" s="83">
        <f t="shared" si="0"/>
        <v>4934.12484626685</v>
      </c>
      <c r="C92" s="54">
        <f t="shared" si="1"/>
        <v>3071.7797472505335</v>
      </c>
      <c r="D92" s="54">
        <f t="shared" si="7"/>
        <v>4934.12484626685</v>
      </c>
      <c r="E92" s="47">
        <f t="shared" si="8"/>
        <v>1862.3450990163165</v>
      </c>
      <c r="F92" s="47">
        <f t="shared" si="2"/>
        <v>1862.3450990163165</v>
      </c>
      <c r="G92" s="84"/>
      <c r="H92" s="83">
        <f t="shared" si="3"/>
        <v>23255.020371822269</v>
      </c>
      <c r="I92" s="54">
        <f t="shared" si="4"/>
        <v>14673.937518654195</v>
      </c>
      <c r="J92" s="54">
        <f t="shared" si="9"/>
        <v>23255.020371822269</v>
      </c>
      <c r="K92" s="47">
        <f t="shared" si="10"/>
        <v>8581.0828531680745</v>
      </c>
      <c r="L92" s="47">
        <f t="shared" si="11"/>
        <v>8581.0828531680745</v>
      </c>
      <c r="M92" s="6"/>
      <c r="N92" s="83">
        <f t="shared" si="5"/>
        <v>4934.12484626685</v>
      </c>
      <c r="O92" s="54">
        <f t="shared" si="6"/>
        <v>1497.038467185215</v>
      </c>
      <c r="P92" s="54">
        <f t="shared" si="12"/>
        <v>4934.12484626685</v>
      </c>
      <c r="Q92" s="47">
        <f t="shared" si="13"/>
        <v>3437.0863790816347</v>
      </c>
      <c r="R92" s="47">
        <f t="shared" si="14"/>
        <v>3437.0863790816347</v>
      </c>
      <c r="S92" s="6"/>
      <c r="T92" s="6"/>
      <c r="U92" s="6"/>
      <c r="V92" s="6"/>
    </row>
    <row r="93" spans="1:22" ht="15" x14ac:dyDescent="0.25">
      <c r="A93" s="6"/>
      <c r="B93" s="6"/>
      <c r="C93" s="6"/>
      <c r="D93" s="6"/>
      <c r="E93" s="47"/>
      <c r="F93" s="47"/>
      <c r="G93" s="6"/>
      <c r="H93" s="6"/>
      <c r="I93" s="6"/>
      <c r="J93" s="6"/>
      <c r="K93" s="47"/>
      <c r="L93" s="47"/>
      <c r="M93" s="6"/>
      <c r="N93" s="6"/>
      <c r="O93" s="6"/>
      <c r="P93" s="6"/>
      <c r="Q93" s="47"/>
      <c r="R93" s="47"/>
      <c r="S93" s="6"/>
      <c r="T93" s="6"/>
      <c r="U93" s="6"/>
      <c r="V93" s="6"/>
    </row>
    <row r="94" spans="1:22" ht="15" x14ac:dyDescent="0.25">
      <c r="A94" s="6"/>
      <c r="B94" s="6"/>
      <c r="C94" s="6"/>
      <c r="D94" s="6"/>
      <c r="E94" s="47"/>
      <c r="F94" s="47"/>
      <c r="G94" s="6"/>
      <c r="H94" s="6"/>
      <c r="I94" s="6"/>
      <c r="J94" s="6"/>
      <c r="K94" s="47"/>
      <c r="L94" s="47"/>
      <c r="M94" s="6"/>
      <c r="N94" s="6"/>
      <c r="O94" s="6"/>
      <c r="P94" s="6"/>
      <c r="Q94" s="47"/>
      <c r="R94" s="47"/>
      <c r="S94" s="6"/>
      <c r="T94" s="6"/>
      <c r="U94" s="6"/>
      <c r="V94" s="6"/>
    </row>
    <row r="95" spans="1:22" ht="15" x14ac:dyDescent="0.25">
      <c r="A95" s="6"/>
      <c r="B95" s="6"/>
      <c r="C95" s="6"/>
      <c r="D95" s="6"/>
      <c r="E95" s="47"/>
      <c r="F95" s="47"/>
      <c r="G95" s="6"/>
      <c r="H95" s="6"/>
      <c r="I95" s="6"/>
      <c r="J95" s="6"/>
      <c r="K95" s="47"/>
      <c r="L95" s="47"/>
      <c r="M95" s="6"/>
      <c r="N95" s="6"/>
      <c r="O95" s="6"/>
      <c r="P95" s="6"/>
      <c r="Q95" s="47"/>
      <c r="R95" s="47"/>
      <c r="S95" s="6"/>
      <c r="T95" s="6"/>
      <c r="U95" s="6"/>
      <c r="V95" s="6"/>
    </row>
    <row r="96" spans="1:22" ht="15" x14ac:dyDescent="0.25">
      <c r="A96" s="6"/>
      <c r="B96" s="6"/>
      <c r="C96" s="6"/>
      <c r="D96" s="6"/>
      <c r="E96" s="47"/>
      <c r="F96" s="47"/>
      <c r="G96" s="6"/>
      <c r="H96" s="6"/>
      <c r="I96" s="6"/>
      <c r="J96" s="6"/>
      <c r="K96" s="47"/>
      <c r="L96" s="47"/>
      <c r="M96" s="6"/>
      <c r="N96" s="6"/>
      <c r="O96" s="6"/>
      <c r="P96" s="6"/>
      <c r="Q96" s="47"/>
      <c r="R96" s="47"/>
      <c r="S96" s="6"/>
      <c r="T96" s="6"/>
      <c r="U96" s="6"/>
      <c r="V96" s="6"/>
    </row>
    <row r="97" spans="1:22" ht="15" x14ac:dyDescent="0.25">
      <c r="A97" s="6"/>
      <c r="B97" s="6"/>
      <c r="C97" s="6"/>
      <c r="D97" s="6"/>
      <c r="E97" s="47"/>
      <c r="F97" s="47"/>
      <c r="G97" s="6"/>
      <c r="H97" s="6"/>
      <c r="I97" s="6"/>
      <c r="J97" s="6"/>
      <c r="K97" s="47"/>
      <c r="L97" s="47"/>
      <c r="M97" s="6"/>
      <c r="N97" s="6"/>
      <c r="O97" s="6"/>
      <c r="P97" s="6"/>
      <c r="Q97" s="47"/>
      <c r="R97" s="47"/>
      <c r="S97" s="6"/>
      <c r="T97" s="6"/>
      <c r="U97" s="6"/>
      <c r="V97" s="6"/>
    </row>
    <row r="98" spans="1:22" ht="15" x14ac:dyDescent="0.25">
      <c r="A98" s="6"/>
      <c r="B98" s="6"/>
      <c r="C98" s="6"/>
      <c r="D98" s="6"/>
      <c r="E98" s="47"/>
      <c r="F98" s="47"/>
      <c r="G98" s="6"/>
      <c r="H98" s="6"/>
      <c r="I98" s="6"/>
      <c r="J98" s="6"/>
      <c r="K98" s="47"/>
      <c r="L98" s="47"/>
      <c r="M98" s="6"/>
      <c r="N98" s="6"/>
      <c r="O98" s="6"/>
      <c r="P98" s="6"/>
      <c r="Q98" s="47"/>
      <c r="R98" s="47"/>
      <c r="S98" s="6"/>
      <c r="T98" s="6"/>
      <c r="U98" s="6"/>
      <c r="V98" s="6"/>
    </row>
    <row r="99" spans="1:22" ht="15" x14ac:dyDescent="0.25">
      <c r="A99" s="6"/>
      <c r="B99" s="6"/>
      <c r="C99" s="6"/>
      <c r="D99" s="6"/>
      <c r="E99" s="47"/>
      <c r="F99" s="47"/>
      <c r="G99" s="6"/>
      <c r="H99" s="6"/>
      <c r="I99" s="6"/>
      <c r="J99" s="6"/>
      <c r="K99" s="47"/>
      <c r="L99" s="47"/>
      <c r="M99" s="6"/>
      <c r="N99" s="6"/>
      <c r="O99" s="6"/>
      <c r="P99" s="6"/>
      <c r="Q99" s="47"/>
      <c r="R99" s="47"/>
      <c r="S99" s="6"/>
      <c r="T99" s="6"/>
      <c r="U99" s="6"/>
      <c r="V99" s="6"/>
    </row>
    <row r="100" spans="1:22" ht="15" x14ac:dyDescent="0.25">
      <c r="A100" s="6"/>
      <c r="B100" s="6"/>
      <c r="C100" s="6"/>
      <c r="D100" s="6"/>
      <c r="E100" s="47"/>
      <c r="F100" s="47"/>
      <c r="G100" s="6"/>
      <c r="H100" s="6"/>
      <c r="I100" s="6"/>
      <c r="J100" s="6"/>
      <c r="K100" s="47"/>
      <c r="L100" s="47"/>
      <c r="M100" s="6"/>
      <c r="N100" s="6"/>
      <c r="O100" s="6"/>
      <c r="P100" s="6"/>
      <c r="Q100" s="47"/>
      <c r="R100" s="47"/>
      <c r="S100" s="6"/>
      <c r="T100" s="6"/>
      <c r="U100" s="6"/>
      <c r="V100" s="6"/>
    </row>
    <row r="101" spans="1:22" ht="15" x14ac:dyDescent="0.25">
      <c r="A101" s="6"/>
      <c r="B101" s="6"/>
      <c r="C101" s="6"/>
      <c r="D101" s="6"/>
      <c r="E101" s="47"/>
      <c r="F101" s="47"/>
      <c r="G101" s="6"/>
      <c r="H101" s="6"/>
      <c r="I101" s="6"/>
      <c r="J101" s="6"/>
      <c r="K101" s="47"/>
      <c r="L101" s="47"/>
      <c r="M101" s="6"/>
      <c r="N101" s="6"/>
      <c r="O101" s="6"/>
      <c r="P101" s="6"/>
      <c r="Q101" s="47"/>
      <c r="R101" s="47"/>
      <c r="S101" s="6"/>
      <c r="T101" s="6"/>
      <c r="U101" s="6"/>
      <c r="V101" s="6"/>
    </row>
    <row r="102" spans="1:22" ht="15" x14ac:dyDescent="0.25">
      <c r="A102" s="6"/>
      <c r="B102" s="6"/>
      <c r="C102" s="6"/>
      <c r="D102" s="6"/>
      <c r="E102" s="47"/>
      <c r="F102" s="47"/>
      <c r="G102" s="6"/>
      <c r="H102" s="6"/>
      <c r="I102" s="6"/>
      <c r="J102" s="6"/>
      <c r="K102" s="47"/>
      <c r="L102" s="47"/>
      <c r="M102" s="6"/>
      <c r="N102" s="6"/>
      <c r="O102" s="6"/>
      <c r="P102" s="6"/>
      <c r="Q102" s="47"/>
      <c r="R102" s="47"/>
      <c r="S102" s="6"/>
      <c r="T102" s="6"/>
      <c r="U102" s="6"/>
      <c r="V102" s="6"/>
    </row>
    <row r="103" spans="1:22" ht="15" x14ac:dyDescent="0.25">
      <c r="A103" s="6"/>
      <c r="B103" s="6"/>
      <c r="C103" s="6"/>
      <c r="D103" s="6"/>
      <c r="E103" s="47"/>
      <c r="F103" s="47"/>
      <c r="G103" s="6"/>
      <c r="H103" s="6"/>
      <c r="I103" s="6"/>
      <c r="J103" s="6"/>
      <c r="K103" s="47"/>
      <c r="L103" s="47"/>
      <c r="M103" s="6"/>
      <c r="N103" s="6"/>
      <c r="O103" s="6"/>
      <c r="P103" s="6"/>
      <c r="Q103" s="47"/>
      <c r="R103" s="47"/>
      <c r="S103" s="6"/>
      <c r="T103" s="6"/>
      <c r="U103" s="6"/>
      <c r="V103" s="6"/>
    </row>
    <row r="104" spans="1:22" ht="15" x14ac:dyDescent="0.25">
      <c r="A104" s="6"/>
      <c r="B104" s="6"/>
      <c r="C104" s="6"/>
      <c r="D104" s="6"/>
      <c r="E104" s="47"/>
      <c r="F104" s="47"/>
      <c r="G104" s="6"/>
      <c r="H104" s="6"/>
      <c r="I104" s="6"/>
      <c r="J104" s="6"/>
      <c r="K104" s="47"/>
      <c r="L104" s="47"/>
      <c r="M104" s="6"/>
      <c r="N104" s="6"/>
      <c r="O104" s="6"/>
      <c r="P104" s="6"/>
      <c r="Q104" s="47"/>
      <c r="R104" s="47"/>
      <c r="S104" s="6"/>
      <c r="T104" s="6"/>
      <c r="U104" s="6"/>
      <c r="V104" s="6"/>
    </row>
    <row r="105" spans="1:22" ht="15" x14ac:dyDescent="0.25">
      <c r="A105" s="6"/>
      <c r="B105" s="6"/>
      <c r="C105" s="6"/>
      <c r="D105" s="6"/>
      <c r="E105" s="47"/>
      <c r="F105" s="47"/>
      <c r="G105" s="6"/>
      <c r="H105" s="6"/>
      <c r="I105" s="6"/>
      <c r="J105" s="6"/>
      <c r="K105" s="47"/>
      <c r="L105" s="47"/>
      <c r="M105" s="6"/>
      <c r="N105" s="6"/>
      <c r="O105" s="6"/>
      <c r="P105" s="6"/>
      <c r="Q105" s="47"/>
      <c r="R105" s="47"/>
      <c r="S105" s="6"/>
      <c r="T105" s="6"/>
      <c r="U105" s="6"/>
      <c r="V105" s="6"/>
    </row>
    <row r="106" spans="1:22" ht="15" x14ac:dyDescent="0.25">
      <c r="A106" s="6"/>
      <c r="B106" s="6"/>
      <c r="C106" s="6"/>
      <c r="D106" s="6"/>
      <c r="E106" s="47"/>
      <c r="F106" s="47"/>
      <c r="G106" s="6"/>
      <c r="H106" s="6"/>
      <c r="I106" s="6"/>
      <c r="J106" s="6"/>
      <c r="K106" s="47"/>
      <c r="L106" s="47"/>
      <c r="M106" s="6"/>
      <c r="N106" s="6"/>
      <c r="O106" s="6"/>
      <c r="P106" s="6"/>
      <c r="Q106" s="47"/>
      <c r="R106" s="47"/>
      <c r="S106" s="6"/>
      <c r="T106" s="6"/>
      <c r="U106" s="6"/>
      <c r="V106" s="6"/>
    </row>
    <row r="107" spans="1:22" ht="15" x14ac:dyDescent="0.25">
      <c r="A107" s="6"/>
      <c r="B107" s="6"/>
      <c r="C107" s="6"/>
      <c r="D107" s="6"/>
      <c r="E107" s="47"/>
      <c r="F107" s="47"/>
      <c r="G107" s="6"/>
      <c r="H107" s="6"/>
      <c r="I107" s="6"/>
      <c r="J107" s="6"/>
      <c r="K107" s="47"/>
      <c r="L107" s="47"/>
      <c r="M107" s="6"/>
      <c r="N107" s="6"/>
      <c r="O107" s="6"/>
      <c r="P107" s="6"/>
      <c r="Q107" s="47"/>
      <c r="R107" s="47"/>
      <c r="S107" s="6"/>
      <c r="T107" s="6"/>
      <c r="U107" s="6"/>
      <c r="V107" s="6"/>
    </row>
    <row r="108" spans="1:22" ht="15" x14ac:dyDescent="0.25">
      <c r="A108" s="6"/>
      <c r="B108" s="6"/>
      <c r="C108" s="6"/>
      <c r="D108" s="6"/>
      <c r="E108" s="47"/>
      <c r="F108" s="47"/>
      <c r="G108" s="6"/>
      <c r="H108" s="6"/>
      <c r="I108" s="6"/>
      <c r="J108" s="6"/>
      <c r="K108" s="47"/>
      <c r="L108" s="47"/>
      <c r="M108" s="6"/>
      <c r="N108" s="6"/>
      <c r="O108" s="6"/>
      <c r="P108" s="6"/>
      <c r="Q108" s="47"/>
      <c r="R108" s="47"/>
      <c r="S108" s="6"/>
      <c r="T108" s="6"/>
      <c r="U108" s="6"/>
      <c r="V108" s="6"/>
    </row>
    <row r="109" spans="1:22" ht="15" x14ac:dyDescent="0.25">
      <c r="A109" s="6"/>
      <c r="B109" s="6"/>
      <c r="C109" s="6"/>
      <c r="D109" s="6"/>
      <c r="E109" s="47"/>
      <c r="F109" s="47"/>
      <c r="G109" s="6"/>
      <c r="H109" s="6"/>
      <c r="I109" s="6"/>
      <c r="J109" s="6"/>
      <c r="K109" s="47"/>
      <c r="L109" s="47"/>
      <c r="M109" s="6"/>
      <c r="N109" s="6"/>
      <c r="O109" s="6"/>
      <c r="P109" s="6"/>
      <c r="Q109" s="47"/>
      <c r="R109" s="47"/>
      <c r="S109" s="6"/>
      <c r="T109" s="6"/>
      <c r="U109" s="6"/>
      <c r="V109" s="6"/>
    </row>
    <row r="110" spans="1:22" ht="15" x14ac:dyDescent="0.25">
      <c r="A110" s="6"/>
      <c r="B110" s="6"/>
      <c r="C110" s="6"/>
      <c r="D110" s="6"/>
      <c r="E110" s="47"/>
      <c r="F110" s="47"/>
      <c r="G110" s="6"/>
      <c r="H110" s="6"/>
      <c r="I110" s="6"/>
      <c r="J110" s="6"/>
      <c r="K110" s="47"/>
      <c r="L110" s="47"/>
      <c r="M110" s="6"/>
      <c r="N110" s="6"/>
      <c r="O110" s="6"/>
      <c r="P110" s="6"/>
      <c r="Q110" s="47"/>
      <c r="R110" s="47"/>
      <c r="S110" s="6"/>
      <c r="T110" s="6"/>
      <c r="U110" s="6"/>
      <c r="V110" s="6"/>
    </row>
    <row r="111" spans="1:22" ht="15" x14ac:dyDescent="0.25">
      <c r="A111" s="6"/>
      <c r="B111" s="6"/>
      <c r="C111" s="6"/>
      <c r="D111" s="6"/>
      <c r="E111" s="47"/>
      <c r="F111" s="47"/>
      <c r="G111" s="6"/>
      <c r="H111" s="6"/>
      <c r="I111" s="6"/>
      <c r="J111" s="6"/>
      <c r="K111" s="47"/>
      <c r="L111" s="47"/>
      <c r="M111" s="6"/>
      <c r="N111" s="6"/>
      <c r="O111" s="6"/>
      <c r="P111" s="6"/>
      <c r="Q111" s="47"/>
      <c r="R111" s="47"/>
      <c r="S111" s="6"/>
      <c r="T111" s="6"/>
      <c r="U111" s="6"/>
      <c r="V111" s="6"/>
    </row>
    <row r="112" spans="1:22" ht="15" x14ac:dyDescent="0.25">
      <c r="A112" s="6"/>
      <c r="B112" s="6"/>
      <c r="C112" s="6"/>
      <c r="D112" s="6"/>
      <c r="E112" s="47"/>
      <c r="F112" s="47"/>
      <c r="G112" s="6"/>
      <c r="H112" s="6"/>
      <c r="I112" s="6"/>
      <c r="J112" s="6"/>
      <c r="K112" s="47"/>
      <c r="L112" s="47"/>
      <c r="M112" s="6"/>
      <c r="N112" s="6"/>
      <c r="O112" s="6"/>
      <c r="P112" s="6"/>
      <c r="Q112" s="47"/>
      <c r="R112" s="47"/>
      <c r="S112" s="6"/>
      <c r="T112" s="6"/>
      <c r="U112" s="6"/>
      <c r="V112" s="6"/>
    </row>
    <row r="113" spans="1:22" ht="15" x14ac:dyDescent="0.25">
      <c r="A113" s="6"/>
      <c r="B113" s="6"/>
      <c r="C113" s="6"/>
      <c r="D113" s="6"/>
      <c r="E113" s="47"/>
      <c r="F113" s="47"/>
      <c r="G113" s="6"/>
      <c r="H113" s="6"/>
      <c r="I113" s="6"/>
      <c r="J113" s="6"/>
      <c r="K113" s="47"/>
      <c r="L113" s="47"/>
      <c r="M113" s="6"/>
      <c r="N113" s="6"/>
      <c r="O113" s="6"/>
      <c r="P113" s="6"/>
      <c r="Q113" s="47"/>
      <c r="R113" s="47"/>
      <c r="S113" s="6"/>
      <c r="T113" s="6"/>
      <c r="U113" s="6"/>
      <c r="V113" s="6"/>
    </row>
    <row r="114" spans="1:22" ht="15" x14ac:dyDescent="0.25">
      <c r="A114" s="6"/>
      <c r="B114" s="6"/>
      <c r="C114" s="6"/>
      <c r="D114" s="6"/>
      <c r="E114" s="47"/>
      <c r="F114" s="47"/>
      <c r="G114" s="6"/>
      <c r="H114" s="6"/>
      <c r="I114" s="6"/>
      <c r="J114" s="6"/>
      <c r="K114" s="47"/>
      <c r="L114" s="47"/>
      <c r="M114" s="6"/>
      <c r="N114" s="6"/>
      <c r="O114" s="6"/>
      <c r="P114" s="6"/>
      <c r="Q114" s="47"/>
      <c r="R114" s="47"/>
      <c r="S114" s="6"/>
      <c r="T114" s="6"/>
      <c r="U114" s="6"/>
      <c r="V114" s="6"/>
    </row>
    <row r="115" spans="1:22" ht="15" x14ac:dyDescent="0.25">
      <c r="A115" s="6"/>
      <c r="B115" s="6"/>
      <c r="C115" s="6"/>
      <c r="D115" s="6"/>
      <c r="E115" s="47"/>
      <c r="F115" s="47"/>
      <c r="G115" s="6"/>
      <c r="H115" s="6"/>
      <c r="I115" s="6"/>
      <c r="J115" s="6"/>
      <c r="K115" s="47"/>
      <c r="L115" s="47"/>
      <c r="M115" s="6"/>
      <c r="N115" s="6"/>
      <c r="O115" s="6"/>
      <c r="P115" s="6"/>
      <c r="Q115" s="47"/>
      <c r="R115" s="47"/>
      <c r="S115" s="6"/>
      <c r="T115" s="6"/>
      <c r="U115" s="6"/>
      <c r="V115" s="6"/>
    </row>
    <row r="116" spans="1:22" ht="15" x14ac:dyDescent="0.25">
      <c r="A116" s="6"/>
      <c r="B116" s="6"/>
      <c r="C116" s="6"/>
      <c r="D116" s="6"/>
      <c r="E116" s="47"/>
      <c r="F116" s="47"/>
      <c r="G116" s="6"/>
      <c r="H116" s="6"/>
      <c r="I116" s="6"/>
      <c r="J116" s="6"/>
      <c r="K116" s="47"/>
      <c r="L116" s="47"/>
      <c r="M116" s="6"/>
      <c r="N116" s="6"/>
      <c r="O116" s="6"/>
      <c r="P116" s="6"/>
      <c r="Q116" s="47"/>
      <c r="R116" s="47"/>
      <c r="S116" s="6"/>
      <c r="T116" s="6"/>
      <c r="U116" s="6"/>
      <c r="V116" s="6"/>
    </row>
    <row r="117" spans="1:22" ht="15" x14ac:dyDescent="0.25">
      <c r="A117" s="6"/>
      <c r="B117" s="6"/>
      <c r="C117" s="6"/>
      <c r="D117" s="6"/>
      <c r="E117" s="47"/>
      <c r="F117" s="47"/>
      <c r="G117" s="6"/>
      <c r="H117" s="6"/>
      <c r="I117" s="6"/>
      <c r="J117" s="6"/>
      <c r="K117" s="47"/>
      <c r="L117" s="47"/>
      <c r="M117" s="6"/>
      <c r="N117" s="6"/>
      <c r="O117" s="6"/>
      <c r="P117" s="6"/>
      <c r="Q117" s="47"/>
      <c r="R117" s="47"/>
      <c r="S117" s="6"/>
      <c r="T117" s="6"/>
      <c r="U117" s="6"/>
      <c r="V117" s="6"/>
    </row>
    <row r="118" spans="1:22" ht="15" x14ac:dyDescent="0.25">
      <c r="A118" s="6"/>
      <c r="B118" s="6"/>
      <c r="C118" s="6"/>
      <c r="D118" s="6"/>
      <c r="E118" s="47"/>
      <c r="F118" s="47"/>
      <c r="G118" s="6"/>
      <c r="H118" s="6"/>
      <c r="I118" s="6"/>
      <c r="J118" s="6"/>
      <c r="K118" s="47"/>
      <c r="L118" s="47"/>
      <c r="M118" s="6"/>
      <c r="N118" s="6"/>
      <c r="O118" s="6"/>
      <c r="P118" s="6"/>
      <c r="Q118" s="47"/>
      <c r="R118" s="47"/>
      <c r="S118" s="6"/>
      <c r="T118" s="6"/>
      <c r="U118" s="6"/>
      <c r="V118" s="6"/>
    </row>
    <row r="119" spans="1:22" ht="15" x14ac:dyDescent="0.25">
      <c r="A119" s="6"/>
      <c r="B119" s="6"/>
      <c r="C119" s="6"/>
      <c r="D119" s="6"/>
      <c r="E119" s="47"/>
      <c r="F119" s="47"/>
      <c r="G119" s="6"/>
      <c r="H119" s="6"/>
      <c r="I119" s="6"/>
      <c r="J119" s="6"/>
      <c r="K119" s="47"/>
      <c r="L119" s="47"/>
      <c r="M119" s="6"/>
      <c r="N119" s="6"/>
      <c r="O119" s="6"/>
      <c r="P119" s="6"/>
      <c r="Q119" s="47"/>
      <c r="R119" s="47"/>
      <c r="S119" s="6"/>
      <c r="T119" s="6"/>
      <c r="U119" s="6"/>
      <c r="V119" s="6"/>
    </row>
    <row r="120" spans="1:22" ht="15" x14ac:dyDescent="0.25">
      <c r="A120" s="6"/>
      <c r="B120" s="6"/>
      <c r="C120" s="6"/>
      <c r="D120" s="6"/>
      <c r="E120" s="47"/>
      <c r="F120" s="47"/>
      <c r="G120" s="6"/>
      <c r="H120" s="6"/>
      <c r="I120" s="6"/>
      <c r="J120" s="6"/>
      <c r="K120" s="47"/>
      <c r="L120" s="47"/>
      <c r="M120" s="6"/>
      <c r="N120" s="6"/>
      <c r="O120" s="6"/>
      <c r="P120" s="6"/>
      <c r="Q120" s="47"/>
      <c r="R120" s="47"/>
      <c r="S120" s="6"/>
      <c r="T120" s="6"/>
      <c r="U120" s="6"/>
      <c r="V120" s="6"/>
    </row>
    <row r="121" spans="1:22" ht="15" x14ac:dyDescent="0.25">
      <c r="A121" s="6"/>
      <c r="B121" s="6"/>
      <c r="C121" s="6"/>
      <c r="D121" s="6"/>
      <c r="E121" s="47"/>
      <c r="F121" s="47"/>
      <c r="G121" s="6"/>
      <c r="H121" s="6"/>
      <c r="I121" s="6"/>
      <c r="J121" s="6"/>
      <c r="K121" s="47"/>
      <c r="L121" s="47"/>
      <c r="M121" s="6"/>
      <c r="N121" s="6"/>
      <c r="O121" s="6"/>
      <c r="P121" s="6"/>
      <c r="Q121" s="47"/>
      <c r="R121" s="47"/>
      <c r="S121" s="6"/>
      <c r="T121" s="6"/>
      <c r="U121" s="6"/>
      <c r="V121" s="6"/>
    </row>
    <row r="122" spans="1:22" ht="15" x14ac:dyDescent="0.25">
      <c r="A122" s="6"/>
      <c r="B122" s="6"/>
      <c r="C122" s="6"/>
      <c r="D122" s="6"/>
      <c r="E122" s="47"/>
      <c r="F122" s="47"/>
      <c r="G122" s="6"/>
      <c r="H122" s="6"/>
      <c r="I122" s="6"/>
      <c r="J122" s="6"/>
      <c r="K122" s="47"/>
      <c r="L122" s="47"/>
      <c r="M122" s="6"/>
      <c r="N122" s="6"/>
      <c r="O122" s="6"/>
      <c r="P122" s="6"/>
      <c r="Q122" s="47"/>
      <c r="R122" s="47"/>
      <c r="S122" s="6"/>
      <c r="T122" s="6"/>
      <c r="U122" s="6"/>
      <c r="V122" s="6"/>
    </row>
    <row r="123" spans="1:22" ht="15" x14ac:dyDescent="0.25">
      <c r="A123" s="6"/>
      <c r="B123" s="6"/>
      <c r="C123" s="6"/>
      <c r="D123" s="6"/>
      <c r="E123" s="47"/>
      <c r="F123" s="47"/>
      <c r="G123" s="6"/>
      <c r="H123" s="6"/>
      <c r="I123" s="6"/>
      <c r="J123" s="6"/>
      <c r="K123" s="47"/>
      <c r="L123" s="47"/>
      <c r="M123" s="6"/>
      <c r="N123" s="6"/>
      <c r="O123" s="6"/>
      <c r="P123" s="6"/>
      <c r="Q123" s="47"/>
      <c r="R123" s="47"/>
      <c r="S123" s="6"/>
      <c r="T123" s="6"/>
      <c r="U123" s="6"/>
      <c r="V123" s="6"/>
    </row>
    <row r="124" spans="1:22" ht="15" x14ac:dyDescent="0.25">
      <c r="A124" s="6"/>
      <c r="B124" s="6"/>
      <c r="C124" s="6"/>
      <c r="D124" s="6"/>
      <c r="E124" s="47"/>
      <c r="F124" s="47"/>
      <c r="G124" s="6"/>
      <c r="H124" s="6"/>
      <c r="I124" s="6"/>
      <c r="J124" s="6"/>
      <c r="K124" s="47"/>
      <c r="L124" s="47"/>
      <c r="M124" s="6"/>
      <c r="N124" s="6"/>
      <c r="O124" s="6"/>
      <c r="P124" s="6"/>
      <c r="Q124" s="47"/>
      <c r="R124" s="47"/>
      <c r="S124" s="6"/>
      <c r="T124" s="6"/>
      <c r="U124" s="6"/>
      <c r="V124" s="6"/>
    </row>
    <row r="125" spans="1:22" ht="15" x14ac:dyDescent="0.25">
      <c r="A125" s="6"/>
      <c r="B125" s="6"/>
      <c r="C125" s="6"/>
      <c r="D125" s="6"/>
      <c r="E125" s="47"/>
      <c r="F125" s="47"/>
      <c r="G125" s="6"/>
      <c r="H125" s="6"/>
      <c r="I125" s="6"/>
      <c r="J125" s="6"/>
      <c r="K125" s="47"/>
      <c r="L125" s="47"/>
      <c r="M125" s="6"/>
      <c r="N125" s="6"/>
      <c r="O125" s="6"/>
      <c r="P125" s="6"/>
      <c r="Q125" s="47"/>
      <c r="R125" s="47"/>
      <c r="S125" s="6"/>
      <c r="T125" s="6"/>
      <c r="U125" s="6"/>
      <c r="V125" s="6"/>
    </row>
    <row r="126" spans="1:22" ht="15" x14ac:dyDescent="0.25">
      <c r="A126" s="6"/>
      <c r="B126" s="6"/>
      <c r="C126" s="6"/>
      <c r="D126" s="6"/>
      <c r="E126" s="47"/>
      <c r="F126" s="47"/>
      <c r="G126" s="6"/>
      <c r="H126" s="6"/>
      <c r="I126" s="6"/>
      <c r="J126" s="6"/>
      <c r="K126" s="47"/>
      <c r="L126" s="47"/>
      <c r="M126" s="6"/>
      <c r="N126" s="6"/>
      <c r="O126" s="6"/>
      <c r="P126" s="6"/>
      <c r="Q126" s="47"/>
      <c r="R126" s="47"/>
      <c r="S126" s="6"/>
      <c r="T126" s="6"/>
      <c r="U126" s="6"/>
      <c r="V126" s="6"/>
    </row>
    <row r="127" spans="1:22" ht="15" x14ac:dyDescent="0.25">
      <c r="A127" s="6"/>
      <c r="B127" s="6"/>
      <c r="C127" s="6"/>
      <c r="D127" s="6"/>
      <c r="E127" s="47"/>
      <c r="F127" s="47"/>
      <c r="G127" s="6"/>
      <c r="H127" s="6"/>
      <c r="I127" s="6"/>
      <c r="J127" s="6"/>
      <c r="K127" s="47"/>
      <c r="L127" s="47"/>
      <c r="M127" s="6"/>
      <c r="N127" s="6"/>
      <c r="O127" s="6"/>
      <c r="P127" s="6"/>
      <c r="Q127" s="47"/>
      <c r="R127" s="47"/>
      <c r="S127" s="6"/>
      <c r="T127" s="6"/>
      <c r="U127" s="6"/>
      <c r="V127" s="6"/>
    </row>
    <row r="128" spans="1:22" ht="15" x14ac:dyDescent="0.25">
      <c r="A128" s="6"/>
      <c r="B128" s="6"/>
      <c r="C128" s="6"/>
      <c r="D128" s="6"/>
      <c r="E128" s="47"/>
      <c r="F128" s="47"/>
      <c r="G128" s="6"/>
      <c r="H128" s="6"/>
      <c r="I128" s="6"/>
      <c r="J128" s="6"/>
      <c r="K128" s="47"/>
      <c r="L128" s="47"/>
      <c r="M128" s="6"/>
      <c r="N128" s="6"/>
      <c r="O128" s="6"/>
      <c r="P128" s="6"/>
      <c r="Q128" s="47"/>
      <c r="R128" s="47"/>
      <c r="S128" s="6"/>
      <c r="T128" s="6"/>
      <c r="U128" s="6"/>
      <c r="V128" s="6"/>
    </row>
    <row r="129" spans="1:22" ht="15" x14ac:dyDescent="0.25">
      <c r="A129" s="6"/>
      <c r="B129" s="6"/>
      <c r="C129" s="6"/>
      <c r="D129" s="6"/>
      <c r="E129" s="47"/>
      <c r="F129" s="47"/>
      <c r="G129" s="6"/>
      <c r="H129" s="6"/>
      <c r="I129" s="6"/>
      <c r="J129" s="6"/>
      <c r="K129" s="47"/>
      <c r="L129" s="47"/>
      <c r="M129" s="6"/>
      <c r="N129" s="6"/>
      <c r="O129" s="6"/>
      <c r="P129" s="6"/>
      <c r="Q129" s="47"/>
      <c r="R129" s="47"/>
      <c r="S129" s="6"/>
      <c r="T129" s="6"/>
      <c r="U129" s="6"/>
      <c r="V129" s="6"/>
    </row>
    <row r="130" spans="1:22" ht="15" x14ac:dyDescent="0.25">
      <c r="A130" s="6"/>
      <c r="B130" s="6"/>
      <c r="C130" s="6"/>
      <c r="D130" s="6"/>
      <c r="E130" s="47"/>
      <c r="F130" s="47"/>
      <c r="G130" s="6"/>
      <c r="H130" s="6"/>
      <c r="I130" s="6"/>
      <c r="J130" s="6"/>
      <c r="K130" s="47"/>
      <c r="L130" s="47"/>
      <c r="M130" s="6"/>
      <c r="N130" s="6"/>
      <c r="O130" s="6"/>
      <c r="P130" s="6"/>
      <c r="Q130" s="47"/>
      <c r="R130" s="47"/>
      <c r="S130" s="6"/>
      <c r="T130" s="6"/>
      <c r="U130" s="6"/>
      <c r="V130" s="6"/>
    </row>
    <row r="131" spans="1:22" ht="15" x14ac:dyDescent="0.25">
      <c r="A131" s="6"/>
      <c r="B131" s="6"/>
      <c r="C131" s="6"/>
      <c r="D131" s="6"/>
      <c r="E131" s="47"/>
      <c r="F131" s="47"/>
      <c r="G131" s="6"/>
      <c r="H131" s="6"/>
      <c r="I131" s="6"/>
      <c r="J131" s="6"/>
      <c r="K131" s="47"/>
      <c r="L131" s="47"/>
      <c r="M131" s="6"/>
      <c r="N131" s="6"/>
      <c r="O131" s="6"/>
      <c r="P131" s="6"/>
      <c r="Q131" s="47"/>
      <c r="R131" s="47"/>
      <c r="S131" s="6"/>
      <c r="T131" s="6"/>
      <c r="U131" s="6"/>
      <c r="V131" s="6"/>
    </row>
    <row r="132" spans="1:22" ht="15" x14ac:dyDescent="0.25">
      <c r="A132" s="6"/>
      <c r="B132" s="6"/>
      <c r="C132" s="6"/>
      <c r="D132" s="6"/>
      <c r="E132" s="47"/>
      <c r="F132" s="47"/>
      <c r="G132" s="6"/>
      <c r="H132" s="6"/>
      <c r="I132" s="6"/>
      <c r="J132" s="6"/>
      <c r="K132" s="47"/>
      <c r="L132" s="47"/>
      <c r="M132" s="6"/>
      <c r="N132" s="6"/>
      <c r="O132" s="6"/>
      <c r="P132" s="6"/>
      <c r="Q132" s="47"/>
      <c r="R132" s="47"/>
      <c r="S132" s="6"/>
      <c r="T132" s="6"/>
      <c r="U132" s="6"/>
      <c r="V132" s="6"/>
    </row>
    <row r="133" spans="1:22" ht="15" x14ac:dyDescent="0.25">
      <c r="A133" s="6"/>
      <c r="B133" s="6"/>
      <c r="C133" s="6"/>
      <c r="D133" s="6"/>
      <c r="E133" s="47"/>
      <c r="F133" s="47"/>
      <c r="G133" s="6"/>
      <c r="H133" s="6"/>
      <c r="I133" s="6"/>
      <c r="J133" s="6"/>
      <c r="K133" s="47"/>
      <c r="L133" s="47"/>
      <c r="M133" s="6"/>
      <c r="N133" s="6"/>
      <c r="O133" s="6"/>
      <c r="P133" s="6"/>
      <c r="Q133" s="47"/>
      <c r="R133" s="47"/>
      <c r="S133" s="6"/>
      <c r="T133" s="6"/>
      <c r="U133" s="6"/>
      <c r="V133" s="6"/>
    </row>
    <row r="134" spans="1:22" ht="15" x14ac:dyDescent="0.25">
      <c r="A134" s="6"/>
      <c r="B134" s="6"/>
      <c r="C134" s="6"/>
      <c r="D134" s="6"/>
      <c r="E134" s="47"/>
      <c r="F134" s="47"/>
      <c r="G134" s="6"/>
      <c r="H134" s="6"/>
      <c r="I134" s="6"/>
      <c r="J134" s="6"/>
      <c r="K134" s="47"/>
      <c r="L134" s="47"/>
      <c r="M134" s="6"/>
      <c r="N134" s="6"/>
      <c r="O134" s="6"/>
      <c r="P134" s="6"/>
      <c r="Q134" s="47"/>
      <c r="R134" s="47"/>
      <c r="S134" s="6"/>
      <c r="T134" s="6"/>
      <c r="U134" s="6"/>
      <c r="V134" s="6"/>
    </row>
    <row r="135" spans="1:22" ht="15" x14ac:dyDescent="0.25">
      <c r="A135" s="6"/>
      <c r="B135" s="6"/>
      <c r="C135" s="6"/>
      <c r="D135" s="6"/>
      <c r="E135" s="47"/>
      <c r="F135" s="47"/>
      <c r="G135" s="6"/>
      <c r="H135" s="6"/>
      <c r="I135" s="6"/>
      <c r="J135" s="6"/>
      <c r="K135" s="47"/>
      <c r="L135" s="47"/>
      <c r="M135" s="6"/>
      <c r="N135" s="6"/>
      <c r="O135" s="6"/>
      <c r="P135" s="6"/>
      <c r="Q135" s="47"/>
      <c r="R135" s="47"/>
      <c r="S135" s="6"/>
      <c r="T135" s="6"/>
      <c r="U135" s="6"/>
      <c r="V135" s="6"/>
    </row>
    <row r="136" spans="1:22" ht="15" x14ac:dyDescent="0.25">
      <c r="A136" s="6"/>
      <c r="B136" s="6"/>
      <c r="C136" s="6"/>
      <c r="D136" s="6"/>
      <c r="E136" s="47"/>
      <c r="F136" s="47"/>
      <c r="G136" s="6"/>
      <c r="H136" s="6"/>
      <c r="I136" s="6"/>
      <c r="J136" s="6"/>
      <c r="K136" s="47"/>
      <c r="L136" s="47"/>
      <c r="M136" s="6"/>
      <c r="N136" s="6"/>
      <c r="O136" s="6"/>
      <c r="P136" s="6"/>
      <c r="Q136" s="47"/>
      <c r="R136" s="47"/>
      <c r="S136" s="6"/>
      <c r="T136" s="6"/>
      <c r="U136" s="6"/>
      <c r="V136" s="6"/>
    </row>
    <row r="137" spans="1:22" ht="15" x14ac:dyDescent="0.25">
      <c r="A137" s="6"/>
      <c r="B137" s="6"/>
      <c r="C137" s="6"/>
      <c r="D137" s="6"/>
      <c r="E137" s="47"/>
      <c r="F137" s="47"/>
      <c r="G137" s="6"/>
      <c r="H137" s="6"/>
      <c r="I137" s="6"/>
      <c r="J137" s="6"/>
      <c r="K137" s="47"/>
      <c r="L137" s="47"/>
      <c r="M137" s="6"/>
      <c r="N137" s="6"/>
      <c r="O137" s="6"/>
      <c r="P137" s="6"/>
      <c r="Q137" s="47"/>
      <c r="R137" s="47"/>
      <c r="S137" s="6"/>
      <c r="T137" s="6"/>
      <c r="U137" s="6"/>
      <c r="V137" s="6"/>
    </row>
    <row r="138" spans="1:22" ht="15" x14ac:dyDescent="0.25">
      <c r="A138" s="6"/>
      <c r="B138" s="6"/>
      <c r="C138" s="6"/>
      <c r="D138" s="6"/>
      <c r="E138" s="47"/>
      <c r="F138" s="47"/>
      <c r="G138" s="6"/>
      <c r="H138" s="6"/>
      <c r="I138" s="6"/>
      <c r="J138" s="6"/>
      <c r="K138" s="47"/>
      <c r="L138" s="47"/>
      <c r="M138" s="6"/>
      <c r="N138" s="6"/>
      <c r="O138" s="6"/>
      <c r="P138" s="6"/>
      <c r="Q138" s="47"/>
      <c r="R138" s="47"/>
      <c r="S138" s="6"/>
      <c r="T138" s="6"/>
      <c r="U138" s="6"/>
      <c r="V138" s="6"/>
    </row>
    <row r="139" spans="1:22" ht="15" x14ac:dyDescent="0.25">
      <c r="A139" s="6"/>
      <c r="B139" s="6"/>
      <c r="C139" s="6"/>
      <c r="D139" s="6"/>
      <c r="E139" s="47"/>
      <c r="F139" s="47"/>
      <c r="G139" s="6"/>
      <c r="H139" s="6"/>
      <c r="I139" s="6"/>
      <c r="J139" s="6"/>
      <c r="K139" s="47"/>
      <c r="L139" s="47"/>
      <c r="M139" s="6"/>
      <c r="N139" s="6"/>
      <c r="O139" s="6"/>
      <c r="P139" s="6"/>
      <c r="Q139" s="47"/>
      <c r="R139" s="47"/>
      <c r="S139" s="6"/>
      <c r="T139" s="6"/>
      <c r="U139" s="6"/>
      <c r="V139" s="6"/>
    </row>
    <row r="140" spans="1:22" ht="15" x14ac:dyDescent="0.25">
      <c r="A140" s="6"/>
      <c r="B140" s="6"/>
      <c r="C140" s="6"/>
      <c r="D140" s="6"/>
      <c r="E140" s="47"/>
      <c r="F140" s="47"/>
      <c r="G140" s="6"/>
      <c r="H140" s="6"/>
      <c r="I140" s="6"/>
      <c r="J140" s="6"/>
      <c r="K140" s="47"/>
      <c r="L140" s="47"/>
      <c r="M140" s="6"/>
      <c r="N140" s="6"/>
      <c r="O140" s="6"/>
      <c r="P140" s="6"/>
      <c r="Q140" s="47"/>
      <c r="R140" s="47"/>
      <c r="S140" s="6"/>
      <c r="T140" s="6"/>
      <c r="U140" s="6"/>
      <c r="V140" s="6"/>
    </row>
    <row r="141" spans="1:22" ht="15" x14ac:dyDescent="0.25">
      <c r="A141" s="6"/>
      <c r="B141" s="6"/>
      <c r="C141" s="6"/>
      <c r="D141" s="6"/>
      <c r="E141" s="47"/>
      <c r="F141" s="47"/>
      <c r="G141" s="6"/>
      <c r="H141" s="6"/>
      <c r="I141" s="6"/>
      <c r="J141" s="6"/>
      <c r="K141" s="47"/>
      <c r="L141" s="47"/>
      <c r="M141" s="6"/>
      <c r="N141" s="6"/>
      <c r="O141" s="6"/>
      <c r="P141" s="6"/>
      <c r="Q141" s="47"/>
      <c r="R141" s="47"/>
      <c r="S141" s="6"/>
      <c r="T141" s="6"/>
      <c r="U141" s="6"/>
      <c r="V141" s="6"/>
    </row>
    <row r="142" spans="1:22" ht="15" x14ac:dyDescent="0.25">
      <c r="A142" s="6"/>
      <c r="B142" s="6"/>
      <c r="C142" s="6"/>
      <c r="D142" s="6"/>
      <c r="E142" s="47"/>
      <c r="F142" s="47"/>
      <c r="G142" s="6"/>
      <c r="H142" s="6"/>
      <c r="I142" s="6"/>
      <c r="J142" s="6"/>
      <c r="K142" s="47"/>
      <c r="L142" s="47"/>
      <c r="M142" s="6"/>
      <c r="N142" s="6"/>
      <c r="O142" s="6"/>
      <c r="P142" s="6"/>
      <c r="Q142" s="47"/>
      <c r="R142" s="47"/>
      <c r="S142" s="6"/>
      <c r="T142" s="6"/>
      <c r="U142" s="6"/>
      <c r="V142" s="6"/>
    </row>
    <row r="143" spans="1:22" ht="15" x14ac:dyDescent="0.25">
      <c r="A143" s="6"/>
      <c r="B143" s="6"/>
      <c r="C143" s="6"/>
      <c r="D143" s="6"/>
      <c r="E143" s="47"/>
      <c r="F143" s="47"/>
      <c r="G143" s="6"/>
      <c r="H143" s="6"/>
      <c r="I143" s="6"/>
      <c r="J143" s="6"/>
      <c r="K143" s="47"/>
      <c r="L143" s="47"/>
      <c r="M143" s="6"/>
      <c r="N143" s="6"/>
      <c r="O143" s="6"/>
      <c r="P143" s="6"/>
      <c r="Q143" s="47"/>
      <c r="R143" s="47"/>
      <c r="S143" s="6"/>
      <c r="T143" s="6"/>
      <c r="U143" s="6"/>
      <c r="V143" s="6"/>
    </row>
    <row r="144" spans="1:22" ht="15" x14ac:dyDescent="0.25">
      <c r="A144" s="6"/>
      <c r="B144" s="6"/>
      <c r="C144" s="6"/>
      <c r="D144" s="6"/>
      <c r="E144" s="47"/>
      <c r="F144" s="47"/>
      <c r="G144" s="6"/>
      <c r="H144" s="6"/>
      <c r="I144" s="6"/>
      <c r="J144" s="6"/>
      <c r="K144" s="47"/>
      <c r="L144" s="47"/>
      <c r="M144" s="6"/>
      <c r="N144" s="6"/>
      <c r="O144" s="6"/>
      <c r="P144" s="6"/>
      <c r="Q144" s="47"/>
      <c r="R144" s="47"/>
      <c r="S144" s="6"/>
      <c r="T144" s="6"/>
      <c r="U144" s="6"/>
      <c r="V144" s="6"/>
    </row>
    <row r="145" spans="1:22" ht="15" x14ac:dyDescent="0.25">
      <c r="A145" s="6"/>
      <c r="B145" s="6"/>
      <c r="C145" s="6"/>
      <c r="D145" s="6"/>
      <c r="E145" s="47"/>
      <c r="F145" s="47"/>
      <c r="G145" s="6"/>
      <c r="H145" s="6"/>
      <c r="I145" s="6"/>
      <c r="J145" s="6"/>
      <c r="K145" s="47"/>
      <c r="L145" s="47"/>
      <c r="M145" s="6"/>
      <c r="N145" s="6"/>
      <c r="O145" s="6"/>
      <c r="P145" s="6"/>
      <c r="Q145" s="47"/>
      <c r="R145" s="47"/>
      <c r="S145" s="6"/>
      <c r="T145" s="6"/>
      <c r="U145" s="6"/>
      <c r="V145" s="6"/>
    </row>
    <row r="146" spans="1:22" ht="15" x14ac:dyDescent="0.25">
      <c r="A146" s="6"/>
      <c r="B146" s="6"/>
      <c r="C146" s="6"/>
      <c r="D146" s="6"/>
      <c r="E146" s="47"/>
      <c r="F146" s="47"/>
      <c r="G146" s="6"/>
      <c r="H146" s="6"/>
      <c r="I146" s="6"/>
      <c r="J146" s="6"/>
      <c r="K146" s="47"/>
      <c r="L146" s="47"/>
      <c r="M146" s="6"/>
      <c r="N146" s="6"/>
      <c r="O146" s="6"/>
      <c r="P146" s="6"/>
      <c r="Q146" s="47"/>
      <c r="R146" s="47"/>
      <c r="S146" s="6"/>
      <c r="T146" s="6"/>
      <c r="U146" s="6"/>
      <c r="V146" s="6"/>
    </row>
    <row r="147" spans="1:22" ht="15" x14ac:dyDescent="0.25">
      <c r="A147" s="6"/>
      <c r="B147" s="6"/>
      <c r="C147" s="6"/>
      <c r="D147" s="6"/>
      <c r="E147" s="47"/>
      <c r="F147" s="47"/>
      <c r="G147" s="6"/>
      <c r="H147" s="6"/>
      <c r="I147" s="6"/>
      <c r="J147" s="6"/>
      <c r="K147" s="47"/>
      <c r="L147" s="47"/>
      <c r="M147" s="6"/>
      <c r="N147" s="6"/>
      <c r="O147" s="6"/>
      <c r="P147" s="6"/>
      <c r="Q147" s="47"/>
      <c r="R147" s="47"/>
      <c r="S147" s="6"/>
      <c r="T147" s="6"/>
      <c r="U147" s="6"/>
      <c r="V147" s="6"/>
    </row>
    <row r="148" spans="1:22" ht="15" x14ac:dyDescent="0.25">
      <c r="A148" s="6"/>
      <c r="B148" s="6"/>
      <c r="C148" s="6"/>
      <c r="D148" s="6"/>
      <c r="E148" s="47"/>
      <c r="F148" s="47"/>
      <c r="G148" s="6"/>
      <c r="H148" s="6"/>
      <c r="I148" s="6"/>
      <c r="J148" s="6"/>
      <c r="K148" s="47"/>
      <c r="L148" s="47"/>
      <c r="M148" s="6"/>
      <c r="N148" s="6"/>
      <c r="O148" s="6"/>
      <c r="P148" s="6"/>
      <c r="Q148" s="47"/>
      <c r="R148" s="47"/>
      <c r="S148" s="6"/>
      <c r="T148" s="6"/>
      <c r="U148" s="6"/>
      <c r="V148" s="6"/>
    </row>
    <row r="149" spans="1:22" ht="15" x14ac:dyDescent="0.25">
      <c r="A149" s="6"/>
      <c r="B149" s="6"/>
      <c r="C149" s="6"/>
      <c r="D149" s="6"/>
      <c r="E149" s="47"/>
      <c r="F149" s="47"/>
      <c r="G149" s="6"/>
      <c r="H149" s="6"/>
      <c r="I149" s="6"/>
      <c r="J149" s="6"/>
      <c r="K149" s="47"/>
      <c r="L149" s="47"/>
      <c r="M149" s="6"/>
      <c r="N149" s="6"/>
      <c r="O149" s="6"/>
      <c r="P149" s="6"/>
      <c r="Q149" s="47"/>
      <c r="R149" s="47"/>
      <c r="S149" s="6"/>
      <c r="T149" s="6"/>
      <c r="U149" s="6"/>
      <c r="V149" s="6"/>
    </row>
    <row r="150" spans="1:22" ht="15" x14ac:dyDescent="0.25">
      <c r="A150" s="6"/>
      <c r="B150" s="6"/>
      <c r="C150" s="6"/>
      <c r="D150" s="6"/>
      <c r="E150" s="47"/>
      <c r="F150" s="47"/>
      <c r="G150" s="6"/>
      <c r="H150" s="6"/>
      <c r="I150" s="6"/>
      <c r="J150" s="6"/>
      <c r="K150" s="47"/>
      <c r="L150" s="47"/>
      <c r="M150" s="6"/>
      <c r="N150" s="6"/>
      <c r="O150" s="6"/>
      <c r="P150" s="6"/>
      <c r="Q150" s="47"/>
      <c r="R150" s="47"/>
      <c r="S150" s="6"/>
      <c r="T150" s="6"/>
      <c r="U150" s="6"/>
      <c r="V150" s="6"/>
    </row>
    <row r="151" spans="1:22" ht="15" x14ac:dyDescent="0.25">
      <c r="A151" s="6"/>
      <c r="B151" s="6"/>
      <c r="C151" s="6"/>
      <c r="D151" s="6"/>
      <c r="E151" s="47"/>
      <c r="F151" s="47"/>
      <c r="G151" s="6"/>
      <c r="H151" s="6"/>
      <c r="I151" s="6"/>
      <c r="J151" s="6"/>
      <c r="K151" s="47"/>
      <c r="L151" s="47"/>
      <c r="M151" s="6"/>
      <c r="N151" s="6"/>
      <c r="O151" s="6"/>
      <c r="P151" s="6"/>
      <c r="Q151" s="47"/>
      <c r="R151" s="47"/>
      <c r="S151" s="6"/>
      <c r="T151" s="6"/>
      <c r="U151" s="6"/>
      <c r="V151" s="6"/>
    </row>
    <row r="152" spans="1:22" ht="15" x14ac:dyDescent="0.25">
      <c r="A152" s="6"/>
      <c r="B152" s="6"/>
      <c r="C152" s="6"/>
      <c r="D152" s="6"/>
      <c r="E152" s="47"/>
      <c r="F152" s="47"/>
      <c r="G152" s="6"/>
      <c r="H152" s="6"/>
      <c r="I152" s="6"/>
      <c r="J152" s="6"/>
      <c r="K152" s="47"/>
      <c r="L152" s="47"/>
      <c r="M152" s="6"/>
      <c r="N152" s="6"/>
      <c r="O152" s="6"/>
      <c r="P152" s="6"/>
      <c r="Q152" s="47"/>
      <c r="R152" s="47"/>
      <c r="S152" s="6"/>
      <c r="T152" s="6"/>
      <c r="U152" s="6"/>
      <c r="V152" s="6"/>
    </row>
  </sheetData>
  <pageMargins left="0.7" right="0.7" top="0.75" bottom="0.75" header="0.3" footer="0.3"/>
  <pageSetup orientation="portrait" horizontalDpi="30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3638C-8147-4FB1-82E3-DC3E57EBD3B9}">
  <dimension ref="A2:AF134"/>
  <sheetViews>
    <sheetView showGridLines="0" workbookViewId="0"/>
  </sheetViews>
  <sheetFormatPr defaultColWidth="9.140625" defaultRowHeight="15" x14ac:dyDescent="0.2"/>
  <cols>
    <col min="1" max="1" width="9.140625" style="9"/>
    <col min="2" max="2" width="2.85546875" style="9" customWidth="1"/>
    <col min="3" max="3" width="19" style="9" customWidth="1"/>
    <col min="4" max="4" width="5.42578125" style="9" customWidth="1"/>
    <col min="5" max="5" width="6" style="9" customWidth="1"/>
    <col min="6" max="6" width="12.28515625" style="9" customWidth="1"/>
    <col min="7" max="7" width="3.7109375" style="9" customWidth="1"/>
    <col min="8" max="8" width="12.28515625" style="9" customWidth="1"/>
    <col min="9" max="9" width="3.7109375" style="9" customWidth="1"/>
    <col min="10" max="10" width="12.28515625" style="17" customWidth="1"/>
    <col min="11" max="11" width="8.7109375" style="17" hidden="1" customWidth="1"/>
    <col min="12" max="12" width="6.42578125" style="17" hidden="1" customWidth="1"/>
    <col min="13" max="13" width="8.28515625" style="9" customWidth="1"/>
    <col min="14" max="14" width="9.140625" style="9"/>
    <col min="15" max="15" width="14" style="186" customWidth="1"/>
    <col min="16" max="16" width="14" style="180" customWidth="1"/>
    <col min="17" max="20" width="9.140625" style="9"/>
    <col min="21" max="22" width="9.140625" style="216"/>
    <col min="23" max="23" width="5.85546875" style="9" customWidth="1"/>
    <col min="24" max="24" width="1.5703125" style="216" customWidth="1"/>
    <col min="25" max="25" width="12.28515625" style="217" customWidth="1"/>
    <col min="26" max="26" width="1" style="216" customWidth="1"/>
    <col min="27" max="27" width="9.28515625" style="216" customWidth="1"/>
    <col min="28" max="32" width="9.140625" style="216"/>
    <col min="33" max="16384" width="9.140625" style="9"/>
  </cols>
  <sheetData>
    <row r="2" spans="1:29" ht="15.75" x14ac:dyDescent="0.25">
      <c r="C2" s="19" t="s">
        <v>90</v>
      </c>
      <c r="G2" s="25" t="s">
        <v>207</v>
      </c>
    </row>
    <row r="3" spans="1:29" x14ac:dyDescent="0.2">
      <c r="F3" s="220" t="s">
        <v>100</v>
      </c>
      <c r="G3" s="25" t="s">
        <v>209</v>
      </c>
    </row>
    <row r="4" spans="1:29" ht="15.75" x14ac:dyDescent="0.25">
      <c r="F4" s="221" t="s">
        <v>101</v>
      </c>
      <c r="G4" s="25" t="s">
        <v>208</v>
      </c>
      <c r="W4" s="389" t="s">
        <v>2</v>
      </c>
      <c r="X4" s="386"/>
      <c r="Y4" s="387" t="s">
        <v>31</v>
      </c>
      <c r="Z4" s="386"/>
      <c r="AA4" s="388" t="s">
        <v>8</v>
      </c>
      <c r="AB4" s="386"/>
      <c r="AC4" s="386"/>
    </row>
    <row r="5" spans="1:29" x14ac:dyDescent="0.2">
      <c r="W5" s="384"/>
      <c r="X5" s="218"/>
      <c r="Y5" s="219" t="s">
        <v>170</v>
      </c>
      <c r="Z5" s="218"/>
      <c r="AA5" s="385" t="s">
        <v>171</v>
      </c>
      <c r="AB5" s="218"/>
      <c r="AC5" s="229"/>
    </row>
    <row r="6" spans="1:29" x14ac:dyDescent="0.2">
      <c r="B6" s="87"/>
      <c r="C6" s="88"/>
      <c r="D6" s="88"/>
      <c r="E6" s="89"/>
      <c r="F6" s="90"/>
      <c r="G6" s="90"/>
      <c r="H6" s="90"/>
      <c r="I6" s="90"/>
      <c r="J6" s="191"/>
      <c r="K6" s="191"/>
      <c r="L6" s="191"/>
      <c r="M6" s="187"/>
      <c r="P6" s="9"/>
      <c r="W6" s="222"/>
      <c r="X6" s="223"/>
      <c r="Y6" s="224"/>
      <c r="Z6" s="223"/>
      <c r="AA6" s="223"/>
      <c r="AB6" s="223"/>
      <c r="AC6" s="225"/>
    </row>
    <row r="7" spans="1:29" x14ac:dyDescent="0.25">
      <c r="B7" s="94"/>
      <c r="C7" s="85"/>
      <c r="D7" s="85"/>
      <c r="E7" s="86"/>
      <c r="F7" s="25"/>
      <c r="G7" s="25"/>
      <c r="H7" s="25"/>
      <c r="I7" s="25"/>
      <c r="J7" s="192" t="s">
        <v>82</v>
      </c>
      <c r="K7" s="192"/>
      <c r="L7" s="192" t="s">
        <v>105</v>
      </c>
      <c r="M7" s="188"/>
      <c r="O7" s="186" t="s">
        <v>172</v>
      </c>
      <c r="P7" s="9"/>
      <c r="W7" s="226">
        <v>1</v>
      </c>
      <c r="X7" s="223"/>
      <c r="Y7" s="224">
        <f t="shared" ref="Y7:Y46" si="0">(FV(C$37,W7,0,-H$36)-H$36)*(1-C$38)-(FV(H$37,W7,0,-H$36)-H$36)</f>
        <v>0</v>
      </c>
      <c r="Z7"/>
      <c r="AA7" s="208">
        <f t="shared" ref="AA7:AA46" si="1">(H$35-C$38)*(FV(C$37,W7,0,-H$36)-H$36)</f>
        <v>2.8000000000000007</v>
      </c>
      <c r="AB7" s="223"/>
      <c r="AC7" s="225"/>
    </row>
    <row r="8" spans="1:29" x14ac:dyDescent="0.25">
      <c r="B8" s="94"/>
      <c r="C8" s="25"/>
      <c r="D8" s="25"/>
      <c r="E8" s="86"/>
      <c r="F8" s="95" t="s">
        <v>36</v>
      </c>
      <c r="G8" s="96"/>
      <c r="H8" s="95" t="s">
        <v>124</v>
      </c>
      <c r="I8" s="96"/>
      <c r="J8" s="193" t="s">
        <v>83</v>
      </c>
      <c r="K8" s="192"/>
      <c r="L8" s="193" t="s">
        <v>106</v>
      </c>
      <c r="M8" s="188"/>
      <c r="O8" s="231" t="s">
        <v>108</v>
      </c>
      <c r="P8" s="9"/>
      <c r="W8" s="226">
        <f>+W7+1</f>
        <v>2</v>
      </c>
      <c r="X8" s="223"/>
      <c r="Y8" s="224">
        <f t="shared" si="0"/>
        <v>0.57119999999994775</v>
      </c>
      <c r="Z8" s="223"/>
      <c r="AA8" s="208">
        <f t="shared" si="1"/>
        <v>5.8240000000000025</v>
      </c>
      <c r="AB8" s="223"/>
      <c r="AC8" s="225"/>
    </row>
    <row r="9" spans="1:29" ht="15.75" x14ac:dyDescent="0.25">
      <c r="B9" s="94"/>
      <c r="C9" s="97" t="s">
        <v>55</v>
      </c>
      <c r="D9" s="25"/>
      <c r="E9" s="86"/>
      <c r="F9" s="98"/>
      <c r="G9" s="98"/>
      <c r="H9" s="98"/>
      <c r="I9" s="98"/>
      <c r="J9" s="194"/>
      <c r="K9" s="194"/>
      <c r="L9" s="194"/>
      <c r="M9" s="188"/>
      <c r="O9" s="186" t="s">
        <v>109</v>
      </c>
      <c r="P9" s="9"/>
      <c r="W9" s="226">
        <f t="shared" ref="W9:W46" si="2">+W8+1</f>
        <v>3</v>
      </c>
      <c r="X9" s="223"/>
      <c r="Y9" s="224">
        <f t="shared" si="0"/>
        <v>1.7981376000000182</v>
      </c>
      <c r="Z9" s="223"/>
      <c r="AA9" s="208">
        <f t="shared" si="1"/>
        <v>9.08992000000001</v>
      </c>
      <c r="AB9" s="223"/>
      <c r="AC9" s="225"/>
    </row>
    <row r="10" spans="1:29" ht="14.25" x14ac:dyDescent="0.2">
      <c r="B10" s="94"/>
      <c r="C10" s="25" t="s">
        <v>40</v>
      </c>
      <c r="D10" s="25"/>
      <c r="E10" s="86"/>
      <c r="F10" s="100">
        <f>+C36</f>
        <v>1000</v>
      </c>
      <c r="G10" s="100"/>
      <c r="H10" s="100">
        <f>+C36</f>
        <v>1000</v>
      </c>
      <c r="I10" s="100"/>
      <c r="J10" s="208">
        <f>+C36</f>
        <v>1000</v>
      </c>
      <c r="K10" s="208"/>
      <c r="L10" s="208">
        <f>+C36</f>
        <v>1000</v>
      </c>
      <c r="M10" s="188"/>
      <c r="O10" s="186" t="s">
        <v>110</v>
      </c>
      <c r="P10" s="186"/>
      <c r="Q10" s="186"/>
      <c r="R10" s="186"/>
      <c r="W10" s="226">
        <f t="shared" si="2"/>
        <v>4</v>
      </c>
      <c r="X10" s="223"/>
      <c r="Y10" s="224">
        <f t="shared" si="0"/>
        <v>3.7747546367999973</v>
      </c>
      <c r="Z10" s="223"/>
      <c r="AA10" s="208">
        <f t="shared" si="1"/>
        <v>12.617113600000014</v>
      </c>
      <c r="AB10" s="223"/>
      <c r="AC10" s="225"/>
    </row>
    <row r="11" spans="1:29" ht="14.25" x14ac:dyDescent="0.2">
      <c r="B11" s="94"/>
      <c r="C11" s="25" t="s">
        <v>57</v>
      </c>
      <c r="D11" s="102">
        <f>+H38</f>
        <v>0.3</v>
      </c>
      <c r="E11" s="86"/>
      <c r="F11" s="100">
        <f>-F10*+H38</f>
        <v>-300</v>
      </c>
      <c r="G11" s="100"/>
      <c r="H11" s="100">
        <f>-H10*H38</f>
        <v>-300</v>
      </c>
      <c r="I11" s="100"/>
      <c r="J11" s="208">
        <f>-J10*H38</f>
        <v>-300</v>
      </c>
      <c r="K11" s="208"/>
      <c r="L11" s="208">
        <f>-L10*H38</f>
        <v>-300</v>
      </c>
      <c r="M11" s="188"/>
      <c r="P11" s="9"/>
      <c r="W11" s="226">
        <f t="shared" si="2"/>
        <v>5</v>
      </c>
      <c r="X11" s="223"/>
      <c r="Y11" s="224">
        <f t="shared" si="0"/>
        <v>6.6053291265023404</v>
      </c>
      <c r="Z11" s="223"/>
      <c r="AA11" s="208">
        <f t="shared" si="1"/>
        <v>16.426482688000014</v>
      </c>
      <c r="AB11" s="223"/>
      <c r="AC11" s="225"/>
    </row>
    <row r="12" spans="1:29" x14ac:dyDescent="0.2">
      <c r="B12" s="94"/>
      <c r="C12" s="103" t="s">
        <v>64</v>
      </c>
      <c r="D12" s="103"/>
      <c r="E12" s="86"/>
      <c r="F12" s="104"/>
      <c r="G12" s="100"/>
      <c r="H12" s="104"/>
      <c r="I12" s="100"/>
      <c r="J12" s="195"/>
      <c r="K12" s="194"/>
      <c r="L12" s="194">
        <f>-L11</f>
        <v>300</v>
      </c>
      <c r="M12" s="188"/>
      <c r="P12" s="9"/>
      <c r="W12" s="226">
        <f t="shared" si="2"/>
        <v>6</v>
      </c>
      <c r="X12" s="223"/>
      <c r="Y12" s="224">
        <f t="shared" si="0"/>
        <v>10.405493975456579</v>
      </c>
      <c r="Z12" s="223"/>
      <c r="AA12" s="208">
        <f t="shared" si="1"/>
        <v>20.540601303040031</v>
      </c>
      <c r="AB12" s="223"/>
      <c r="AC12" s="225"/>
    </row>
    <row r="13" spans="1:29" ht="14.25" x14ac:dyDescent="0.2">
      <c r="B13" s="94"/>
      <c r="C13" s="25" t="s">
        <v>51</v>
      </c>
      <c r="D13" s="26"/>
      <c r="E13" s="86"/>
      <c r="F13" s="100">
        <f>SUM(F10:F12)</f>
        <v>700</v>
      </c>
      <c r="G13" s="100"/>
      <c r="H13" s="100">
        <f>SUM(H10:H12)</f>
        <v>700</v>
      </c>
      <c r="I13" s="100"/>
      <c r="J13" s="100">
        <f>SUM(J10:J12)</f>
        <v>700</v>
      </c>
      <c r="K13" s="100"/>
      <c r="L13" s="164">
        <f>+L10+L11+L12</f>
        <v>1000</v>
      </c>
      <c r="M13" s="188"/>
      <c r="P13" s="9"/>
      <c r="W13" s="226">
        <f t="shared" si="2"/>
        <v>7</v>
      </c>
      <c r="X13" s="223"/>
      <c r="Y13" s="224">
        <f t="shared" si="0"/>
        <v>15.303350231607681</v>
      </c>
      <c r="Z13" s="223"/>
      <c r="AA13" s="208">
        <f t="shared" si="1"/>
        <v>24.983849407283227</v>
      </c>
      <c r="AB13" s="223"/>
      <c r="AC13" s="225"/>
    </row>
    <row r="14" spans="1:29" x14ac:dyDescent="0.2">
      <c r="B14" s="94"/>
      <c r="C14" s="25"/>
      <c r="D14" s="26"/>
      <c r="E14" s="86"/>
      <c r="F14" s="100"/>
      <c r="G14" s="100"/>
      <c r="H14" s="100"/>
      <c r="I14" s="100"/>
      <c r="J14" s="194"/>
      <c r="K14" s="194"/>
      <c r="L14" s="194"/>
      <c r="M14" s="188"/>
      <c r="P14" s="9"/>
      <c r="W14" s="226">
        <f t="shared" si="2"/>
        <v>8</v>
      </c>
      <c r="X14" s="223"/>
      <c r="Y14" s="224">
        <f t="shared" si="0"/>
        <v>21.440683326442752</v>
      </c>
      <c r="Z14" s="223"/>
      <c r="AA14" s="208">
        <f t="shared" si="1"/>
        <v>29.782557359865891</v>
      </c>
      <c r="AB14" s="223"/>
      <c r="AC14" s="225"/>
    </row>
    <row r="15" spans="1:29" ht="14.25" x14ac:dyDescent="0.2">
      <c r="A15"/>
      <c r="B15" s="94"/>
      <c r="C15" s="25"/>
      <c r="D15" s="26"/>
      <c r="E15" s="86"/>
      <c r="F15" s="201">
        <f>+H37</f>
        <v>6.8000000000000005E-2</v>
      </c>
      <c r="G15" s="202"/>
      <c r="H15" s="201">
        <f>+C37</f>
        <v>0.08</v>
      </c>
      <c r="I15" s="201"/>
      <c r="J15" s="203">
        <f>+C37</f>
        <v>0.08</v>
      </c>
      <c r="K15" s="203"/>
      <c r="L15" s="203"/>
      <c r="M15" s="188"/>
      <c r="P15" s="9"/>
      <c r="W15" s="226">
        <f t="shared" si="2"/>
        <v>9</v>
      </c>
      <c r="X15" s="223"/>
      <c r="Y15" s="224">
        <f t="shared" si="0"/>
        <v>28.974291494053546</v>
      </c>
      <c r="Z15" s="223"/>
      <c r="AA15" s="208">
        <f t="shared" si="1"/>
        <v>34.965161948655165</v>
      </c>
      <c r="AB15" s="223"/>
      <c r="AC15" s="225"/>
    </row>
    <row r="16" spans="1:29" x14ac:dyDescent="0.25">
      <c r="A16"/>
      <c r="B16" s="94"/>
      <c r="C16" s="97" t="s">
        <v>43</v>
      </c>
      <c r="D16" s="106"/>
      <c r="E16" s="107"/>
      <c r="F16" s="204" t="s">
        <v>45</v>
      </c>
      <c r="G16" s="204"/>
      <c r="H16" s="204" t="s">
        <v>46</v>
      </c>
      <c r="I16" s="204"/>
      <c r="J16" s="204" t="s">
        <v>46</v>
      </c>
      <c r="K16" s="204"/>
      <c r="L16" s="204"/>
      <c r="M16" s="188"/>
      <c r="P16" s="9"/>
      <c r="W16" s="226">
        <f t="shared" si="2"/>
        <v>10</v>
      </c>
      <c r="X16" s="223"/>
      <c r="Y16" s="224">
        <f t="shared" si="0"/>
        <v>38.077436353174789</v>
      </c>
      <c r="Z16" s="223"/>
      <c r="AA16" s="208">
        <f t="shared" si="1"/>
        <v>40.562374904547589</v>
      </c>
      <c r="AB16" s="223"/>
      <c r="AC16" s="225"/>
    </row>
    <row r="17" spans="1:29" ht="14.25" x14ac:dyDescent="0.2">
      <c r="A17"/>
      <c r="B17" s="94"/>
      <c r="C17" s="25" t="s">
        <v>44</v>
      </c>
      <c r="D17" s="26"/>
      <c r="E17" s="86"/>
      <c r="F17" s="109">
        <f>+F19-F13</f>
        <v>1587.6026368867001</v>
      </c>
      <c r="G17" s="100"/>
      <c r="H17" s="109">
        <f>+H19-H13</f>
        <v>2097.2136494294532</v>
      </c>
      <c r="I17" s="109"/>
      <c r="J17" s="109">
        <f>+J19-J13</f>
        <v>2097.2136494294532</v>
      </c>
      <c r="K17" s="109"/>
      <c r="L17" s="109">
        <f>+L19-L13</f>
        <v>2996.0194991849335</v>
      </c>
      <c r="M17" s="188"/>
      <c r="P17" s="9"/>
      <c r="W17" s="226">
        <f t="shared" si="2"/>
        <v>11</v>
      </c>
      <c r="X17" s="223"/>
      <c r="Y17" s="224">
        <f t="shared" si="0"/>
        <v>48.941426505718141</v>
      </c>
      <c r="Z17" s="223"/>
      <c r="AA17" s="208">
        <f t="shared" si="1"/>
        <v>46.607364896911385</v>
      </c>
      <c r="AB17" s="223"/>
      <c r="AC17" s="225"/>
    </row>
    <row r="18" spans="1:29" x14ac:dyDescent="0.2">
      <c r="A18"/>
      <c r="B18" s="94"/>
      <c r="C18" s="110"/>
      <c r="D18" s="106"/>
      <c r="E18" s="107"/>
      <c r="F18" s="111"/>
      <c r="G18" s="108"/>
      <c r="H18" s="111"/>
      <c r="I18" s="108"/>
      <c r="J18" s="195"/>
      <c r="K18" s="194"/>
      <c r="L18" s="194"/>
      <c r="M18" s="188"/>
      <c r="P18" s="9"/>
      <c r="W18" s="226">
        <f t="shared" si="2"/>
        <v>12</v>
      </c>
      <c r="X18" s="223"/>
      <c r="Y18" s="224">
        <f t="shared" si="0"/>
        <v>61.777345947077038</v>
      </c>
      <c r="Z18" s="223"/>
      <c r="AA18" s="208">
        <f t="shared" si="1"/>
        <v>53.135954088664306</v>
      </c>
      <c r="AB18" s="223"/>
      <c r="AC18" s="225"/>
    </row>
    <row r="19" spans="1:29" ht="14.25" x14ac:dyDescent="0.2">
      <c r="A19"/>
      <c r="B19" s="94"/>
      <c r="C19" s="25" t="s">
        <v>56</v>
      </c>
      <c r="D19" s="113">
        <f>+C35</f>
        <v>18</v>
      </c>
      <c r="E19" s="114" t="s">
        <v>47</v>
      </c>
      <c r="F19" s="100">
        <f>FV(C37*(1-C38),C35,0,-F13)</f>
        <v>2287.6026368867001</v>
      </c>
      <c r="G19" s="100"/>
      <c r="H19" s="100">
        <f>FV(C37,C35,0,-H13)</f>
        <v>2797.2136494294532</v>
      </c>
      <c r="I19" s="100"/>
      <c r="J19" s="100">
        <f>FV(C37,C35,0,-J13)</f>
        <v>2797.2136494294532</v>
      </c>
      <c r="K19" s="100"/>
      <c r="L19" s="164">
        <f>FV(C37,C35,0,-L13)</f>
        <v>3996.0194991849335</v>
      </c>
      <c r="M19" s="188"/>
      <c r="P19" s="9"/>
      <c r="W19" s="226">
        <f t="shared" si="2"/>
        <v>13</v>
      </c>
      <c r="X19" s="223"/>
      <c r="Y19" s="224">
        <f t="shared" si="0"/>
        <v>76.817940105565754</v>
      </c>
      <c r="Z19" s="223"/>
      <c r="AA19" s="208">
        <f t="shared" si="1"/>
        <v>60.186830415757456</v>
      </c>
      <c r="AB19" s="223"/>
      <c r="AC19" s="225"/>
    </row>
    <row r="20" spans="1:29" x14ac:dyDescent="0.2">
      <c r="A20"/>
      <c r="B20" s="94"/>
      <c r="C20" s="25"/>
      <c r="D20" s="25"/>
      <c r="E20" s="86"/>
      <c r="F20" s="115"/>
      <c r="G20" s="115"/>
      <c r="H20" s="115"/>
      <c r="I20" s="115"/>
      <c r="J20" s="194"/>
      <c r="K20" s="194"/>
      <c r="L20" s="194"/>
      <c r="M20" s="188"/>
      <c r="P20" s="9"/>
      <c r="W20" s="226">
        <f t="shared" si="2"/>
        <v>14</v>
      </c>
      <c r="X20" s="223"/>
      <c r="Y20" s="224">
        <f t="shared" si="0"/>
        <v>94.319673437558777</v>
      </c>
      <c r="Z20" s="223"/>
      <c r="AA20" s="208">
        <f t="shared" si="1"/>
        <v>67.801776849018069</v>
      </c>
      <c r="AB20" s="223"/>
      <c r="AC20" s="225"/>
    </row>
    <row r="21" spans="1:29" ht="15.75" customHeight="1" x14ac:dyDescent="0.25">
      <c r="A21"/>
      <c r="B21" s="94"/>
      <c r="C21" s="97" t="s">
        <v>104</v>
      </c>
      <c r="D21" s="117"/>
      <c r="E21" s="86"/>
      <c r="F21" s="100"/>
      <c r="G21" s="100"/>
      <c r="H21" s="100"/>
      <c r="I21" s="100"/>
      <c r="M21" s="188"/>
      <c r="P21" s="9"/>
      <c r="W21" s="226">
        <f t="shared" si="2"/>
        <v>15</v>
      </c>
      <c r="X21" s="223"/>
      <c r="Y21" s="224">
        <f t="shared" si="0"/>
        <v>114.56497370851275</v>
      </c>
      <c r="Z21" s="223"/>
      <c r="AA21" s="208">
        <f t="shared" si="1"/>
        <v>76.025918996939524</v>
      </c>
      <c r="AB21" s="223"/>
      <c r="AC21" s="225"/>
    </row>
    <row r="22" spans="1:29" ht="12.75" customHeight="1" x14ac:dyDescent="0.2">
      <c r="B22" s="94"/>
      <c r="C22" s="8" t="s">
        <v>84</v>
      </c>
      <c r="D22" s="207">
        <f>+H35</f>
        <v>0.2</v>
      </c>
      <c r="E22"/>
      <c r="F22" s="100"/>
      <c r="G22" s="100"/>
      <c r="H22" s="100"/>
      <c r="I22" s="100"/>
      <c r="J22" s="208">
        <f>-(J19-J13)*H35</f>
        <v>-419.44272988589069</v>
      </c>
      <c r="K22" s="208"/>
      <c r="L22" s="208">
        <f>-L19*H35</f>
        <v>-799.20389983698669</v>
      </c>
      <c r="M22" s="188"/>
      <c r="P22" s="9"/>
      <c r="W22" s="226">
        <f t="shared" si="2"/>
        <v>16</v>
      </c>
      <c r="X22" s="223"/>
      <c r="Y22" s="224">
        <f t="shared" si="0"/>
        <v>137.864679396067</v>
      </c>
      <c r="Z22" s="223"/>
      <c r="AA22" s="208">
        <f t="shared" si="1"/>
        <v>84.907992516694691</v>
      </c>
      <c r="AB22" s="223"/>
      <c r="AC22" s="225"/>
    </row>
    <row r="23" spans="1:29" ht="12.75" customHeight="1" thickBot="1" x14ac:dyDescent="0.3">
      <c r="B23" s="94"/>
      <c r="C23" s="116" t="s">
        <v>48</v>
      </c>
      <c r="D23" s="25"/>
      <c r="E23" s="86"/>
      <c r="F23" s="123">
        <f>+F19</f>
        <v>2287.6026368867001</v>
      </c>
      <c r="G23" s="100"/>
      <c r="H23" s="123">
        <f>+H19</f>
        <v>2797.2136494294532</v>
      </c>
      <c r="I23" s="100"/>
      <c r="J23" s="209">
        <f>+J19+J22</f>
        <v>2377.7709195435627</v>
      </c>
      <c r="K23" s="208"/>
      <c r="L23" s="209">
        <f>+L19+L22</f>
        <v>3196.8155993479468</v>
      </c>
      <c r="M23" s="188"/>
      <c r="P23" s="9"/>
      <c r="W23" s="226">
        <f t="shared" si="2"/>
        <v>17</v>
      </c>
      <c r="X23" s="223"/>
      <c r="Y23" s="224">
        <f t="shared" si="0"/>
        <v>164.56070806840512</v>
      </c>
      <c r="Z23" s="223"/>
      <c r="AA23" s="208">
        <f t="shared" si="1"/>
        <v>94.500631918030265</v>
      </c>
      <c r="AB23" s="223"/>
      <c r="AC23" s="225"/>
    </row>
    <row r="24" spans="1:29" ht="16.5" thickTop="1" x14ac:dyDescent="0.25">
      <c r="B24" s="131"/>
      <c r="C24" s="210"/>
      <c r="D24" s="103"/>
      <c r="E24" s="133"/>
      <c r="F24" s="104"/>
      <c r="G24" s="104"/>
      <c r="H24" s="104"/>
      <c r="I24" s="104"/>
      <c r="J24" s="195"/>
      <c r="K24" s="195"/>
      <c r="L24" s="195"/>
      <c r="M24" s="211"/>
      <c r="P24" s="9"/>
      <c r="W24" s="226">
        <f t="shared" si="2"/>
        <v>18</v>
      </c>
      <c r="X24" s="223"/>
      <c r="Y24" s="224">
        <f t="shared" si="0"/>
        <v>195.02896512833513</v>
      </c>
      <c r="Z24" s="223"/>
      <c r="AA24" s="208">
        <f t="shared" si="1"/>
        <v>104.8606824714727</v>
      </c>
      <c r="AB24" s="223"/>
      <c r="AC24" s="225"/>
    </row>
    <row r="25" spans="1:29" ht="15.75" x14ac:dyDescent="0.25">
      <c r="B25" s="94"/>
      <c r="C25" s="116"/>
      <c r="D25" s="25"/>
      <c r="E25" s="86"/>
      <c r="F25" s="100"/>
      <c r="G25" s="100"/>
      <c r="H25" s="100"/>
      <c r="I25" s="100"/>
      <c r="J25" s="194"/>
      <c r="K25" s="194"/>
      <c r="L25" s="194"/>
      <c r="M25" s="188"/>
      <c r="P25" s="9"/>
      <c r="W25" s="226">
        <f t="shared" si="2"/>
        <v>19</v>
      </c>
      <c r="X25" s="223"/>
      <c r="Y25" s="224">
        <f t="shared" si="0"/>
        <v>229.68251398124244</v>
      </c>
      <c r="Z25" s="223"/>
      <c r="AA25" s="208">
        <f t="shared" si="1"/>
        <v>116.04953706919054</v>
      </c>
      <c r="AB25" s="223"/>
      <c r="AC25" s="225"/>
    </row>
    <row r="26" spans="1:29" ht="15.75" x14ac:dyDescent="0.25">
      <c r="B26" s="94"/>
      <c r="C26" s="23" t="s">
        <v>66</v>
      </c>
      <c r="D26" s="25"/>
      <c r="E26" s="86"/>
      <c r="F26" s="25"/>
      <c r="G26" s="26"/>
      <c r="H26" s="25"/>
      <c r="I26" s="98"/>
      <c r="J26" s="194"/>
      <c r="K26" s="230" t="s">
        <v>107</v>
      </c>
      <c r="L26" s="169">
        <f>+L41-(+L28+L29)</f>
        <v>780.40113009430036</v>
      </c>
      <c r="M26" s="188"/>
      <c r="P26" s="9"/>
      <c r="W26" s="226">
        <f t="shared" si="2"/>
        <v>20</v>
      </c>
      <c r="X26" s="223"/>
      <c r="Y26" s="224">
        <f t="shared" si="0"/>
        <v>268.97503049408124</v>
      </c>
      <c r="Z26" s="223"/>
      <c r="AA26" s="208">
        <f t="shared" si="1"/>
        <v>128.13350003472576</v>
      </c>
      <c r="AB26" s="223"/>
      <c r="AC26" s="225"/>
    </row>
    <row r="27" spans="1:29" ht="14.25" x14ac:dyDescent="0.2">
      <c r="B27" s="94"/>
      <c r="C27" s="25" t="s">
        <v>67</v>
      </c>
      <c r="D27" s="25"/>
      <c r="E27" s="86"/>
      <c r="F27" s="25"/>
      <c r="G27" s="26"/>
      <c r="H27" s="124">
        <f>+FV(C37,C35,0,-H36)-FV(H37,C35,0,-H36)</f>
        <v>509.61101254275309</v>
      </c>
      <c r="I27" s="125"/>
      <c r="J27" s="208"/>
      <c r="K27" s="208"/>
      <c r="L27" s="208"/>
      <c r="M27" s="188"/>
      <c r="P27" s="9"/>
      <c r="W27" s="226">
        <f t="shared" si="2"/>
        <v>21</v>
      </c>
      <c r="X27" s="223"/>
      <c r="Y27" s="224">
        <f t="shared" si="0"/>
        <v>313.40456657476307</v>
      </c>
      <c r="Z27" s="223"/>
      <c r="AA27" s="208">
        <f t="shared" si="1"/>
        <v>141.18418003750384</v>
      </c>
      <c r="AB27" s="223"/>
      <c r="AC27" s="225"/>
    </row>
    <row r="28" spans="1:29" ht="12.75" customHeight="1" x14ac:dyDescent="0.2">
      <c r="B28" s="94"/>
      <c r="C28" s="25" t="s">
        <v>91</v>
      </c>
      <c r="D28" s="25"/>
      <c r="E28" s="86"/>
      <c r="F28" s="25"/>
      <c r="G28" s="26"/>
      <c r="H28" s="124"/>
      <c r="I28" s="125"/>
      <c r="J28" s="151">
        <f>+J17*(1-C38)-F17</f>
        <v>195.02896512833513</v>
      </c>
      <c r="K28" s="151"/>
      <c r="L28" s="151">
        <f>+J28*(L13/J13)</f>
        <v>278.61280732619304</v>
      </c>
      <c r="M28" s="188"/>
      <c r="P28" s="9"/>
      <c r="W28" s="226">
        <f t="shared" si="2"/>
        <v>22</v>
      </c>
      <c r="X28" s="223"/>
      <c r="Y28" s="224">
        <f t="shared" si="0"/>
        <v>363.51764982949771</v>
      </c>
      <c r="Z28" s="223"/>
      <c r="AA28" s="208">
        <f t="shared" si="1"/>
        <v>155.27891444050417</v>
      </c>
      <c r="AB28" s="223"/>
      <c r="AC28" s="225"/>
    </row>
    <row r="29" spans="1:29" ht="14.25" x14ac:dyDescent="0.2">
      <c r="B29" s="94"/>
      <c r="C29" s="25" t="s">
        <v>92</v>
      </c>
      <c r="D29" s="25"/>
      <c r="E29" s="86"/>
      <c r="F29" s="25"/>
      <c r="G29" s="26"/>
      <c r="H29" s="126"/>
      <c r="I29" s="124"/>
      <c r="J29" s="151">
        <f>(+C38-H35)*J17</f>
        <v>-104.8606824714727</v>
      </c>
      <c r="K29" s="151"/>
      <c r="L29" s="151">
        <f>+J29*(L13/J13)</f>
        <v>-149.80097495924673</v>
      </c>
      <c r="M29" s="188"/>
      <c r="P29" s="9"/>
      <c r="W29" s="226">
        <f t="shared" si="2"/>
        <v>23</v>
      </c>
      <c r="X29" s="223"/>
      <c r="Y29" s="224">
        <f t="shared" si="0"/>
        <v>419.9137485637666</v>
      </c>
      <c r="Z29" s="223"/>
      <c r="AA29" s="208">
        <f t="shared" si="1"/>
        <v>170.50122759574452</v>
      </c>
      <c r="AB29" s="223"/>
      <c r="AC29" s="225"/>
    </row>
    <row r="30" spans="1:29" ht="15.75" thickBot="1" x14ac:dyDescent="0.3">
      <c r="B30" s="94"/>
      <c r="C30" s="85"/>
      <c r="D30" s="127"/>
      <c r="E30" s="128" t="s">
        <v>12</v>
      </c>
      <c r="F30" s="25"/>
      <c r="G30" s="99"/>
      <c r="H30" s="214">
        <f>+H27+H28+H29</f>
        <v>509.61101254275309</v>
      </c>
      <c r="I30" s="101"/>
      <c r="J30" s="214">
        <f>+J27+J28+J29</f>
        <v>90.168282656862431</v>
      </c>
      <c r="K30" s="101"/>
      <c r="L30" s="214">
        <f>+L26+L27+L28+L29</f>
        <v>909.21296246124666</v>
      </c>
      <c r="M30" s="188"/>
      <c r="P30" s="9"/>
      <c r="W30" s="226">
        <f t="shared" si="2"/>
        <v>24</v>
      </c>
      <c r="X30" s="223"/>
      <c r="Y30" s="224">
        <f t="shared" si="0"/>
        <v>483.25013389563446</v>
      </c>
      <c r="Z30" s="223"/>
      <c r="AA30" s="208">
        <f t="shared" si="1"/>
        <v>186.94132580340408</v>
      </c>
      <c r="AB30" s="223"/>
      <c r="AC30" s="225"/>
    </row>
    <row r="31" spans="1:29" ht="15.75" thickTop="1" x14ac:dyDescent="0.2">
      <c r="B31" s="131"/>
      <c r="C31" s="132"/>
      <c r="D31" s="103"/>
      <c r="E31" s="133"/>
      <c r="F31" s="103"/>
      <c r="G31" s="103"/>
      <c r="H31" s="103"/>
      <c r="I31" s="103"/>
      <c r="J31" s="194"/>
      <c r="K31" s="194"/>
      <c r="L31" s="194"/>
      <c r="M31" s="188"/>
      <c r="O31" s="126" t="s">
        <v>99</v>
      </c>
      <c r="P31" s="25"/>
      <c r="Q31" s="25"/>
      <c r="R31" s="25"/>
      <c r="S31" s="25"/>
      <c r="T31" s="25"/>
      <c r="W31" s="226">
        <f t="shared" si="2"/>
        <v>25</v>
      </c>
      <c r="X31" s="223"/>
      <c r="Y31" s="224">
        <f t="shared" si="0"/>
        <v>554.24717346443231</v>
      </c>
      <c r="Z31" s="223"/>
      <c r="AA31" s="208">
        <f t="shared" si="1"/>
        <v>204.69663186767644</v>
      </c>
      <c r="AB31" s="223"/>
      <c r="AC31" s="225"/>
    </row>
    <row r="32" spans="1:29" ht="15.75" customHeight="1" x14ac:dyDescent="0.2">
      <c r="B32" s="94"/>
      <c r="C32" s="85"/>
      <c r="D32" s="25"/>
      <c r="E32" s="86"/>
      <c r="F32" s="25"/>
      <c r="G32" s="25"/>
      <c r="H32" s="25"/>
      <c r="I32" s="25"/>
      <c r="J32" s="212"/>
      <c r="K32" s="212"/>
      <c r="L32" s="212"/>
      <c r="M32" s="213"/>
      <c r="O32" s="126" t="s">
        <v>102</v>
      </c>
      <c r="P32" s="25"/>
      <c r="Q32" s="25"/>
      <c r="R32" s="25"/>
      <c r="S32" s="25"/>
      <c r="T32" s="25"/>
      <c r="W32" s="226">
        <f t="shared" si="2"/>
        <v>26</v>
      </c>
      <c r="X32" s="223"/>
      <c r="Y32" s="224">
        <f t="shared" si="0"/>
        <v>633.69409416101962</v>
      </c>
      <c r="Z32" s="223"/>
      <c r="AA32" s="208">
        <f t="shared" si="1"/>
        <v>223.87236241709056</v>
      </c>
      <c r="AB32" s="223"/>
      <c r="AC32" s="225"/>
    </row>
    <row r="33" spans="1:29" ht="15.75" customHeight="1" x14ac:dyDescent="0.2">
      <c r="B33" s="87"/>
      <c r="C33" s="88"/>
      <c r="D33" s="88"/>
      <c r="E33" s="139"/>
      <c r="F33" s="90"/>
      <c r="G33" s="90"/>
      <c r="H33" s="90"/>
      <c r="I33" s="90"/>
      <c r="J33" s="194"/>
      <c r="K33" s="194"/>
      <c r="L33" s="194"/>
      <c r="M33" s="188"/>
      <c r="O33" s="126"/>
      <c r="P33" s="25"/>
      <c r="Q33" s="25"/>
      <c r="R33" s="25"/>
      <c r="S33" s="25"/>
      <c r="T33" s="25"/>
      <c r="W33" s="226">
        <f t="shared" si="2"/>
        <v>27</v>
      </c>
      <c r="X33" s="223"/>
      <c r="Y33" s="224">
        <f t="shared" si="0"/>
        <v>722.45525449705474</v>
      </c>
      <c r="Z33" s="223"/>
      <c r="AA33" s="208">
        <f t="shared" si="1"/>
        <v>244.58215141045778</v>
      </c>
      <c r="AB33" s="223"/>
      <c r="AC33" s="225"/>
    </row>
    <row r="34" spans="1:29" ht="15.75" x14ac:dyDescent="0.25">
      <c r="B34" s="93"/>
      <c r="C34" s="177" t="s">
        <v>0</v>
      </c>
      <c r="D34" s="141"/>
      <c r="E34" s="86"/>
      <c r="F34" s="25"/>
      <c r="G34" s="141"/>
      <c r="H34" s="115"/>
      <c r="I34" s="25"/>
      <c r="J34" s="194"/>
      <c r="K34" s="194"/>
      <c r="L34" s="194"/>
      <c r="M34" s="188"/>
      <c r="O34" s="126" t="s">
        <v>93</v>
      </c>
      <c r="P34" s="25"/>
      <c r="Q34" s="25"/>
      <c r="R34" s="25"/>
      <c r="S34" s="25"/>
      <c r="T34" s="25"/>
      <c r="W34" s="226">
        <f t="shared" si="2"/>
        <v>28</v>
      </c>
      <c r="X34" s="223"/>
      <c r="Y34" s="224">
        <f t="shared" si="0"/>
        <v>821.47697069058722</v>
      </c>
      <c r="Z34" s="223"/>
      <c r="AA34" s="208">
        <f t="shared" si="1"/>
        <v>266.9487235232944</v>
      </c>
      <c r="AB34" s="223"/>
      <c r="AC34" s="225"/>
    </row>
    <row r="35" spans="1:29" ht="14.25" x14ac:dyDescent="0.2">
      <c r="B35" s="93"/>
      <c r="C35" s="174">
        <v>18</v>
      </c>
      <c r="D35" s="121" t="s">
        <v>35</v>
      </c>
      <c r="E35" s="86" t="s">
        <v>39</v>
      </c>
      <c r="F35" s="25"/>
      <c r="G35" s="25"/>
      <c r="H35" s="176">
        <v>0.2</v>
      </c>
      <c r="I35" s="196" t="s">
        <v>85</v>
      </c>
      <c r="M35" s="188"/>
      <c r="O35" s="126"/>
      <c r="P35" s="216"/>
      <c r="Q35" s="25"/>
      <c r="R35" s="25"/>
      <c r="S35" s="25"/>
      <c r="T35" s="25"/>
      <c r="W35" s="226">
        <f t="shared" si="2"/>
        <v>29</v>
      </c>
      <c r="X35" s="223"/>
      <c r="Y35" s="224">
        <f t="shared" si="0"/>
        <v>931.79494429629995</v>
      </c>
      <c r="Z35" s="223"/>
      <c r="AA35" s="208">
        <f t="shared" si="1"/>
        <v>291.10462140515796</v>
      </c>
      <c r="AB35" s="223"/>
      <c r="AC35" s="225"/>
    </row>
    <row r="36" spans="1:29" ht="14.25" x14ac:dyDescent="0.2">
      <c r="B36" s="93"/>
      <c r="C36" s="190">
        <v>1000</v>
      </c>
      <c r="D36" s="121" t="s">
        <v>35</v>
      </c>
      <c r="E36" s="86" t="s">
        <v>40</v>
      </c>
      <c r="F36" s="25"/>
      <c r="G36" s="141"/>
      <c r="H36" s="215">
        <f>+C36*(1-H38)</f>
        <v>700</v>
      </c>
      <c r="I36" s="197" t="s">
        <v>86</v>
      </c>
      <c r="M36" s="188"/>
      <c r="O36" s="126" t="s">
        <v>94</v>
      </c>
      <c r="P36" s="216"/>
      <c r="Q36" s="25"/>
      <c r="R36" s="25"/>
      <c r="S36" s="25"/>
      <c r="T36" s="25"/>
      <c r="W36" s="226">
        <f t="shared" si="2"/>
        <v>30</v>
      </c>
      <c r="X36" s="223"/>
      <c r="Y36" s="224">
        <f t="shared" si="0"/>
        <v>1054.5423432750995</v>
      </c>
      <c r="Z36" s="223"/>
      <c r="AA36" s="208">
        <f t="shared" si="1"/>
        <v>317.19299111757067</v>
      </c>
      <c r="AB36" s="223"/>
      <c r="AC36" s="225"/>
    </row>
    <row r="37" spans="1:29" ht="14.25" x14ac:dyDescent="0.2">
      <c r="B37" s="93"/>
      <c r="C37" s="176">
        <v>0.08</v>
      </c>
      <c r="D37" s="121" t="s">
        <v>35</v>
      </c>
      <c r="E37" s="86" t="s">
        <v>50</v>
      </c>
      <c r="F37" s="25"/>
      <c r="G37" s="25"/>
      <c r="H37" s="137">
        <f>+C37*(1-C38)</f>
        <v>6.8000000000000005E-2</v>
      </c>
      <c r="I37" s="197" t="s">
        <v>87</v>
      </c>
      <c r="M37" s="188"/>
      <c r="O37" s="126" t="s">
        <v>95</v>
      </c>
      <c r="P37" s="216"/>
      <c r="Q37" s="25"/>
      <c r="R37" s="25"/>
      <c r="S37" s="25"/>
      <c r="T37" s="25"/>
      <c r="W37" s="226">
        <f t="shared" si="2"/>
        <v>31</v>
      </c>
      <c r="X37" s="223"/>
      <c r="Y37" s="224">
        <f t="shared" si="0"/>
        <v>1190.9585928057932</v>
      </c>
      <c r="Z37" s="223"/>
      <c r="AA37" s="208">
        <f t="shared" si="1"/>
        <v>345.36843040697636</v>
      </c>
      <c r="AB37" s="223"/>
      <c r="AC37" s="225"/>
    </row>
    <row r="38" spans="1:29" ht="14.25" x14ac:dyDescent="0.2">
      <c r="B38" s="93"/>
      <c r="C38" s="176">
        <v>0.15</v>
      </c>
      <c r="D38" s="121" t="s">
        <v>35</v>
      </c>
      <c r="E38" s="86" t="s">
        <v>59</v>
      </c>
      <c r="F38" s="25"/>
      <c r="G38" s="25"/>
      <c r="H38" s="176">
        <v>0.3</v>
      </c>
      <c r="I38" s="173" t="s">
        <v>88</v>
      </c>
      <c r="M38" s="188"/>
      <c r="O38" s="126" t="s">
        <v>96</v>
      </c>
      <c r="P38" s="216"/>
      <c r="Q38" s="25"/>
      <c r="R38" s="25"/>
      <c r="S38" s="25"/>
      <c r="T38" s="25"/>
      <c r="W38" s="226">
        <f t="shared" si="2"/>
        <v>32</v>
      </c>
      <c r="X38" s="223"/>
      <c r="Y38" s="224">
        <f t="shared" si="0"/>
        <v>1342.3989369196088</v>
      </c>
      <c r="Z38" s="223"/>
      <c r="AA38" s="208">
        <f t="shared" si="1"/>
        <v>375.79790483953451</v>
      </c>
      <c r="AB38" s="223"/>
      <c r="AC38" s="225"/>
    </row>
    <row r="39" spans="1:29" x14ac:dyDescent="0.25">
      <c r="B39" s="146"/>
      <c r="C39" s="147"/>
      <c r="D39" s="147"/>
      <c r="E39" s="133"/>
      <c r="F39" s="103"/>
      <c r="G39" s="147"/>
      <c r="H39" s="103"/>
      <c r="I39" s="134"/>
      <c r="J39" s="198"/>
      <c r="K39" s="198"/>
      <c r="L39" s="198"/>
      <c r="M39" s="189"/>
      <c r="O39" s="126"/>
      <c r="P39" s="216"/>
      <c r="Q39" s="25"/>
      <c r="R39" s="25"/>
      <c r="S39" s="25"/>
      <c r="T39" s="25"/>
      <c r="W39" s="226">
        <f t="shared" si="2"/>
        <v>33</v>
      </c>
      <c r="X39" s="223"/>
      <c r="Y39" s="224">
        <f t="shared" si="0"/>
        <v>1510.3448372174062</v>
      </c>
      <c r="Z39" s="223"/>
      <c r="AA39" s="208">
        <f t="shared" si="1"/>
        <v>408.66173722669726</v>
      </c>
      <c r="AB39" s="223"/>
      <c r="AC39" s="225"/>
    </row>
    <row r="40" spans="1:29" x14ac:dyDescent="0.25">
      <c r="B40" s="85"/>
      <c r="C40" s="85"/>
      <c r="D40" s="85"/>
      <c r="E40" s="86"/>
      <c r="F40" s="25"/>
      <c r="G40" s="25"/>
      <c r="H40" s="25"/>
      <c r="I40" s="24"/>
      <c r="J40" s="151"/>
      <c r="K40" s="151"/>
      <c r="L40" s="151"/>
      <c r="M40" s="26"/>
      <c r="O40" s="126" t="s">
        <v>97</v>
      </c>
      <c r="P40" s="216"/>
      <c r="Q40" s="25"/>
      <c r="R40" s="25"/>
      <c r="S40" s="25"/>
      <c r="T40" s="25"/>
      <c r="W40" s="226">
        <f t="shared" si="2"/>
        <v>34</v>
      </c>
      <c r="X40" s="223"/>
      <c r="Y40" s="224">
        <f t="shared" si="0"/>
        <v>1696.4152805424364</v>
      </c>
      <c r="Z40" s="223"/>
      <c r="AA40" s="208">
        <f t="shared" si="1"/>
        <v>444.15467620483304</v>
      </c>
      <c r="AB40" s="223"/>
      <c r="AC40" s="225"/>
    </row>
    <row r="41" spans="1:29" ht="15.75" x14ac:dyDescent="0.25">
      <c r="B41" s="85"/>
      <c r="C41" s="85"/>
      <c r="D41" s="85"/>
      <c r="E41" s="86"/>
      <c r="F41" s="25" t="s">
        <v>89</v>
      </c>
      <c r="G41" s="25"/>
      <c r="H41" s="151">
        <f>H23-F23</f>
        <v>509.61101254275309</v>
      </c>
      <c r="I41" s="24"/>
      <c r="J41" s="199">
        <f>+J23-F23</f>
        <v>90.16828265686263</v>
      </c>
      <c r="K41" s="199"/>
      <c r="L41" s="199">
        <f>+L23-F23</f>
        <v>909.21296246124666</v>
      </c>
      <c r="M41" s="26"/>
      <c r="N41" s="25"/>
      <c r="O41" s="186" t="s">
        <v>98</v>
      </c>
      <c r="W41" s="226">
        <f t="shared" si="2"/>
        <v>35</v>
      </c>
      <c r="X41" s="223"/>
      <c r="Y41" s="224">
        <f t="shared" si="0"/>
        <v>1902.3790735651082</v>
      </c>
      <c r="Z41" s="223"/>
      <c r="AA41" s="208">
        <f t="shared" si="1"/>
        <v>482.48705030121971</v>
      </c>
      <c r="AB41" s="223"/>
      <c r="AC41" s="225"/>
    </row>
    <row r="42" spans="1:29" x14ac:dyDescent="0.2">
      <c r="B42"/>
      <c r="C42"/>
      <c r="D42"/>
      <c r="E42"/>
      <c r="F42"/>
      <c r="G42"/>
      <c r="H42"/>
      <c r="I42"/>
      <c r="J42" s="200"/>
      <c r="K42" s="200"/>
      <c r="L42" s="200"/>
      <c r="M42"/>
      <c r="N42" s="25"/>
      <c r="W42" s="226">
        <f t="shared" si="2"/>
        <v>36</v>
      </c>
      <c r="X42" s="223"/>
      <c r="Y42" s="224">
        <f t="shared" si="0"/>
        <v>2130.1682088289845</v>
      </c>
      <c r="Z42" s="223"/>
      <c r="AA42" s="208">
        <f t="shared" si="1"/>
        <v>523.88601432531743</v>
      </c>
      <c r="AB42" s="223"/>
      <c r="AC42" s="225"/>
    </row>
    <row r="43" spans="1:29" ht="14.25" x14ac:dyDescent="0.2">
      <c r="A43"/>
      <c r="B43"/>
      <c r="C43"/>
      <c r="D43"/>
      <c r="E43"/>
      <c r="F43"/>
      <c r="G43"/>
      <c r="H43"/>
      <c r="I43"/>
      <c r="J43" s="200"/>
      <c r="K43" s="200"/>
      <c r="L43" s="200"/>
      <c r="M43"/>
      <c r="N43"/>
      <c r="O43" s="185"/>
      <c r="P43"/>
      <c r="W43" s="226">
        <f t="shared" si="2"/>
        <v>37</v>
      </c>
      <c r="X43" s="223"/>
      <c r="Y43" s="224">
        <f t="shared" si="0"/>
        <v>2381.8923939517208</v>
      </c>
      <c r="Z43" s="223"/>
      <c r="AA43" s="208">
        <f t="shared" si="1"/>
        <v>568.5968954713428</v>
      </c>
      <c r="AB43" s="223"/>
      <c r="AC43" s="225"/>
    </row>
    <row r="44" spans="1:29" ht="14.25" x14ac:dyDescent="0.2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 s="185"/>
      <c r="P44"/>
      <c r="W44" s="226">
        <f t="shared" si="2"/>
        <v>38</v>
      </c>
      <c r="X44" s="223"/>
      <c r="Y44" s="224">
        <f t="shared" si="0"/>
        <v>2659.8548434165914</v>
      </c>
      <c r="Z44" s="223"/>
      <c r="AA44" s="208">
        <f t="shared" si="1"/>
        <v>616.88464710905032</v>
      </c>
      <c r="AB44" s="223"/>
      <c r="AC44" s="225"/>
    </row>
    <row r="45" spans="1:29" ht="14.25" x14ac:dyDescent="0.2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P45" s="9"/>
      <c r="W45" s="226">
        <f t="shared" si="2"/>
        <v>39</v>
      </c>
      <c r="X45" s="223"/>
      <c r="Y45" s="224">
        <f t="shared" si="0"/>
        <v>2966.5694407791671</v>
      </c>
      <c r="Z45" s="223"/>
      <c r="AA45" s="208">
        <f t="shared" si="1"/>
        <v>669.0354188777743</v>
      </c>
      <c r="AB45" s="223"/>
      <c r="AC45" s="225"/>
    </row>
    <row r="46" spans="1:29" ht="14.25" x14ac:dyDescent="0.2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P46" s="9"/>
      <c r="W46" s="226">
        <f t="shared" si="2"/>
        <v>40</v>
      </c>
      <c r="X46" s="223"/>
      <c r="Y46" s="224">
        <f t="shared" si="0"/>
        <v>3304.7793882032165</v>
      </c>
      <c r="Z46" s="223"/>
      <c r="AA46" s="208">
        <f t="shared" si="1"/>
        <v>725.35825238799634</v>
      </c>
      <c r="AB46" s="223"/>
      <c r="AC46" s="225"/>
    </row>
    <row r="47" spans="1:29" ht="14.25" x14ac:dyDescent="0.2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P47" s="9"/>
      <c r="W47" s="227"/>
      <c r="X47" s="223"/>
      <c r="Y47" s="224"/>
      <c r="Z47" s="223"/>
      <c r="AA47" s="223"/>
      <c r="AB47" s="223"/>
      <c r="AC47" s="225"/>
    </row>
    <row r="48" spans="1:29" ht="14.2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P48" s="9"/>
      <c r="W48" s="228"/>
      <c r="X48" s="218"/>
      <c r="Y48" s="219"/>
      <c r="Z48" s="218"/>
      <c r="AA48" s="218"/>
      <c r="AB48" s="218"/>
      <c r="AC48" s="229"/>
    </row>
    <row r="49" spans="1:18" ht="14.2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P49" s="9"/>
    </row>
    <row r="50" spans="1:18" ht="14.2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P50" s="9"/>
    </row>
    <row r="51" spans="1:18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P51" s="184"/>
    </row>
    <row r="52" spans="1:18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 s="126"/>
      <c r="P52" s="184"/>
    </row>
    <row r="53" spans="1:18" ht="14.2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</row>
    <row r="54" spans="1:18" ht="14.2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</row>
    <row r="55" spans="1:18" ht="14.2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</row>
    <row r="56" spans="1:18" ht="14.2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</row>
    <row r="57" spans="1:18" ht="14.2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</row>
    <row r="58" spans="1:18" ht="14.2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</row>
    <row r="59" spans="1:18" ht="14.2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</row>
    <row r="60" spans="1:18" ht="14.2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</row>
    <row r="61" spans="1:18" ht="14.2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</row>
    <row r="62" spans="1:18" ht="14.2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</row>
    <row r="63" spans="1:18" ht="14.2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</row>
    <row r="64" spans="1:18" ht="14.2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</row>
    <row r="65" spans="1:18" ht="14.2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</row>
    <row r="66" spans="1:18" ht="14.2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</row>
    <row r="67" spans="1:18" ht="14.2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</row>
    <row r="68" spans="1:18" ht="14.2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</row>
    <row r="69" spans="1:18" ht="14.2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</row>
    <row r="70" spans="1:18" ht="14.2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</row>
    <row r="71" spans="1:18" ht="14.2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</row>
    <row r="72" spans="1:18" ht="14.2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</row>
    <row r="73" spans="1:18" ht="14.2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</row>
    <row r="74" spans="1:18" ht="14.2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</row>
    <row r="75" spans="1:18" ht="14.2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</row>
    <row r="76" spans="1:18" ht="14.2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</row>
    <row r="77" spans="1:18" ht="14.2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</row>
    <row r="78" spans="1:18" ht="14.2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</row>
    <row r="79" spans="1:18" ht="14.25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</row>
    <row r="80" spans="1:18" ht="14.2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</row>
    <row r="81" spans="1:18" ht="14.2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</row>
    <row r="82" spans="1:18" ht="14.2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</row>
    <row r="83" spans="1:18" ht="14.2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</row>
    <row r="84" spans="1:18" ht="14.2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</row>
    <row r="85" spans="1:18" ht="14.2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</row>
    <row r="86" spans="1:18" ht="14.2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</row>
    <row r="87" spans="1:18" ht="14.2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</row>
    <row r="88" spans="1:18" ht="14.2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</row>
    <row r="89" spans="1:18" ht="14.2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</row>
    <row r="90" spans="1:18" ht="14.2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</row>
    <row r="91" spans="1:18" ht="14.2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</row>
    <row r="92" spans="1:18" ht="14.2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</row>
    <row r="93" spans="1:18" ht="14.2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</row>
    <row r="94" spans="1:18" ht="14.25" x14ac:dyDescent="0.2">
      <c r="A94"/>
      <c r="B94"/>
      <c r="C94" s="182"/>
      <c r="F94" s="182"/>
      <c r="G94" s="182"/>
      <c r="H94" s="183"/>
      <c r="J94" s="182"/>
      <c r="K94" s="182"/>
      <c r="L94" s="182"/>
      <c r="N94"/>
      <c r="O94"/>
      <c r="P94"/>
      <c r="Q94"/>
      <c r="R94"/>
    </row>
    <row r="95" spans="1:18" ht="14.25" x14ac:dyDescent="0.2">
      <c r="B95"/>
      <c r="C95" s="182"/>
      <c r="F95" s="182"/>
      <c r="G95" s="182"/>
      <c r="H95" s="183"/>
      <c r="J95" s="182"/>
      <c r="K95" s="182"/>
      <c r="L95" s="182"/>
      <c r="N95"/>
      <c r="O95"/>
      <c r="P95"/>
      <c r="Q95"/>
      <c r="R95"/>
    </row>
    <row r="96" spans="1:18" ht="14.25" x14ac:dyDescent="0.2">
      <c r="B96"/>
      <c r="C96" s="182"/>
      <c r="F96" s="182"/>
      <c r="G96" s="182"/>
      <c r="H96" s="183"/>
      <c r="J96" s="182"/>
      <c r="K96" s="182"/>
      <c r="L96" s="182"/>
      <c r="N96"/>
      <c r="O96" s="200"/>
      <c r="P96"/>
    </row>
    <row r="97" spans="2:16" ht="14.25" x14ac:dyDescent="0.2">
      <c r="B97"/>
      <c r="C97" s="182"/>
      <c r="D97" s="182"/>
      <c r="E97" s="182"/>
      <c r="F97" s="183"/>
      <c r="G97" s="182"/>
      <c r="H97"/>
      <c r="J97" s="181"/>
      <c r="K97" s="181"/>
      <c r="L97" s="181"/>
      <c r="N97"/>
      <c r="O97" s="200"/>
      <c r="P97"/>
    </row>
    <row r="98" spans="2:16" ht="14.25" x14ac:dyDescent="0.2">
      <c r="B98"/>
      <c r="C98" s="182"/>
      <c r="D98" s="182"/>
      <c r="E98" s="182"/>
      <c r="F98" s="183"/>
      <c r="G98" s="182"/>
      <c r="H98"/>
      <c r="J98" s="181"/>
      <c r="K98" s="181"/>
      <c r="L98" s="181"/>
      <c r="N98"/>
      <c r="O98" s="200"/>
      <c r="P98"/>
    </row>
    <row r="99" spans="2:16" ht="14.25" x14ac:dyDescent="0.2">
      <c r="B99"/>
      <c r="C99" s="182"/>
      <c r="D99" s="182"/>
      <c r="E99" s="182"/>
      <c r="F99" s="183"/>
      <c r="G99" s="182"/>
      <c r="H99"/>
      <c r="J99" s="181"/>
      <c r="K99" s="181"/>
      <c r="L99" s="181"/>
      <c r="N99" s="200"/>
      <c r="O99"/>
      <c r="P99" s="185"/>
    </row>
    <row r="100" spans="2:16" ht="14.25" x14ac:dyDescent="0.2">
      <c r="B100"/>
      <c r="C100" s="182"/>
      <c r="D100" s="182"/>
      <c r="E100" s="182"/>
      <c r="F100" s="183"/>
      <c r="G100" s="182"/>
      <c r="H100"/>
      <c r="J100" s="181"/>
      <c r="K100" s="181"/>
      <c r="L100" s="181"/>
      <c r="N100" s="200"/>
      <c r="O100"/>
      <c r="P100" s="185"/>
    </row>
    <row r="101" spans="2:16" ht="14.25" x14ac:dyDescent="0.2">
      <c r="B101"/>
      <c r="C101" s="182"/>
      <c r="D101" s="182"/>
      <c r="E101" s="182"/>
      <c r="F101" s="183"/>
      <c r="G101" s="182"/>
      <c r="H101"/>
      <c r="I101" s="181"/>
      <c r="J101" s="200"/>
      <c r="K101" s="200"/>
      <c r="L101" s="200"/>
      <c r="N101" s="200"/>
      <c r="O101"/>
      <c r="P101" s="185"/>
    </row>
    <row r="102" spans="2:16" ht="14.25" x14ac:dyDescent="0.2">
      <c r="B102"/>
      <c r="C102" s="182"/>
      <c r="D102" s="182"/>
      <c r="E102" s="182"/>
      <c r="F102" s="183"/>
      <c r="G102" s="182"/>
      <c r="H102"/>
      <c r="I102" s="181"/>
      <c r="J102" s="200"/>
      <c r="K102" s="200"/>
      <c r="L102" s="200"/>
      <c r="N102" s="200"/>
      <c r="O102"/>
      <c r="P102" s="185"/>
    </row>
    <row r="103" spans="2:16" ht="14.25" x14ac:dyDescent="0.2">
      <c r="B103"/>
      <c r="C103" s="182"/>
      <c r="D103" s="182"/>
      <c r="E103" s="182"/>
      <c r="F103" s="183"/>
      <c r="G103" s="182"/>
      <c r="H103"/>
      <c r="I103" s="181"/>
      <c r="J103" s="200"/>
      <c r="K103" s="200"/>
      <c r="L103" s="200"/>
      <c r="N103"/>
      <c r="O103" s="185"/>
      <c r="P103"/>
    </row>
    <row r="104" spans="2:16" ht="14.25" x14ac:dyDescent="0.2">
      <c r="B104"/>
      <c r="C104" s="182"/>
      <c r="D104" s="182"/>
      <c r="E104" s="182"/>
      <c r="F104" s="183"/>
      <c r="G104" s="182"/>
      <c r="H104"/>
      <c r="I104" s="181"/>
      <c r="J104" s="200"/>
      <c r="K104" s="200"/>
      <c r="L104" s="200"/>
      <c r="N104"/>
      <c r="O104" s="185"/>
      <c r="P104"/>
    </row>
    <row r="105" spans="2:16" ht="14.25" x14ac:dyDescent="0.2">
      <c r="B105"/>
      <c r="C105" s="182"/>
      <c r="D105" s="182"/>
      <c r="E105" s="182"/>
      <c r="F105" s="183"/>
      <c r="G105" s="182"/>
      <c r="H105"/>
      <c r="I105" s="181"/>
      <c r="J105" s="200"/>
      <c r="K105" s="200"/>
      <c r="L105" s="200"/>
      <c r="N105"/>
      <c r="O105" s="185"/>
      <c r="P105"/>
    </row>
    <row r="106" spans="2:16" ht="14.25" x14ac:dyDescent="0.2">
      <c r="B106"/>
      <c r="C106" s="182"/>
      <c r="D106" s="182"/>
      <c r="E106" s="182"/>
      <c r="F106" s="183"/>
      <c r="G106" s="182"/>
      <c r="H106"/>
      <c r="I106" s="181"/>
      <c r="J106" s="200"/>
      <c r="K106" s="200"/>
      <c r="L106" s="200"/>
      <c r="N106"/>
      <c r="O106" s="185"/>
      <c r="P106"/>
    </row>
    <row r="107" spans="2:16" ht="14.25" x14ac:dyDescent="0.2">
      <c r="B107"/>
      <c r="C107" s="182"/>
      <c r="D107" s="182"/>
      <c r="E107" s="182"/>
      <c r="F107" s="183"/>
      <c r="G107" s="182"/>
      <c r="H107"/>
      <c r="I107" s="181"/>
      <c r="J107" s="200"/>
      <c r="K107" s="200"/>
      <c r="L107" s="200"/>
      <c r="N107"/>
      <c r="O107" s="185"/>
      <c r="P107"/>
    </row>
    <row r="108" spans="2:16" ht="14.25" x14ac:dyDescent="0.2">
      <c r="B108"/>
      <c r="C108" s="182"/>
      <c r="D108" s="182"/>
      <c r="E108" s="182"/>
      <c r="F108" s="183"/>
      <c r="G108" s="182"/>
      <c r="H108"/>
      <c r="I108" s="181"/>
      <c r="J108" s="200"/>
      <c r="K108" s="200"/>
      <c r="L108" s="200"/>
      <c r="M108"/>
      <c r="N108"/>
      <c r="O108" s="185"/>
      <c r="P108"/>
    </row>
    <row r="109" spans="2:16" ht="14.25" x14ac:dyDescent="0.2">
      <c r="B109"/>
      <c r="C109" s="182"/>
      <c r="D109" s="182"/>
      <c r="E109" s="182"/>
      <c r="F109" s="183"/>
      <c r="G109" s="182"/>
      <c r="H109"/>
      <c r="I109" s="181"/>
      <c r="J109" s="200"/>
      <c r="K109" s="200"/>
      <c r="L109" s="200"/>
      <c r="M109"/>
      <c r="N109"/>
      <c r="O109" s="185"/>
      <c r="P109"/>
    </row>
    <row r="110" spans="2:16" ht="14.25" x14ac:dyDescent="0.2">
      <c r="B110"/>
      <c r="C110" s="182"/>
      <c r="D110" s="182"/>
      <c r="E110" s="182"/>
      <c r="F110" s="183"/>
      <c r="G110" s="182"/>
      <c r="H110"/>
      <c r="I110" s="181"/>
      <c r="J110" s="200"/>
      <c r="K110" s="200"/>
      <c r="L110" s="200"/>
      <c r="M110"/>
      <c r="N110"/>
      <c r="O110"/>
      <c r="P110" s="9"/>
    </row>
    <row r="111" spans="2:16" ht="14.25" x14ac:dyDescent="0.2">
      <c r="B111"/>
      <c r="C111" s="182"/>
      <c r="D111" s="182"/>
      <c r="E111" s="182"/>
      <c r="F111" s="183"/>
      <c r="G111" s="182"/>
      <c r="H111"/>
      <c r="I111" s="181"/>
      <c r="J111" s="200"/>
      <c r="K111" s="200"/>
      <c r="L111" s="200"/>
      <c r="M111"/>
      <c r="N111"/>
      <c r="O111"/>
      <c r="P111" s="9"/>
    </row>
    <row r="112" spans="2:16" ht="14.25" x14ac:dyDescent="0.2">
      <c r="B112"/>
      <c r="C112" s="182"/>
      <c r="D112" s="182"/>
      <c r="E112" s="182"/>
      <c r="F112" s="183"/>
      <c r="G112" s="182"/>
      <c r="H112"/>
      <c r="I112" s="181"/>
      <c r="J112" s="200"/>
      <c r="K112" s="200"/>
      <c r="L112" s="200"/>
      <c r="M112"/>
      <c r="N112"/>
      <c r="O112"/>
      <c r="P112" s="9"/>
    </row>
    <row r="113" spans="2:16" ht="14.25" x14ac:dyDescent="0.2">
      <c r="B113"/>
      <c r="C113" s="182"/>
      <c r="D113" s="182"/>
      <c r="E113" s="182"/>
      <c r="F113" s="183"/>
      <c r="G113" s="182"/>
      <c r="H113"/>
      <c r="I113" s="181"/>
      <c r="J113" s="200"/>
      <c r="K113" s="200"/>
      <c r="L113" s="200"/>
      <c r="M113"/>
      <c r="N113"/>
      <c r="O113"/>
      <c r="P113" s="9"/>
    </row>
    <row r="114" spans="2:16" ht="14.25" x14ac:dyDescent="0.2">
      <c r="B114"/>
      <c r="C114" s="182"/>
      <c r="D114" s="182"/>
      <c r="E114" s="182"/>
      <c r="F114" s="183"/>
      <c r="G114" s="182"/>
      <c r="H114"/>
      <c r="I114" s="181"/>
      <c r="J114" s="200"/>
      <c r="K114" s="200"/>
      <c r="L114" s="200"/>
      <c r="M114"/>
      <c r="N114"/>
      <c r="O114"/>
      <c r="P114" s="9"/>
    </row>
    <row r="115" spans="2:16" ht="14.25" x14ac:dyDescent="0.2">
      <c r="B115"/>
      <c r="C115" s="182"/>
      <c r="D115" s="182"/>
      <c r="E115" s="182"/>
      <c r="F115" s="183"/>
      <c r="G115" s="182"/>
      <c r="H115"/>
      <c r="I115" s="181"/>
      <c r="J115" s="200"/>
      <c r="K115" s="200"/>
      <c r="L115" s="200"/>
      <c r="M115"/>
      <c r="N115"/>
      <c r="O115"/>
      <c r="P115" s="9"/>
    </row>
    <row r="116" spans="2:16" ht="14.25" x14ac:dyDescent="0.2">
      <c r="B116"/>
      <c r="C116" s="182"/>
      <c r="D116" s="182"/>
      <c r="E116" s="182"/>
      <c r="F116" s="183"/>
      <c r="G116" s="182"/>
      <c r="H116"/>
      <c r="I116" s="181"/>
      <c r="J116" s="200"/>
      <c r="K116" s="200"/>
      <c r="L116" s="200"/>
      <c r="M116"/>
      <c r="N116"/>
      <c r="O116"/>
      <c r="P116" s="9"/>
    </row>
    <row r="117" spans="2:16" ht="14.25" x14ac:dyDescent="0.2">
      <c r="B117"/>
      <c r="C117" s="182"/>
      <c r="D117" s="182"/>
      <c r="E117" s="182"/>
      <c r="F117" s="183"/>
      <c r="G117" s="182"/>
      <c r="H117"/>
      <c r="I117" s="181"/>
      <c r="J117" s="200"/>
      <c r="K117" s="200"/>
      <c r="L117" s="200"/>
      <c r="M117"/>
      <c r="N117"/>
      <c r="O117"/>
      <c r="P117" s="9"/>
    </row>
    <row r="118" spans="2:16" ht="14.25" x14ac:dyDescent="0.2">
      <c r="B118"/>
      <c r="C118" s="182"/>
      <c r="D118" s="182"/>
      <c r="E118" s="182"/>
      <c r="F118" s="183"/>
      <c r="G118" s="182"/>
      <c r="H118"/>
      <c r="I118" s="181"/>
      <c r="J118" s="200"/>
      <c r="K118" s="200"/>
      <c r="L118" s="200"/>
      <c r="M118"/>
      <c r="N118"/>
      <c r="O118"/>
      <c r="P118" s="9"/>
    </row>
    <row r="119" spans="2:16" ht="14.25" x14ac:dyDescent="0.2">
      <c r="B119"/>
      <c r="C119" s="182"/>
      <c r="D119" s="182"/>
      <c r="E119" s="182"/>
      <c r="F119" s="183"/>
      <c r="G119" s="182"/>
      <c r="H119"/>
      <c r="I119" s="181"/>
      <c r="J119" s="200"/>
      <c r="K119" s="200"/>
      <c r="L119" s="200"/>
      <c r="M119"/>
      <c r="N119"/>
      <c r="O119"/>
      <c r="P119" s="9"/>
    </row>
    <row r="120" spans="2:16" ht="14.25" x14ac:dyDescent="0.2">
      <c r="B120"/>
      <c r="C120" s="182"/>
      <c r="D120" s="182"/>
      <c r="E120" s="182"/>
      <c r="F120" s="183"/>
      <c r="G120" s="182"/>
      <c r="H120"/>
      <c r="I120" s="181"/>
      <c r="J120" s="200"/>
      <c r="K120" s="200"/>
      <c r="L120" s="200"/>
      <c r="M120"/>
      <c r="N120"/>
      <c r="O120"/>
      <c r="P120" s="9"/>
    </row>
    <row r="121" spans="2:16" ht="14.25" x14ac:dyDescent="0.2">
      <c r="B121"/>
      <c r="C121" s="182"/>
      <c r="D121" s="182"/>
      <c r="E121" s="182"/>
      <c r="F121" s="183"/>
      <c r="G121" s="182"/>
      <c r="H121"/>
      <c r="I121" s="181"/>
      <c r="J121" s="200"/>
      <c r="K121" s="200"/>
      <c r="L121" s="200"/>
      <c r="M121"/>
      <c r="N121"/>
      <c r="O121"/>
      <c r="P121" s="9"/>
    </row>
    <row r="122" spans="2:16" ht="14.25" x14ac:dyDescent="0.2">
      <c r="B122"/>
      <c r="C122" s="182"/>
      <c r="D122" s="182"/>
      <c r="E122" s="182"/>
      <c r="F122" s="183"/>
      <c r="G122" s="182"/>
      <c r="H122"/>
      <c r="I122" s="181"/>
      <c r="J122" s="200"/>
      <c r="K122" s="200"/>
      <c r="L122" s="200"/>
      <c r="M122"/>
      <c r="N122"/>
      <c r="O122" s="185"/>
      <c r="P122"/>
    </row>
    <row r="123" spans="2:16" ht="14.25" x14ac:dyDescent="0.2">
      <c r="B123"/>
      <c r="C123" s="182"/>
      <c r="D123" s="182"/>
      <c r="E123" s="182"/>
      <c r="F123" s="183"/>
      <c r="G123" s="182"/>
      <c r="H123"/>
      <c r="I123" s="181"/>
      <c r="J123" s="200"/>
      <c r="K123" s="200"/>
      <c r="L123" s="200"/>
      <c r="M123"/>
      <c r="N123"/>
      <c r="O123" s="185"/>
      <c r="P123"/>
    </row>
    <row r="124" spans="2:16" ht="14.25" x14ac:dyDescent="0.2">
      <c r="B124"/>
      <c r="C124" s="182"/>
      <c r="D124" s="182"/>
      <c r="E124" s="182"/>
      <c r="F124" s="183"/>
      <c r="G124" s="182"/>
      <c r="H124"/>
      <c r="I124" s="181"/>
      <c r="J124" s="200"/>
      <c r="K124" s="200"/>
      <c r="L124" s="200"/>
      <c r="M124"/>
      <c r="N124"/>
      <c r="O124" s="185"/>
      <c r="P124"/>
    </row>
    <row r="125" spans="2:16" ht="14.25" x14ac:dyDescent="0.2">
      <c r="B125"/>
      <c r="C125" s="182"/>
      <c r="D125" s="182"/>
      <c r="E125" s="182"/>
      <c r="F125" s="183"/>
      <c r="G125" s="182"/>
      <c r="H125"/>
      <c r="I125" s="181"/>
      <c r="J125" s="200"/>
      <c r="K125" s="200"/>
      <c r="L125" s="200"/>
      <c r="M125"/>
      <c r="N125"/>
      <c r="O125" s="185"/>
      <c r="P125"/>
    </row>
    <row r="126" spans="2:16" ht="14.25" x14ac:dyDescent="0.2">
      <c r="B126"/>
      <c r="C126" s="182"/>
      <c r="D126" s="182"/>
      <c r="E126" s="182"/>
      <c r="F126" s="183"/>
      <c r="G126" s="182"/>
      <c r="H126"/>
      <c r="I126" s="181"/>
      <c r="J126" s="200"/>
      <c r="K126" s="200"/>
      <c r="L126" s="200"/>
      <c r="M126"/>
      <c r="N126"/>
      <c r="O126" s="185"/>
      <c r="P126"/>
    </row>
    <row r="127" spans="2:16" ht="14.25" x14ac:dyDescent="0.2">
      <c r="B127"/>
      <c r="C127" s="182"/>
      <c r="D127" s="182"/>
      <c r="E127" s="182"/>
      <c r="F127" s="183"/>
      <c r="G127" s="182"/>
      <c r="H127"/>
      <c r="I127" s="181"/>
      <c r="J127" s="200"/>
      <c r="K127" s="200"/>
      <c r="L127" s="200"/>
      <c r="M127"/>
      <c r="N127"/>
      <c r="O127" s="185"/>
      <c r="P127"/>
    </row>
    <row r="128" spans="2:16" ht="14.25" x14ac:dyDescent="0.2">
      <c r="B128"/>
      <c r="C128" s="182"/>
      <c r="D128" s="182"/>
      <c r="E128" s="182"/>
      <c r="F128" s="183"/>
      <c r="G128" s="182"/>
      <c r="H128"/>
      <c r="I128" s="181"/>
      <c r="J128" s="200"/>
      <c r="K128" s="200"/>
      <c r="L128" s="200"/>
      <c r="M128"/>
      <c r="N128"/>
      <c r="O128" s="185"/>
      <c r="P128"/>
    </row>
    <row r="129" spans="2:16" ht="14.25" x14ac:dyDescent="0.2">
      <c r="B129"/>
      <c r="C129" s="182"/>
      <c r="D129" s="182"/>
      <c r="E129" s="182"/>
      <c r="F129" s="183"/>
      <c r="G129" s="182"/>
      <c r="H129"/>
      <c r="I129" s="181"/>
      <c r="J129" s="200"/>
      <c r="K129" s="200"/>
      <c r="L129" s="200"/>
      <c r="M129"/>
      <c r="N129"/>
      <c r="O129" s="185"/>
      <c r="P129"/>
    </row>
    <row r="130" spans="2:16" ht="14.25" x14ac:dyDescent="0.2">
      <c r="B130"/>
      <c r="C130" s="182"/>
      <c r="D130" s="182"/>
      <c r="E130" s="182"/>
      <c r="F130" s="183"/>
      <c r="G130" s="182"/>
      <c r="H130"/>
      <c r="I130" s="181"/>
      <c r="J130" s="200"/>
      <c r="K130" s="200"/>
      <c r="L130" s="200"/>
      <c r="M130"/>
      <c r="N130"/>
      <c r="O130" s="185"/>
      <c r="P130"/>
    </row>
    <row r="131" spans="2:16" ht="14.25" x14ac:dyDescent="0.2">
      <c r="B131"/>
      <c r="C131" s="182"/>
      <c r="D131" s="182"/>
      <c r="E131" s="182"/>
      <c r="F131" s="183"/>
      <c r="G131" s="182"/>
      <c r="H131"/>
      <c r="I131" s="181"/>
      <c r="J131" s="200"/>
      <c r="K131" s="200"/>
      <c r="L131" s="200"/>
      <c r="M131"/>
      <c r="N131"/>
      <c r="O131" s="185"/>
      <c r="P131"/>
    </row>
    <row r="132" spans="2:16" ht="14.25" x14ac:dyDescent="0.2">
      <c r="B132"/>
      <c r="C132" s="182"/>
      <c r="D132" s="182"/>
      <c r="E132" s="182"/>
      <c r="F132" s="183"/>
      <c r="G132" s="182"/>
      <c r="H132"/>
      <c r="I132" s="181"/>
      <c r="J132" s="200"/>
      <c r="K132" s="200"/>
      <c r="L132" s="200"/>
      <c r="M132"/>
      <c r="N132"/>
      <c r="O132" s="185"/>
      <c r="P132"/>
    </row>
    <row r="133" spans="2:16" ht="14.25" x14ac:dyDescent="0.2">
      <c r="N133"/>
      <c r="O133" s="185"/>
      <c r="P133"/>
    </row>
    <row r="134" spans="2:16" ht="14.25" x14ac:dyDescent="0.2">
      <c r="N134"/>
      <c r="O134" s="185"/>
      <c r="P134"/>
    </row>
  </sheetData>
  <pageMargins left="0.7" right="0.7" top="0.75" bottom="0.75" header="0.3" footer="0.3"/>
  <pageSetup orientation="portrait" horizontalDpi="30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DB487-C7D8-43D0-A1BB-979FEA65D41E}">
  <dimension ref="A1:W44"/>
  <sheetViews>
    <sheetView showGridLines="0" workbookViewId="0"/>
  </sheetViews>
  <sheetFormatPr defaultColWidth="9.140625" defaultRowHeight="12.75" x14ac:dyDescent="0.2"/>
  <cols>
    <col min="1" max="1" width="1.7109375" style="9" customWidth="1"/>
    <col min="2" max="2" width="2.28515625" style="10" customWidth="1"/>
    <col min="3" max="3" width="3" style="10" customWidth="1"/>
    <col min="4" max="4" width="18" style="10" customWidth="1"/>
    <col min="5" max="5" width="5.5703125" style="10" customWidth="1"/>
    <col min="6" max="6" width="5.28515625" style="16" customWidth="1"/>
    <col min="7" max="7" width="11.7109375" style="9" customWidth="1"/>
    <col min="8" max="8" width="2.140625" style="9" customWidth="1"/>
    <col min="9" max="9" width="11.7109375" style="9" customWidth="1"/>
    <col min="10" max="10" width="2.5703125" style="15" hidden="1" customWidth="1"/>
    <col min="11" max="11" width="11.7109375" style="9" hidden="1" customWidth="1"/>
    <col min="12" max="12" width="3.140625" style="11" customWidth="1"/>
    <col min="13" max="13" width="11.7109375" style="9" customWidth="1"/>
    <col min="14" max="15" width="2.7109375" style="9" customWidth="1"/>
    <col min="16" max="16384" width="9.140625" style="9"/>
  </cols>
  <sheetData>
    <row r="1" spans="2:23" ht="12.6" customHeight="1" x14ac:dyDescent="0.2"/>
    <row r="2" spans="2:23" ht="15.75" x14ac:dyDescent="0.25">
      <c r="D2" s="18"/>
      <c r="E2" s="18"/>
      <c r="F2" s="19" t="s">
        <v>115</v>
      </c>
      <c r="H2" s="19"/>
      <c r="I2" s="19"/>
      <c r="J2" s="20"/>
      <c r="K2" s="21"/>
    </row>
    <row r="3" spans="2:23" ht="15" x14ac:dyDescent="0.25">
      <c r="B3" s="85"/>
      <c r="C3" s="85"/>
      <c r="D3" s="85"/>
      <c r="E3" s="85"/>
      <c r="F3" s="86"/>
      <c r="G3" s="25"/>
      <c r="H3" s="25"/>
      <c r="I3" s="25"/>
      <c r="J3" s="24"/>
      <c r="K3" s="25"/>
      <c r="L3" s="26"/>
      <c r="M3" s="25"/>
      <c r="N3" s="25"/>
      <c r="O3" s="25"/>
    </row>
    <row r="4" spans="2:23" ht="15" x14ac:dyDescent="0.25">
      <c r="B4" s="85"/>
      <c r="C4" s="87"/>
      <c r="D4" s="88"/>
      <c r="E4" s="88"/>
      <c r="F4" s="89"/>
      <c r="G4" s="90"/>
      <c r="H4" s="90"/>
      <c r="I4" s="92" t="s">
        <v>46</v>
      </c>
      <c r="J4" s="91"/>
      <c r="K4" s="90"/>
      <c r="L4" s="92"/>
      <c r="M4" s="90"/>
      <c r="N4" s="90"/>
      <c r="O4" s="93"/>
    </row>
    <row r="5" spans="2:23" ht="15" x14ac:dyDescent="0.25">
      <c r="B5" s="85"/>
      <c r="C5" s="94"/>
      <c r="D5" s="25"/>
      <c r="E5" s="25"/>
      <c r="F5" s="86"/>
      <c r="G5" s="95" t="s">
        <v>36</v>
      </c>
      <c r="H5" s="96"/>
      <c r="I5" s="95" t="s">
        <v>117</v>
      </c>
      <c r="J5" s="95" t="s">
        <v>37</v>
      </c>
      <c r="K5" s="95" t="s">
        <v>38</v>
      </c>
      <c r="L5" s="95"/>
      <c r="M5" s="95" t="s">
        <v>116</v>
      </c>
      <c r="N5" s="96"/>
      <c r="O5" s="93"/>
    </row>
    <row r="6" spans="2:23" ht="15" x14ac:dyDescent="0.25">
      <c r="B6" s="85"/>
      <c r="C6" s="94"/>
      <c r="D6" s="97" t="s">
        <v>55</v>
      </c>
      <c r="E6" s="25"/>
      <c r="F6" s="86"/>
      <c r="G6" s="98"/>
      <c r="H6" s="98"/>
      <c r="I6" s="98"/>
      <c r="J6" s="96"/>
      <c r="K6" s="98"/>
      <c r="L6" s="99"/>
      <c r="M6" s="98"/>
      <c r="N6" s="98"/>
      <c r="O6" s="93"/>
    </row>
    <row r="7" spans="2:23" ht="15" x14ac:dyDescent="0.25">
      <c r="B7" s="85"/>
      <c r="C7" s="94"/>
      <c r="D7" s="25" t="s">
        <v>40</v>
      </c>
      <c r="E7" s="25"/>
      <c r="F7" s="86"/>
      <c r="G7" s="100">
        <f>+D35</f>
        <v>1000</v>
      </c>
      <c r="H7" s="100"/>
      <c r="I7" s="100">
        <f>+D35</f>
        <v>1000</v>
      </c>
      <c r="J7" s="101"/>
      <c r="K7" s="100"/>
      <c r="L7" s="100"/>
      <c r="M7" s="100">
        <f>+D35</f>
        <v>1000</v>
      </c>
      <c r="N7" s="100"/>
      <c r="O7" s="93"/>
    </row>
    <row r="8" spans="2:23" ht="15" x14ac:dyDescent="0.25">
      <c r="B8" s="85"/>
      <c r="C8" s="94"/>
      <c r="D8" s="25" t="s">
        <v>57</v>
      </c>
      <c r="E8" s="102">
        <f>+D38</f>
        <v>0.3</v>
      </c>
      <c r="F8" s="86"/>
      <c r="G8" s="100">
        <f>-G7*+D38</f>
        <v>-300</v>
      </c>
      <c r="H8" s="100"/>
      <c r="I8" s="100">
        <f>-I7*D38</f>
        <v>-300</v>
      </c>
      <c r="J8" s="101"/>
      <c r="K8" s="100"/>
      <c r="L8" s="100"/>
      <c r="M8" s="100">
        <f>-M7*D38</f>
        <v>-300</v>
      </c>
      <c r="N8" s="100"/>
      <c r="O8" s="93"/>
    </row>
    <row r="9" spans="2:23" ht="15" x14ac:dyDescent="0.25">
      <c r="B9" s="85"/>
      <c r="C9" s="94"/>
      <c r="D9" s="103" t="s">
        <v>64</v>
      </c>
      <c r="E9" s="103"/>
      <c r="F9" s="86"/>
      <c r="G9" s="104"/>
      <c r="H9" s="100"/>
      <c r="I9" s="104"/>
      <c r="J9" s="101"/>
      <c r="K9" s="104"/>
      <c r="L9" s="100"/>
      <c r="M9" s="104">
        <f>-M8</f>
        <v>300</v>
      </c>
      <c r="N9" s="100"/>
      <c r="O9" s="93"/>
      <c r="R9" s="9" t="s">
        <v>150</v>
      </c>
    </row>
    <row r="10" spans="2:23" ht="15" x14ac:dyDescent="0.25">
      <c r="B10" s="85"/>
      <c r="C10" s="94"/>
      <c r="D10" s="25" t="s">
        <v>51</v>
      </c>
      <c r="E10" s="26"/>
      <c r="F10" s="86"/>
      <c r="G10" s="100">
        <f>SUM(G7:G9)</f>
        <v>700</v>
      </c>
      <c r="H10" s="100"/>
      <c r="I10" s="100">
        <f>SUM(I7:I9)</f>
        <v>700</v>
      </c>
      <c r="J10" s="101" t="s">
        <v>37</v>
      </c>
      <c r="K10" s="100">
        <f>+M10-I10</f>
        <v>300</v>
      </c>
      <c r="L10" s="101"/>
      <c r="M10" s="100">
        <f>SUM(M7:M9)</f>
        <v>1000</v>
      </c>
      <c r="N10" s="100"/>
      <c r="O10" s="93"/>
      <c r="R10" s="9" t="s">
        <v>149</v>
      </c>
    </row>
    <row r="11" spans="2:23" ht="15" x14ac:dyDescent="0.25">
      <c r="B11" s="85"/>
      <c r="C11" s="94"/>
      <c r="D11" s="25"/>
      <c r="E11" s="26"/>
      <c r="F11" s="86"/>
      <c r="G11" s="100"/>
      <c r="H11" s="100"/>
      <c r="I11" s="100"/>
      <c r="J11" s="101"/>
      <c r="K11" s="100"/>
      <c r="L11" s="100"/>
      <c r="M11" s="100"/>
      <c r="N11" s="100"/>
      <c r="O11" s="93"/>
      <c r="R11" s="9" t="s">
        <v>148</v>
      </c>
    </row>
    <row r="12" spans="2:23" ht="14.25" x14ac:dyDescent="0.2">
      <c r="B12" s="85"/>
      <c r="C12" s="94"/>
      <c r="D12" s="25"/>
      <c r="E12" s="26"/>
      <c r="F12" s="86"/>
      <c r="G12" s="201">
        <f>+I36</f>
        <v>6.8000000000000005E-2</v>
      </c>
      <c r="H12" s="202"/>
      <c r="I12" s="201">
        <f>+D36</f>
        <v>0.08</v>
      </c>
      <c r="J12" s="205"/>
      <c r="K12" s="201">
        <f>+D36</f>
        <v>0.08</v>
      </c>
      <c r="L12" s="202"/>
      <c r="M12" s="201">
        <f>+D36</f>
        <v>0.08</v>
      </c>
      <c r="N12" s="105"/>
      <c r="O12" s="93"/>
      <c r="R12" s="9" t="s">
        <v>151</v>
      </c>
    </row>
    <row r="13" spans="2:23" ht="15" x14ac:dyDescent="0.25">
      <c r="B13" s="85"/>
      <c r="C13" s="94"/>
      <c r="D13" s="97" t="s">
        <v>43</v>
      </c>
      <c r="E13" s="106"/>
      <c r="F13" s="107"/>
      <c r="G13" s="204" t="s">
        <v>45</v>
      </c>
      <c r="H13" s="204"/>
      <c r="I13" s="204" t="s">
        <v>46</v>
      </c>
      <c r="J13" s="206"/>
      <c r="K13" s="204" t="s">
        <v>46</v>
      </c>
      <c r="L13" s="204"/>
      <c r="M13" s="204" t="s">
        <v>46</v>
      </c>
      <c r="N13" s="108"/>
      <c r="O13" s="93"/>
      <c r="Q13"/>
      <c r="R13"/>
      <c r="S13"/>
      <c r="T13"/>
    </row>
    <row r="14" spans="2:23" ht="15" x14ac:dyDescent="0.25">
      <c r="B14" s="85"/>
      <c r="C14" s="94"/>
      <c r="D14" s="25" t="s">
        <v>44</v>
      </c>
      <c r="E14" s="26"/>
      <c r="F14" s="86"/>
      <c r="G14" s="109">
        <f>+G16-G10</f>
        <v>1587.6026368867001</v>
      </c>
      <c r="H14" s="100"/>
      <c r="I14" s="109">
        <f>+I16-I10</f>
        <v>2097.2136494294532</v>
      </c>
      <c r="J14" s="101" t="s">
        <v>37</v>
      </c>
      <c r="K14" s="109">
        <f>+K16-K10</f>
        <v>898.80584975548004</v>
      </c>
      <c r="L14" s="101"/>
      <c r="M14" s="100">
        <f>+I14+K14</f>
        <v>2996.019499184933</v>
      </c>
      <c r="N14" s="109"/>
      <c r="O14" s="93"/>
      <c r="Q14"/>
      <c r="R14"/>
      <c r="S14"/>
      <c r="T14"/>
    </row>
    <row r="15" spans="2:23" ht="14.25" x14ac:dyDescent="0.2">
      <c r="B15" s="85"/>
      <c r="C15" s="94"/>
      <c r="D15" s="110"/>
      <c r="E15" s="106"/>
      <c r="F15" s="107"/>
      <c r="G15" s="111"/>
      <c r="H15" s="108"/>
      <c r="I15" s="111"/>
      <c r="J15" s="112"/>
      <c r="K15" s="111"/>
      <c r="L15" s="111"/>
      <c r="M15" s="111"/>
      <c r="N15" s="108"/>
      <c r="O15" s="93"/>
      <c r="Q15"/>
      <c r="R15" s="326" t="s">
        <v>153</v>
      </c>
      <c r="S15"/>
      <c r="T15"/>
      <c r="U15"/>
      <c r="V15"/>
      <c r="W15"/>
    </row>
    <row r="16" spans="2:23" ht="15" x14ac:dyDescent="0.25">
      <c r="B16" s="85"/>
      <c r="C16" s="94"/>
      <c r="D16" s="25" t="s">
        <v>56</v>
      </c>
      <c r="E16" s="113">
        <f>+D34</f>
        <v>18</v>
      </c>
      <c r="F16" s="114" t="s">
        <v>47</v>
      </c>
      <c r="G16" s="100">
        <f>FV(D36*(1-D37),D34,0,-G10)</f>
        <v>2287.6026368867001</v>
      </c>
      <c r="H16" s="100"/>
      <c r="I16" s="100">
        <f>FV(D36,D34,0,-I10)</f>
        <v>2797.2136494294532</v>
      </c>
      <c r="J16" s="101" t="s">
        <v>37</v>
      </c>
      <c r="K16" s="100">
        <f>FV(D36,D34,0,-K10)</f>
        <v>1198.80584975548</v>
      </c>
      <c r="L16" s="100"/>
      <c r="M16" s="100">
        <f>+I16+K16</f>
        <v>3996.019499184933</v>
      </c>
      <c r="N16" s="100"/>
      <c r="O16" s="93"/>
      <c r="Q16"/>
      <c r="R16" s="327" t="s">
        <v>154</v>
      </c>
      <c r="S16"/>
      <c r="T16"/>
      <c r="U16"/>
      <c r="V16"/>
      <c r="W16"/>
    </row>
    <row r="17" spans="1:23" ht="15" x14ac:dyDescent="0.25">
      <c r="B17" s="25"/>
      <c r="C17" s="94"/>
      <c r="D17" s="25"/>
      <c r="E17" s="25"/>
      <c r="F17" s="86"/>
      <c r="G17" s="115"/>
      <c r="H17" s="115"/>
      <c r="I17" s="115"/>
      <c r="J17" s="116"/>
      <c r="K17" s="115"/>
      <c r="L17" s="115"/>
      <c r="M17" s="115"/>
      <c r="N17" s="115"/>
      <c r="O17" s="93"/>
      <c r="R17" t="s">
        <v>152</v>
      </c>
      <c r="S17"/>
      <c r="T17"/>
      <c r="U17"/>
      <c r="V17"/>
      <c r="W17"/>
    </row>
    <row r="18" spans="1:23" ht="12.75" customHeight="1" x14ac:dyDescent="0.25">
      <c r="B18" s="85"/>
      <c r="C18" s="94"/>
      <c r="D18" s="97" t="s">
        <v>119</v>
      </c>
      <c r="E18" s="117"/>
      <c r="F18" s="86"/>
      <c r="G18" s="100"/>
      <c r="H18" s="100"/>
      <c r="I18" s="100"/>
      <c r="J18" s="101"/>
      <c r="K18" s="100"/>
      <c r="L18" s="100"/>
      <c r="M18" s="100"/>
      <c r="N18" s="100"/>
      <c r="O18" s="93"/>
      <c r="R18" s="9" t="s">
        <v>155</v>
      </c>
      <c r="S18"/>
      <c r="T18"/>
      <c r="U18"/>
      <c r="V18"/>
      <c r="W18"/>
    </row>
    <row r="19" spans="1:23" ht="12.75" hidden="1" customHeight="1" x14ac:dyDescent="0.25">
      <c r="B19" s="85"/>
      <c r="C19" s="94"/>
      <c r="D19" s="97"/>
      <c r="E19" s="118" t="s">
        <v>61</v>
      </c>
      <c r="F19" s="86"/>
      <c r="G19" s="100"/>
      <c r="H19" s="100"/>
      <c r="I19" s="100"/>
      <c r="J19" s="101"/>
      <c r="K19" s="100"/>
      <c r="L19" s="100"/>
      <c r="M19" s="104">
        <f>+M20-M18</f>
        <v>-899.10438731660986</v>
      </c>
      <c r="N19" s="100"/>
      <c r="O19" s="93"/>
    </row>
    <row r="20" spans="1:23" ht="12.75" customHeight="1" x14ac:dyDescent="0.25">
      <c r="B20" s="85"/>
      <c r="C20" s="94"/>
      <c r="D20" s="85"/>
      <c r="E20" s="118" t="s">
        <v>52</v>
      </c>
      <c r="F20" s="119">
        <f>+D38</f>
        <v>0.3</v>
      </c>
      <c r="G20" s="100"/>
      <c r="H20" s="100"/>
      <c r="I20" s="100"/>
      <c r="J20" s="101"/>
      <c r="K20" s="100"/>
      <c r="L20" s="100"/>
      <c r="M20" s="100">
        <f>-M16*D38*75%</f>
        <v>-899.10438731660986</v>
      </c>
      <c r="N20" s="120"/>
      <c r="O20" s="93"/>
    </row>
    <row r="21" spans="1:23" ht="12.75" customHeight="1" x14ac:dyDescent="0.25">
      <c r="B21" s="85"/>
      <c r="C21" s="94"/>
      <c r="D21" s="85"/>
      <c r="E21" s="121" t="s">
        <v>58</v>
      </c>
      <c r="F21" s="122">
        <f>+I34-D38</f>
        <v>-9.9999999999999978E-2</v>
      </c>
      <c r="G21" s="100"/>
      <c r="H21" s="100"/>
      <c r="I21" s="100"/>
      <c r="J21" s="101"/>
      <c r="K21" s="100"/>
      <c r="L21" s="100"/>
      <c r="M21" s="100">
        <f>-M16*(I34-D38)*75%</f>
        <v>299.70146243886995</v>
      </c>
      <c r="N21" s="100"/>
      <c r="O21" s="93"/>
    </row>
    <row r="22" spans="1:23" ht="15.75" thickBot="1" x14ac:dyDescent="0.3">
      <c r="B22" s="85"/>
      <c r="C22" s="94"/>
      <c r="D22" s="116" t="s">
        <v>48</v>
      </c>
      <c r="E22" s="25"/>
      <c r="F22" s="86"/>
      <c r="G22" s="123">
        <f>+G16</f>
        <v>2287.6026368867001</v>
      </c>
      <c r="H22" s="100"/>
      <c r="I22" s="123">
        <f>+I16</f>
        <v>2797.2136494294532</v>
      </c>
      <c r="J22" s="23"/>
      <c r="K22" s="25"/>
      <c r="L22" s="25"/>
      <c r="M22" s="123">
        <f>+M16+M20+M21</f>
        <v>3396.6165743071929</v>
      </c>
      <c r="N22" s="100"/>
      <c r="O22" s="93"/>
    </row>
    <row r="23" spans="1:23" ht="15.75" thickTop="1" x14ac:dyDescent="0.25">
      <c r="B23" s="85"/>
      <c r="C23" s="94"/>
      <c r="D23" s="116"/>
      <c r="E23" s="25"/>
      <c r="F23" s="86"/>
      <c r="G23" s="100"/>
      <c r="H23" s="100"/>
      <c r="I23" s="100"/>
      <c r="J23" s="23"/>
      <c r="K23" s="25"/>
      <c r="L23" s="25"/>
      <c r="M23" s="100"/>
      <c r="N23" s="100"/>
      <c r="O23" s="93"/>
    </row>
    <row r="24" spans="1:23" ht="15" x14ac:dyDescent="0.25">
      <c r="B24" s="85"/>
      <c r="C24" s="87"/>
      <c r="D24" s="163"/>
      <c r="E24" s="90"/>
      <c r="F24" s="89"/>
      <c r="G24" s="164"/>
      <c r="H24" s="164"/>
      <c r="I24" s="164"/>
      <c r="J24" s="165"/>
      <c r="K24" s="164"/>
      <c r="L24" s="164"/>
      <c r="M24" s="164"/>
      <c r="N24" s="166"/>
      <c r="O24" s="93"/>
    </row>
    <row r="25" spans="1:23" ht="15" x14ac:dyDescent="0.25">
      <c r="B25" s="85"/>
      <c r="C25" s="94"/>
      <c r="D25" s="23" t="s">
        <v>66</v>
      </c>
      <c r="E25" s="25"/>
      <c r="F25" s="86"/>
      <c r="G25" s="25"/>
      <c r="H25" s="26"/>
      <c r="I25" s="25"/>
      <c r="J25" s="96"/>
      <c r="K25" s="98"/>
      <c r="L25" s="99"/>
      <c r="M25" s="98"/>
      <c r="N25" s="167"/>
      <c r="O25" s="93"/>
    </row>
    <row r="26" spans="1:23" ht="12.75" customHeight="1" x14ac:dyDescent="0.25">
      <c r="B26" s="85"/>
      <c r="C26" s="94"/>
      <c r="D26" s="25" t="s">
        <v>67</v>
      </c>
      <c r="E26" s="25"/>
      <c r="F26" s="86"/>
      <c r="G26" s="25"/>
      <c r="H26" s="26"/>
      <c r="I26" s="124">
        <f>(((1+$D$36)^+$D$34)-((1+$I$36)^+$D$34))*+$I$37/(+$D$36-$I$36)</f>
        <v>509.61101254275331</v>
      </c>
      <c r="J26" s="24"/>
      <c r="K26" s="25"/>
      <c r="L26" s="26"/>
      <c r="M26" s="124">
        <f>(((1+$D$36)^+$D$34)-((1+$I$36)^+$D$34))*+$I$37/(+$D$36-$I$36)</f>
        <v>509.61101254275331</v>
      </c>
      <c r="N26" s="125"/>
      <c r="O26" s="93"/>
    </row>
    <row r="27" spans="1:23" ht="12.75" customHeight="1" x14ac:dyDescent="0.25">
      <c r="B27" s="85"/>
      <c r="C27" s="94"/>
      <c r="D27" s="171" t="s">
        <v>118</v>
      </c>
      <c r="E27" s="155"/>
      <c r="F27" s="152"/>
      <c r="G27" s="155"/>
      <c r="H27" s="156"/>
      <c r="I27" s="162"/>
      <c r="J27" s="157"/>
      <c r="K27" s="155"/>
      <c r="L27" s="156"/>
      <c r="M27" s="162">
        <f>+M16*25%*D38</f>
        <v>299.70146243886995</v>
      </c>
      <c r="N27" s="125"/>
      <c r="O27" s="93"/>
    </row>
    <row r="28" spans="1:23" ht="15" x14ac:dyDescent="0.25">
      <c r="A28" s="13"/>
      <c r="B28" s="85"/>
      <c r="C28" s="94"/>
      <c r="D28" s="25" t="s">
        <v>49</v>
      </c>
      <c r="E28" s="25"/>
      <c r="F28" s="86"/>
      <c r="G28" s="25"/>
      <c r="H28" s="26"/>
      <c r="I28" s="25"/>
      <c r="J28" s="24"/>
      <c r="K28" s="25"/>
      <c r="L28" s="26"/>
      <c r="M28" s="233">
        <f>-M16*(I34-D38)*75%</f>
        <v>299.70146243886995</v>
      </c>
      <c r="N28" s="124"/>
      <c r="O28" s="93"/>
    </row>
    <row r="29" spans="1:23" ht="15.75" thickBot="1" x14ac:dyDescent="0.3">
      <c r="B29" s="85"/>
      <c r="C29" s="94"/>
      <c r="D29" s="85"/>
      <c r="E29" s="127"/>
      <c r="F29" s="128" t="s">
        <v>12</v>
      </c>
      <c r="G29" s="25"/>
      <c r="H29" s="99"/>
      <c r="I29" s="129">
        <f>+I26+I28</f>
        <v>509.61101254275331</v>
      </c>
      <c r="J29" s="24"/>
      <c r="K29" s="25"/>
      <c r="L29" s="26"/>
      <c r="M29" s="129">
        <f>+M26+M27+M28</f>
        <v>1109.0139374204932</v>
      </c>
      <c r="N29" s="130"/>
      <c r="O29" s="93"/>
    </row>
    <row r="30" spans="1:23" ht="15.75" thickTop="1" x14ac:dyDescent="0.25">
      <c r="A30" s="14"/>
      <c r="B30" s="85"/>
      <c r="C30" s="131"/>
      <c r="D30" s="132"/>
      <c r="E30" s="103"/>
      <c r="F30" s="133"/>
      <c r="G30" s="103"/>
      <c r="H30" s="103"/>
      <c r="I30" s="103"/>
      <c r="J30" s="134"/>
      <c r="K30" s="103"/>
      <c r="L30" s="135"/>
      <c r="M30" s="103"/>
      <c r="N30" s="103"/>
      <c r="O30" s="93"/>
    </row>
    <row r="31" spans="1:23" ht="7.5" customHeight="1" x14ac:dyDescent="0.25">
      <c r="A31" s="15"/>
      <c r="B31" s="85"/>
      <c r="C31" s="85"/>
      <c r="D31" s="85"/>
      <c r="E31" s="25"/>
      <c r="F31" s="86"/>
      <c r="G31" s="25"/>
      <c r="H31" s="25"/>
      <c r="I31" s="25"/>
      <c r="J31" s="24"/>
      <c r="K31" s="25"/>
      <c r="L31" s="99"/>
      <c r="M31" s="25"/>
      <c r="N31" s="25"/>
      <c r="O31" s="25"/>
    </row>
    <row r="32" spans="1:23" ht="8.25" customHeight="1" x14ac:dyDescent="0.25">
      <c r="A32" s="10"/>
      <c r="B32" s="87"/>
      <c r="C32" s="87"/>
      <c r="D32" s="88"/>
      <c r="E32" s="88"/>
      <c r="F32" s="139"/>
      <c r="G32" s="90"/>
      <c r="H32" s="90"/>
      <c r="I32" s="90"/>
      <c r="J32" s="91"/>
      <c r="K32" s="90"/>
      <c r="L32" s="92"/>
      <c r="M32" s="90"/>
      <c r="N32" s="90"/>
      <c r="O32" s="90"/>
      <c r="P32" s="187"/>
    </row>
    <row r="33" spans="2:16" ht="15" x14ac:dyDescent="0.25">
      <c r="B33" s="94"/>
      <c r="C33" s="93"/>
      <c r="D33" s="177" t="s">
        <v>0</v>
      </c>
      <c r="E33" s="141"/>
      <c r="F33" s="86"/>
      <c r="G33" s="25"/>
      <c r="H33" s="141"/>
      <c r="I33" s="115"/>
      <c r="J33" s="116"/>
      <c r="K33" s="25"/>
      <c r="L33" s="25"/>
      <c r="M33" s="142"/>
      <c r="N33" s="25"/>
      <c r="O33" s="25"/>
      <c r="P33" s="188"/>
    </row>
    <row r="34" spans="2:16" ht="15" x14ac:dyDescent="0.25">
      <c r="B34" s="94"/>
      <c r="C34" s="93"/>
      <c r="D34" s="174">
        <v>18</v>
      </c>
      <c r="E34" s="121" t="s">
        <v>35</v>
      </c>
      <c r="F34" s="86" t="s">
        <v>39</v>
      </c>
      <c r="G34" s="25"/>
      <c r="H34" s="25"/>
      <c r="I34" s="176">
        <v>0.2</v>
      </c>
      <c r="J34" s="23"/>
      <c r="K34" s="173" t="s">
        <v>65</v>
      </c>
      <c r="L34" s="25"/>
      <c r="M34" s="142" t="s">
        <v>65</v>
      </c>
      <c r="N34" s="25"/>
      <c r="O34" s="25"/>
      <c r="P34" s="188"/>
    </row>
    <row r="35" spans="2:16" ht="15" x14ac:dyDescent="0.25">
      <c r="B35" s="94"/>
      <c r="C35" s="93"/>
      <c r="D35" s="175">
        <v>1000</v>
      </c>
      <c r="E35" s="121" t="s">
        <v>35</v>
      </c>
      <c r="F35" s="86" t="s">
        <v>40</v>
      </c>
      <c r="G35" s="25"/>
      <c r="H35" s="141"/>
      <c r="I35" s="136">
        <f>+D35*(1-D38)</f>
        <v>700</v>
      </c>
      <c r="J35" s="23"/>
      <c r="K35" s="127" t="s">
        <v>54</v>
      </c>
      <c r="L35" s="25"/>
      <c r="M35" s="25" t="s">
        <v>54</v>
      </c>
      <c r="N35" s="25"/>
      <c r="O35" s="25"/>
      <c r="P35" s="188"/>
    </row>
    <row r="36" spans="2:16" ht="15" x14ac:dyDescent="0.25">
      <c r="B36" s="94"/>
      <c r="C36" s="93"/>
      <c r="D36" s="176">
        <v>0.08</v>
      </c>
      <c r="E36" s="121" t="s">
        <v>35</v>
      </c>
      <c r="F36" s="86" t="s">
        <v>50</v>
      </c>
      <c r="G36" s="25"/>
      <c r="H36" s="25"/>
      <c r="I36" s="137">
        <f>+D36*(1-D37)</f>
        <v>6.8000000000000005E-2</v>
      </c>
      <c r="J36" s="144"/>
      <c r="K36" s="127" t="s">
        <v>41</v>
      </c>
      <c r="L36" s="25"/>
      <c r="M36" s="142" t="s">
        <v>41</v>
      </c>
      <c r="N36" s="25"/>
      <c r="O36" s="25"/>
      <c r="P36" s="188"/>
    </row>
    <row r="37" spans="2:16" ht="15" x14ac:dyDescent="0.25">
      <c r="B37" s="94"/>
      <c r="C37" s="93"/>
      <c r="D37" s="176">
        <v>0.15</v>
      </c>
      <c r="E37" s="121" t="s">
        <v>35</v>
      </c>
      <c r="F37" s="86" t="s">
        <v>59</v>
      </c>
      <c r="G37" s="25"/>
      <c r="H37" s="25"/>
      <c r="I37" s="138">
        <f>+D35*(1-D38)*D36*D37</f>
        <v>8.4</v>
      </c>
      <c r="J37" s="145"/>
      <c r="K37" s="127" t="s">
        <v>42</v>
      </c>
      <c r="L37" s="25"/>
      <c r="M37" s="25" t="s">
        <v>42</v>
      </c>
      <c r="N37" s="25"/>
      <c r="O37" s="25"/>
      <c r="P37" s="188"/>
    </row>
    <row r="38" spans="2:16" ht="15" x14ac:dyDescent="0.25">
      <c r="B38" s="94"/>
      <c r="C38" s="93"/>
      <c r="D38" s="176">
        <v>0.3</v>
      </c>
      <c r="E38" s="121" t="s">
        <v>35</v>
      </c>
      <c r="F38" s="86" t="s">
        <v>60</v>
      </c>
      <c r="G38" s="25"/>
      <c r="H38" s="25"/>
      <c r="I38" s="25"/>
      <c r="J38" s="23"/>
      <c r="K38" s="25"/>
      <c r="L38" s="25"/>
      <c r="M38" s="142"/>
      <c r="N38" s="25"/>
      <c r="O38" s="25"/>
      <c r="P38" s="188"/>
    </row>
    <row r="39" spans="2:16" ht="9.75" customHeight="1" x14ac:dyDescent="0.25">
      <c r="B39" s="131"/>
      <c r="C39" s="146"/>
      <c r="D39" s="147"/>
      <c r="E39" s="147"/>
      <c r="F39" s="133"/>
      <c r="G39" s="103"/>
      <c r="H39" s="147"/>
      <c r="I39" s="103"/>
      <c r="J39" s="134"/>
      <c r="K39" s="103"/>
      <c r="L39" s="172"/>
      <c r="M39" s="103"/>
      <c r="N39" s="103"/>
      <c r="O39" s="103"/>
      <c r="P39" s="211"/>
    </row>
    <row r="40" spans="2:16" ht="15" x14ac:dyDescent="0.25">
      <c r="B40" s="85"/>
      <c r="C40" s="85"/>
      <c r="D40" s="85"/>
      <c r="E40" s="85"/>
      <c r="F40" s="86"/>
      <c r="G40" s="25"/>
      <c r="H40" s="25"/>
      <c r="I40" s="25"/>
      <c r="J40" s="24"/>
      <c r="K40" s="25"/>
      <c r="L40" s="26"/>
      <c r="M40" s="25"/>
      <c r="N40" s="25"/>
      <c r="O40" s="25"/>
    </row>
    <row r="41" spans="2:16" ht="14.25" x14ac:dyDescent="0.2">
      <c r="B41" s="85"/>
      <c r="C41" s="85"/>
      <c r="D41" s="85"/>
      <c r="E41" s="85"/>
      <c r="F41" s="86"/>
      <c r="G41" s="25"/>
      <c r="H41" s="25"/>
      <c r="J41" s="9"/>
      <c r="L41" s="9"/>
      <c r="N41" s="25"/>
      <c r="O41" s="25"/>
    </row>
    <row r="42" spans="2:16" ht="15" x14ac:dyDescent="0.25">
      <c r="B42" s="85"/>
      <c r="C42" s="85"/>
      <c r="D42" s="25"/>
      <c r="E42" s="85"/>
      <c r="F42" s="86"/>
      <c r="G42" s="85" t="s">
        <v>53</v>
      </c>
      <c r="H42" s="25"/>
      <c r="I42" s="151">
        <f>I22-G22</f>
        <v>509.61101254275309</v>
      </c>
      <c r="J42" s="24"/>
      <c r="K42" s="25"/>
      <c r="L42" s="26"/>
      <c r="M42" s="151">
        <f>M22-G22</f>
        <v>1109.0139374204928</v>
      </c>
      <c r="N42" s="25"/>
      <c r="O42" s="25"/>
    </row>
    <row r="43" spans="2:16" ht="15" x14ac:dyDescent="0.25">
      <c r="B43" s="85"/>
      <c r="C43" s="85"/>
      <c r="D43" s="85"/>
      <c r="E43" s="85"/>
      <c r="F43" s="86"/>
      <c r="G43" s="25"/>
      <c r="H43" s="25"/>
      <c r="I43" s="25"/>
      <c r="J43" s="24"/>
      <c r="K43" s="25"/>
      <c r="L43" s="26"/>
      <c r="M43" s="25"/>
      <c r="N43" s="25"/>
      <c r="O43" s="25"/>
    </row>
    <row r="44" spans="2:16" ht="14.25" x14ac:dyDescent="0.2">
      <c r="B44" s="85"/>
      <c r="C44" s="85"/>
      <c r="D44" s="85"/>
      <c r="E44" s="85"/>
      <c r="F44" s="86"/>
      <c r="G44" s="25"/>
      <c r="H44" s="25"/>
      <c r="N44" s="25"/>
      <c r="O44" s="25"/>
    </row>
  </sheetData>
  <pageMargins left="0.7" right="0.7" top="0.75" bottom="0.75" header="0.3" footer="0.3"/>
  <pageSetup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a) Tax-freeProfits</vt:lpstr>
      <vt:lpstr>b) ApplesToApples</vt:lpstr>
      <vt:lpstr>c) ChangeTaxRates</vt:lpstr>
      <vt:lpstr>d) Higher MER</vt:lpstr>
      <vt:lpstr>e) Company Match</vt:lpstr>
      <vt:lpstr>f) Time Matters</vt:lpstr>
      <vt:lpstr>g) CumulativeBenefit</vt:lpstr>
      <vt:lpstr>h) NonDeductible</vt:lpstr>
      <vt:lpstr>i) UK pension</vt:lpstr>
      <vt:lpstr>j) Biden</vt:lpstr>
      <vt:lpstr>lookup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reed</dc:creator>
  <cp:lastModifiedBy>.</cp:lastModifiedBy>
  <dcterms:created xsi:type="dcterms:W3CDTF">2012-08-18T02:52:59Z</dcterms:created>
  <dcterms:modified xsi:type="dcterms:W3CDTF">2023-08-01T23:55:15Z</dcterms:modified>
</cp:coreProperties>
</file>